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comments11.xml" ContentType="application/vnd.openxmlformats-officedocument.spreadsheetml.comments+xml"/>
  <Override PartName="/xl/pivotTables/pivotTable2.xml" ContentType="application/vnd.openxmlformats-officedocument.spreadsheetml.pivotTable+xml"/>
  <Override PartName="/xl/comments12.xml" ContentType="application/vnd.openxmlformats-officedocument.spreadsheetml.comments+xml"/>
  <Override PartName="/xl/pivotTables/pivotTable3.xml" ContentType="application/vnd.openxmlformats-officedocument.spreadsheetml.pivotTable+xml"/>
  <Override PartName="/xl/comments1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updateLinks="never" codeName="ThisWorkbook"/>
  <mc:AlternateContent xmlns:mc="http://schemas.openxmlformats.org/markup-compatibility/2006">
    <mc:Choice Requires="x15">
      <x15ac:absPath xmlns:x15ac="http://schemas.microsoft.com/office/spreadsheetml/2010/11/ac" url="C:\Users\StiffH\Documents\FISHERIES\SALMON INDEX STOCKS\CRSF - SIS\COLUMBIA - Okanagan\"/>
    </mc:Choice>
  </mc:AlternateContent>
  <xr:revisionPtr revIDLastSave="0" documentId="13_ncr:1_{A27DCC5D-F478-4A35-A24E-2B266C56AC92}" xr6:coauthVersionLast="47" xr6:coauthVersionMax="47" xr10:uidLastSave="{00000000-0000-0000-0000-000000000000}"/>
  <bookViews>
    <workbookView xWindow="-108" yWindow="-16308" windowWidth="29016" windowHeight="16416" tabRatio="877" activeTab="15" xr2:uid="{00000000-000D-0000-FFFF-FFFF00000000}"/>
  </bookViews>
  <sheets>
    <sheet name="READ ME" sheetId="8" r:id="rId1"/>
    <sheet name="Juvenile Data" sheetId="10" r:id="rId2"/>
    <sheet name="Smolts (OLD)" sheetId="1" state="hidden" r:id="rId3"/>
    <sheet name="Junk" sheetId="2" state="hidden" r:id="rId4"/>
    <sheet name="Adult Returns Data" sheetId="9" r:id="rId5"/>
    <sheet name="Smolt to Adult Survival" sheetId="4" r:id="rId6"/>
    <sheet name="Compare" sheetId="15" state="hidden" r:id="rId7"/>
    <sheet name="ExportSurvival" sheetId="13" state="hidden" r:id="rId8"/>
    <sheet name="References" sheetId="11" r:id="rId9"/>
    <sheet name="Desc Stats" sheetId="22" state="hidden" r:id="rId10"/>
    <sheet name="ATS Equivalents Calculation" sheetId="20" state="hidden" r:id="rId11"/>
    <sheet name="Sockeye Returns Data" sheetId="16" r:id="rId12"/>
    <sheet name="Data at Age" sheetId="17" r:id="rId13"/>
    <sheet name="Annual Returns by Return Yr" sheetId="18" r:id="rId14"/>
    <sheet name="Annual Returns by Smolt Yr" sheetId="19" r:id="rId15"/>
    <sheet name="Annual Returns by FW Age" sheetId="23" r:id="rId16"/>
    <sheet name="Williams 2014 SAR" sheetId="14" state="hidden" r:id="rId17"/>
    <sheet name="Lookup" sheetId="12" state="hidden" r:id="rId18"/>
  </sheets>
  <externalReferences>
    <externalReference r:id="rId19"/>
    <externalReference r:id="rId20"/>
    <externalReference r:id="rId21"/>
    <externalReference r:id="rId22"/>
  </externalReferences>
  <definedNames>
    <definedName name="_xlnm._FilterDatabase" localSheetId="12" hidden="1">'Data at Age'!$A$1:$AH$231</definedName>
    <definedName name="_xlnm._FilterDatabase" localSheetId="0" hidden="1">'READ ME'!$A$2:$C$45</definedName>
    <definedName name="_xlnm._FilterDatabase" localSheetId="11" hidden="1">'Sockeye Returns Data'!$X$1:$X$43</definedName>
    <definedName name="AdultReturns" localSheetId="13">'[1]Adult Returns Data'!$B$4:$AX$52</definedName>
    <definedName name="AdultReturns" localSheetId="14">'[1]Adult Returns Data'!$B$4:$AX$52</definedName>
    <definedName name="AdultReturns" localSheetId="12">'[1]Adult Returns Data'!$B$4:$AX$52</definedName>
    <definedName name="AdultReturns" localSheetId="11">'[1]Adult Returns Data'!$B$4:$AX$52</definedName>
    <definedName name="AdultReturns" localSheetId="16">'[2]Adult Returns Data'!$B$4:$AX$52</definedName>
    <definedName name="AdultReturns">'Adult Returns Data'!$B$4:$AX$52</definedName>
    <definedName name="JuvAbund" localSheetId="13">'[1]Juvenile Data'!$B$4:$AK$58</definedName>
    <definedName name="JuvAbund" localSheetId="14">'[1]Juvenile Data'!$B$4:$AK$58</definedName>
    <definedName name="JuvAbund" localSheetId="12">'[1]Juvenile Data'!$B$4:$AK$58</definedName>
    <definedName name="JuvAbund" localSheetId="11">'[1]Juvenile Data'!$B$4:$AK$58</definedName>
    <definedName name="JuvAbund" localSheetId="16">'[2]Juvenile Data'!$B$4:$AK$58</definedName>
    <definedName name="JuvAbund">'Juvenile Data'!$B$4:$AK$58</definedName>
    <definedName name="Ok_Sox_CR_Mouth">'Sockeye Returns Data'!$A$1:$S$47</definedName>
    <definedName name="OtherAge" localSheetId="13">'[1]Adult Returns Data'!$J$3</definedName>
    <definedName name="OtherAge" localSheetId="14">'[1]Adult Returns Data'!$J$3</definedName>
    <definedName name="OtherAge" localSheetId="12">'[1]Adult Returns Data'!$J$3</definedName>
    <definedName name="OtherAge" localSheetId="11">'[1]Adult Returns Data'!$J$3</definedName>
    <definedName name="OtherAge" localSheetId="16">'[2]Adult Returns Data'!$J$3</definedName>
    <definedName name="OtherAge">'Adult Returns Data'!$J$3</definedName>
    <definedName name="SockeyeReturnsData" localSheetId="13">'[3]Sockeye Returns Data'!$A$1:$AA$48</definedName>
    <definedName name="SockeyeReturnsData" localSheetId="14">'[3]Sockeye Returns Data'!$A$1:$AA$48</definedName>
    <definedName name="SockeyeReturnsData" localSheetId="12">'[3]Sockeye Returns Data'!$A$1:$AA$48</definedName>
    <definedName name="SockeyeReturnsData">'Sockeye Returns Data'!$A$1:$AA$48</definedName>
    <definedName name="Years">'Smolt to Adult Survival'!$B$4:$B$57</definedName>
  </definedNames>
  <calcPr calcId="191029"/>
  <pivotCaches>
    <pivotCache cacheId="0" r:id="rId23"/>
    <pivotCache cacheId="6" r:id="rId2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0" i="4" l="1"/>
  <c r="J103" i="8"/>
  <c r="J100" i="8"/>
  <c r="J101" i="8"/>
  <c r="J102" i="8"/>
  <c r="J99" i="8"/>
  <c r="J98" i="8"/>
  <c r="J97" i="8"/>
  <c r="G99" i="8"/>
  <c r="G100" i="8"/>
  <c r="G101" i="8"/>
  <c r="G102" i="8"/>
  <c r="G103" i="8"/>
  <c r="G98" i="8"/>
  <c r="G97" i="8"/>
  <c r="D46" i="9"/>
  <c r="C46" i="10"/>
  <c r="F46" i="10" s="1"/>
  <c r="B6" i="22" l="1"/>
  <c r="O47" i="18" l="1"/>
  <c r="P47" i="18" s="1"/>
  <c r="O46" i="18"/>
  <c r="P46" i="18" s="1"/>
  <c r="O45" i="18"/>
  <c r="P45" i="18" s="1"/>
  <c r="O44" i="18"/>
  <c r="P44" i="18" s="1"/>
  <c r="O43" i="18"/>
  <c r="P43" i="18" s="1"/>
  <c r="O42" i="18"/>
  <c r="P42" i="18" s="1"/>
  <c r="O41" i="18"/>
  <c r="P41" i="18" s="1"/>
  <c r="O40" i="18"/>
  <c r="P40" i="18" s="1"/>
  <c r="O39" i="18"/>
  <c r="P39" i="18" s="1"/>
  <c r="O38" i="18"/>
  <c r="P38" i="18" s="1"/>
  <c r="O37" i="18"/>
  <c r="P37" i="18" s="1"/>
  <c r="O36" i="18"/>
  <c r="P36" i="18" s="1"/>
  <c r="O35" i="18"/>
  <c r="P35" i="18" s="1"/>
  <c r="O34" i="18"/>
  <c r="P34" i="18" s="1"/>
  <c r="O33" i="18"/>
  <c r="P33" i="18" s="1"/>
  <c r="O32" i="18"/>
  <c r="P32" i="18" s="1"/>
  <c r="O31" i="18"/>
  <c r="P31" i="18" s="1"/>
  <c r="O30" i="18"/>
  <c r="P30" i="18" s="1"/>
  <c r="O29" i="18"/>
  <c r="P29" i="18" s="1"/>
  <c r="O28" i="18"/>
  <c r="P28" i="18" s="1"/>
  <c r="O27" i="18"/>
  <c r="P27" i="18" s="1"/>
  <c r="O26" i="18"/>
  <c r="P26" i="18" s="1"/>
  <c r="O25" i="18"/>
  <c r="P25" i="18" s="1"/>
  <c r="O24" i="18"/>
  <c r="P24" i="18" s="1"/>
  <c r="O23" i="18"/>
  <c r="P23" i="18" s="1"/>
  <c r="O22" i="18"/>
  <c r="P22" i="18" s="1"/>
  <c r="O21" i="18"/>
  <c r="P21" i="18" s="1"/>
  <c r="O20" i="18"/>
  <c r="P20" i="18" s="1"/>
  <c r="O19" i="18"/>
  <c r="P19" i="18" s="1"/>
  <c r="O18" i="18"/>
  <c r="P18" i="18" s="1"/>
  <c r="O17" i="18"/>
  <c r="P17" i="18" s="1"/>
  <c r="O16" i="18"/>
  <c r="P16" i="18" s="1"/>
  <c r="O15" i="18"/>
  <c r="P15" i="18" s="1"/>
  <c r="O14" i="18"/>
  <c r="P14" i="18" s="1"/>
  <c r="O13" i="18"/>
  <c r="P13" i="18" s="1"/>
  <c r="O12" i="18"/>
  <c r="P12" i="18" s="1"/>
  <c r="O11" i="18"/>
  <c r="P11" i="18" s="1"/>
  <c r="O10" i="18"/>
  <c r="P10" i="18" s="1"/>
  <c r="O9" i="18"/>
  <c r="P9" i="18" s="1"/>
  <c r="O8" i="18"/>
  <c r="P8" i="18" s="1"/>
  <c r="O7" i="18"/>
  <c r="P7" i="18" s="1"/>
  <c r="O6" i="18"/>
  <c r="P6" i="18" s="1"/>
  <c r="O5" i="18"/>
  <c r="P5" i="18" s="1"/>
  <c r="V237" i="17"/>
  <c r="U237" i="17"/>
  <c r="S237" i="17"/>
  <c r="R237" i="17"/>
  <c r="Q237" i="17"/>
  <c r="P237" i="17"/>
  <c r="M237" i="17"/>
  <c r="K237" i="17"/>
  <c r="Z237" i="17" s="1"/>
  <c r="J237" i="17"/>
  <c r="I237" i="17"/>
  <c r="H237" i="17"/>
  <c r="G237" i="17"/>
  <c r="O237" i="17" s="1"/>
  <c r="F237" i="17"/>
  <c r="E237" i="17"/>
  <c r="B237" i="17" s="1"/>
  <c r="D237" i="17"/>
  <c r="V236" i="17"/>
  <c r="U236" i="17"/>
  <c r="S236" i="17"/>
  <c r="R236" i="17"/>
  <c r="Q236" i="17"/>
  <c r="P236" i="17"/>
  <c r="M236" i="17"/>
  <c r="K236" i="17"/>
  <c r="Z236" i="17" s="1"/>
  <c r="J236" i="17"/>
  <c r="I236" i="17"/>
  <c r="H236" i="17"/>
  <c r="G236" i="17"/>
  <c r="O236" i="17" s="1"/>
  <c r="F236" i="17"/>
  <c r="E236" i="17"/>
  <c r="B236" i="17" s="1"/>
  <c r="D236" i="17"/>
  <c r="V235" i="17"/>
  <c r="U235" i="17"/>
  <c r="S235" i="17"/>
  <c r="R235" i="17"/>
  <c r="Q235" i="17"/>
  <c r="P235" i="17"/>
  <c r="M235" i="17"/>
  <c r="K235" i="17"/>
  <c r="Z235" i="17" s="1"/>
  <c r="J235" i="17"/>
  <c r="I235" i="17"/>
  <c r="H235" i="17"/>
  <c r="G235" i="17"/>
  <c r="O235" i="17" s="1"/>
  <c r="F235" i="17"/>
  <c r="E235" i="17"/>
  <c r="B235" i="17" s="1"/>
  <c r="D235" i="17"/>
  <c r="V234" i="17"/>
  <c r="U234" i="17"/>
  <c r="S234" i="17"/>
  <c r="R234" i="17"/>
  <c r="Q234" i="17"/>
  <c r="P234" i="17"/>
  <c r="M234" i="17"/>
  <c r="K234" i="17"/>
  <c r="Z234" i="17" s="1"/>
  <c r="J234" i="17"/>
  <c r="I234" i="17"/>
  <c r="H234" i="17"/>
  <c r="G234" i="17"/>
  <c r="X234" i="17" s="1"/>
  <c r="F234" i="17"/>
  <c r="E234" i="17"/>
  <c r="B234" i="17" s="1"/>
  <c r="D234" i="17"/>
  <c r="V233" i="17"/>
  <c r="U233" i="17"/>
  <c r="S233" i="17"/>
  <c r="R233" i="17"/>
  <c r="Q233" i="17"/>
  <c r="P233" i="17"/>
  <c r="M233" i="17"/>
  <c r="N233" i="17" s="1"/>
  <c r="K233" i="17"/>
  <c r="Z233" i="17" s="1"/>
  <c r="J233" i="17"/>
  <c r="I233" i="17"/>
  <c r="H233" i="17"/>
  <c r="G233" i="17"/>
  <c r="O233" i="17" s="1"/>
  <c r="F233" i="17"/>
  <c r="E233" i="17"/>
  <c r="D233" i="17"/>
  <c r="B233" i="17"/>
  <c r="V232" i="17"/>
  <c r="U232" i="17"/>
  <c r="S232" i="17"/>
  <c r="R232" i="17"/>
  <c r="Q232" i="17"/>
  <c r="P232" i="17"/>
  <c r="M232" i="17"/>
  <c r="K232" i="17"/>
  <c r="Z232" i="17" s="1"/>
  <c r="J232" i="17"/>
  <c r="I232" i="17"/>
  <c r="H232" i="17"/>
  <c r="G232" i="17"/>
  <c r="O232" i="17" s="1"/>
  <c r="F232" i="17"/>
  <c r="E232" i="17"/>
  <c r="D232" i="17"/>
  <c r="B232" i="17"/>
  <c r="AC231" i="17"/>
  <c r="V231" i="17"/>
  <c r="U231" i="17"/>
  <c r="D231" i="17" s="1"/>
  <c r="S231" i="17"/>
  <c r="R231" i="17"/>
  <c r="AF231" i="17" s="1"/>
  <c r="Q231" i="17"/>
  <c r="P231" i="17"/>
  <c r="M231" i="17"/>
  <c r="K231" i="17"/>
  <c r="Z231" i="17" s="1"/>
  <c r="J231" i="17"/>
  <c r="I231" i="17"/>
  <c r="AE231" i="17" s="1"/>
  <c r="H231" i="17"/>
  <c r="G231" i="17"/>
  <c r="F231" i="17"/>
  <c r="E231" i="17"/>
  <c r="B231" i="17" s="1"/>
  <c r="AC230" i="17"/>
  <c r="V230" i="17"/>
  <c r="U230" i="17"/>
  <c r="S230" i="17"/>
  <c r="R230" i="17"/>
  <c r="AF230" i="17" s="1"/>
  <c r="Q230" i="17"/>
  <c r="P230" i="17"/>
  <c r="M230" i="17"/>
  <c r="K230" i="17"/>
  <c r="Z230" i="17" s="1"/>
  <c r="J230" i="17"/>
  <c r="I230" i="17"/>
  <c r="AE230" i="17" s="1"/>
  <c r="H230" i="17"/>
  <c r="G230" i="17"/>
  <c r="O230" i="17" s="1"/>
  <c r="F230" i="17"/>
  <c r="E230" i="17"/>
  <c r="D230" i="17"/>
  <c r="B230" i="17"/>
  <c r="AC229" i="17"/>
  <c r="V229" i="17"/>
  <c r="U229" i="17"/>
  <c r="D229" i="17" s="1"/>
  <c r="S229" i="17"/>
  <c r="R229" i="17"/>
  <c r="AF229" i="17" s="1"/>
  <c r="Q229" i="17"/>
  <c r="P229" i="17"/>
  <c r="M229" i="17"/>
  <c r="K229" i="17"/>
  <c r="Z229" i="17" s="1"/>
  <c r="J229" i="17"/>
  <c r="I229" i="17"/>
  <c r="AE229" i="17" s="1"/>
  <c r="H229" i="17"/>
  <c r="G229" i="17"/>
  <c r="X229" i="17" s="1"/>
  <c r="F229" i="17"/>
  <c r="E229" i="17"/>
  <c r="B229" i="17" s="1"/>
  <c r="AC228" i="17"/>
  <c r="V228" i="17"/>
  <c r="U228" i="17"/>
  <c r="S228" i="17"/>
  <c r="R228" i="17"/>
  <c r="AF228" i="17" s="1"/>
  <c r="Q228" i="17"/>
  <c r="P228" i="17"/>
  <c r="M228" i="17"/>
  <c r="K228" i="17"/>
  <c r="Z228" i="17" s="1"/>
  <c r="J228" i="17"/>
  <c r="L228" i="17" s="1"/>
  <c r="I228" i="17"/>
  <c r="AE228" i="17" s="1"/>
  <c r="H228" i="17"/>
  <c r="G228" i="17"/>
  <c r="O228" i="17" s="1"/>
  <c r="F228" i="17"/>
  <c r="E228" i="17"/>
  <c r="D228" i="17"/>
  <c r="B228" i="17"/>
  <c r="AE227" i="17"/>
  <c r="AC227" i="17"/>
  <c r="V227" i="17"/>
  <c r="U227" i="17"/>
  <c r="D227" i="17" s="1"/>
  <c r="S227" i="17"/>
  <c r="R227" i="17"/>
  <c r="AF227" i="17" s="1"/>
  <c r="Q227" i="17"/>
  <c r="P227" i="17"/>
  <c r="M227" i="17"/>
  <c r="K227" i="17"/>
  <c r="Z227" i="17" s="1"/>
  <c r="J227" i="17"/>
  <c r="I227" i="17"/>
  <c r="H227" i="17"/>
  <c r="G227" i="17"/>
  <c r="F227" i="17"/>
  <c r="E227" i="17"/>
  <c r="B227" i="17" s="1"/>
  <c r="AC226" i="17"/>
  <c r="V226" i="17"/>
  <c r="U226" i="17"/>
  <c r="S226" i="17"/>
  <c r="R226" i="17"/>
  <c r="AF226" i="17" s="1"/>
  <c r="Q226" i="17"/>
  <c r="P226" i="17"/>
  <c r="M226" i="17"/>
  <c r="K226" i="17"/>
  <c r="Z226" i="17" s="1"/>
  <c r="J226" i="17"/>
  <c r="L226" i="17" s="1"/>
  <c r="I226" i="17"/>
  <c r="AE226" i="17" s="1"/>
  <c r="H226" i="17"/>
  <c r="G226" i="17"/>
  <c r="O226" i="17" s="1"/>
  <c r="F226" i="17"/>
  <c r="E226" i="17"/>
  <c r="D226" i="17"/>
  <c r="B226" i="17"/>
  <c r="AF225" i="17"/>
  <c r="AC225" i="17"/>
  <c r="V225" i="17"/>
  <c r="U225" i="17"/>
  <c r="D225" i="17" s="1"/>
  <c r="S225" i="17"/>
  <c r="R225" i="17"/>
  <c r="Q225" i="17"/>
  <c r="P225" i="17"/>
  <c r="M225" i="17"/>
  <c r="K225" i="17"/>
  <c r="Z225" i="17" s="1"/>
  <c r="J225" i="17"/>
  <c r="I225" i="17"/>
  <c r="AE225" i="17" s="1"/>
  <c r="H225" i="17"/>
  <c r="G225" i="17"/>
  <c r="X225" i="17" s="1"/>
  <c r="AG225" i="17" s="1"/>
  <c r="F225" i="17"/>
  <c r="E225" i="17"/>
  <c r="B225" i="17" s="1"/>
  <c r="AC224" i="17"/>
  <c r="V224" i="17"/>
  <c r="U224" i="17"/>
  <c r="S224" i="17"/>
  <c r="R224" i="17"/>
  <c r="AF224" i="17" s="1"/>
  <c r="Q224" i="17"/>
  <c r="P224" i="17"/>
  <c r="M224" i="17"/>
  <c r="K224" i="17"/>
  <c r="Z224" i="17" s="1"/>
  <c r="J224" i="17"/>
  <c r="I224" i="17"/>
  <c r="AE224" i="17" s="1"/>
  <c r="H224" i="17"/>
  <c r="G224" i="17"/>
  <c r="O224" i="17" s="1"/>
  <c r="F224" i="17"/>
  <c r="E224" i="17"/>
  <c r="D224" i="17"/>
  <c r="B224" i="17"/>
  <c r="AC223" i="17"/>
  <c r="V223" i="17"/>
  <c r="U223" i="17"/>
  <c r="D223" i="17" s="1"/>
  <c r="S223" i="17"/>
  <c r="R223" i="17"/>
  <c r="AF223" i="17" s="1"/>
  <c r="Q223" i="17"/>
  <c r="P223" i="17"/>
  <c r="M223" i="17"/>
  <c r="K223" i="17"/>
  <c r="Z223" i="17" s="1"/>
  <c r="J223" i="17"/>
  <c r="I223" i="17"/>
  <c r="AE223" i="17" s="1"/>
  <c r="H223" i="17"/>
  <c r="G223" i="17"/>
  <c r="F223" i="17"/>
  <c r="E223" i="17"/>
  <c r="B223" i="17" s="1"/>
  <c r="AC222" i="17"/>
  <c r="V222" i="17"/>
  <c r="U222" i="17"/>
  <c r="S222" i="17"/>
  <c r="R222" i="17"/>
  <c r="AF222" i="17" s="1"/>
  <c r="Q222" i="17"/>
  <c r="P222" i="17"/>
  <c r="M222" i="17"/>
  <c r="N222" i="17" s="1"/>
  <c r="AB222" i="17" s="1"/>
  <c r="K222" i="17"/>
  <c r="Z222" i="17" s="1"/>
  <c r="J222" i="17"/>
  <c r="I222" i="17"/>
  <c r="AE222" i="17" s="1"/>
  <c r="H222" i="17"/>
  <c r="G222" i="17"/>
  <c r="O222" i="17" s="1"/>
  <c r="F222" i="17"/>
  <c r="E222" i="17"/>
  <c r="D222" i="17"/>
  <c r="B222" i="17"/>
  <c r="AE221" i="17"/>
  <c r="AC221" i="17"/>
  <c r="V221" i="17"/>
  <c r="U221" i="17"/>
  <c r="D221" i="17" s="1"/>
  <c r="S221" i="17"/>
  <c r="R221" i="17"/>
  <c r="AF221" i="17" s="1"/>
  <c r="Q221" i="17"/>
  <c r="P221" i="17"/>
  <c r="M221" i="17"/>
  <c r="K221" i="17"/>
  <c r="Z221" i="17" s="1"/>
  <c r="J221" i="17"/>
  <c r="I221" i="17"/>
  <c r="H221" i="17"/>
  <c r="G221" i="17"/>
  <c r="X221" i="17" s="1"/>
  <c r="F221" i="17"/>
  <c r="E221" i="17"/>
  <c r="B221" i="17" s="1"/>
  <c r="AC220" i="17"/>
  <c r="V220" i="17"/>
  <c r="U220" i="17"/>
  <c r="S220" i="17"/>
  <c r="R220" i="17"/>
  <c r="AF220" i="17" s="1"/>
  <c r="Q220" i="17"/>
  <c r="P220" i="17"/>
  <c r="M220" i="17"/>
  <c r="K220" i="17"/>
  <c r="Z220" i="17" s="1"/>
  <c r="J220" i="17"/>
  <c r="I220" i="17"/>
  <c r="AE220" i="17" s="1"/>
  <c r="H220" i="17"/>
  <c r="G220" i="17"/>
  <c r="O220" i="17" s="1"/>
  <c r="F220" i="17"/>
  <c r="E220" i="17"/>
  <c r="D220" i="17"/>
  <c r="B220" i="17"/>
  <c r="AC219" i="17"/>
  <c r="V219" i="17"/>
  <c r="U219" i="17"/>
  <c r="D219" i="17" s="1"/>
  <c r="S219" i="17"/>
  <c r="R219" i="17"/>
  <c r="AF219" i="17" s="1"/>
  <c r="Q219" i="17"/>
  <c r="P219" i="17"/>
  <c r="M219" i="17"/>
  <c r="K219" i="17"/>
  <c r="Z219" i="17" s="1"/>
  <c r="J219" i="17"/>
  <c r="I219" i="17"/>
  <c r="AE219" i="17" s="1"/>
  <c r="H219" i="17"/>
  <c r="G219" i="17"/>
  <c r="F219" i="17"/>
  <c r="E219" i="17"/>
  <c r="B219" i="17" s="1"/>
  <c r="V218" i="17"/>
  <c r="U218" i="17"/>
  <c r="S218" i="17"/>
  <c r="R218" i="17"/>
  <c r="AF218" i="17" s="1"/>
  <c r="Q218" i="17"/>
  <c r="P218" i="17"/>
  <c r="M218" i="17"/>
  <c r="K218" i="17"/>
  <c r="Z218" i="17" s="1"/>
  <c r="J218" i="17"/>
  <c r="I218" i="17"/>
  <c r="AE218" i="17" s="1"/>
  <c r="H218" i="17"/>
  <c r="G218" i="17"/>
  <c r="O218" i="17" s="1"/>
  <c r="F218" i="17"/>
  <c r="E218" i="17"/>
  <c r="D218" i="17"/>
  <c r="B218" i="17"/>
  <c r="V217" i="17"/>
  <c r="U217" i="17"/>
  <c r="D217" i="17" s="1"/>
  <c r="S217" i="17"/>
  <c r="R217" i="17"/>
  <c r="AF217" i="17" s="1"/>
  <c r="Q217" i="17"/>
  <c r="P217" i="17"/>
  <c r="M217" i="17"/>
  <c r="K217" i="17"/>
  <c r="Z217" i="17" s="1"/>
  <c r="J217" i="17"/>
  <c r="I217" i="17"/>
  <c r="AE217" i="17" s="1"/>
  <c r="H217" i="17"/>
  <c r="G217" i="17"/>
  <c r="X217" i="17" s="1"/>
  <c r="F217" i="17"/>
  <c r="E217" i="17"/>
  <c r="B217" i="17" s="1"/>
  <c r="V216" i="17"/>
  <c r="U216" i="17"/>
  <c r="S216" i="17"/>
  <c r="R216" i="17"/>
  <c r="AF216" i="17" s="1"/>
  <c r="Q216" i="17"/>
  <c r="P216" i="17"/>
  <c r="N216" i="17"/>
  <c r="AB216" i="17" s="1"/>
  <c r="M216" i="17"/>
  <c r="K216" i="17"/>
  <c r="Z216" i="17" s="1"/>
  <c r="J216" i="17"/>
  <c r="I216" i="17"/>
  <c r="AE216" i="17" s="1"/>
  <c r="H216" i="17"/>
  <c r="G216" i="17"/>
  <c r="O216" i="17" s="1"/>
  <c r="F216" i="17"/>
  <c r="E216" i="17"/>
  <c r="D216" i="17"/>
  <c r="B216" i="17"/>
  <c r="V215" i="17"/>
  <c r="U215" i="17"/>
  <c r="S215" i="17"/>
  <c r="R215" i="17"/>
  <c r="AF215" i="17" s="1"/>
  <c r="Q215" i="17"/>
  <c r="P215" i="17"/>
  <c r="M215" i="17"/>
  <c r="K215" i="17"/>
  <c r="Z215" i="17" s="1"/>
  <c r="J215" i="17"/>
  <c r="I215" i="17"/>
  <c r="AE215" i="17" s="1"/>
  <c r="H215" i="17"/>
  <c r="G215" i="17"/>
  <c r="X215" i="17" s="1"/>
  <c r="F215" i="17"/>
  <c r="E215" i="17"/>
  <c r="B215" i="17" s="1"/>
  <c r="D215" i="17"/>
  <c r="V214" i="17"/>
  <c r="U214" i="17"/>
  <c r="S214" i="17"/>
  <c r="R214" i="17"/>
  <c r="AF214" i="17" s="1"/>
  <c r="Q214" i="17"/>
  <c r="P214" i="17"/>
  <c r="M214" i="17"/>
  <c r="K214" i="17"/>
  <c r="Z214" i="17" s="1"/>
  <c r="J214" i="17"/>
  <c r="I214" i="17"/>
  <c r="AE214" i="17" s="1"/>
  <c r="H214" i="17"/>
  <c r="G214" i="17"/>
  <c r="O214" i="17" s="1"/>
  <c r="F214" i="17"/>
  <c r="E214" i="17"/>
  <c r="D214" i="17"/>
  <c r="B214" i="17"/>
  <c r="AF213" i="17"/>
  <c r="V213" i="17"/>
  <c r="U213" i="17"/>
  <c r="S213" i="17"/>
  <c r="R213" i="17"/>
  <c r="Q213" i="17"/>
  <c r="P213" i="17"/>
  <c r="M213" i="17"/>
  <c r="K213" i="17"/>
  <c r="Z213" i="17" s="1"/>
  <c r="J213" i="17"/>
  <c r="I213" i="17"/>
  <c r="AE213" i="17" s="1"/>
  <c r="H213" i="17"/>
  <c r="G213" i="17"/>
  <c r="X213" i="17" s="1"/>
  <c r="F213" i="17"/>
  <c r="E213" i="17"/>
  <c r="B213" i="17" s="1"/>
  <c r="D213" i="17"/>
  <c r="V212" i="17"/>
  <c r="U212" i="17"/>
  <c r="S212" i="17"/>
  <c r="R212" i="17"/>
  <c r="AF212" i="17" s="1"/>
  <c r="Q212" i="17"/>
  <c r="P212" i="17"/>
  <c r="M212" i="17"/>
  <c r="K212" i="17"/>
  <c r="Z212" i="17" s="1"/>
  <c r="J212" i="17"/>
  <c r="I212" i="17"/>
  <c r="AE212" i="17" s="1"/>
  <c r="H212" i="17"/>
  <c r="G212" i="17"/>
  <c r="F212" i="17"/>
  <c r="E212" i="17"/>
  <c r="D212" i="17"/>
  <c r="B212" i="17"/>
  <c r="V211" i="17"/>
  <c r="U211" i="17"/>
  <c r="S211" i="17"/>
  <c r="R211" i="17"/>
  <c r="AF211" i="17" s="1"/>
  <c r="Q211" i="17"/>
  <c r="P211" i="17"/>
  <c r="M211" i="17"/>
  <c r="K211" i="17"/>
  <c r="Z211" i="17" s="1"/>
  <c r="J211" i="17"/>
  <c r="I211" i="17"/>
  <c r="AE211" i="17" s="1"/>
  <c r="H211" i="17"/>
  <c r="G211" i="17"/>
  <c r="X211" i="17" s="1"/>
  <c r="F211" i="17"/>
  <c r="E211" i="17"/>
  <c r="B211" i="17" s="1"/>
  <c r="D211" i="17"/>
  <c r="V210" i="17"/>
  <c r="U210" i="17"/>
  <c r="S210" i="17"/>
  <c r="R210" i="17"/>
  <c r="AF210" i="17" s="1"/>
  <c r="Q210" i="17"/>
  <c r="P210" i="17"/>
  <c r="M210" i="17"/>
  <c r="K210" i="17"/>
  <c r="Z210" i="17" s="1"/>
  <c r="J210" i="17"/>
  <c r="I210" i="17"/>
  <c r="AE210" i="17" s="1"/>
  <c r="H210" i="17"/>
  <c r="G210" i="17"/>
  <c r="O210" i="17" s="1"/>
  <c r="F210" i="17"/>
  <c r="E210" i="17"/>
  <c r="D210" i="17"/>
  <c r="B210" i="17"/>
  <c r="V209" i="17"/>
  <c r="U209" i="17"/>
  <c r="S209" i="17"/>
  <c r="R209" i="17"/>
  <c r="AF209" i="17" s="1"/>
  <c r="Q209" i="17"/>
  <c r="P209" i="17"/>
  <c r="M209" i="17"/>
  <c r="K209" i="17"/>
  <c r="Z209" i="17" s="1"/>
  <c r="J209" i="17"/>
  <c r="I209" i="17"/>
  <c r="AE209" i="17" s="1"/>
  <c r="H209" i="17"/>
  <c r="G209" i="17"/>
  <c r="X209" i="17" s="1"/>
  <c r="F209" i="17"/>
  <c r="E209" i="17"/>
  <c r="B209" i="17" s="1"/>
  <c r="D209" i="17"/>
  <c r="AC208" i="17"/>
  <c r="V208" i="17"/>
  <c r="U208" i="17"/>
  <c r="S208" i="17"/>
  <c r="R208" i="17"/>
  <c r="AF208" i="17" s="1"/>
  <c r="Q208" i="17"/>
  <c r="P208" i="17"/>
  <c r="M208" i="17"/>
  <c r="N208" i="17" s="1"/>
  <c r="AB208" i="17" s="1"/>
  <c r="K208" i="17"/>
  <c r="Z208" i="17" s="1"/>
  <c r="J208" i="17"/>
  <c r="L208" i="17" s="1"/>
  <c r="I208" i="17"/>
  <c r="AE208" i="17" s="1"/>
  <c r="H208" i="17"/>
  <c r="G208" i="17"/>
  <c r="O208" i="17" s="1"/>
  <c r="F208" i="17"/>
  <c r="E208" i="17"/>
  <c r="D208" i="17"/>
  <c r="B208" i="17"/>
  <c r="V207" i="17"/>
  <c r="U207" i="17"/>
  <c r="D207" i="17" s="1"/>
  <c r="S207" i="17"/>
  <c r="R207" i="17"/>
  <c r="AF207" i="17" s="1"/>
  <c r="Q207" i="17"/>
  <c r="P207" i="17"/>
  <c r="M207" i="17"/>
  <c r="K207" i="17"/>
  <c r="Z207" i="17" s="1"/>
  <c r="J207" i="17"/>
  <c r="I207" i="17"/>
  <c r="AE207" i="17" s="1"/>
  <c r="H207" i="17"/>
  <c r="G207" i="17"/>
  <c r="X207" i="17" s="1"/>
  <c r="AG207" i="17" s="1"/>
  <c r="F207" i="17"/>
  <c r="E207" i="17"/>
  <c r="B207" i="17" s="1"/>
  <c r="V206" i="17"/>
  <c r="U206" i="17"/>
  <c r="S206" i="17"/>
  <c r="R206" i="17"/>
  <c r="AF206" i="17" s="1"/>
  <c r="Q206" i="17"/>
  <c r="P206" i="17"/>
  <c r="M206" i="17"/>
  <c r="K206" i="17"/>
  <c r="Z206" i="17" s="1"/>
  <c r="J206" i="17"/>
  <c r="I206" i="17"/>
  <c r="AE206" i="17" s="1"/>
  <c r="H206" i="17"/>
  <c r="G206" i="17"/>
  <c r="O206" i="17" s="1"/>
  <c r="F206" i="17"/>
  <c r="E206" i="17"/>
  <c r="D206" i="17"/>
  <c r="B206" i="17"/>
  <c r="V205" i="17"/>
  <c r="U205" i="17"/>
  <c r="D205" i="17" s="1"/>
  <c r="S205" i="17"/>
  <c r="R205" i="17"/>
  <c r="AF205" i="17" s="1"/>
  <c r="Q205" i="17"/>
  <c r="P205" i="17"/>
  <c r="M205" i="17"/>
  <c r="K205" i="17"/>
  <c r="Z205" i="17" s="1"/>
  <c r="J205" i="17"/>
  <c r="I205" i="17"/>
  <c r="AE205" i="17" s="1"/>
  <c r="H205" i="17"/>
  <c r="G205" i="17"/>
  <c r="X205" i="17" s="1"/>
  <c r="F205" i="17"/>
  <c r="E205" i="17"/>
  <c r="B205" i="17" s="1"/>
  <c r="V204" i="17"/>
  <c r="U204" i="17"/>
  <c r="S204" i="17"/>
  <c r="R204" i="17"/>
  <c r="AF204" i="17" s="1"/>
  <c r="Q204" i="17"/>
  <c r="P204" i="17"/>
  <c r="M204" i="17"/>
  <c r="K204" i="17"/>
  <c r="Z204" i="17" s="1"/>
  <c r="J204" i="17"/>
  <c r="I204" i="17"/>
  <c r="AE204" i="17" s="1"/>
  <c r="H204" i="17"/>
  <c r="G204" i="17"/>
  <c r="O204" i="17" s="1"/>
  <c r="F204" i="17"/>
  <c r="E204" i="17"/>
  <c r="D204" i="17"/>
  <c r="B204" i="17"/>
  <c r="V203" i="17"/>
  <c r="U203" i="17"/>
  <c r="D203" i="17" s="1"/>
  <c r="S203" i="17"/>
  <c r="R203" i="17"/>
  <c r="AF203" i="17" s="1"/>
  <c r="Q203" i="17"/>
  <c r="P203" i="17"/>
  <c r="M203" i="17"/>
  <c r="K203" i="17"/>
  <c r="Z203" i="17" s="1"/>
  <c r="J203" i="17"/>
  <c r="I203" i="17"/>
  <c r="AE203" i="17" s="1"/>
  <c r="H203" i="17"/>
  <c r="G203" i="17"/>
  <c r="F203" i="17"/>
  <c r="E203" i="17"/>
  <c r="B203" i="17" s="1"/>
  <c r="V202" i="17"/>
  <c r="U202" i="17"/>
  <c r="S202" i="17"/>
  <c r="R202" i="17"/>
  <c r="AF202" i="17" s="1"/>
  <c r="Q202" i="17"/>
  <c r="P202" i="17"/>
  <c r="M202" i="17"/>
  <c r="K202" i="17"/>
  <c r="Z202" i="17" s="1"/>
  <c r="J202" i="17"/>
  <c r="I202" i="17"/>
  <c r="AE202" i="17" s="1"/>
  <c r="H202" i="17"/>
  <c r="G202" i="17"/>
  <c r="O202" i="17" s="1"/>
  <c r="F202" i="17"/>
  <c r="E202" i="17"/>
  <c r="D202" i="17"/>
  <c r="B202" i="17"/>
  <c r="V201" i="17"/>
  <c r="U201" i="17"/>
  <c r="D201" i="17" s="1"/>
  <c r="S201" i="17"/>
  <c r="R201" i="17"/>
  <c r="AF201" i="17" s="1"/>
  <c r="Q201" i="17"/>
  <c r="P201" i="17"/>
  <c r="M201" i="17"/>
  <c r="K201" i="17"/>
  <c r="Z201" i="17" s="1"/>
  <c r="J201" i="17"/>
  <c r="I201" i="17"/>
  <c r="AE201" i="17" s="1"/>
  <c r="H201" i="17"/>
  <c r="G201" i="17"/>
  <c r="X201" i="17" s="1"/>
  <c r="AG201" i="17" s="1"/>
  <c r="F201" i="17"/>
  <c r="E201" i="17"/>
  <c r="B201" i="17" s="1"/>
  <c r="V200" i="17"/>
  <c r="U200" i="17"/>
  <c r="S200" i="17"/>
  <c r="R200" i="17"/>
  <c r="AF200" i="17" s="1"/>
  <c r="Q200" i="17"/>
  <c r="P200" i="17"/>
  <c r="M200" i="17"/>
  <c r="K200" i="17"/>
  <c r="Z200" i="17" s="1"/>
  <c r="J200" i="17"/>
  <c r="I200" i="17"/>
  <c r="AE200" i="17" s="1"/>
  <c r="H200" i="17"/>
  <c r="G200" i="17"/>
  <c r="O200" i="17" s="1"/>
  <c r="F200" i="17"/>
  <c r="E200" i="17"/>
  <c r="D200" i="17"/>
  <c r="B200" i="17"/>
  <c r="V199" i="17"/>
  <c r="U199" i="17"/>
  <c r="S199" i="17"/>
  <c r="R199" i="17"/>
  <c r="AF199" i="17" s="1"/>
  <c r="Q199" i="17"/>
  <c r="P199" i="17"/>
  <c r="O199" i="17"/>
  <c r="M199" i="17"/>
  <c r="K199" i="17"/>
  <c r="Z199" i="17" s="1"/>
  <c r="J199" i="17"/>
  <c r="L199" i="17" s="1"/>
  <c r="I199" i="17"/>
  <c r="AE199" i="17" s="1"/>
  <c r="H199" i="17"/>
  <c r="G199" i="17"/>
  <c r="X199" i="17" s="1"/>
  <c r="F199" i="17"/>
  <c r="E199" i="17"/>
  <c r="B199" i="17" s="1"/>
  <c r="D199" i="17"/>
  <c r="V198" i="17"/>
  <c r="U198" i="17"/>
  <c r="S198" i="17"/>
  <c r="R198" i="17"/>
  <c r="AF198" i="17" s="1"/>
  <c r="Q198" i="17"/>
  <c r="P198" i="17"/>
  <c r="M198" i="17"/>
  <c r="K198" i="17"/>
  <c r="Z198" i="17" s="1"/>
  <c r="J198" i="17"/>
  <c r="L198" i="17" s="1"/>
  <c r="I198" i="17"/>
  <c r="AE198" i="17" s="1"/>
  <c r="H198" i="17"/>
  <c r="G198" i="17"/>
  <c r="O198" i="17" s="1"/>
  <c r="F198" i="17"/>
  <c r="E198" i="17"/>
  <c r="D198" i="17"/>
  <c r="B198" i="17"/>
  <c r="V197" i="17"/>
  <c r="U197" i="17"/>
  <c r="D197" i="17" s="1"/>
  <c r="S197" i="17"/>
  <c r="R197" i="17"/>
  <c r="AF197" i="17" s="1"/>
  <c r="Q197" i="17"/>
  <c r="P197" i="17"/>
  <c r="M197" i="17"/>
  <c r="K197" i="17"/>
  <c r="Z197" i="17" s="1"/>
  <c r="J197" i="17"/>
  <c r="I197" i="17"/>
  <c r="AE197" i="17" s="1"/>
  <c r="H197" i="17"/>
  <c r="G197" i="17"/>
  <c r="X197" i="17" s="1"/>
  <c r="F197" i="17"/>
  <c r="E197" i="17"/>
  <c r="B197" i="17" s="1"/>
  <c r="V196" i="17"/>
  <c r="U196" i="17"/>
  <c r="S196" i="17"/>
  <c r="R196" i="17"/>
  <c r="AF196" i="17" s="1"/>
  <c r="Q196" i="17"/>
  <c r="P196" i="17"/>
  <c r="M196" i="17"/>
  <c r="K196" i="17"/>
  <c r="Z196" i="17" s="1"/>
  <c r="J196" i="17"/>
  <c r="I196" i="17"/>
  <c r="AE196" i="17" s="1"/>
  <c r="H196" i="17"/>
  <c r="G196" i="17"/>
  <c r="O196" i="17" s="1"/>
  <c r="F196" i="17"/>
  <c r="E196" i="17"/>
  <c r="D196" i="17"/>
  <c r="B196" i="17"/>
  <c r="V195" i="17"/>
  <c r="U195" i="17"/>
  <c r="S195" i="17"/>
  <c r="R195" i="17"/>
  <c r="AF195" i="17" s="1"/>
  <c r="Q195" i="17"/>
  <c r="P195" i="17"/>
  <c r="M195" i="17"/>
  <c r="K195" i="17"/>
  <c r="Z195" i="17" s="1"/>
  <c r="J195" i="17"/>
  <c r="I195" i="17"/>
  <c r="AE195" i="17" s="1"/>
  <c r="H195" i="17"/>
  <c r="G195" i="17"/>
  <c r="X195" i="17" s="1"/>
  <c r="F195" i="17"/>
  <c r="E195" i="17"/>
  <c r="B195" i="17" s="1"/>
  <c r="D195" i="17"/>
  <c r="V194" i="17"/>
  <c r="U194" i="17"/>
  <c r="S194" i="17"/>
  <c r="R194" i="17"/>
  <c r="AF194" i="17" s="1"/>
  <c r="Q194" i="17"/>
  <c r="P194" i="17"/>
  <c r="M194" i="17"/>
  <c r="K194" i="17"/>
  <c r="Z194" i="17" s="1"/>
  <c r="J194" i="17"/>
  <c r="I194" i="17"/>
  <c r="AE194" i="17" s="1"/>
  <c r="H194" i="17"/>
  <c r="G194" i="17"/>
  <c r="O194" i="17" s="1"/>
  <c r="F194" i="17"/>
  <c r="E194" i="17"/>
  <c r="B194" i="17" s="1"/>
  <c r="D194" i="17"/>
  <c r="V193" i="17"/>
  <c r="U193" i="17"/>
  <c r="D193" i="17" s="1"/>
  <c r="S193" i="17"/>
  <c r="R193" i="17"/>
  <c r="AF193" i="17" s="1"/>
  <c r="Q193" i="17"/>
  <c r="P193" i="17"/>
  <c r="M193" i="17"/>
  <c r="K193" i="17"/>
  <c r="Z193" i="17" s="1"/>
  <c r="J193" i="17"/>
  <c r="I193" i="17"/>
  <c r="AE193" i="17" s="1"/>
  <c r="H193" i="17"/>
  <c r="G193" i="17"/>
  <c r="X193" i="17" s="1"/>
  <c r="F193" i="17"/>
  <c r="E193" i="17"/>
  <c r="B193" i="17" s="1"/>
  <c r="AE192" i="17"/>
  <c r="V192" i="17"/>
  <c r="U192" i="17"/>
  <c r="S192" i="17"/>
  <c r="R192" i="17"/>
  <c r="AF192" i="17" s="1"/>
  <c r="Q192" i="17"/>
  <c r="P192" i="17"/>
  <c r="M192" i="17"/>
  <c r="N192" i="17" s="1"/>
  <c r="AB192" i="17" s="1"/>
  <c r="K192" i="17"/>
  <c r="Z192" i="17" s="1"/>
  <c r="J192" i="17"/>
  <c r="I192" i="17"/>
  <c r="H192" i="17"/>
  <c r="G192" i="17"/>
  <c r="O192" i="17" s="1"/>
  <c r="F192" i="17"/>
  <c r="E192" i="17"/>
  <c r="B192" i="17" s="1"/>
  <c r="D192" i="17"/>
  <c r="AC191" i="17"/>
  <c r="V191" i="17"/>
  <c r="U191" i="17"/>
  <c r="S191" i="17"/>
  <c r="R191" i="17"/>
  <c r="AF191" i="17" s="1"/>
  <c r="Q191" i="17"/>
  <c r="P191" i="17"/>
  <c r="M191" i="17"/>
  <c r="N191" i="17" s="1"/>
  <c r="AB191" i="17" s="1"/>
  <c r="K191" i="17"/>
  <c r="Z191" i="17" s="1"/>
  <c r="J191" i="17"/>
  <c r="I191" i="17"/>
  <c r="AE191" i="17" s="1"/>
  <c r="H191" i="17"/>
  <c r="G191" i="17"/>
  <c r="O191" i="17" s="1"/>
  <c r="F191" i="17"/>
  <c r="E191" i="17"/>
  <c r="B191" i="17" s="1"/>
  <c r="D191" i="17"/>
  <c r="V190" i="17"/>
  <c r="U190" i="17"/>
  <c r="S190" i="17"/>
  <c r="R190" i="17"/>
  <c r="AF190" i="17" s="1"/>
  <c r="Q190" i="17"/>
  <c r="P190" i="17"/>
  <c r="M190" i="17"/>
  <c r="K190" i="17"/>
  <c r="Z190" i="17" s="1"/>
  <c r="J190" i="17"/>
  <c r="I190" i="17"/>
  <c r="AE190" i="17" s="1"/>
  <c r="H190" i="17"/>
  <c r="G190" i="17"/>
  <c r="F190" i="17"/>
  <c r="E190" i="17"/>
  <c r="B190" i="17" s="1"/>
  <c r="D190" i="17"/>
  <c r="V189" i="17"/>
  <c r="U189" i="17"/>
  <c r="S189" i="17"/>
  <c r="R189" i="17"/>
  <c r="AF189" i="17" s="1"/>
  <c r="Q189" i="17"/>
  <c r="P189" i="17"/>
  <c r="M189" i="17"/>
  <c r="N189" i="17" s="1"/>
  <c r="AB189" i="17" s="1"/>
  <c r="K189" i="17"/>
  <c r="Z189" i="17" s="1"/>
  <c r="J189" i="17"/>
  <c r="I189" i="17"/>
  <c r="AE189" i="17" s="1"/>
  <c r="H189" i="17"/>
  <c r="G189" i="17"/>
  <c r="O189" i="17" s="1"/>
  <c r="F189" i="17"/>
  <c r="E189" i="17"/>
  <c r="B189" i="17" s="1"/>
  <c r="D189" i="17"/>
  <c r="V188" i="17"/>
  <c r="U188" i="17"/>
  <c r="D188" i="17" s="1"/>
  <c r="S188" i="17"/>
  <c r="R188" i="17"/>
  <c r="AF188" i="17" s="1"/>
  <c r="Q188" i="17"/>
  <c r="P188" i="17"/>
  <c r="M188" i="17"/>
  <c r="K188" i="17"/>
  <c r="Z188" i="17" s="1"/>
  <c r="J188" i="17"/>
  <c r="I188" i="17"/>
  <c r="AE188" i="17" s="1"/>
  <c r="H188" i="17"/>
  <c r="G188" i="17"/>
  <c r="F188" i="17"/>
  <c r="E188" i="17"/>
  <c r="B188" i="17" s="1"/>
  <c r="V187" i="17"/>
  <c r="U187" i="17"/>
  <c r="S187" i="17"/>
  <c r="R187" i="17"/>
  <c r="AF187" i="17" s="1"/>
  <c r="Q187" i="17"/>
  <c r="P187" i="17"/>
  <c r="M187" i="17"/>
  <c r="K187" i="17"/>
  <c r="Z187" i="17" s="1"/>
  <c r="J187" i="17"/>
  <c r="I187" i="17"/>
  <c r="AE187" i="17" s="1"/>
  <c r="H187" i="17"/>
  <c r="G187" i="17"/>
  <c r="O187" i="17" s="1"/>
  <c r="F187" i="17"/>
  <c r="E187" i="17"/>
  <c r="B187" i="17" s="1"/>
  <c r="D187" i="17"/>
  <c r="V186" i="17"/>
  <c r="U186" i="17"/>
  <c r="S186" i="17"/>
  <c r="R186" i="17"/>
  <c r="AF186" i="17" s="1"/>
  <c r="Q186" i="17"/>
  <c r="P186" i="17"/>
  <c r="M186" i="17"/>
  <c r="K186" i="17"/>
  <c r="Z186" i="17" s="1"/>
  <c r="J186" i="17"/>
  <c r="I186" i="17"/>
  <c r="AE186" i="17" s="1"/>
  <c r="H186" i="17"/>
  <c r="G186" i="17"/>
  <c r="F186" i="17"/>
  <c r="E186" i="17"/>
  <c r="B186" i="17" s="1"/>
  <c r="D186" i="17"/>
  <c r="V185" i="17"/>
  <c r="U185" i="17"/>
  <c r="S185" i="17"/>
  <c r="R185" i="17"/>
  <c r="AF185" i="17" s="1"/>
  <c r="Q185" i="17"/>
  <c r="P185" i="17"/>
  <c r="M185" i="17"/>
  <c r="N185" i="17" s="1"/>
  <c r="AB185" i="17" s="1"/>
  <c r="K185" i="17"/>
  <c r="Z185" i="17" s="1"/>
  <c r="J185" i="17"/>
  <c r="I185" i="17"/>
  <c r="AE185" i="17" s="1"/>
  <c r="H185" i="17"/>
  <c r="G185" i="17"/>
  <c r="O185" i="17" s="1"/>
  <c r="F185" i="17"/>
  <c r="E185" i="17"/>
  <c r="B185" i="17" s="1"/>
  <c r="D185" i="17"/>
  <c r="V184" i="17"/>
  <c r="U184" i="17"/>
  <c r="S184" i="17"/>
  <c r="R184" i="17"/>
  <c r="AF184" i="17" s="1"/>
  <c r="Q184" i="17"/>
  <c r="P184" i="17"/>
  <c r="M184" i="17"/>
  <c r="K184" i="17"/>
  <c r="Z184" i="17" s="1"/>
  <c r="J184" i="17"/>
  <c r="I184" i="17"/>
  <c r="AE184" i="17" s="1"/>
  <c r="H184" i="17"/>
  <c r="G184" i="17"/>
  <c r="F184" i="17"/>
  <c r="E184" i="17"/>
  <c r="B184" i="17" s="1"/>
  <c r="D184" i="17"/>
  <c r="V183" i="17"/>
  <c r="U183" i="17"/>
  <c r="S183" i="17"/>
  <c r="R183" i="17"/>
  <c r="AF183" i="17" s="1"/>
  <c r="Q183" i="17"/>
  <c r="P183" i="17"/>
  <c r="M183" i="17"/>
  <c r="K183" i="17"/>
  <c r="Z183" i="17" s="1"/>
  <c r="J183" i="17"/>
  <c r="I183" i="17"/>
  <c r="AE183" i="17" s="1"/>
  <c r="H183" i="17"/>
  <c r="G183" i="17"/>
  <c r="O183" i="17" s="1"/>
  <c r="F183" i="17"/>
  <c r="E183" i="17"/>
  <c r="B183" i="17" s="1"/>
  <c r="D183" i="17"/>
  <c r="V182" i="17"/>
  <c r="U182" i="17"/>
  <c r="D182" i="17" s="1"/>
  <c r="S182" i="17"/>
  <c r="R182" i="17"/>
  <c r="AF182" i="17" s="1"/>
  <c r="Q182" i="17"/>
  <c r="P182" i="17"/>
  <c r="M182" i="17"/>
  <c r="K182" i="17"/>
  <c r="Z182" i="17" s="1"/>
  <c r="J182" i="17"/>
  <c r="I182" i="17"/>
  <c r="AE182" i="17" s="1"/>
  <c r="H182" i="17"/>
  <c r="G182" i="17"/>
  <c r="O182" i="17" s="1"/>
  <c r="F182" i="17"/>
  <c r="E182" i="17"/>
  <c r="B182" i="17" s="1"/>
  <c r="V181" i="17"/>
  <c r="U181" i="17"/>
  <c r="S181" i="17"/>
  <c r="R181" i="17"/>
  <c r="AF181" i="17" s="1"/>
  <c r="Q181" i="17"/>
  <c r="P181" i="17"/>
  <c r="M181" i="17"/>
  <c r="K181" i="17"/>
  <c r="Z181" i="17" s="1"/>
  <c r="J181" i="17"/>
  <c r="I181" i="17"/>
  <c r="AE181" i="17" s="1"/>
  <c r="H181" i="17"/>
  <c r="G181" i="17"/>
  <c r="O181" i="17" s="1"/>
  <c r="F181" i="17"/>
  <c r="E181" i="17"/>
  <c r="B181" i="17" s="1"/>
  <c r="D181" i="17"/>
  <c r="V180" i="17"/>
  <c r="U180" i="17"/>
  <c r="S180" i="17"/>
  <c r="R180" i="17"/>
  <c r="AF180" i="17" s="1"/>
  <c r="Q180" i="17"/>
  <c r="P180" i="17"/>
  <c r="M180" i="17"/>
  <c r="K180" i="17"/>
  <c r="Z180" i="17" s="1"/>
  <c r="J180" i="17"/>
  <c r="I180" i="17"/>
  <c r="AE180" i="17" s="1"/>
  <c r="H180" i="17"/>
  <c r="G180" i="17"/>
  <c r="O180" i="17" s="1"/>
  <c r="F180" i="17"/>
  <c r="E180" i="17"/>
  <c r="B180" i="17" s="1"/>
  <c r="D180" i="17"/>
  <c r="V179" i="17"/>
  <c r="U179" i="17"/>
  <c r="S179" i="17"/>
  <c r="R179" i="17"/>
  <c r="AF179" i="17" s="1"/>
  <c r="Q179" i="17"/>
  <c r="P179" i="17"/>
  <c r="M179" i="17"/>
  <c r="K179" i="17"/>
  <c r="Z179" i="17" s="1"/>
  <c r="J179" i="17"/>
  <c r="I179" i="17"/>
  <c r="AE179" i="17" s="1"/>
  <c r="H179" i="17"/>
  <c r="G179" i="17"/>
  <c r="O179" i="17" s="1"/>
  <c r="F179" i="17"/>
  <c r="E179" i="17"/>
  <c r="B179" i="17" s="1"/>
  <c r="D179" i="17"/>
  <c r="V178" i="17"/>
  <c r="U178" i="17"/>
  <c r="S178" i="17"/>
  <c r="R178" i="17"/>
  <c r="AF178" i="17" s="1"/>
  <c r="Q178" i="17"/>
  <c r="P178" i="17"/>
  <c r="M178" i="17"/>
  <c r="K178" i="17"/>
  <c r="Z178" i="17" s="1"/>
  <c r="J178" i="17"/>
  <c r="I178" i="17"/>
  <c r="AE178" i="17" s="1"/>
  <c r="H178" i="17"/>
  <c r="G178" i="17"/>
  <c r="F178" i="17"/>
  <c r="E178" i="17"/>
  <c r="B178" i="17" s="1"/>
  <c r="D178" i="17"/>
  <c r="AC177" i="17"/>
  <c r="V177" i="17"/>
  <c r="U177" i="17"/>
  <c r="S177" i="17"/>
  <c r="R177" i="17"/>
  <c r="AF177" i="17" s="1"/>
  <c r="Q177" i="17"/>
  <c r="P177" i="17"/>
  <c r="M177" i="17"/>
  <c r="K177" i="17"/>
  <c r="Z177" i="17" s="1"/>
  <c r="J177" i="17"/>
  <c r="I177" i="17"/>
  <c r="AE177" i="17" s="1"/>
  <c r="H177" i="17"/>
  <c r="G177" i="17"/>
  <c r="O177" i="17" s="1"/>
  <c r="F177" i="17"/>
  <c r="E177" i="17"/>
  <c r="B177" i="17" s="1"/>
  <c r="D177" i="17"/>
  <c r="V176" i="17"/>
  <c r="U176" i="17"/>
  <c r="D176" i="17" s="1"/>
  <c r="S176" i="17"/>
  <c r="R176" i="17"/>
  <c r="AF176" i="17" s="1"/>
  <c r="Q176" i="17"/>
  <c r="P176" i="17"/>
  <c r="M176" i="17"/>
  <c r="K176" i="17"/>
  <c r="Z176" i="17" s="1"/>
  <c r="J176" i="17"/>
  <c r="L176" i="17" s="1"/>
  <c r="AC176" i="17" s="1"/>
  <c r="I176" i="17"/>
  <c r="AE176" i="17" s="1"/>
  <c r="H176" i="17"/>
  <c r="G176" i="17"/>
  <c r="O176" i="17" s="1"/>
  <c r="F176" i="17"/>
  <c r="E176" i="17"/>
  <c r="B176" i="17" s="1"/>
  <c r="V175" i="17"/>
  <c r="U175" i="17"/>
  <c r="S175" i="17"/>
  <c r="R175" i="17"/>
  <c r="AF175" i="17" s="1"/>
  <c r="Q175" i="17"/>
  <c r="P175" i="17"/>
  <c r="M175" i="17"/>
  <c r="K175" i="17"/>
  <c r="Z175" i="17" s="1"/>
  <c r="J175" i="17"/>
  <c r="I175" i="17"/>
  <c r="AE175" i="17" s="1"/>
  <c r="H175" i="17"/>
  <c r="G175" i="17"/>
  <c r="F175" i="17"/>
  <c r="E175" i="17"/>
  <c r="B175" i="17" s="1"/>
  <c r="D175" i="17"/>
  <c r="V174" i="17"/>
  <c r="U174" i="17"/>
  <c r="D174" i="17" s="1"/>
  <c r="S174" i="17"/>
  <c r="R174" i="17"/>
  <c r="AF174" i="17" s="1"/>
  <c r="Q174" i="17"/>
  <c r="P174" i="17"/>
  <c r="M174" i="17"/>
  <c r="K174" i="17"/>
  <c r="Z174" i="17" s="1"/>
  <c r="J174" i="17"/>
  <c r="I174" i="17"/>
  <c r="AE174" i="17" s="1"/>
  <c r="H174" i="17"/>
  <c r="G174" i="17"/>
  <c r="O174" i="17" s="1"/>
  <c r="F174" i="17"/>
  <c r="E174" i="17"/>
  <c r="B174" i="17" s="1"/>
  <c r="X173" i="17"/>
  <c r="AG173" i="17" s="1"/>
  <c r="V173" i="17"/>
  <c r="U173" i="17"/>
  <c r="D173" i="17" s="1"/>
  <c r="S173" i="17"/>
  <c r="R173" i="17"/>
  <c r="AF173" i="17" s="1"/>
  <c r="Q173" i="17"/>
  <c r="P173" i="17"/>
  <c r="M173" i="17"/>
  <c r="K173" i="17"/>
  <c r="Z173" i="17" s="1"/>
  <c r="J173" i="17"/>
  <c r="I173" i="17"/>
  <c r="AE173" i="17" s="1"/>
  <c r="H173" i="17"/>
  <c r="G173" i="17"/>
  <c r="O173" i="17" s="1"/>
  <c r="F173" i="17"/>
  <c r="E173" i="17"/>
  <c r="B173" i="17"/>
  <c r="AE172" i="17"/>
  <c r="V172" i="17"/>
  <c r="U172" i="17"/>
  <c r="D172" i="17" s="1"/>
  <c r="S172" i="17"/>
  <c r="R172" i="17"/>
  <c r="AF172" i="17" s="1"/>
  <c r="Q172" i="17"/>
  <c r="P172" i="17"/>
  <c r="M172" i="17"/>
  <c r="K172" i="17"/>
  <c r="Z172" i="17" s="1"/>
  <c r="J172" i="17"/>
  <c r="I172" i="17"/>
  <c r="H172" i="17"/>
  <c r="G172" i="17"/>
  <c r="O172" i="17" s="1"/>
  <c r="F172" i="17"/>
  <c r="E172" i="17"/>
  <c r="B172" i="17" s="1"/>
  <c r="V171" i="17"/>
  <c r="U171" i="17"/>
  <c r="S171" i="17"/>
  <c r="R171" i="17"/>
  <c r="AF171" i="17" s="1"/>
  <c r="Q171" i="17"/>
  <c r="P171" i="17"/>
  <c r="N171" i="17"/>
  <c r="AB171" i="17" s="1"/>
  <c r="M171" i="17"/>
  <c r="L171" i="17"/>
  <c r="K171" i="17"/>
  <c r="Z171" i="17" s="1"/>
  <c r="J171" i="17"/>
  <c r="I171" i="17"/>
  <c r="AE171" i="17" s="1"/>
  <c r="H171" i="17"/>
  <c r="G171" i="17"/>
  <c r="O171" i="17" s="1"/>
  <c r="F171" i="17"/>
  <c r="E171" i="17"/>
  <c r="D171" i="17"/>
  <c r="B171" i="17"/>
  <c r="V170" i="17"/>
  <c r="U170" i="17"/>
  <c r="S170" i="17"/>
  <c r="R170" i="17"/>
  <c r="AF170" i="17" s="1"/>
  <c r="Q170" i="17"/>
  <c r="P170" i="17"/>
  <c r="M170" i="17"/>
  <c r="N170" i="17" s="1"/>
  <c r="AB170" i="17" s="1"/>
  <c r="K170" i="17"/>
  <c r="Z170" i="17" s="1"/>
  <c r="J170" i="17"/>
  <c r="I170" i="17"/>
  <c r="AE170" i="17" s="1"/>
  <c r="H170" i="17"/>
  <c r="G170" i="17"/>
  <c r="O170" i="17" s="1"/>
  <c r="F170" i="17"/>
  <c r="E170" i="17"/>
  <c r="B170" i="17" s="1"/>
  <c r="D170" i="17"/>
  <c r="V169" i="17"/>
  <c r="U169" i="17"/>
  <c r="D169" i="17" s="1"/>
  <c r="S169" i="17"/>
  <c r="R169" i="17"/>
  <c r="AF169" i="17" s="1"/>
  <c r="Q169" i="17"/>
  <c r="P169" i="17"/>
  <c r="M169" i="17"/>
  <c r="N169" i="17" s="1"/>
  <c r="AB169" i="17" s="1"/>
  <c r="K169" i="17"/>
  <c r="Z169" i="17" s="1"/>
  <c r="J169" i="17"/>
  <c r="I169" i="17"/>
  <c r="AE169" i="17" s="1"/>
  <c r="H169" i="17"/>
  <c r="G169" i="17"/>
  <c r="O169" i="17" s="1"/>
  <c r="F169" i="17"/>
  <c r="E169" i="17"/>
  <c r="B169" i="17"/>
  <c r="V168" i="17"/>
  <c r="U168" i="17"/>
  <c r="S168" i="17"/>
  <c r="R168" i="17"/>
  <c r="AF168" i="17" s="1"/>
  <c r="Q168" i="17"/>
  <c r="P168" i="17"/>
  <c r="M168" i="17"/>
  <c r="K168" i="17"/>
  <c r="Z168" i="17" s="1"/>
  <c r="J168" i="17"/>
  <c r="I168" i="17"/>
  <c r="AE168" i="17" s="1"/>
  <c r="H168" i="17"/>
  <c r="G168" i="17"/>
  <c r="F168" i="17"/>
  <c r="E168" i="17"/>
  <c r="B168" i="17" s="1"/>
  <c r="D168" i="17"/>
  <c r="V167" i="17"/>
  <c r="U167" i="17"/>
  <c r="D167" i="17" s="1"/>
  <c r="S167" i="17"/>
  <c r="R167" i="17"/>
  <c r="AF167" i="17" s="1"/>
  <c r="Q167" i="17"/>
  <c r="P167" i="17"/>
  <c r="M167" i="17"/>
  <c r="K167" i="17"/>
  <c r="Z167" i="17" s="1"/>
  <c r="J167" i="17"/>
  <c r="I167" i="17"/>
  <c r="AE167" i="17" s="1"/>
  <c r="H167" i="17"/>
  <c r="G167" i="17"/>
  <c r="O167" i="17" s="1"/>
  <c r="F167" i="17"/>
  <c r="E167" i="17"/>
  <c r="B167" i="17"/>
  <c r="AC166" i="17"/>
  <c r="V166" i="17"/>
  <c r="U166" i="17"/>
  <c r="S166" i="17"/>
  <c r="R166" i="17"/>
  <c r="AF166" i="17" s="1"/>
  <c r="Q166" i="17"/>
  <c r="P166" i="17"/>
  <c r="M166" i="17"/>
  <c r="N166" i="17" s="1"/>
  <c r="AB166" i="17" s="1"/>
  <c r="K166" i="17"/>
  <c r="Z166" i="17" s="1"/>
  <c r="J166" i="17"/>
  <c r="L166" i="17" s="1"/>
  <c r="I166" i="17"/>
  <c r="AE166" i="17" s="1"/>
  <c r="H166" i="17"/>
  <c r="G166" i="17"/>
  <c r="O166" i="17" s="1"/>
  <c r="F166" i="17"/>
  <c r="E166" i="17"/>
  <c r="B166" i="17" s="1"/>
  <c r="D166" i="17"/>
  <c r="X165" i="17"/>
  <c r="V165" i="17"/>
  <c r="U165" i="17"/>
  <c r="D165" i="17" s="1"/>
  <c r="S165" i="17"/>
  <c r="R165" i="17"/>
  <c r="AF165" i="17" s="1"/>
  <c r="Q165" i="17"/>
  <c r="P165" i="17"/>
  <c r="M165" i="17"/>
  <c r="N165" i="17" s="1"/>
  <c r="AB165" i="17" s="1"/>
  <c r="K165" i="17"/>
  <c r="Z165" i="17" s="1"/>
  <c r="J165" i="17"/>
  <c r="I165" i="17"/>
  <c r="AE165" i="17" s="1"/>
  <c r="H165" i="17"/>
  <c r="G165" i="17"/>
  <c r="O165" i="17" s="1"/>
  <c r="F165" i="17"/>
  <c r="E165" i="17"/>
  <c r="B165" i="17"/>
  <c r="AC164" i="17"/>
  <c r="V164" i="17"/>
  <c r="U164" i="17"/>
  <c r="S164" i="17"/>
  <c r="R164" i="17"/>
  <c r="AF164" i="17" s="1"/>
  <c r="Q164" i="17"/>
  <c r="P164" i="17"/>
  <c r="M164" i="17"/>
  <c r="N164" i="17" s="1"/>
  <c r="AB164" i="17" s="1"/>
  <c r="K164" i="17"/>
  <c r="Z164" i="17" s="1"/>
  <c r="J164" i="17"/>
  <c r="I164" i="17"/>
  <c r="AE164" i="17" s="1"/>
  <c r="H164" i="17"/>
  <c r="G164" i="17"/>
  <c r="O164" i="17" s="1"/>
  <c r="F164" i="17"/>
  <c r="E164" i="17"/>
  <c r="B164" i="17" s="1"/>
  <c r="D164" i="17"/>
  <c r="V163" i="17"/>
  <c r="U163" i="17"/>
  <c r="D163" i="17" s="1"/>
  <c r="S163" i="17"/>
  <c r="R163" i="17"/>
  <c r="AF163" i="17" s="1"/>
  <c r="Q163" i="17"/>
  <c r="P163" i="17"/>
  <c r="M163" i="17"/>
  <c r="K163" i="17"/>
  <c r="Z163" i="17" s="1"/>
  <c r="J163" i="17"/>
  <c r="I163" i="17"/>
  <c r="AE163" i="17" s="1"/>
  <c r="H163" i="17"/>
  <c r="G163" i="17"/>
  <c r="F163" i="17"/>
  <c r="E163" i="17"/>
  <c r="B163" i="17"/>
  <c r="V162" i="17"/>
  <c r="U162" i="17"/>
  <c r="S162" i="17"/>
  <c r="R162" i="17"/>
  <c r="AF162" i="17" s="1"/>
  <c r="Q162" i="17"/>
  <c r="P162" i="17"/>
  <c r="M162" i="17"/>
  <c r="K162" i="17"/>
  <c r="Z162" i="17" s="1"/>
  <c r="J162" i="17"/>
  <c r="L162" i="17" s="1"/>
  <c r="AD162" i="17" s="1"/>
  <c r="I162" i="17"/>
  <c r="AE162" i="17" s="1"/>
  <c r="H162" i="17"/>
  <c r="G162" i="17"/>
  <c r="O162" i="17" s="1"/>
  <c r="F162" i="17"/>
  <c r="E162" i="17"/>
  <c r="B162" i="17" s="1"/>
  <c r="D162" i="17"/>
  <c r="X161" i="17"/>
  <c r="AG161" i="17" s="1"/>
  <c r="V161" i="17"/>
  <c r="U161" i="17"/>
  <c r="S161" i="17"/>
  <c r="R161" i="17"/>
  <c r="AF161" i="17" s="1"/>
  <c r="Q161" i="17"/>
  <c r="P161" i="17"/>
  <c r="M161" i="17"/>
  <c r="K161" i="17"/>
  <c r="Z161" i="17" s="1"/>
  <c r="J161" i="17"/>
  <c r="L161" i="17" s="1"/>
  <c r="AD161" i="17" s="1"/>
  <c r="I161" i="17"/>
  <c r="AE161" i="17" s="1"/>
  <c r="H161" i="17"/>
  <c r="G161" i="17"/>
  <c r="O161" i="17" s="1"/>
  <c r="F161" i="17"/>
  <c r="E161" i="17"/>
  <c r="D161" i="17"/>
  <c r="B161" i="17"/>
  <c r="V160" i="17"/>
  <c r="U160" i="17"/>
  <c r="S160" i="17"/>
  <c r="R160" i="17"/>
  <c r="AF160" i="17" s="1"/>
  <c r="Q160" i="17"/>
  <c r="P160" i="17"/>
  <c r="M160" i="17"/>
  <c r="K160" i="17"/>
  <c r="Z160" i="17" s="1"/>
  <c r="J160" i="17"/>
  <c r="I160" i="17"/>
  <c r="AE160" i="17" s="1"/>
  <c r="H160" i="17"/>
  <c r="G160" i="17"/>
  <c r="O160" i="17" s="1"/>
  <c r="F160" i="17"/>
  <c r="E160" i="17"/>
  <c r="B160" i="17" s="1"/>
  <c r="D160" i="17"/>
  <c r="AC159" i="17"/>
  <c r="V159" i="17"/>
  <c r="U159" i="17"/>
  <c r="S159" i="17"/>
  <c r="R159" i="17"/>
  <c r="AF159" i="17" s="1"/>
  <c r="Q159" i="17"/>
  <c r="P159" i="17"/>
  <c r="M159" i="17"/>
  <c r="K159" i="17"/>
  <c r="Z159" i="17" s="1"/>
  <c r="J159" i="17"/>
  <c r="I159" i="17"/>
  <c r="AE159" i="17" s="1"/>
  <c r="H159" i="17"/>
  <c r="G159" i="17"/>
  <c r="O159" i="17" s="1"/>
  <c r="F159" i="17"/>
  <c r="E159" i="17"/>
  <c r="D159" i="17"/>
  <c r="B159" i="17"/>
  <c r="AF158" i="17"/>
  <c r="V158" i="17"/>
  <c r="U158" i="17"/>
  <c r="S158" i="17"/>
  <c r="R158" i="17"/>
  <c r="Q158" i="17"/>
  <c r="P158" i="17"/>
  <c r="M158" i="17"/>
  <c r="N158" i="17" s="1"/>
  <c r="AB158" i="17" s="1"/>
  <c r="K158" i="17"/>
  <c r="Z158" i="17" s="1"/>
  <c r="J158" i="17"/>
  <c r="I158" i="17"/>
  <c r="AE158" i="17" s="1"/>
  <c r="H158" i="17"/>
  <c r="G158" i="17"/>
  <c r="O158" i="17" s="1"/>
  <c r="F158" i="17"/>
  <c r="E158" i="17"/>
  <c r="B158" i="17" s="1"/>
  <c r="D158" i="17"/>
  <c r="V157" i="17"/>
  <c r="U157" i="17"/>
  <c r="S157" i="17"/>
  <c r="R157" i="17"/>
  <c r="AF157" i="17" s="1"/>
  <c r="Q157" i="17"/>
  <c r="P157" i="17"/>
  <c r="M157" i="17"/>
  <c r="N157" i="17" s="1"/>
  <c r="AB157" i="17" s="1"/>
  <c r="K157" i="17"/>
  <c r="Z157" i="17" s="1"/>
  <c r="J157" i="17"/>
  <c r="I157" i="17"/>
  <c r="AE157" i="17" s="1"/>
  <c r="H157" i="17"/>
  <c r="G157" i="17"/>
  <c r="O157" i="17" s="1"/>
  <c r="F157" i="17"/>
  <c r="E157" i="17"/>
  <c r="D157" i="17"/>
  <c r="B157" i="17"/>
  <c r="V156" i="17"/>
  <c r="U156" i="17"/>
  <c r="S156" i="17"/>
  <c r="R156" i="17"/>
  <c r="AF156" i="17" s="1"/>
  <c r="Q156" i="17"/>
  <c r="P156" i="17"/>
  <c r="M156" i="17"/>
  <c r="N156" i="17" s="1"/>
  <c r="AB156" i="17" s="1"/>
  <c r="K156" i="17"/>
  <c r="Z156" i="17" s="1"/>
  <c r="J156" i="17"/>
  <c r="I156" i="17"/>
  <c r="AE156" i="17" s="1"/>
  <c r="H156" i="17"/>
  <c r="G156" i="17"/>
  <c r="O156" i="17" s="1"/>
  <c r="F156" i="17"/>
  <c r="E156" i="17"/>
  <c r="B156" i="17" s="1"/>
  <c r="D156" i="17"/>
  <c r="AC155" i="17"/>
  <c r="V155" i="17"/>
  <c r="U155" i="17"/>
  <c r="S155" i="17"/>
  <c r="R155" i="17"/>
  <c r="Q155" i="17"/>
  <c r="P155" i="17"/>
  <c r="M155" i="17"/>
  <c r="K155" i="17"/>
  <c r="Z155" i="17" s="1"/>
  <c r="J155" i="17"/>
  <c r="I155" i="17"/>
  <c r="H155" i="17"/>
  <c r="G155" i="17"/>
  <c r="O155" i="17" s="1"/>
  <c r="F155" i="17"/>
  <c r="E155" i="17"/>
  <c r="B155" i="17" s="1"/>
  <c r="D155" i="17"/>
  <c r="V154" i="17"/>
  <c r="U154" i="17"/>
  <c r="S154" i="17"/>
  <c r="R154" i="17"/>
  <c r="AF154" i="17" s="1"/>
  <c r="Q154" i="17"/>
  <c r="P154" i="17"/>
  <c r="M154" i="17"/>
  <c r="K154" i="17"/>
  <c r="Z154" i="17" s="1"/>
  <c r="J154" i="17"/>
  <c r="I154" i="17"/>
  <c r="AE154" i="17" s="1"/>
  <c r="H154" i="17"/>
  <c r="G154" i="17"/>
  <c r="O154" i="17" s="1"/>
  <c r="F154" i="17"/>
  <c r="E154" i="17"/>
  <c r="B154" i="17" s="1"/>
  <c r="D154" i="17"/>
  <c r="V153" i="17"/>
  <c r="U153" i="17"/>
  <c r="S153" i="17"/>
  <c r="R153" i="17"/>
  <c r="AF153" i="17" s="1"/>
  <c r="Q153" i="17"/>
  <c r="P153" i="17"/>
  <c r="M153" i="17"/>
  <c r="K153" i="17"/>
  <c r="Z153" i="17" s="1"/>
  <c r="J153" i="17"/>
  <c r="I153" i="17"/>
  <c r="AE153" i="17" s="1"/>
  <c r="H153" i="17"/>
  <c r="G153" i="17"/>
  <c r="O153" i="17" s="1"/>
  <c r="F153" i="17"/>
  <c r="E153" i="17"/>
  <c r="B153" i="17" s="1"/>
  <c r="D153" i="17"/>
  <c r="V152" i="17"/>
  <c r="U152" i="17"/>
  <c r="S152" i="17"/>
  <c r="R152" i="17"/>
  <c r="AF152" i="17" s="1"/>
  <c r="Q152" i="17"/>
  <c r="P152" i="17"/>
  <c r="M152" i="17"/>
  <c r="K152" i="17"/>
  <c r="Z152" i="17" s="1"/>
  <c r="J152" i="17"/>
  <c r="I152" i="17"/>
  <c r="AE152" i="17" s="1"/>
  <c r="H152" i="17"/>
  <c r="G152" i="17"/>
  <c r="O152" i="17" s="1"/>
  <c r="F152" i="17"/>
  <c r="E152" i="17"/>
  <c r="B152" i="17" s="1"/>
  <c r="D152" i="17"/>
  <c r="V151" i="17"/>
  <c r="U151" i="17"/>
  <c r="S151" i="17"/>
  <c r="R151" i="17"/>
  <c r="AF151" i="17" s="1"/>
  <c r="Q151" i="17"/>
  <c r="P151" i="17"/>
  <c r="M151" i="17"/>
  <c r="K151" i="17"/>
  <c r="Z151" i="17" s="1"/>
  <c r="J151" i="17"/>
  <c r="I151" i="17"/>
  <c r="AE151" i="17" s="1"/>
  <c r="H151" i="17"/>
  <c r="G151" i="17"/>
  <c r="F151" i="17"/>
  <c r="E151" i="17"/>
  <c r="B151" i="17" s="1"/>
  <c r="D151" i="17"/>
  <c r="V150" i="17"/>
  <c r="U150" i="17"/>
  <c r="S150" i="17"/>
  <c r="R150" i="17"/>
  <c r="AF150" i="17" s="1"/>
  <c r="Q150" i="17"/>
  <c r="P150" i="17"/>
  <c r="M150" i="17"/>
  <c r="K150" i="17"/>
  <c r="Z150" i="17" s="1"/>
  <c r="J150" i="17"/>
  <c r="I150" i="17"/>
  <c r="AE150" i="17" s="1"/>
  <c r="H150" i="17"/>
  <c r="G150" i="17"/>
  <c r="O150" i="17" s="1"/>
  <c r="F150" i="17"/>
  <c r="E150" i="17"/>
  <c r="B150" i="17" s="1"/>
  <c r="D150" i="17"/>
  <c r="AC149" i="17"/>
  <c r="V149" i="17"/>
  <c r="U149" i="17"/>
  <c r="S149" i="17"/>
  <c r="R149" i="17"/>
  <c r="Q149" i="17"/>
  <c r="P149" i="17"/>
  <c r="M149" i="17"/>
  <c r="K149" i="17"/>
  <c r="Z149" i="17" s="1"/>
  <c r="J149" i="17"/>
  <c r="I149" i="17"/>
  <c r="H149" i="17"/>
  <c r="G149" i="17"/>
  <c r="O149" i="17" s="1"/>
  <c r="F149" i="17"/>
  <c r="E149" i="17"/>
  <c r="D149" i="17"/>
  <c r="B149" i="17"/>
  <c r="V148" i="17"/>
  <c r="U148" i="17"/>
  <c r="S148" i="17"/>
  <c r="R148" i="17"/>
  <c r="AF148" i="17" s="1"/>
  <c r="Q148" i="17"/>
  <c r="P148" i="17"/>
  <c r="M148" i="17"/>
  <c r="K148" i="17"/>
  <c r="Z148" i="17" s="1"/>
  <c r="J148" i="17"/>
  <c r="I148" i="17"/>
  <c r="AE148" i="17" s="1"/>
  <c r="H148" i="17"/>
  <c r="G148" i="17"/>
  <c r="O148" i="17" s="1"/>
  <c r="F148" i="17"/>
  <c r="E148" i="17"/>
  <c r="B148" i="17" s="1"/>
  <c r="D148" i="17"/>
  <c r="AC147" i="17"/>
  <c r="V147" i="17"/>
  <c r="U147" i="17"/>
  <c r="S147" i="17"/>
  <c r="R147" i="17"/>
  <c r="AF147" i="17" s="1"/>
  <c r="Q147" i="17"/>
  <c r="P147" i="17"/>
  <c r="M147" i="17"/>
  <c r="K147" i="17"/>
  <c r="Z147" i="17" s="1"/>
  <c r="J147" i="17"/>
  <c r="I147" i="17"/>
  <c r="AE147" i="17" s="1"/>
  <c r="H147" i="17"/>
  <c r="G147" i="17"/>
  <c r="F147" i="17"/>
  <c r="E147" i="17"/>
  <c r="D147" i="17"/>
  <c r="B147" i="17"/>
  <c r="V146" i="17"/>
  <c r="U146" i="17"/>
  <c r="S146" i="17"/>
  <c r="R146" i="17"/>
  <c r="AF146" i="17" s="1"/>
  <c r="Q146" i="17"/>
  <c r="P146" i="17"/>
  <c r="M146" i="17"/>
  <c r="K146" i="17"/>
  <c r="Z146" i="17" s="1"/>
  <c r="J146" i="17"/>
  <c r="I146" i="17"/>
  <c r="AE146" i="17" s="1"/>
  <c r="H146" i="17"/>
  <c r="G146" i="17"/>
  <c r="O146" i="17" s="1"/>
  <c r="F146" i="17"/>
  <c r="E146" i="17"/>
  <c r="B146" i="17" s="1"/>
  <c r="D146" i="17"/>
  <c r="V145" i="17"/>
  <c r="U145" i="17"/>
  <c r="S145" i="17"/>
  <c r="R145" i="17"/>
  <c r="AF145" i="17" s="1"/>
  <c r="Q145" i="17"/>
  <c r="P145" i="17"/>
  <c r="M145" i="17"/>
  <c r="K145" i="17"/>
  <c r="Z145" i="17" s="1"/>
  <c r="J145" i="17"/>
  <c r="I145" i="17"/>
  <c r="AE145" i="17" s="1"/>
  <c r="H145" i="17"/>
  <c r="G145" i="17"/>
  <c r="O145" i="17" s="1"/>
  <c r="F145" i="17"/>
  <c r="E145" i="17"/>
  <c r="D145" i="17"/>
  <c r="B145" i="17"/>
  <c r="V144" i="17"/>
  <c r="U144" i="17"/>
  <c r="S144" i="17"/>
  <c r="R144" i="17"/>
  <c r="AF144" i="17" s="1"/>
  <c r="Q144" i="17"/>
  <c r="P144" i="17"/>
  <c r="M144" i="17"/>
  <c r="K144" i="17"/>
  <c r="Z144" i="17" s="1"/>
  <c r="J144" i="17"/>
  <c r="I144" i="17"/>
  <c r="AE144" i="17" s="1"/>
  <c r="H144" i="17"/>
  <c r="G144" i="17"/>
  <c r="O144" i="17" s="1"/>
  <c r="F144" i="17"/>
  <c r="E144" i="17"/>
  <c r="B144" i="17" s="1"/>
  <c r="D144" i="17"/>
  <c r="AC143" i="17"/>
  <c r="V143" i="17"/>
  <c r="U143" i="17"/>
  <c r="S143" i="17"/>
  <c r="R143" i="17"/>
  <c r="AF143" i="17" s="1"/>
  <c r="Q143" i="17"/>
  <c r="P143" i="17"/>
  <c r="M143" i="17"/>
  <c r="K143" i="17"/>
  <c r="Z143" i="17" s="1"/>
  <c r="J143" i="17"/>
  <c r="I143" i="17"/>
  <c r="AE143" i="17" s="1"/>
  <c r="H143" i="17"/>
  <c r="G143" i="17"/>
  <c r="F143" i="17"/>
  <c r="E143" i="17"/>
  <c r="B143" i="17" s="1"/>
  <c r="D143" i="17"/>
  <c r="V142" i="17"/>
  <c r="U142" i="17"/>
  <c r="S142" i="17"/>
  <c r="R142" i="17"/>
  <c r="AF142" i="17" s="1"/>
  <c r="Q142" i="17"/>
  <c r="P142" i="17"/>
  <c r="M142" i="17"/>
  <c r="K142" i="17"/>
  <c r="Z142" i="17" s="1"/>
  <c r="J142" i="17"/>
  <c r="I142" i="17"/>
  <c r="AE142" i="17" s="1"/>
  <c r="H142" i="17"/>
  <c r="G142" i="17"/>
  <c r="L142" i="17" s="1"/>
  <c r="F142" i="17"/>
  <c r="E142" i="17"/>
  <c r="B142" i="17" s="1"/>
  <c r="D142" i="17"/>
  <c r="V141" i="17"/>
  <c r="U141" i="17"/>
  <c r="S141" i="17"/>
  <c r="R141" i="17"/>
  <c r="AF141" i="17" s="1"/>
  <c r="Q141" i="17"/>
  <c r="P141" i="17"/>
  <c r="M141" i="17"/>
  <c r="K141" i="17"/>
  <c r="Z141" i="17" s="1"/>
  <c r="J141" i="17"/>
  <c r="I141" i="17"/>
  <c r="AE141" i="17" s="1"/>
  <c r="H141" i="17"/>
  <c r="G141" i="17"/>
  <c r="F141" i="17"/>
  <c r="E141" i="17"/>
  <c r="D141" i="17"/>
  <c r="B141" i="17"/>
  <c r="V140" i="17"/>
  <c r="U140" i="17"/>
  <c r="S140" i="17"/>
  <c r="R140" i="17"/>
  <c r="AF140" i="17" s="1"/>
  <c r="Q140" i="17"/>
  <c r="P140" i="17"/>
  <c r="M140" i="17"/>
  <c r="K140" i="17"/>
  <c r="Z140" i="17" s="1"/>
  <c r="J140" i="17"/>
  <c r="I140" i="17"/>
  <c r="AE140" i="17" s="1"/>
  <c r="H140" i="17"/>
  <c r="G140" i="17"/>
  <c r="F140" i="17"/>
  <c r="E140" i="17"/>
  <c r="B140" i="17" s="1"/>
  <c r="D140" i="17"/>
  <c r="V139" i="17"/>
  <c r="U139" i="17"/>
  <c r="S139" i="17"/>
  <c r="R139" i="17"/>
  <c r="AF139" i="17" s="1"/>
  <c r="Q139" i="17"/>
  <c r="P139" i="17"/>
  <c r="M139" i="17"/>
  <c r="K139" i="17"/>
  <c r="Z139" i="17" s="1"/>
  <c r="J139" i="17"/>
  <c r="I139" i="17"/>
  <c r="AE139" i="17" s="1"/>
  <c r="H139" i="17"/>
  <c r="G139" i="17"/>
  <c r="F139" i="17"/>
  <c r="E139" i="17"/>
  <c r="D139" i="17"/>
  <c r="B139" i="17"/>
  <c r="V138" i="17"/>
  <c r="U138" i="17"/>
  <c r="S138" i="17"/>
  <c r="R138" i="17"/>
  <c r="AF138" i="17" s="1"/>
  <c r="Q138" i="17"/>
  <c r="P138" i="17"/>
  <c r="M138" i="17"/>
  <c r="K138" i="17"/>
  <c r="Z138" i="17" s="1"/>
  <c r="J138" i="17"/>
  <c r="I138" i="17"/>
  <c r="AE138" i="17" s="1"/>
  <c r="H138" i="17"/>
  <c r="G138" i="17"/>
  <c r="F138" i="17"/>
  <c r="E138" i="17"/>
  <c r="B138" i="17" s="1"/>
  <c r="D138" i="17"/>
  <c r="AC137" i="17"/>
  <c r="X137" i="17"/>
  <c r="V137" i="17"/>
  <c r="U137" i="17"/>
  <c r="S137" i="17"/>
  <c r="R137" i="17"/>
  <c r="Q137" i="17"/>
  <c r="P137" i="17"/>
  <c r="M137" i="17"/>
  <c r="K137" i="17"/>
  <c r="Z137" i="17" s="1"/>
  <c r="J137" i="17"/>
  <c r="I137" i="17"/>
  <c r="H137" i="17"/>
  <c r="G137" i="17"/>
  <c r="O137" i="17" s="1"/>
  <c r="F137" i="17"/>
  <c r="E137" i="17"/>
  <c r="B137" i="17" s="1"/>
  <c r="D137" i="17"/>
  <c r="AC136" i="17"/>
  <c r="V136" i="17"/>
  <c r="U136" i="17"/>
  <c r="S136" i="17"/>
  <c r="R136" i="17"/>
  <c r="Q136" i="17"/>
  <c r="P136" i="17"/>
  <c r="M136" i="17"/>
  <c r="K136" i="17"/>
  <c r="Z136" i="17" s="1"/>
  <c r="J136" i="17"/>
  <c r="I136" i="17"/>
  <c r="H136" i="17"/>
  <c r="G136" i="17"/>
  <c r="F136" i="17"/>
  <c r="E136" i="17"/>
  <c r="D136" i="17"/>
  <c r="B136" i="17"/>
  <c r="V135" i="17"/>
  <c r="U135" i="17"/>
  <c r="D135" i="17" s="1"/>
  <c r="S135" i="17"/>
  <c r="R135" i="17"/>
  <c r="AF135" i="17" s="1"/>
  <c r="Q135" i="17"/>
  <c r="P135" i="17"/>
  <c r="M135" i="17"/>
  <c r="K135" i="17"/>
  <c r="Z135" i="17" s="1"/>
  <c r="J135" i="17"/>
  <c r="I135" i="17"/>
  <c r="AE135" i="17" s="1"/>
  <c r="H135" i="17"/>
  <c r="G135" i="17"/>
  <c r="X135" i="17" s="1"/>
  <c r="F135" i="17"/>
  <c r="E135" i="17"/>
  <c r="B135" i="17"/>
  <c r="AC134" i="17"/>
  <c r="V134" i="17"/>
  <c r="U134" i="17"/>
  <c r="S134" i="17"/>
  <c r="R134" i="17"/>
  <c r="AF134" i="17" s="1"/>
  <c r="Q134" i="17"/>
  <c r="P134" i="17"/>
  <c r="M134" i="17"/>
  <c r="K134" i="17"/>
  <c r="Z134" i="17" s="1"/>
  <c r="J134" i="17"/>
  <c r="I134" i="17"/>
  <c r="AE134" i="17" s="1"/>
  <c r="H134" i="17"/>
  <c r="G134" i="17"/>
  <c r="O134" i="17" s="1"/>
  <c r="F134" i="17"/>
  <c r="E134" i="17"/>
  <c r="D134" i="17"/>
  <c r="B134" i="17"/>
  <c r="V133" i="17"/>
  <c r="U133" i="17"/>
  <c r="D133" i="17" s="1"/>
  <c r="S133" i="17"/>
  <c r="R133" i="17"/>
  <c r="AF133" i="17" s="1"/>
  <c r="Q133" i="17"/>
  <c r="P133" i="17"/>
  <c r="M133" i="17"/>
  <c r="N133" i="17" s="1"/>
  <c r="AB133" i="17" s="1"/>
  <c r="K133" i="17"/>
  <c r="Z133" i="17" s="1"/>
  <c r="J133" i="17"/>
  <c r="I133" i="17"/>
  <c r="AE133" i="17" s="1"/>
  <c r="H133" i="17"/>
  <c r="G133" i="17"/>
  <c r="X133" i="17" s="1"/>
  <c r="AG133" i="17" s="1"/>
  <c r="F133" i="17"/>
  <c r="E133" i="17"/>
  <c r="B133" i="17"/>
  <c r="V132" i="17"/>
  <c r="U132" i="17"/>
  <c r="S132" i="17"/>
  <c r="R132" i="17"/>
  <c r="AF132" i="17" s="1"/>
  <c r="Q132" i="17"/>
  <c r="P132" i="17"/>
  <c r="M132" i="17"/>
  <c r="K132" i="17"/>
  <c r="Z132" i="17" s="1"/>
  <c r="J132" i="17"/>
  <c r="I132" i="17"/>
  <c r="AE132" i="17" s="1"/>
  <c r="H132" i="17"/>
  <c r="G132" i="17"/>
  <c r="F132" i="17"/>
  <c r="E132" i="17"/>
  <c r="D132" i="17"/>
  <c r="B132" i="17"/>
  <c r="V131" i="17"/>
  <c r="U131" i="17"/>
  <c r="S131" i="17"/>
  <c r="R131" i="17"/>
  <c r="AF131" i="17" s="1"/>
  <c r="Q131" i="17"/>
  <c r="P131" i="17"/>
  <c r="M131" i="17"/>
  <c r="K131" i="17"/>
  <c r="Z131" i="17" s="1"/>
  <c r="J131" i="17"/>
  <c r="I131" i="17"/>
  <c r="AE131" i="17" s="1"/>
  <c r="H131" i="17"/>
  <c r="G131" i="17"/>
  <c r="F131" i="17"/>
  <c r="E131" i="17"/>
  <c r="B131" i="17" s="1"/>
  <c r="D131" i="17"/>
  <c r="AC130" i="17"/>
  <c r="V130" i="17"/>
  <c r="U130" i="17"/>
  <c r="S130" i="17"/>
  <c r="R130" i="17"/>
  <c r="AF130" i="17" s="1"/>
  <c r="Q130" i="17"/>
  <c r="P130" i="17"/>
  <c r="M130" i="17"/>
  <c r="K130" i="17"/>
  <c r="Z130" i="17" s="1"/>
  <c r="J130" i="17"/>
  <c r="I130" i="17"/>
  <c r="H130" i="17"/>
  <c r="G130" i="17"/>
  <c r="O130" i="17" s="1"/>
  <c r="F130" i="17"/>
  <c r="E130" i="17"/>
  <c r="B130" i="17" s="1"/>
  <c r="D130" i="17"/>
  <c r="AF129" i="17"/>
  <c r="AC129" i="17"/>
  <c r="V129" i="17"/>
  <c r="U129" i="17"/>
  <c r="S129" i="17"/>
  <c r="R129" i="17"/>
  <c r="Q129" i="17"/>
  <c r="P129" i="17"/>
  <c r="M129" i="17"/>
  <c r="K129" i="17"/>
  <c r="Z129" i="17" s="1"/>
  <c r="J129" i="17"/>
  <c r="I129" i="17"/>
  <c r="H129" i="17"/>
  <c r="G129" i="17"/>
  <c r="L129" i="17" s="1"/>
  <c r="AA129" i="17" s="1"/>
  <c r="F129" i="17"/>
  <c r="E129" i="17"/>
  <c r="D129" i="17"/>
  <c r="B129" i="17"/>
  <c r="AC128" i="17"/>
  <c r="V128" i="17"/>
  <c r="U128" i="17"/>
  <c r="S128" i="17"/>
  <c r="R128" i="17"/>
  <c r="AF128" i="17" s="1"/>
  <c r="Q128" i="17"/>
  <c r="P128" i="17"/>
  <c r="M128" i="17"/>
  <c r="K128" i="17"/>
  <c r="Z128" i="17" s="1"/>
  <c r="J128" i="17"/>
  <c r="I128" i="17"/>
  <c r="H128" i="17"/>
  <c r="G128" i="17"/>
  <c r="F128" i="17"/>
  <c r="E128" i="17"/>
  <c r="D128" i="17"/>
  <c r="B128" i="17"/>
  <c r="AC127" i="17"/>
  <c r="W127" i="17"/>
  <c r="V127" i="17"/>
  <c r="U127" i="17"/>
  <c r="S127" i="17"/>
  <c r="R127" i="17"/>
  <c r="AF127" i="17" s="1"/>
  <c r="Q127" i="17"/>
  <c r="P127" i="17"/>
  <c r="M127" i="17"/>
  <c r="K127" i="17"/>
  <c r="J127" i="17"/>
  <c r="I127" i="17"/>
  <c r="AE127" i="17" s="1"/>
  <c r="H127" i="17"/>
  <c r="G127" i="17"/>
  <c r="O127" i="17" s="1"/>
  <c r="F127" i="17"/>
  <c r="E127" i="17"/>
  <c r="B127" i="17" s="1"/>
  <c r="D127" i="17"/>
  <c r="AC126" i="17"/>
  <c r="V126" i="17"/>
  <c r="U126" i="17"/>
  <c r="S126" i="17"/>
  <c r="R126" i="17"/>
  <c r="AF126" i="17" s="1"/>
  <c r="Q126" i="17"/>
  <c r="P126" i="17"/>
  <c r="M126" i="17"/>
  <c r="K126" i="17"/>
  <c r="Z126" i="17" s="1"/>
  <c r="J126" i="17"/>
  <c r="I126" i="17"/>
  <c r="AE126" i="17" s="1"/>
  <c r="H126" i="17"/>
  <c r="G126" i="17"/>
  <c r="F126" i="17"/>
  <c r="E126" i="17"/>
  <c r="D126" i="17"/>
  <c r="B126" i="17"/>
  <c r="AC125" i="17"/>
  <c r="V125" i="17"/>
  <c r="U125" i="17"/>
  <c r="S125" i="17"/>
  <c r="R125" i="17"/>
  <c r="AF125" i="17" s="1"/>
  <c r="Q125" i="17"/>
  <c r="P125" i="17"/>
  <c r="M125" i="17"/>
  <c r="N125" i="17" s="1"/>
  <c r="AB125" i="17" s="1"/>
  <c r="K125" i="17"/>
  <c r="Z125" i="17" s="1"/>
  <c r="J125" i="17"/>
  <c r="I125" i="17"/>
  <c r="AE125" i="17" s="1"/>
  <c r="H125" i="17"/>
  <c r="G125" i="17"/>
  <c r="O125" i="17" s="1"/>
  <c r="F125" i="17"/>
  <c r="E125" i="17"/>
  <c r="D125" i="17"/>
  <c r="B125" i="17"/>
  <c r="V124" i="17"/>
  <c r="U124" i="17"/>
  <c r="S124" i="17"/>
  <c r="R124" i="17"/>
  <c r="AF124" i="17" s="1"/>
  <c r="Q124" i="17"/>
  <c r="P124" i="17"/>
  <c r="M124" i="17"/>
  <c r="K124" i="17"/>
  <c r="Z124" i="17" s="1"/>
  <c r="J124" i="17"/>
  <c r="I124" i="17"/>
  <c r="AE124" i="17" s="1"/>
  <c r="H124" i="17"/>
  <c r="G124" i="17"/>
  <c r="F124" i="17"/>
  <c r="E124" i="17"/>
  <c r="D124" i="17"/>
  <c r="B124" i="17"/>
  <c r="V123" i="17"/>
  <c r="U123" i="17"/>
  <c r="S123" i="17"/>
  <c r="R123" i="17"/>
  <c r="AF123" i="17" s="1"/>
  <c r="Q123" i="17"/>
  <c r="P123" i="17"/>
  <c r="M123" i="17"/>
  <c r="K123" i="17"/>
  <c r="Z123" i="17" s="1"/>
  <c r="J123" i="17"/>
  <c r="L123" i="17" s="1"/>
  <c r="AD123" i="17" s="1"/>
  <c r="I123" i="17"/>
  <c r="AE123" i="17" s="1"/>
  <c r="H123" i="17"/>
  <c r="G123" i="17"/>
  <c r="O123" i="17" s="1"/>
  <c r="F123" i="17"/>
  <c r="E123" i="17"/>
  <c r="B123" i="17" s="1"/>
  <c r="D123" i="17"/>
  <c r="V122" i="17"/>
  <c r="U122" i="17"/>
  <c r="S122" i="17"/>
  <c r="R122" i="17"/>
  <c r="AF122" i="17" s="1"/>
  <c r="Q122" i="17"/>
  <c r="P122" i="17"/>
  <c r="M122" i="17"/>
  <c r="K122" i="17"/>
  <c r="Z122" i="17" s="1"/>
  <c r="J122" i="17"/>
  <c r="I122" i="17"/>
  <c r="AE122" i="17" s="1"/>
  <c r="H122" i="17"/>
  <c r="G122" i="17"/>
  <c r="O122" i="17" s="1"/>
  <c r="F122" i="17"/>
  <c r="E122" i="17"/>
  <c r="D122" i="17"/>
  <c r="B122" i="17"/>
  <c r="V121" i="17"/>
  <c r="U121" i="17"/>
  <c r="S121" i="17"/>
  <c r="R121" i="17"/>
  <c r="AF121" i="17" s="1"/>
  <c r="Q121" i="17"/>
  <c r="P121" i="17"/>
  <c r="M121" i="17"/>
  <c r="N121" i="17" s="1"/>
  <c r="AB121" i="17" s="1"/>
  <c r="K121" i="17"/>
  <c r="Z121" i="17" s="1"/>
  <c r="J121" i="17"/>
  <c r="I121" i="17"/>
  <c r="AE121" i="17" s="1"/>
  <c r="H121" i="17"/>
  <c r="G121" i="17"/>
  <c r="O121" i="17" s="1"/>
  <c r="F121" i="17"/>
  <c r="E121" i="17"/>
  <c r="D121" i="17"/>
  <c r="B121" i="17"/>
  <c r="AC120" i="17"/>
  <c r="X120" i="17"/>
  <c r="V120" i="17"/>
  <c r="U120" i="17"/>
  <c r="S120" i="17"/>
  <c r="R120" i="17"/>
  <c r="Q120" i="17"/>
  <c r="P120" i="17"/>
  <c r="M120" i="17"/>
  <c r="K120" i="17"/>
  <c r="Z120" i="17" s="1"/>
  <c r="J120" i="17"/>
  <c r="L120" i="17" s="1"/>
  <c r="AA120" i="17" s="1"/>
  <c r="I120" i="17"/>
  <c r="H120" i="17"/>
  <c r="G120" i="17"/>
  <c r="O120" i="17" s="1"/>
  <c r="F120" i="17"/>
  <c r="E120" i="17"/>
  <c r="D120" i="17"/>
  <c r="B120" i="17"/>
  <c r="AF119" i="17"/>
  <c r="AC119" i="17"/>
  <c r="V119" i="17"/>
  <c r="U119" i="17"/>
  <c r="S119" i="17"/>
  <c r="R119" i="17"/>
  <c r="Q119" i="17"/>
  <c r="P119" i="17"/>
  <c r="M119" i="17"/>
  <c r="K119" i="17"/>
  <c r="Z119" i="17" s="1"/>
  <c r="J119" i="17"/>
  <c r="I119" i="17"/>
  <c r="AE119" i="17" s="1"/>
  <c r="H119" i="17"/>
  <c r="G119" i="17"/>
  <c r="F119" i="17"/>
  <c r="E119" i="17"/>
  <c r="B119" i="17" s="1"/>
  <c r="D119" i="17"/>
  <c r="AC118" i="17"/>
  <c r="V118" i="17"/>
  <c r="U118" i="17"/>
  <c r="S118" i="17"/>
  <c r="R118" i="17"/>
  <c r="AF118" i="17" s="1"/>
  <c r="Q118" i="17"/>
  <c r="P118" i="17"/>
  <c r="M118" i="17"/>
  <c r="K118" i="17"/>
  <c r="Z118" i="17" s="1"/>
  <c r="J118" i="17"/>
  <c r="I118" i="17"/>
  <c r="AE118" i="17" s="1"/>
  <c r="H118" i="17"/>
  <c r="G118" i="17"/>
  <c r="F118" i="17"/>
  <c r="E118" i="17"/>
  <c r="D118" i="17"/>
  <c r="B118" i="17"/>
  <c r="V117" i="17"/>
  <c r="U117" i="17"/>
  <c r="S117" i="17"/>
  <c r="R117" i="17"/>
  <c r="AF117" i="17" s="1"/>
  <c r="Q117" i="17"/>
  <c r="P117" i="17"/>
  <c r="M117" i="17"/>
  <c r="K117" i="17"/>
  <c r="Z117" i="17" s="1"/>
  <c r="J117" i="17"/>
  <c r="I117" i="17"/>
  <c r="AE117" i="17" s="1"/>
  <c r="H117" i="17"/>
  <c r="G117" i="17"/>
  <c r="X117" i="17" s="1"/>
  <c r="F117" i="17"/>
  <c r="E117" i="17"/>
  <c r="B117" i="17" s="1"/>
  <c r="D117" i="17"/>
  <c r="V116" i="17"/>
  <c r="U116" i="17"/>
  <c r="S116" i="17"/>
  <c r="R116" i="17"/>
  <c r="AF116" i="17" s="1"/>
  <c r="Q116" i="17"/>
  <c r="P116" i="17"/>
  <c r="M116" i="17"/>
  <c r="K116" i="17"/>
  <c r="Z116" i="17" s="1"/>
  <c r="J116" i="17"/>
  <c r="I116" i="17"/>
  <c r="AE116" i="17" s="1"/>
  <c r="H116" i="17"/>
  <c r="G116" i="17"/>
  <c r="O116" i="17" s="1"/>
  <c r="F116" i="17"/>
  <c r="E116" i="17"/>
  <c r="D116" i="17"/>
  <c r="B116" i="17"/>
  <c r="V115" i="17"/>
  <c r="U115" i="17"/>
  <c r="D115" i="17" s="1"/>
  <c r="S115" i="17"/>
  <c r="R115" i="17"/>
  <c r="AF115" i="17" s="1"/>
  <c r="Q115" i="17"/>
  <c r="P115" i="17"/>
  <c r="M115" i="17"/>
  <c r="K115" i="17"/>
  <c r="Z115" i="17" s="1"/>
  <c r="J115" i="17"/>
  <c r="I115" i="17"/>
  <c r="AE115" i="17" s="1"/>
  <c r="H115" i="17"/>
  <c r="G115" i="17"/>
  <c r="F115" i="17"/>
  <c r="E115" i="17"/>
  <c r="B115" i="17"/>
  <c r="V114" i="17"/>
  <c r="U114" i="17"/>
  <c r="S114" i="17"/>
  <c r="R114" i="17"/>
  <c r="AF114" i="17" s="1"/>
  <c r="Q114" i="17"/>
  <c r="P114" i="17"/>
  <c r="M114" i="17"/>
  <c r="K114" i="17"/>
  <c r="Z114" i="17" s="1"/>
  <c r="J114" i="17"/>
  <c r="I114" i="17"/>
  <c r="AE114" i="17" s="1"/>
  <c r="H114" i="17"/>
  <c r="G114" i="17"/>
  <c r="O114" i="17" s="1"/>
  <c r="F114" i="17"/>
  <c r="E114" i="17"/>
  <c r="D114" i="17"/>
  <c r="B114" i="17"/>
  <c r="V113" i="17"/>
  <c r="U113" i="17"/>
  <c r="S113" i="17"/>
  <c r="R113" i="17"/>
  <c r="AF113" i="17" s="1"/>
  <c r="Q113" i="17"/>
  <c r="P113" i="17"/>
  <c r="M113" i="17"/>
  <c r="K113" i="17"/>
  <c r="Z113" i="17" s="1"/>
  <c r="J113" i="17"/>
  <c r="I113" i="17"/>
  <c r="AE113" i="17" s="1"/>
  <c r="H113" i="17"/>
  <c r="G113" i="17"/>
  <c r="O113" i="17" s="1"/>
  <c r="F113" i="17"/>
  <c r="E113" i="17"/>
  <c r="D113" i="17"/>
  <c r="B113" i="17"/>
  <c r="V112" i="17"/>
  <c r="U112" i="17"/>
  <c r="S112" i="17"/>
  <c r="R112" i="17"/>
  <c r="AF112" i="17" s="1"/>
  <c r="Q112" i="17"/>
  <c r="P112" i="17"/>
  <c r="M112" i="17"/>
  <c r="K112" i="17"/>
  <c r="Z112" i="17" s="1"/>
  <c r="J112" i="17"/>
  <c r="I112" i="17"/>
  <c r="AE112" i="17" s="1"/>
  <c r="H112" i="17"/>
  <c r="G112" i="17"/>
  <c r="O112" i="17" s="1"/>
  <c r="F112" i="17"/>
  <c r="E112" i="17"/>
  <c r="D112" i="17"/>
  <c r="B112" i="17"/>
  <c r="V111" i="17"/>
  <c r="U111" i="17"/>
  <c r="S111" i="17"/>
  <c r="R111" i="17"/>
  <c r="AF111" i="17" s="1"/>
  <c r="Q111" i="17"/>
  <c r="P111" i="17"/>
  <c r="M111" i="17"/>
  <c r="K111" i="17"/>
  <c r="Z111" i="17" s="1"/>
  <c r="J111" i="17"/>
  <c r="I111" i="17"/>
  <c r="AE111" i="17" s="1"/>
  <c r="H111" i="17"/>
  <c r="G111" i="17"/>
  <c r="O111" i="17" s="1"/>
  <c r="F111" i="17"/>
  <c r="E111" i="17"/>
  <c r="D111" i="17"/>
  <c r="B111" i="17"/>
  <c r="AF110" i="17"/>
  <c r="V110" i="17"/>
  <c r="U110" i="17"/>
  <c r="S110" i="17"/>
  <c r="R110" i="17"/>
  <c r="Q110" i="17"/>
  <c r="P110" i="17"/>
  <c r="M110" i="17"/>
  <c r="K110" i="17"/>
  <c r="Z110" i="17" s="1"/>
  <c r="J110" i="17"/>
  <c r="I110" i="17"/>
  <c r="AE110" i="17" s="1"/>
  <c r="H110" i="17"/>
  <c r="G110" i="17"/>
  <c r="O110" i="17" s="1"/>
  <c r="F110" i="17"/>
  <c r="E110" i="17"/>
  <c r="D110" i="17"/>
  <c r="B110" i="17"/>
  <c r="V109" i="17"/>
  <c r="U109" i="17"/>
  <c r="S109" i="17"/>
  <c r="R109" i="17"/>
  <c r="AF109" i="17" s="1"/>
  <c r="Q109" i="17"/>
  <c r="P109" i="17"/>
  <c r="M109" i="17"/>
  <c r="K109" i="17"/>
  <c r="Z109" i="17" s="1"/>
  <c r="J109" i="17"/>
  <c r="L109" i="17" s="1"/>
  <c r="I109" i="17"/>
  <c r="AE109" i="17" s="1"/>
  <c r="H109" i="17"/>
  <c r="G109" i="17"/>
  <c r="O109" i="17" s="1"/>
  <c r="F109" i="17"/>
  <c r="E109" i="17"/>
  <c r="D109" i="17"/>
  <c r="B109" i="17"/>
  <c r="V108" i="17"/>
  <c r="U108" i="17"/>
  <c r="S108" i="17"/>
  <c r="R108" i="17"/>
  <c r="AF108" i="17" s="1"/>
  <c r="Q108" i="17"/>
  <c r="P108" i="17"/>
  <c r="M108" i="17"/>
  <c r="K108" i="17"/>
  <c r="Z108" i="17" s="1"/>
  <c r="J108" i="17"/>
  <c r="I108" i="17"/>
  <c r="AE108" i="17" s="1"/>
  <c r="H108" i="17"/>
  <c r="G108" i="17"/>
  <c r="O108" i="17" s="1"/>
  <c r="F108" i="17"/>
  <c r="E108" i="17"/>
  <c r="D108" i="17"/>
  <c r="B108" i="17"/>
  <c r="V107" i="17"/>
  <c r="U107" i="17"/>
  <c r="S107" i="17"/>
  <c r="R107" i="17"/>
  <c r="AF107" i="17" s="1"/>
  <c r="Q107" i="17"/>
  <c r="P107" i="17"/>
  <c r="M107" i="17"/>
  <c r="K107" i="17"/>
  <c r="Z107" i="17" s="1"/>
  <c r="J107" i="17"/>
  <c r="I107" i="17"/>
  <c r="AE107" i="17" s="1"/>
  <c r="H107" i="17"/>
  <c r="G107" i="17"/>
  <c r="F107" i="17"/>
  <c r="E107" i="17"/>
  <c r="D107" i="17"/>
  <c r="B107" i="17"/>
  <c r="V106" i="17"/>
  <c r="U106" i="17"/>
  <c r="S106" i="17"/>
  <c r="R106" i="17"/>
  <c r="AF106" i="17" s="1"/>
  <c r="Q106" i="17"/>
  <c r="P106" i="17"/>
  <c r="M106" i="17"/>
  <c r="K106" i="17"/>
  <c r="Z106" i="17" s="1"/>
  <c r="J106" i="17"/>
  <c r="L106" i="17" s="1"/>
  <c r="AD106" i="17" s="1"/>
  <c r="I106" i="17"/>
  <c r="AE106" i="17" s="1"/>
  <c r="H106" i="17"/>
  <c r="G106" i="17"/>
  <c r="O106" i="17" s="1"/>
  <c r="F106" i="17"/>
  <c r="E106" i="17"/>
  <c r="D106" i="17"/>
  <c r="B106" i="17"/>
  <c r="V105" i="17"/>
  <c r="U105" i="17"/>
  <c r="S105" i="17"/>
  <c r="R105" i="17"/>
  <c r="AF105" i="17" s="1"/>
  <c r="Q105" i="17"/>
  <c r="P105" i="17"/>
  <c r="M105" i="17"/>
  <c r="K105" i="17"/>
  <c r="Z105" i="17" s="1"/>
  <c r="J105" i="17"/>
  <c r="I105" i="17"/>
  <c r="AE105" i="17" s="1"/>
  <c r="H105" i="17"/>
  <c r="G105" i="17"/>
  <c r="O105" i="17" s="1"/>
  <c r="F105" i="17"/>
  <c r="E105" i="17"/>
  <c r="D105" i="17"/>
  <c r="B105" i="17"/>
  <c r="AB104" i="17"/>
  <c r="V104" i="17"/>
  <c r="U104" i="17"/>
  <c r="S104" i="17"/>
  <c r="R104" i="17"/>
  <c r="AF104" i="17" s="1"/>
  <c r="Q104" i="17"/>
  <c r="P104" i="17"/>
  <c r="K104" i="17"/>
  <c r="Z104" i="17" s="1"/>
  <c r="J104" i="17"/>
  <c r="I104" i="17"/>
  <c r="AE104" i="17" s="1"/>
  <c r="H104" i="17"/>
  <c r="G104" i="17"/>
  <c r="X104" i="17" s="1"/>
  <c r="AG104" i="17" s="1"/>
  <c r="F104" i="17"/>
  <c r="E104" i="17"/>
  <c r="B104" i="17" s="1"/>
  <c r="D104" i="17"/>
  <c r="AB103" i="17"/>
  <c r="V103" i="17"/>
  <c r="U103" i="17"/>
  <c r="D103" i="17" s="1"/>
  <c r="S103" i="17"/>
  <c r="R103" i="17"/>
  <c r="AF103" i="17" s="1"/>
  <c r="Q103" i="17"/>
  <c r="P103" i="17"/>
  <c r="K103" i="17"/>
  <c r="Z103" i="17" s="1"/>
  <c r="J103" i="17"/>
  <c r="I103" i="17"/>
  <c r="AE103" i="17" s="1"/>
  <c r="H103" i="17"/>
  <c r="G103" i="17"/>
  <c r="X103" i="17" s="1"/>
  <c r="F103" i="17"/>
  <c r="E103" i="17"/>
  <c r="B103" i="17"/>
  <c r="AB102" i="17"/>
  <c r="V102" i="17"/>
  <c r="U102" i="17"/>
  <c r="S102" i="17"/>
  <c r="R102" i="17"/>
  <c r="AF102" i="17" s="1"/>
  <c r="Q102" i="17"/>
  <c r="P102" i="17"/>
  <c r="K102" i="17"/>
  <c r="Z102" i="17" s="1"/>
  <c r="J102" i="17"/>
  <c r="I102" i="17"/>
  <c r="AE102" i="17" s="1"/>
  <c r="H102" i="17"/>
  <c r="G102" i="17"/>
  <c r="F102" i="17"/>
  <c r="E102" i="17"/>
  <c r="B102" i="17" s="1"/>
  <c r="D102" i="17"/>
  <c r="AB101" i="17"/>
  <c r="V101" i="17"/>
  <c r="U101" i="17"/>
  <c r="D101" i="17" s="1"/>
  <c r="S101" i="17"/>
  <c r="R101" i="17"/>
  <c r="AF101" i="17" s="1"/>
  <c r="Q101" i="17"/>
  <c r="P101" i="17"/>
  <c r="K101" i="17"/>
  <c r="Z101" i="17" s="1"/>
  <c r="J101" i="17"/>
  <c r="I101" i="17"/>
  <c r="AE101" i="17" s="1"/>
  <c r="H101" i="17"/>
  <c r="G101" i="17"/>
  <c r="F101" i="17"/>
  <c r="E101" i="17"/>
  <c r="B101" i="17"/>
  <c r="AB100" i="17"/>
  <c r="V100" i="17"/>
  <c r="U100" i="17"/>
  <c r="S100" i="17"/>
  <c r="R100" i="17"/>
  <c r="AF100" i="17" s="1"/>
  <c r="Q100" i="17"/>
  <c r="P100" i="17"/>
  <c r="K100" i="17"/>
  <c r="Z100" i="17" s="1"/>
  <c r="J100" i="17"/>
  <c r="I100" i="17"/>
  <c r="AE100" i="17" s="1"/>
  <c r="H100" i="17"/>
  <c r="G100" i="17"/>
  <c r="X100" i="17" s="1"/>
  <c r="F100" i="17"/>
  <c r="E100" i="17"/>
  <c r="D100" i="17"/>
  <c r="B100" i="17"/>
  <c r="AB99" i="17"/>
  <c r="V99" i="17"/>
  <c r="U99" i="17"/>
  <c r="D99" i="17" s="1"/>
  <c r="S99" i="17"/>
  <c r="R99" i="17"/>
  <c r="AF99" i="17" s="1"/>
  <c r="Q99" i="17"/>
  <c r="P99" i="17"/>
  <c r="K99" i="17"/>
  <c r="Z99" i="17" s="1"/>
  <c r="J99" i="17"/>
  <c r="I99" i="17"/>
  <c r="AE99" i="17" s="1"/>
  <c r="H99" i="17"/>
  <c r="G99" i="17"/>
  <c r="F99" i="17"/>
  <c r="E99" i="17"/>
  <c r="B99" i="17"/>
  <c r="AB98" i="17"/>
  <c r="V98" i="17"/>
  <c r="U98" i="17"/>
  <c r="S98" i="17"/>
  <c r="R98" i="17"/>
  <c r="AF98" i="17" s="1"/>
  <c r="Q98" i="17"/>
  <c r="P98" i="17"/>
  <c r="K98" i="17"/>
  <c r="Z98" i="17" s="1"/>
  <c r="J98" i="17"/>
  <c r="I98" i="17"/>
  <c r="AE98" i="17" s="1"/>
  <c r="H98" i="17"/>
  <c r="G98" i="17"/>
  <c r="X98" i="17" s="1"/>
  <c r="AG98" i="17" s="1"/>
  <c r="F98" i="17"/>
  <c r="E98" i="17"/>
  <c r="B98" i="17" s="1"/>
  <c r="D98" i="17"/>
  <c r="AB97" i="17"/>
  <c r="V97" i="17"/>
  <c r="U97" i="17"/>
  <c r="D97" i="17" s="1"/>
  <c r="S97" i="17"/>
  <c r="R97" i="17"/>
  <c r="AF97" i="17" s="1"/>
  <c r="Q97" i="17"/>
  <c r="P97" i="17"/>
  <c r="K97" i="17"/>
  <c r="Z97" i="17" s="1"/>
  <c r="J97" i="17"/>
  <c r="I97" i="17"/>
  <c r="AE97" i="17" s="1"/>
  <c r="H97" i="17"/>
  <c r="G97" i="17"/>
  <c r="F97" i="17"/>
  <c r="E97" i="17"/>
  <c r="B97" i="17"/>
  <c r="AB96" i="17"/>
  <c r="V96" i="17"/>
  <c r="U96" i="17"/>
  <c r="S96" i="17"/>
  <c r="R96" i="17"/>
  <c r="AF96" i="17" s="1"/>
  <c r="Q96" i="17"/>
  <c r="P96" i="17"/>
  <c r="K96" i="17"/>
  <c r="Z96" i="17" s="1"/>
  <c r="J96" i="17"/>
  <c r="I96" i="17"/>
  <c r="AE96" i="17" s="1"/>
  <c r="H96" i="17"/>
  <c r="G96" i="17"/>
  <c r="X96" i="17" s="1"/>
  <c r="F96" i="17"/>
  <c r="E96" i="17"/>
  <c r="D96" i="17"/>
  <c r="B96" i="17"/>
  <c r="AB95" i="17"/>
  <c r="V95" i="17"/>
  <c r="U95" i="17"/>
  <c r="D95" i="17" s="1"/>
  <c r="S95" i="17"/>
  <c r="R95" i="17"/>
  <c r="AF95" i="17" s="1"/>
  <c r="Q95" i="17"/>
  <c r="P95" i="17"/>
  <c r="K95" i="17"/>
  <c r="Z95" i="17" s="1"/>
  <c r="J95" i="17"/>
  <c r="I95" i="17"/>
  <c r="AE95" i="17" s="1"/>
  <c r="H95" i="17"/>
  <c r="G95" i="17"/>
  <c r="F95" i="17"/>
  <c r="E95" i="17"/>
  <c r="B95" i="17"/>
  <c r="AB94" i="17"/>
  <c r="V94" i="17"/>
  <c r="U94" i="17"/>
  <c r="S94" i="17"/>
  <c r="R94" i="17"/>
  <c r="AF94" i="17" s="1"/>
  <c r="Q94" i="17"/>
  <c r="P94" i="17"/>
  <c r="K94" i="17"/>
  <c r="Z94" i="17" s="1"/>
  <c r="J94" i="17"/>
  <c r="I94" i="17"/>
  <c r="AE94" i="17" s="1"/>
  <c r="H94" i="17"/>
  <c r="G94" i="17"/>
  <c r="X94" i="17" s="1"/>
  <c r="AG94" i="17" s="1"/>
  <c r="F94" i="17"/>
  <c r="E94" i="17"/>
  <c r="B94" i="17" s="1"/>
  <c r="D94" i="17"/>
  <c r="AB93" i="17"/>
  <c r="V93" i="17"/>
  <c r="U93" i="17"/>
  <c r="D93" i="17" s="1"/>
  <c r="S93" i="17"/>
  <c r="R93" i="17"/>
  <c r="AF93" i="17" s="1"/>
  <c r="Q93" i="17"/>
  <c r="P93" i="17"/>
  <c r="K93" i="17"/>
  <c r="Z93" i="17" s="1"/>
  <c r="J93" i="17"/>
  <c r="I93" i="17"/>
  <c r="AE93" i="17" s="1"/>
  <c r="H93" i="17"/>
  <c r="G93" i="17"/>
  <c r="F93" i="17"/>
  <c r="E93" i="17"/>
  <c r="B93" i="17"/>
  <c r="AB92" i="17"/>
  <c r="V92" i="17"/>
  <c r="U92" i="17"/>
  <c r="S92" i="17"/>
  <c r="R92" i="17"/>
  <c r="AF92" i="17" s="1"/>
  <c r="Q92" i="17"/>
  <c r="P92" i="17"/>
  <c r="K92" i="17"/>
  <c r="Z92" i="17" s="1"/>
  <c r="J92" i="17"/>
  <c r="I92" i="17"/>
  <c r="AE92" i="17" s="1"/>
  <c r="H92" i="17"/>
  <c r="G92" i="17"/>
  <c r="O92" i="17" s="1"/>
  <c r="F92" i="17"/>
  <c r="E92" i="17"/>
  <c r="D92" i="17"/>
  <c r="B92" i="17"/>
  <c r="AF91" i="17"/>
  <c r="AB91" i="17"/>
  <c r="V91" i="17"/>
  <c r="U91" i="17"/>
  <c r="D91" i="17" s="1"/>
  <c r="S91" i="17"/>
  <c r="R91" i="17"/>
  <c r="Q91" i="17"/>
  <c r="P91" i="17"/>
  <c r="K91" i="17"/>
  <c r="Z91" i="17" s="1"/>
  <c r="J91" i="17"/>
  <c r="I91" i="17"/>
  <c r="AE91" i="17" s="1"/>
  <c r="H91" i="17"/>
  <c r="G91" i="17"/>
  <c r="X91" i="17" s="1"/>
  <c r="F91" i="17"/>
  <c r="E91" i="17"/>
  <c r="B91" i="17" s="1"/>
  <c r="AB90" i="17"/>
  <c r="V90" i="17"/>
  <c r="U90" i="17"/>
  <c r="S90" i="17"/>
  <c r="R90" i="17"/>
  <c r="AF90" i="17" s="1"/>
  <c r="Q90" i="17"/>
  <c r="P90" i="17"/>
  <c r="K90" i="17"/>
  <c r="Z90" i="17" s="1"/>
  <c r="J90" i="17"/>
  <c r="I90" i="17"/>
  <c r="AE90" i="17" s="1"/>
  <c r="H90" i="17"/>
  <c r="G90" i="17"/>
  <c r="O90" i="17" s="1"/>
  <c r="F90" i="17"/>
  <c r="E90" i="17"/>
  <c r="D90" i="17"/>
  <c r="B90" i="17"/>
  <c r="AB89" i="17"/>
  <c r="V89" i="17"/>
  <c r="U89" i="17"/>
  <c r="S89" i="17"/>
  <c r="R89" i="17"/>
  <c r="AF89" i="17" s="1"/>
  <c r="Q89" i="17"/>
  <c r="P89" i="17"/>
  <c r="K89" i="17"/>
  <c r="Z89" i="17" s="1"/>
  <c r="J89" i="17"/>
  <c r="I89" i="17"/>
  <c r="AE89" i="17" s="1"/>
  <c r="H89" i="17"/>
  <c r="G89" i="17"/>
  <c r="X89" i="17" s="1"/>
  <c r="F89" i="17"/>
  <c r="E89" i="17"/>
  <c r="D89" i="17"/>
  <c r="B89" i="17"/>
  <c r="AC88" i="17"/>
  <c r="AB88" i="17"/>
  <c r="V88" i="17"/>
  <c r="U88" i="17"/>
  <c r="S88" i="17"/>
  <c r="R88" i="17"/>
  <c r="AF88" i="17" s="1"/>
  <c r="Q88" i="17"/>
  <c r="P88" i="17"/>
  <c r="K88" i="17"/>
  <c r="Z88" i="17" s="1"/>
  <c r="J88" i="17"/>
  <c r="I88" i="17"/>
  <c r="AE88" i="17" s="1"/>
  <c r="H88" i="17"/>
  <c r="G88" i="17"/>
  <c r="X88" i="17" s="1"/>
  <c r="AG88" i="17" s="1"/>
  <c r="F88" i="17"/>
  <c r="E88" i="17"/>
  <c r="B88" i="17" s="1"/>
  <c r="D88" i="17"/>
  <c r="AB87" i="17"/>
  <c r="V87" i="17"/>
  <c r="U87" i="17"/>
  <c r="D87" i="17" s="1"/>
  <c r="S87" i="17"/>
  <c r="R87" i="17"/>
  <c r="AF87" i="17" s="1"/>
  <c r="Q87" i="17"/>
  <c r="P87" i="17"/>
  <c r="K87" i="17"/>
  <c r="Z87" i="17" s="1"/>
  <c r="J87" i="17"/>
  <c r="I87" i="17"/>
  <c r="AE87" i="17" s="1"/>
  <c r="H87" i="17"/>
  <c r="G87" i="17"/>
  <c r="X87" i="17" s="1"/>
  <c r="F87" i="17"/>
  <c r="E87" i="17"/>
  <c r="B87" i="17" s="1"/>
  <c r="AB86" i="17"/>
  <c r="V86" i="17"/>
  <c r="U86" i="17"/>
  <c r="S86" i="17"/>
  <c r="R86" i="17"/>
  <c r="AF86" i="17" s="1"/>
  <c r="Q86" i="17"/>
  <c r="P86" i="17"/>
  <c r="K86" i="17"/>
  <c r="Z86" i="17" s="1"/>
  <c r="J86" i="17"/>
  <c r="I86" i="17"/>
  <c r="AE86" i="17" s="1"/>
  <c r="H86" i="17"/>
  <c r="G86" i="17"/>
  <c r="X86" i="17" s="1"/>
  <c r="F86" i="17"/>
  <c r="E86" i="17"/>
  <c r="D86" i="17"/>
  <c r="B86" i="17"/>
  <c r="AB85" i="17"/>
  <c r="V85" i="17"/>
  <c r="U85" i="17"/>
  <c r="D85" i="17" s="1"/>
  <c r="S85" i="17"/>
  <c r="R85" i="17"/>
  <c r="AF85" i="17" s="1"/>
  <c r="Q85" i="17"/>
  <c r="P85" i="17"/>
  <c r="K85" i="17"/>
  <c r="Z85" i="17" s="1"/>
  <c r="J85" i="17"/>
  <c r="I85" i="17"/>
  <c r="AE85" i="17" s="1"/>
  <c r="H85" i="17"/>
  <c r="G85" i="17"/>
  <c r="X85" i="17" s="1"/>
  <c r="F85" i="17"/>
  <c r="E85" i="17"/>
  <c r="B85" i="17" s="1"/>
  <c r="AB84" i="17"/>
  <c r="V84" i="17"/>
  <c r="U84" i="17"/>
  <c r="S84" i="17"/>
  <c r="R84" i="17"/>
  <c r="AF84" i="17" s="1"/>
  <c r="Q84" i="17"/>
  <c r="P84" i="17"/>
  <c r="K84" i="17"/>
  <c r="Z84" i="17" s="1"/>
  <c r="J84" i="17"/>
  <c r="I84" i="17"/>
  <c r="AE84" i="17" s="1"/>
  <c r="H84" i="17"/>
  <c r="G84" i="17"/>
  <c r="O84" i="17" s="1"/>
  <c r="F84" i="17"/>
  <c r="E84" i="17"/>
  <c r="D84" i="17"/>
  <c r="B84" i="17"/>
  <c r="AB83" i="17"/>
  <c r="V83" i="17"/>
  <c r="U83" i="17"/>
  <c r="D83" i="17" s="1"/>
  <c r="S83" i="17"/>
  <c r="R83" i="17"/>
  <c r="AF83" i="17" s="1"/>
  <c r="Q83" i="17"/>
  <c r="P83" i="17"/>
  <c r="K83" i="17"/>
  <c r="Z83" i="17" s="1"/>
  <c r="J83" i="17"/>
  <c r="I83" i="17"/>
  <c r="AE83" i="17" s="1"/>
  <c r="H83" i="17"/>
  <c r="G83" i="17"/>
  <c r="X83" i="17" s="1"/>
  <c r="F83" i="17"/>
  <c r="E83" i="17"/>
  <c r="B83" i="17"/>
  <c r="AB82" i="17"/>
  <c r="V82" i="17"/>
  <c r="U82" i="17"/>
  <c r="S82" i="17"/>
  <c r="R82" i="17"/>
  <c r="AF82" i="17" s="1"/>
  <c r="Q82" i="17"/>
  <c r="P82" i="17"/>
  <c r="K82" i="17"/>
  <c r="Z82" i="17" s="1"/>
  <c r="J82" i="17"/>
  <c r="I82" i="17"/>
  <c r="AE82" i="17" s="1"/>
  <c r="H82" i="17"/>
  <c r="G82" i="17"/>
  <c r="F82" i="17"/>
  <c r="E82" i="17"/>
  <c r="B82" i="17" s="1"/>
  <c r="D82" i="17"/>
  <c r="AB81" i="17"/>
  <c r="V81" i="17"/>
  <c r="U81" i="17"/>
  <c r="D81" i="17" s="1"/>
  <c r="S81" i="17"/>
  <c r="R81" i="17"/>
  <c r="AF81" i="17" s="1"/>
  <c r="Q81" i="17"/>
  <c r="P81" i="17"/>
  <c r="K81" i="17"/>
  <c r="Z81" i="17" s="1"/>
  <c r="J81" i="17"/>
  <c r="I81" i="17"/>
  <c r="AE81" i="17" s="1"/>
  <c r="H81" i="17"/>
  <c r="G81" i="17"/>
  <c r="X81" i="17" s="1"/>
  <c r="F81" i="17"/>
  <c r="E81" i="17"/>
  <c r="B81" i="17"/>
  <c r="AB80" i="17"/>
  <c r="V80" i="17"/>
  <c r="U80" i="17"/>
  <c r="S80" i="17"/>
  <c r="R80" i="17"/>
  <c r="AF80" i="17" s="1"/>
  <c r="Q80" i="17"/>
  <c r="P80" i="17"/>
  <c r="K80" i="17"/>
  <c r="Z80" i="17" s="1"/>
  <c r="J80" i="17"/>
  <c r="I80" i="17"/>
  <c r="AE80" i="17" s="1"/>
  <c r="H80" i="17"/>
  <c r="G80" i="17"/>
  <c r="X80" i="17" s="1"/>
  <c r="F80" i="17"/>
  <c r="E80" i="17"/>
  <c r="B80" i="17" s="1"/>
  <c r="D80" i="17"/>
  <c r="AB79" i="17"/>
  <c r="V79" i="17"/>
  <c r="U79" i="17"/>
  <c r="D79" i="17" s="1"/>
  <c r="S79" i="17"/>
  <c r="R79" i="17"/>
  <c r="AF79" i="17" s="1"/>
  <c r="Q79" i="17"/>
  <c r="P79" i="17"/>
  <c r="K79" i="17"/>
  <c r="Z79" i="17" s="1"/>
  <c r="J79" i="17"/>
  <c r="I79" i="17"/>
  <c r="AE79" i="17" s="1"/>
  <c r="H79" i="17"/>
  <c r="G79" i="17"/>
  <c r="X79" i="17" s="1"/>
  <c r="F79" i="17"/>
  <c r="E79" i="17"/>
  <c r="B79" i="17" s="1"/>
  <c r="AB78" i="17"/>
  <c r="V78" i="17"/>
  <c r="U78" i="17"/>
  <c r="S78" i="17"/>
  <c r="R78" i="17"/>
  <c r="AF78" i="17" s="1"/>
  <c r="Q78" i="17"/>
  <c r="P78" i="17"/>
  <c r="K78" i="17"/>
  <c r="Z78" i="17" s="1"/>
  <c r="J78" i="17"/>
  <c r="I78" i="17"/>
  <c r="AE78" i="17" s="1"/>
  <c r="H78" i="17"/>
  <c r="G78" i="17"/>
  <c r="X78" i="17" s="1"/>
  <c r="F78" i="17"/>
  <c r="E78" i="17"/>
  <c r="D78" i="17"/>
  <c r="B78" i="17"/>
  <c r="AB77" i="17"/>
  <c r="V77" i="17"/>
  <c r="U77" i="17"/>
  <c r="S77" i="17"/>
  <c r="R77" i="17"/>
  <c r="AF77" i="17" s="1"/>
  <c r="Q77" i="17"/>
  <c r="P77" i="17"/>
  <c r="K77" i="17"/>
  <c r="Z77" i="17" s="1"/>
  <c r="J77" i="17"/>
  <c r="I77" i="17"/>
  <c r="AE77" i="17" s="1"/>
  <c r="H77" i="17"/>
  <c r="G77" i="17"/>
  <c r="X77" i="17" s="1"/>
  <c r="F77" i="17"/>
  <c r="E77" i="17"/>
  <c r="B77" i="17" s="1"/>
  <c r="D77" i="17"/>
  <c r="AB76" i="17"/>
  <c r="V76" i="17"/>
  <c r="U76" i="17"/>
  <c r="S76" i="17"/>
  <c r="R76" i="17"/>
  <c r="AF76" i="17" s="1"/>
  <c r="Q76" i="17"/>
  <c r="P76" i="17"/>
  <c r="K76" i="17"/>
  <c r="Z76" i="17" s="1"/>
  <c r="J76" i="17"/>
  <c r="I76" i="17"/>
  <c r="AE76" i="17" s="1"/>
  <c r="H76" i="17"/>
  <c r="G76" i="17"/>
  <c r="X76" i="17" s="1"/>
  <c r="F76" i="17"/>
  <c r="E76" i="17"/>
  <c r="D76" i="17"/>
  <c r="B76" i="17"/>
  <c r="AB75" i="17"/>
  <c r="V75" i="17"/>
  <c r="U75" i="17"/>
  <c r="D75" i="17" s="1"/>
  <c r="S75" i="17"/>
  <c r="R75" i="17"/>
  <c r="AF75" i="17" s="1"/>
  <c r="Q75" i="17"/>
  <c r="P75" i="17"/>
  <c r="K75" i="17"/>
  <c r="Z75" i="17" s="1"/>
  <c r="J75" i="17"/>
  <c r="I75" i="17"/>
  <c r="AE75" i="17" s="1"/>
  <c r="H75" i="17"/>
  <c r="G75" i="17"/>
  <c r="X75" i="17" s="1"/>
  <c r="F75" i="17"/>
  <c r="E75" i="17"/>
  <c r="B75" i="17" s="1"/>
  <c r="X74" i="17"/>
  <c r="AG74" i="17" s="1"/>
  <c r="V74" i="17"/>
  <c r="U74" i="17"/>
  <c r="S74" i="17"/>
  <c r="R74" i="17"/>
  <c r="AF74" i="17" s="1"/>
  <c r="Q74" i="17"/>
  <c r="P74" i="17"/>
  <c r="M74" i="17"/>
  <c r="K74" i="17"/>
  <c r="Z74" i="17" s="1"/>
  <c r="J74" i="17"/>
  <c r="I74" i="17"/>
  <c r="AE74" i="17" s="1"/>
  <c r="H74" i="17"/>
  <c r="G74" i="17"/>
  <c r="O74" i="17" s="1"/>
  <c r="F74" i="17"/>
  <c r="E74" i="17"/>
  <c r="D74" i="17"/>
  <c r="B74" i="17"/>
  <c r="V73" i="17"/>
  <c r="U73" i="17"/>
  <c r="S73" i="17"/>
  <c r="R73" i="17"/>
  <c r="AF73" i="17" s="1"/>
  <c r="Q73" i="17"/>
  <c r="P73" i="17"/>
  <c r="M73" i="17"/>
  <c r="K73" i="17"/>
  <c r="Z73" i="17" s="1"/>
  <c r="J73" i="17"/>
  <c r="I73" i="17"/>
  <c r="AE73" i="17" s="1"/>
  <c r="H73" i="17"/>
  <c r="G73" i="17"/>
  <c r="O73" i="17" s="1"/>
  <c r="F73" i="17"/>
  <c r="E73" i="17"/>
  <c r="B73" i="17" s="1"/>
  <c r="D73" i="17"/>
  <c r="AE72" i="17"/>
  <c r="V72" i="17"/>
  <c r="U72" i="17"/>
  <c r="S72" i="17"/>
  <c r="R72" i="17"/>
  <c r="AF72" i="17" s="1"/>
  <c r="Q72" i="17"/>
  <c r="P72" i="17"/>
  <c r="M72" i="17"/>
  <c r="K72" i="17"/>
  <c r="Z72" i="17" s="1"/>
  <c r="J72" i="17"/>
  <c r="I72" i="17"/>
  <c r="H72" i="17"/>
  <c r="G72" i="17"/>
  <c r="O72" i="17" s="1"/>
  <c r="F72" i="17"/>
  <c r="E72" i="17"/>
  <c r="D72" i="17"/>
  <c r="B72" i="17"/>
  <c r="V71" i="17"/>
  <c r="U71" i="17"/>
  <c r="S71" i="17"/>
  <c r="R71" i="17"/>
  <c r="AF71" i="17" s="1"/>
  <c r="Q71" i="17"/>
  <c r="P71" i="17"/>
  <c r="M71" i="17"/>
  <c r="K71" i="17"/>
  <c r="Z71" i="17" s="1"/>
  <c r="J71" i="17"/>
  <c r="I71" i="17"/>
  <c r="AE71" i="17" s="1"/>
  <c r="H71" i="17"/>
  <c r="G71" i="17"/>
  <c r="O71" i="17" s="1"/>
  <c r="F71" i="17"/>
  <c r="E71" i="17"/>
  <c r="B71" i="17" s="1"/>
  <c r="D71" i="17"/>
  <c r="AE70" i="17"/>
  <c r="V70" i="17"/>
  <c r="U70" i="17"/>
  <c r="D70" i="17" s="1"/>
  <c r="S70" i="17"/>
  <c r="R70" i="17"/>
  <c r="AF70" i="17" s="1"/>
  <c r="Q70" i="17"/>
  <c r="P70" i="17"/>
  <c r="M70" i="17"/>
  <c r="K70" i="17"/>
  <c r="Z70" i="17" s="1"/>
  <c r="J70" i="17"/>
  <c r="I70" i="17"/>
  <c r="H70" i="17"/>
  <c r="G70" i="17"/>
  <c r="O70" i="17" s="1"/>
  <c r="F70" i="17"/>
  <c r="E70" i="17"/>
  <c r="B70" i="17"/>
  <c r="AC69" i="17"/>
  <c r="V69" i="17"/>
  <c r="U69" i="17"/>
  <c r="S69" i="17"/>
  <c r="R69" i="17"/>
  <c r="AF69" i="17" s="1"/>
  <c r="Q69" i="17"/>
  <c r="P69" i="17"/>
  <c r="M69" i="17"/>
  <c r="K69" i="17"/>
  <c r="Z69" i="17" s="1"/>
  <c r="J69" i="17"/>
  <c r="I69" i="17"/>
  <c r="AE69" i="17" s="1"/>
  <c r="H69" i="17"/>
  <c r="G69" i="17"/>
  <c r="O69" i="17" s="1"/>
  <c r="F69" i="17"/>
  <c r="E69" i="17"/>
  <c r="B69" i="17" s="1"/>
  <c r="D69" i="17"/>
  <c r="AE68" i="17"/>
  <c r="V68" i="17"/>
  <c r="U68" i="17"/>
  <c r="D68" i="17" s="1"/>
  <c r="S68" i="17"/>
  <c r="R68" i="17"/>
  <c r="AF68" i="17" s="1"/>
  <c r="Q68" i="17"/>
  <c r="P68" i="17"/>
  <c r="M68" i="17"/>
  <c r="K68" i="17"/>
  <c r="Z68" i="17" s="1"/>
  <c r="J68" i="17"/>
  <c r="I68" i="17"/>
  <c r="H68" i="17"/>
  <c r="G68" i="17"/>
  <c r="O68" i="17" s="1"/>
  <c r="F68" i="17"/>
  <c r="E68" i="17"/>
  <c r="B68" i="17"/>
  <c r="AF67" i="17"/>
  <c r="V67" i="17"/>
  <c r="U67" i="17"/>
  <c r="S67" i="17"/>
  <c r="R67" i="17"/>
  <c r="Q67" i="17"/>
  <c r="P67" i="17"/>
  <c r="M67" i="17"/>
  <c r="K67" i="17"/>
  <c r="Z67" i="17" s="1"/>
  <c r="J67" i="17"/>
  <c r="I67" i="17"/>
  <c r="AE67" i="17" s="1"/>
  <c r="H67" i="17"/>
  <c r="G67" i="17"/>
  <c r="O67" i="17" s="1"/>
  <c r="F67" i="17"/>
  <c r="E67" i="17"/>
  <c r="B67" i="17" s="1"/>
  <c r="D67" i="17"/>
  <c r="X66" i="17"/>
  <c r="V66" i="17"/>
  <c r="U66" i="17"/>
  <c r="D66" i="17" s="1"/>
  <c r="S66" i="17"/>
  <c r="R66" i="17"/>
  <c r="AF66" i="17" s="1"/>
  <c r="Q66" i="17"/>
  <c r="P66" i="17"/>
  <c r="M66" i="17"/>
  <c r="K66" i="17"/>
  <c r="Z66" i="17" s="1"/>
  <c r="J66" i="17"/>
  <c r="I66" i="17"/>
  <c r="AE66" i="17" s="1"/>
  <c r="H66" i="17"/>
  <c r="G66" i="17"/>
  <c r="O66" i="17" s="1"/>
  <c r="F66" i="17"/>
  <c r="E66" i="17"/>
  <c r="B66" i="17"/>
  <c r="V65" i="17"/>
  <c r="U65" i="17"/>
  <c r="S65" i="17"/>
  <c r="R65" i="17"/>
  <c r="AF65" i="17" s="1"/>
  <c r="Q65" i="17"/>
  <c r="P65" i="17"/>
  <c r="M65" i="17"/>
  <c r="K65" i="17"/>
  <c r="Z65" i="17" s="1"/>
  <c r="J65" i="17"/>
  <c r="I65" i="17"/>
  <c r="AE65" i="17" s="1"/>
  <c r="H65" i="17"/>
  <c r="G65" i="17"/>
  <c r="O65" i="17" s="1"/>
  <c r="F65" i="17"/>
  <c r="E65" i="17"/>
  <c r="B65" i="17" s="1"/>
  <c r="D65" i="17"/>
  <c r="V64" i="17"/>
  <c r="U64" i="17"/>
  <c r="D64" i="17" s="1"/>
  <c r="S64" i="17"/>
  <c r="R64" i="17"/>
  <c r="AF64" i="17" s="1"/>
  <c r="Q64" i="17"/>
  <c r="P64" i="17"/>
  <c r="M64" i="17"/>
  <c r="K64" i="17"/>
  <c r="Z64" i="17" s="1"/>
  <c r="J64" i="17"/>
  <c r="L64" i="17" s="1"/>
  <c r="I64" i="17"/>
  <c r="AE64" i="17" s="1"/>
  <c r="H64" i="17"/>
  <c r="G64" i="17"/>
  <c r="O64" i="17" s="1"/>
  <c r="F64" i="17"/>
  <c r="E64" i="17"/>
  <c r="B64" i="17"/>
  <c r="V63" i="17"/>
  <c r="U63" i="17"/>
  <c r="S63" i="17"/>
  <c r="R63" i="17"/>
  <c r="AF63" i="17" s="1"/>
  <c r="Q63" i="17"/>
  <c r="P63" i="17"/>
  <c r="M63" i="17"/>
  <c r="K63" i="17"/>
  <c r="Z63" i="17" s="1"/>
  <c r="J63" i="17"/>
  <c r="I63" i="17"/>
  <c r="AE63" i="17" s="1"/>
  <c r="H63" i="17"/>
  <c r="G63" i="17"/>
  <c r="O63" i="17" s="1"/>
  <c r="F63" i="17"/>
  <c r="E63" i="17"/>
  <c r="B63" i="17" s="1"/>
  <c r="V62" i="17"/>
  <c r="U62" i="17"/>
  <c r="D63" i="17" s="1"/>
  <c r="S62" i="17"/>
  <c r="R62" i="17"/>
  <c r="AF62" i="17" s="1"/>
  <c r="Q62" i="17"/>
  <c r="P62" i="17"/>
  <c r="M62" i="17"/>
  <c r="N62" i="17" s="1"/>
  <c r="AB62" i="17" s="1"/>
  <c r="K62" i="17"/>
  <c r="Z62" i="17" s="1"/>
  <c r="J62" i="17"/>
  <c r="I62" i="17"/>
  <c r="AE62" i="17" s="1"/>
  <c r="H62" i="17"/>
  <c r="G62" i="17"/>
  <c r="O62" i="17" s="1"/>
  <c r="F62" i="17"/>
  <c r="E62" i="17"/>
  <c r="B62" i="17"/>
  <c r="V61" i="17"/>
  <c r="U61" i="17"/>
  <c r="S61" i="17"/>
  <c r="R61" i="17"/>
  <c r="AF61" i="17" s="1"/>
  <c r="Q61" i="17"/>
  <c r="P61" i="17"/>
  <c r="M61" i="17"/>
  <c r="K61" i="17"/>
  <c r="Z61" i="17" s="1"/>
  <c r="J61" i="17"/>
  <c r="I61" i="17"/>
  <c r="AE61" i="17" s="1"/>
  <c r="H61" i="17"/>
  <c r="G61" i="17"/>
  <c r="O61" i="17" s="1"/>
  <c r="F61" i="17"/>
  <c r="E61" i="17"/>
  <c r="B61" i="17" s="1"/>
  <c r="D61" i="17"/>
  <c r="V60" i="17"/>
  <c r="U60" i="17"/>
  <c r="D60" i="17" s="1"/>
  <c r="S60" i="17"/>
  <c r="R60" i="17"/>
  <c r="AF60" i="17" s="1"/>
  <c r="Q60" i="17"/>
  <c r="P60" i="17"/>
  <c r="M60" i="17"/>
  <c r="K60" i="17"/>
  <c r="Z60" i="17" s="1"/>
  <c r="J60" i="17"/>
  <c r="I60" i="17"/>
  <c r="AE60" i="17" s="1"/>
  <c r="H60" i="17"/>
  <c r="G60" i="17"/>
  <c r="O60" i="17" s="1"/>
  <c r="F60" i="17"/>
  <c r="E60" i="17"/>
  <c r="B60" i="17"/>
  <c r="V59" i="17"/>
  <c r="U59" i="17"/>
  <c r="S59" i="17"/>
  <c r="R59" i="17"/>
  <c r="AF59" i="17" s="1"/>
  <c r="Q59" i="17"/>
  <c r="P59" i="17"/>
  <c r="M59" i="17"/>
  <c r="K59" i="17"/>
  <c r="Z59" i="17" s="1"/>
  <c r="J59" i="17"/>
  <c r="I59" i="17"/>
  <c r="AE59" i="17" s="1"/>
  <c r="H59" i="17"/>
  <c r="G59" i="17"/>
  <c r="O59" i="17" s="1"/>
  <c r="F59" i="17"/>
  <c r="E59" i="17"/>
  <c r="B59" i="17" s="1"/>
  <c r="D59" i="17"/>
  <c r="V58" i="17"/>
  <c r="U58" i="17"/>
  <c r="D58" i="17" s="1"/>
  <c r="S58" i="17"/>
  <c r="R58" i="17"/>
  <c r="AF58" i="17" s="1"/>
  <c r="Q58" i="17"/>
  <c r="P58" i="17"/>
  <c r="M58" i="17"/>
  <c r="K58" i="17"/>
  <c r="Z58" i="17" s="1"/>
  <c r="J58" i="17"/>
  <c r="I58" i="17"/>
  <c r="AE58" i="17" s="1"/>
  <c r="H58" i="17"/>
  <c r="G58" i="17"/>
  <c r="O58" i="17" s="1"/>
  <c r="F58" i="17"/>
  <c r="E58" i="17"/>
  <c r="B58" i="17"/>
  <c r="V57" i="17"/>
  <c r="U57" i="17"/>
  <c r="S57" i="17"/>
  <c r="R57" i="17"/>
  <c r="AF57" i="17" s="1"/>
  <c r="Q57" i="17"/>
  <c r="P57" i="17"/>
  <c r="M57" i="17"/>
  <c r="K57" i="17"/>
  <c r="Z57" i="17" s="1"/>
  <c r="J57" i="17"/>
  <c r="I57" i="17"/>
  <c r="AE57" i="17" s="1"/>
  <c r="H57" i="17"/>
  <c r="G57" i="17"/>
  <c r="X57" i="17" s="1"/>
  <c r="F57" i="17"/>
  <c r="E57" i="17"/>
  <c r="B57" i="17" s="1"/>
  <c r="D57" i="17"/>
  <c r="V56" i="17"/>
  <c r="U56" i="17"/>
  <c r="S56" i="17"/>
  <c r="R56" i="17"/>
  <c r="AF56" i="17" s="1"/>
  <c r="Q56" i="17"/>
  <c r="P56" i="17"/>
  <c r="M56" i="17"/>
  <c r="K56" i="17"/>
  <c r="Z56" i="17" s="1"/>
  <c r="J56" i="17"/>
  <c r="L56" i="17" s="1"/>
  <c r="AA56" i="17" s="1"/>
  <c r="I56" i="17"/>
  <c r="AE56" i="17" s="1"/>
  <c r="H56" i="17"/>
  <c r="G56" i="17"/>
  <c r="O56" i="17" s="1"/>
  <c r="F56" i="17"/>
  <c r="E56" i="17"/>
  <c r="D56" i="17"/>
  <c r="B56" i="17"/>
  <c r="V55" i="17"/>
  <c r="U55" i="17"/>
  <c r="S55" i="17"/>
  <c r="R55" i="17"/>
  <c r="AF55" i="17" s="1"/>
  <c r="Q55" i="17"/>
  <c r="P55" i="17"/>
  <c r="M55" i="17"/>
  <c r="K55" i="17"/>
  <c r="Z55" i="17" s="1"/>
  <c r="J55" i="17"/>
  <c r="I55" i="17"/>
  <c r="AE55" i="17" s="1"/>
  <c r="H55" i="17"/>
  <c r="G55" i="17"/>
  <c r="O55" i="17" s="1"/>
  <c r="F55" i="17"/>
  <c r="E55" i="17"/>
  <c r="B55" i="17" s="1"/>
  <c r="D55" i="17"/>
  <c r="V54" i="17"/>
  <c r="U54" i="17"/>
  <c r="S54" i="17"/>
  <c r="R54" i="17"/>
  <c r="AF54" i="17" s="1"/>
  <c r="Q54" i="17"/>
  <c r="P54" i="17"/>
  <c r="M54" i="17"/>
  <c r="K54" i="17"/>
  <c r="Z54" i="17" s="1"/>
  <c r="J54" i="17"/>
  <c r="L54" i="17" s="1"/>
  <c r="AA54" i="17" s="1"/>
  <c r="I54" i="17"/>
  <c r="AE54" i="17" s="1"/>
  <c r="H54" i="17"/>
  <c r="G54" i="17"/>
  <c r="O54" i="17" s="1"/>
  <c r="F54" i="17"/>
  <c r="E54" i="17"/>
  <c r="D54" i="17"/>
  <c r="B54" i="17"/>
  <c r="V53" i="17"/>
  <c r="U53" i="17"/>
  <c r="S53" i="17"/>
  <c r="R53" i="17"/>
  <c r="AF53" i="17" s="1"/>
  <c r="Q53" i="17"/>
  <c r="P53" i="17"/>
  <c r="M53" i="17"/>
  <c r="K53" i="17"/>
  <c r="Z53" i="17" s="1"/>
  <c r="J53" i="17"/>
  <c r="I53" i="17"/>
  <c r="AE53" i="17" s="1"/>
  <c r="H53" i="17"/>
  <c r="G53" i="17"/>
  <c r="O53" i="17" s="1"/>
  <c r="F53" i="17"/>
  <c r="E53" i="17"/>
  <c r="B53" i="17" s="1"/>
  <c r="D53" i="17"/>
  <c r="V52" i="17"/>
  <c r="U52" i="17"/>
  <c r="D52" i="17" s="1"/>
  <c r="S52" i="17"/>
  <c r="R52" i="17"/>
  <c r="AF52" i="17" s="1"/>
  <c r="Q52" i="17"/>
  <c r="P52" i="17"/>
  <c r="M52" i="17"/>
  <c r="K52" i="17"/>
  <c r="Z52" i="17" s="1"/>
  <c r="J52" i="17"/>
  <c r="I52" i="17"/>
  <c r="AE52" i="17" s="1"/>
  <c r="H52" i="17"/>
  <c r="G52" i="17"/>
  <c r="O52" i="17" s="1"/>
  <c r="F52" i="17"/>
  <c r="E52" i="17"/>
  <c r="B52" i="17"/>
  <c r="V51" i="17"/>
  <c r="U51" i="17"/>
  <c r="S51" i="17"/>
  <c r="R51" i="17"/>
  <c r="AF51" i="17" s="1"/>
  <c r="Q51" i="17"/>
  <c r="P51" i="17"/>
  <c r="M51" i="17"/>
  <c r="K51" i="17"/>
  <c r="Z51" i="17" s="1"/>
  <c r="J51" i="17"/>
  <c r="I51" i="17"/>
  <c r="AE51" i="17" s="1"/>
  <c r="H51" i="17"/>
  <c r="G51" i="17"/>
  <c r="O51" i="17" s="1"/>
  <c r="F51" i="17"/>
  <c r="E51" i="17"/>
  <c r="B51" i="17" s="1"/>
  <c r="D51" i="17"/>
  <c r="V50" i="17"/>
  <c r="U50" i="17"/>
  <c r="S50" i="17"/>
  <c r="R50" i="17"/>
  <c r="AF50" i="17" s="1"/>
  <c r="Q50" i="17"/>
  <c r="P50" i="17"/>
  <c r="M50" i="17"/>
  <c r="K50" i="17"/>
  <c r="Z50" i="17" s="1"/>
  <c r="J50" i="17"/>
  <c r="L50" i="17" s="1"/>
  <c r="AA50" i="17" s="1"/>
  <c r="I50" i="17"/>
  <c r="AE50" i="17" s="1"/>
  <c r="H50" i="17"/>
  <c r="G50" i="17"/>
  <c r="O50" i="17" s="1"/>
  <c r="F50" i="17"/>
  <c r="E50" i="17"/>
  <c r="D50" i="17"/>
  <c r="B50" i="17"/>
  <c r="V49" i="17"/>
  <c r="U49" i="17"/>
  <c r="S49" i="17"/>
  <c r="R49" i="17"/>
  <c r="AF49" i="17" s="1"/>
  <c r="Q49" i="17"/>
  <c r="P49" i="17"/>
  <c r="M49" i="17"/>
  <c r="N49" i="17" s="1"/>
  <c r="AB49" i="17" s="1"/>
  <c r="K49" i="17"/>
  <c r="Z49" i="17" s="1"/>
  <c r="J49" i="17"/>
  <c r="I49" i="17"/>
  <c r="AE49" i="17" s="1"/>
  <c r="H49" i="17"/>
  <c r="G49" i="17"/>
  <c r="X49" i="17" s="1"/>
  <c r="F49" i="17"/>
  <c r="E49" i="17"/>
  <c r="B49" i="17" s="1"/>
  <c r="D49" i="17"/>
  <c r="V48" i="17"/>
  <c r="U48" i="17"/>
  <c r="D48" i="17" s="1"/>
  <c r="S48" i="17"/>
  <c r="R48" i="17"/>
  <c r="AF48" i="17" s="1"/>
  <c r="Q48" i="17"/>
  <c r="P48" i="17"/>
  <c r="M48" i="17"/>
  <c r="K48" i="17"/>
  <c r="Z48" i="17" s="1"/>
  <c r="J48" i="17"/>
  <c r="I48" i="17"/>
  <c r="AE48" i="17" s="1"/>
  <c r="H48" i="17"/>
  <c r="G48" i="17"/>
  <c r="O48" i="17" s="1"/>
  <c r="F48" i="17"/>
  <c r="E48" i="17"/>
  <c r="B48" i="17"/>
  <c r="V47" i="17"/>
  <c r="U47" i="17"/>
  <c r="S47" i="17"/>
  <c r="R47" i="17"/>
  <c r="AF47" i="17" s="1"/>
  <c r="Q47" i="17"/>
  <c r="P47" i="17"/>
  <c r="M47" i="17"/>
  <c r="K47" i="17"/>
  <c r="Z47" i="17" s="1"/>
  <c r="J47" i="17"/>
  <c r="L47" i="17" s="1"/>
  <c r="AD47" i="17" s="1"/>
  <c r="I47" i="17"/>
  <c r="AE47" i="17" s="1"/>
  <c r="H47" i="17"/>
  <c r="G47" i="17"/>
  <c r="X47" i="17" s="1"/>
  <c r="AG47" i="17" s="1"/>
  <c r="F47" i="17"/>
  <c r="E47" i="17"/>
  <c r="B47" i="17" s="1"/>
  <c r="D47" i="17"/>
  <c r="X46" i="17"/>
  <c r="AG46" i="17" s="1"/>
  <c r="V46" i="17"/>
  <c r="U46" i="17"/>
  <c r="S46" i="17"/>
  <c r="R46" i="17"/>
  <c r="AF46" i="17" s="1"/>
  <c r="Q46" i="17"/>
  <c r="P46" i="17"/>
  <c r="M46" i="17"/>
  <c r="K46" i="17"/>
  <c r="Z46" i="17" s="1"/>
  <c r="J46" i="17"/>
  <c r="L46" i="17" s="1"/>
  <c r="I46" i="17"/>
  <c r="AE46" i="17" s="1"/>
  <c r="H46" i="17"/>
  <c r="G46" i="17"/>
  <c r="O46" i="17" s="1"/>
  <c r="F46" i="17"/>
  <c r="E46" i="17"/>
  <c r="D46" i="17"/>
  <c r="B46" i="17"/>
  <c r="AF45" i="17"/>
  <c r="V45" i="17"/>
  <c r="U45" i="17"/>
  <c r="S45" i="17"/>
  <c r="R45" i="17"/>
  <c r="Q45" i="17"/>
  <c r="P45" i="17"/>
  <c r="M45" i="17"/>
  <c r="K45" i="17"/>
  <c r="Z45" i="17" s="1"/>
  <c r="J45" i="17"/>
  <c r="I45" i="17"/>
  <c r="AE45" i="17" s="1"/>
  <c r="H45" i="17"/>
  <c r="G45" i="17"/>
  <c r="X45" i="17" s="1"/>
  <c r="F45" i="17"/>
  <c r="E45" i="17"/>
  <c r="D45" i="17"/>
  <c r="B45" i="17"/>
  <c r="V44" i="17"/>
  <c r="U44" i="17"/>
  <c r="S44" i="17"/>
  <c r="R44" i="17"/>
  <c r="AF44" i="17" s="1"/>
  <c r="Q44" i="17"/>
  <c r="P44" i="17"/>
  <c r="M44" i="17"/>
  <c r="N44" i="17" s="1"/>
  <c r="AB44" i="17" s="1"/>
  <c r="K44" i="17"/>
  <c r="Z44" i="17" s="1"/>
  <c r="J44" i="17"/>
  <c r="I44" i="17"/>
  <c r="AE44" i="17" s="1"/>
  <c r="H44" i="17"/>
  <c r="G44" i="17"/>
  <c r="O44" i="17" s="1"/>
  <c r="F44" i="17"/>
  <c r="E44" i="17"/>
  <c r="D44" i="17"/>
  <c r="B44" i="17"/>
  <c r="V43" i="17"/>
  <c r="U43" i="17"/>
  <c r="S43" i="17"/>
  <c r="R43" i="17"/>
  <c r="AF43" i="17" s="1"/>
  <c r="Q43" i="17"/>
  <c r="P43" i="17"/>
  <c r="M43" i="17"/>
  <c r="K43" i="17"/>
  <c r="Z43" i="17" s="1"/>
  <c r="J43" i="17"/>
  <c r="I43" i="17"/>
  <c r="AE43" i="17" s="1"/>
  <c r="H43" i="17"/>
  <c r="G43" i="17"/>
  <c r="O43" i="17" s="1"/>
  <c r="F43" i="17"/>
  <c r="E43" i="17"/>
  <c r="B43" i="17" s="1"/>
  <c r="D43" i="17"/>
  <c r="V42" i="17"/>
  <c r="U42" i="17"/>
  <c r="S42" i="17"/>
  <c r="R42" i="17"/>
  <c r="AF42" i="17" s="1"/>
  <c r="Q42" i="17"/>
  <c r="P42" i="17"/>
  <c r="M42" i="17"/>
  <c r="K42" i="17"/>
  <c r="Z42" i="17" s="1"/>
  <c r="J42" i="17"/>
  <c r="I42" i="17"/>
  <c r="AE42" i="17" s="1"/>
  <c r="H42" i="17"/>
  <c r="G42" i="17"/>
  <c r="O42" i="17" s="1"/>
  <c r="F42" i="17"/>
  <c r="E42" i="17"/>
  <c r="D42" i="17"/>
  <c r="B42" i="17"/>
  <c r="AF41" i="17"/>
  <c r="V41" i="17"/>
  <c r="U41" i="17"/>
  <c r="S41" i="17"/>
  <c r="R41" i="17"/>
  <c r="Q41" i="17"/>
  <c r="P41" i="17"/>
  <c r="M41" i="17"/>
  <c r="N41" i="17" s="1"/>
  <c r="AB41" i="17" s="1"/>
  <c r="K41" i="17"/>
  <c r="Z41" i="17" s="1"/>
  <c r="J41" i="17"/>
  <c r="I41" i="17"/>
  <c r="AE41" i="17" s="1"/>
  <c r="H41" i="17"/>
  <c r="G41" i="17"/>
  <c r="O41" i="17" s="1"/>
  <c r="F41" i="17"/>
  <c r="E41" i="17"/>
  <c r="B41" i="17" s="1"/>
  <c r="D41" i="17"/>
  <c r="AE40" i="17"/>
  <c r="V40" i="17"/>
  <c r="U40" i="17"/>
  <c r="D40" i="17" s="1"/>
  <c r="S40" i="17"/>
  <c r="R40" i="17"/>
  <c r="AF40" i="17" s="1"/>
  <c r="Q40" i="17"/>
  <c r="P40" i="17"/>
  <c r="M40" i="17"/>
  <c r="N40" i="17" s="1"/>
  <c r="AB40" i="17" s="1"/>
  <c r="K40" i="17"/>
  <c r="Z40" i="17" s="1"/>
  <c r="J40" i="17"/>
  <c r="L40" i="17" s="1"/>
  <c r="AA40" i="17" s="1"/>
  <c r="I40" i="17"/>
  <c r="H40" i="17"/>
  <c r="G40" i="17"/>
  <c r="O40" i="17" s="1"/>
  <c r="F40" i="17"/>
  <c r="E40" i="17"/>
  <c r="B40" i="17"/>
  <c r="V39" i="17"/>
  <c r="U39" i="17"/>
  <c r="S39" i="17"/>
  <c r="R39" i="17"/>
  <c r="AF39" i="17" s="1"/>
  <c r="Q39" i="17"/>
  <c r="P39" i="17"/>
  <c r="M39" i="17"/>
  <c r="K39" i="17"/>
  <c r="Z39" i="17" s="1"/>
  <c r="J39" i="17"/>
  <c r="I39" i="17"/>
  <c r="AE39" i="17" s="1"/>
  <c r="H39" i="17"/>
  <c r="G39" i="17"/>
  <c r="O39" i="17" s="1"/>
  <c r="F39" i="17"/>
  <c r="E39" i="17"/>
  <c r="B39" i="17" s="1"/>
  <c r="D39" i="17"/>
  <c r="V38" i="17"/>
  <c r="U38" i="17"/>
  <c r="S38" i="17"/>
  <c r="R38" i="17"/>
  <c r="AF38" i="17" s="1"/>
  <c r="Q38" i="17"/>
  <c r="P38" i="17"/>
  <c r="M38" i="17"/>
  <c r="K38" i="17"/>
  <c r="Z38" i="17" s="1"/>
  <c r="J38" i="17"/>
  <c r="I38" i="17"/>
  <c r="AE38" i="17" s="1"/>
  <c r="H38" i="17"/>
  <c r="G38" i="17"/>
  <c r="X38" i="17" s="1"/>
  <c r="AG38" i="17" s="1"/>
  <c r="F38" i="17"/>
  <c r="E38" i="17"/>
  <c r="D38" i="17"/>
  <c r="B38" i="17"/>
  <c r="V37" i="17"/>
  <c r="U37" i="17"/>
  <c r="S37" i="17"/>
  <c r="R37" i="17"/>
  <c r="AF37" i="17" s="1"/>
  <c r="Q37" i="17"/>
  <c r="P37" i="17"/>
  <c r="M37" i="17"/>
  <c r="K37" i="17"/>
  <c r="Z37" i="17" s="1"/>
  <c r="J37" i="17"/>
  <c r="I37" i="17"/>
  <c r="AE37" i="17" s="1"/>
  <c r="H37" i="17"/>
  <c r="G37" i="17"/>
  <c r="X37" i="17" s="1"/>
  <c r="F37" i="17"/>
  <c r="E37" i="17"/>
  <c r="B37" i="17" s="1"/>
  <c r="D37" i="17"/>
  <c r="AB36" i="17"/>
  <c r="V36" i="17"/>
  <c r="U36" i="17"/>
  <c r="D36" i="17" s="1"/>
  <c r="S36" i="17"/>
  <c r="R36" i="17"/>
  <c r="AF36" i="17" s="1"/>
  <c r="Q36" i="17"/>
  <c r="P36" i="17"/>
  <c r="K36" i="17"/>
  <c r="Z36" i="17" s="1"/>
  <c r="J36" i="17"/>
  <c r="I36" i="17"/>
  <c r="AE36" i="17" s="1"/>
  <c r="H36" i="17"/>
  <c r="G36" i="17"/>
  <c r="O36" i="17" s="1"/>
  <c r="F36" i="17"/>
  <c r="E36" i="17"/>
  <c r="B36" i="17" s="1"/>
  <c r="AB35" i="17"/>
  <c r="V35" i="17"/>
  <c r="U35" i="17"/>
  <c r="S35" i="17"/>
  <c r="R35" i="17"/>
  <c r="AF35" i="17" s="1"/>
  <c r="Q35" i="17"/>
  <c r="P35" i="17"/>
  <c r="K35" i="17"/>
  <c r="Z35" i="17" s="1"/>
  <c r="J35" i="17"/>
  <c r="I35" i="17"/>
  <c r="AE35" i="17" s="1"/>
  <c r="H35" i="17"/>
  <c r="G35" i="17"/>
  <c r="O35" i="17" s="1"/>
  <c r="F35" i="17"/>
  <c r="E35" i="17"/>
  <c r="B35" i="17" s="1"/>
  <c r="D35" i="17"/>
  <c r="AB34" i="17"/>
  <c r="V34" i="17"/>
  <c r="U34" i="17"/>
  <c r="D34" i="17" s="1"/>
  <c r="S34" i="17"/>
  <c r="R34" i="17"/>
  <c r="AF34" i="17" s="1"/>
  <c r="Q34" i="17"/>
  <c r="P34" i="17"/>
  <c r="K34" i="17"/>
  <c r="Z34" i="17" s="1"/>
  <c r="J34" i="17"/>
  <c r="I34" i="17"/>
  <c r="AE34" i="17" s="1"/>
  <c r="H34" i="17"/>
  <c r="G34" i="17"/>
  <c r="O34" i="17" s="1"/>
  <c r="F34" i="17"/>
  <c r="E34" i="17"/>
  <c r="B34" i="17" s="1"/>
  <c r="AB33" i="17"/>
  <c r="V33" i="17"/>
  <c r="U33" i="17"/>
  <c r="D33" i="17" s="1"/>
  <c r="S33" i="17"/>
  <c r="R33" i="17"/>
  <c r="AF33" i="17" s="1"/>
  <c r="Q33" i="17"/>
  <c r="P33" i="17"/>
  <c r="K33" i="17"/>
  <c r="Z33" i="17" s="1"/>
  <c r="J33" i="17"/>
  <c r="I33" i="17"/>
  <c r="AE33" i="17" s="1"/>
  <c r="H33" i="17"/>
  <c r="G33" i="17"/>
  <c r="O33" i="17" s="1"/>
  <c r="F33" i="17"/>
  <c r="E33" i="17"/>
  <c r="B33" i="17" s="1"/>
  <c r="AF32" i="17"/>
  <c r="AE32" i="17"/>
  <c r="AB32" i="17"/>
  <c r="V32" i="17"/>
  <c r="U32" i="17"/>
  <c r="S32" i="17"/>
  <c r="R32" i="17"/>
  <c r="Q32" i="17"/>
  <c r="P32" i="17"/>
  <c r="K32" i="17"/>
  <c r="Z32" i="17" s="1"/>
  <c r="J32" i="17"/>
  <c r="I32" i="17"/>
  <c r="H32" i="17"/>
  <c r="G32" i="17"/>
  <c r="O32" i="17" s="1"/>
  <c r="F32" i="17"/>
  <c r="E32" i="17"/>
  <c r="D32" i="17"/>
  <c r="B32" i="17"/>
  <c r="AB31" i="17"/>
  <c r="V31" i="17"/>
  <c r="U31" i="17"/>
  <c r="S31" i="17"/>
  <c r="R31" i="17"/>
  <c r="AF31" i="17" s="1"/>
  <c r="Q31" i="17"/>
  <c r="P31" i="17"/>
  <c r="K31" i="17"/>
  <c r="Z31" i="17" s="1"/>
  <c r="J31" i="17"/>
  <c r="I31" i="17"/>
  <c r="AE31" i="17" s="1"/>
  <c r="H31" i="17"/>
  <c r="G31" i="17"/>
  <c r="O31" i="17" s="1"/>
  <c r="F31" i="17"/>
  <c r="E31" i="17"/>
  <c r="B31" i="17" s="1"/>
  <c r="D31" i="17"/>
  <c r="AB30" i="17"/>
  <c r="V30" i="17"/>
  <c r="U30" i="17"/>
  <c r="D30" i="17" s="1"/>
  <c r="S30" i="17"/>
  <c r="R30" i="17"/>
  <c r="AF30" i="17" s="1"/>
  <c r="Q30" i="17"/>
  <c r="P30" i="17"/>
  <c r="K30" i="17"/>
  <c r="Z30" i="17" s="1"/>
  <c r="J30" i="17"/>
  <c r="I30" i="17"/>
  <c r="AE30" i="17" s="1"/>
  <c r="H30" i="17"/>
  <c r="G30" i="17"/>
  <c r="O30" i="17" s="1"/>
  <c r="F30" i="17"/>
  <c r="E30" i="17"/>
  <c r="B30" i="17" s="1"/>
  <c r="AB29" i="17"/>
  <c r="V29" i="17"/>
  <c r="U29" i="17"/>
  <c r="D29" i="17" s="1"/>
  <c r="S29" i="17"/>
  <c r="R29" i="17"/>
  <c r="AF29" i="17" s="1"/>
  <c r="Q29" i="17"/>
  <c r="P29" i="17"/>
  <c r="K29" i="17"/>
  <c r="Z29" i="17" s="1"/>
  <c r="J29" i="17"/>
  <c r="I29" i="17"/>
  <c r="AE29" i="17" s="1"/>
  <c r="H29" i="17"/>
  <c r="G29" i="17"/>
  <c r="O29" i="17" s="1"/>
  <c r="F29" i="17"/>
  <c r="E29" i="17"/>
  <c r="B29" i="17" s="1"/>
  <c r="AB28" i="17"/>
  <c r="V28" i="17"/>
  <c r="U28" i="17"/>
  <c r="S28" i="17"/>
  <c r="R28" i="17"/>
  <c r="AF28" i="17" s="1"/>
  <c r="Q28" i="17"/>
  <c r="P28" i="17"/>
  <c r="L28" i="17"/>
  <c r="AD28" i="17" s="1"/>
  <c r="K28" i="17"/>
  <c r="Z28" i="17" s="1"/>
  <c r="J28" i="17"/>
  <c r="I28" i="17"/>
  <c r="AE28" i="17" s="1"/>
  <c r="H28" i="17"/>
  <c r="G28" i="17"/>
  <c r="O28" i="17" s="1"/>
  <c r="F28" i="17"/>
  <c r="E28" i="17"/>
  <c r="D28" i="17"/>
  <c r="B28" i="17"/>
  <c r="AB27" i="17"/>
  <c r="V27" i="17"/>
  <c r="U27" i="17"/>
  <c r="S27" i="17"/>
  <c r="R27" i="17"/>
  <c r="AF27" i="17" s="1"/>
  <c r="Q27" i="17"/>
  <c r="P27" i="17"/>
  <c r="K27" i="17"/>
  <c r="Z27" i="17" s="1"/>
  <c r="J27" i="17"/>
  <c r="L27" i="17" s="1"/>
  <c r="AC27" i="17" s="1"/>
  <c r="I27" i="17"/>
  <c r="AE27" i="17" s="1"/>
  <c r="H27" i="17"/>
  <c r="G27" i="17"/>
  <c r="O27" i="17" s="1"/>
  <c r="F27" i="17"/>
  <c r="E27" i="17"/>
  <c r="B27" i="17" s="1"/>
  <c r="D27" i="17"/>
  <c r="V26" i="17"/>
  <c r="U26" i="17"/>
  <c r="D26" i="17" s="1"/>
  <c r="S26" i="17"/>
  <c r="R26" i="17"/>
  <c r="Q26" i="17"/>
  <c r="P26" i="17"/>
  <c r="K26" i="17"/>
  <c r="Z26" i="17" s="1"/>
  <c r="J26" i="17"/>
  <c r="I26" i="17"/>
  <c r="H26" i="17"/>
  <c r="G26" i="17"/>
  <c r="O26" i="17" s="1"/>
  <c r="F26" i="17"/>
  <c r="E26" i="17"/>
  <c r="B26" i="17"/>
  <c r="Z25" i="17"/>
  <c r="V25" i="17"/>
  <c r="U25" i="17"/>
  <c r="D25" i="17" s="1"/>
  <c r="S25" i="17"/>
  <c r="R25" i="17"/>
  <c r="Q25" i="17"/>
  <c r="P25" i="17"/>
  <c r="K25" i="17"/>
  <c r="J25" i="17"/>
  <c r="I25" i="17"/>
  <c r="H25" i="17"/>
  <c r="G25" i="17"/>
  <c r="O25" i="17" s="1"/>
  <c r="F25" i="17"/>
  <c r="E25" i="17"/>
  <c r="B25" i="17"/>
  <c r="V24" i="17"/>
  <c r="U24" i="17"/>
  <c r="S24" i="17"/>
  <c r="R24" i="17"/>
  <c r="Q24" i="17"/>
  <c r="P24" i="17"/>
  <c r="K24" i="17"/>
  <c r="Z24" i="17" s="1"/>
  <c r="J24" i="17"/>
  <c r="I24" i="17"/>
  <c r="H24" i="17"/>
  <c r="G24" i="17"/>
  <c r="O24" i="17" s="1"/>
  <c r="F24" i="17"/>
  <c r="E24" i="17"/>
  <c r="D24" i="17"/>
  <c r="B24" i="17"/>
  <c r="V23" i="17"/>
  <c r="U23" i="17"/>
  <c r="S23" i="17"/>
  <c r="R23" i="17"/>
  <c r="Q23" i="17"/>
  <c r="P23" i="17"/>
  <c r="K23" i="17"/>
  <c r="Z23" i="17" s="1"/>
  <c r="J23" i="17"/>
  <c r="I23" i="17"/>
  <c r="H23" i="17"/>
  <c r="G23" i="17"/>
  <c r="O23" i="17" s="1"/>
  <c r="F23" i="17"/>
  <c r="E23" i="17"/>
  <c r="D23" i="17"/>
  <c r="B23" i="17"/>
  <c r="V22" i="17"/>
  <c r="U22" i="17"/>
  <c r="D22" i="17" s="1"/>
  <c r="S22" i="17"/>
  <c r="R22" i="17"/>
  <c r="Q22" i="17"/>
  <c r="P22" i="17"/>
  <c r="K22" i="17"/>
  <c r="Z22" i="17" s="1"/>
  <c r="J22" i="17"/>
  <c r="I22" i="17"/>
  <c r="H22" i="17"/>
  <c r="G22" i="17"/>
  <c r="O22" i="17" s="1"/>
  <c r="F22" i="17"/>
  <c r="E22" i="17"/>
  <c r="B22" i="17"/>
  <c r="Z21" i="17"/>
  <c r="V21" i="17"/>
  <c r="U21" i="17"/>
  <c r="D21" i="17" s="1"/>
  <c r="S21" i="17"/>
  <c r="R21" i="17"/>
  <c r="Q21" i="17"/>
  <c r="P21" i="17"/>
  <c r="K21" i="17"/>
  <c r="J21" i="17"/>
  <c r="L21" i="17" s="1"/>
  <c r="I21" i="17"/>
  <c r="H21" i="17"/>
  <c r="G21" i="17"/>
  <c r="O21" i="17" s="1"/>
  <c r="F21" i="17"/>
  <c r="E21" i="17"/>
  <c r="B21" i="17"/>
  <c r="V20" i="17"/>
  <c r="U20" i="17"/>
  <c r="S20" i="17"/>
  <c r="R20" i="17"/>
  <c r="Q20" i="17"/>
  <c r="P20" i="17"/>
  <c r="K20" i="17"/>
  <c r="Z20" i="17" s="1"/>
  <c r="J20" i="17"/>
  <c r="I20" i="17"/>
  <c r="H20" i="17"/>
  <c r="G20" i="17"/>
  <c r="O20" i="17" s="1"/>
  <c r="F20" i="17"/>
  <c r="E20" i="17"/>
  <c r="D20" i="17"/>
  <c r="B20" i="17"/>
  <c r="V19" i="17"/>
  <c r="U19" i="17"/>
  <c r="S19" i="17"/>
  <c r="R19" i="17"/>
  <c r="Q19" i="17"/>
  <c r="P19" i="17"/>
  <c r="L19" i="17"/>
  <c r="K19" i="17"/>
  <c r="Z19" i="17" s="1"/>
  <c r="J19" i="17"/>
  <c r="I19" i="17"/>
  <c r="H19" i="17"/>
  <c r="G19" i="17"/>
  <c r="O19" i="17" s="1"/>
  <c r="F19" i="17"/>
  <c r="E19" i="17"/>
  <c r="D19" i="17"/>
  <c r="B19" i="17"/>
  <c r="V18" i="17"/>
  <c r="U18" i="17"/>
  <c r="D18" i="17" s="1"/>
  <c r="S18" i="17"/>
  <c r="R18" i="17"/>
  <c r="Q18" i="17"/>
  <c r="P18" i="17"/>
  <c r="K18" i="17"/>
  <c r="Z18" i="17" s="1"/>
  <c r="J18" i="17"/>
  <c r="I18" i="17"/>
  <c r="H18" i="17"/>
  <c r="G18" i="17"/>
  <c r="O18" i="17" s="1"/>
  <c r="F18" i="17"/>
  <c r="E18" i="17"/>
  <c r="B18" i="17"/>
  <c r="Z17" i="17"/>
  <c r="V17" i="17"/>
  <c r="U17" i="17"/>
  <c r="D17" i="17" s="1"/>
  <c r="S17" i="17"/>
  <c r="R17" i="17"/>
  <c r="Q17" i="17"/>
  <c r="P17" i="17"/>
  <c r="K17" i="17"/>
  <c r="J17" i="17"/>
  <c r="I17" i="17"/>
  <c r="H17" i="17"/>
  <c r="G17" i="17"/>
  <c r="O17" i="17" s="1"/>
  <c r="F17" i="17"/>
  <c r="E17" i="17"/>
  <c r="B17" i="17"/>
  <c r="V16" i="17"/>
  <c r="U16" i="17"/>
  <c r="S16" i="17"/>
  <c r="R16" i="17"/>
  <c r="Q16" i="17"/>
  <c r="P16" i="17"/>
  <c r="K16" i="17"/>
  <c r="Z16" i="17" s="1"/>
  <c r="J16" i="17"/>
  <c r="I16" i="17"/>
  <c r="H16" i="17"/>
  <c r="G16" i="17"/>
  <c r="O16" i="17" s="1"/>
  <c r="F16" i="17"/>
  <c r="E16" i="17"/>
  <c r="D16" i="17"/>
  <c r="B16" i="17"/>
  <c r="V15" i="17"/>
  <c r="U15" i="17"/>
  <c r="S15" i="17"/>
  <c r="R15" i="17"/>
  <c r="Q15" i="17"/>
  <c r="P15" i="17"/>
  <c r="K15" i="17"/>
  <c r="Z15" i="17" s="1"/>
  <c r="J15" i="17"/>
  <c r="I15" i="17"/>
  <c r="H15" i="17"/>
  <c r="G15" i="17"/>
  <c r="O15" i="17" s="1"/>
  <c r="F15" i="17"/>
  <c r="E15" i="17"/>
  <c r="D15" i="17"/>
  <c r="B15" i="17"/>
  <c r="V14" i="17"/>
  <c r="U14" i="17"/>
  <c r="D14" i="17" s="1"/>
  <c r="S14" i="17"/>
  <c r="R14" i="17"/>
  <c r="Q14" i="17"/>
  <c r="P14" i="17"/>
  <c r="K14" i="17"/>
  <c r="Z14" i="17" s="1"/>
  <c r="J14" i="17"/>
  <c r="I14" i="17"/>
  <c r="H14" i="17"/>
  <c r="G14" i="17"/>
  <c r="O14" i="17" s="1"/>
  <c r="F14" i="17"/>
  <c r="E14" i="17"/>
  <c r="B14" i="17"/>
  <c r="V13" i="17"/>
  <c r="U13" i="17"/>
  <c r="D13" i="17" s="1"/>
  <c r="S13" i="17"/>
  <c r="R13" i="17"/>
  <c r="Q13" i="17"/>
  <c r="P13" i="17"/>
  <c r="K13" i="17"/>
  <c r="Z13" i="17" s="1"/>
  <c r="J13" i="17"/>
  <c r="I13" i="17"/>
  <c r="H13" i="17"/>
  <c r="G13" i="17"/>
  <c r="O13" i="17" s="1"/>
  <c r="F13" i="17"/>
  <c r="E13" i="17"/>
  <c r="B13" i="17"/>
  <c r="V12" i="17"/>
  <c r="U12" i="17"/>
  <c r="S12" i="17"/>
  <c r="R12" i="17"/>
  <c r="Q12" i="17"/>
  <c r="P12" i="17"/>
  <c r="K12" i="17"/>
  <c r="Z12" i="17" s="1"/>
  <c r="J12" i="17"/>
  <c r="L12" i="17" s="1"/>
  <c r="I12" i="17"/>
  <c r="H12" i="17"/>
  <c r="G12" i="17"/>
  <c r="O12" i="17" s="1"/>
  <c r="F12" i="17"/>
  <c r="E12" i="17"/>
  <c r="D12" i="17"/>
  <c r="B12" i="17"/>
  <c r="V11" i="17"/>
  <c r="U11" i="17"/>
  <c r="S11" i="17"/>
  <c r="R11" i="17"/>
  <c r="Q11" i="17"/>
  <c r="P11" i="17"/>
  <c r="K11" i="17"/>
  <c r="Z11" i="17" s="1"/>
  <c r="J11" i="17"/>
  <c r="L11" i="17" s="1"/>
  <c r="I11" i="17"/>
  <c r="H11" i="17"/>
  <c r="G11" i="17"/>
  <c r="O11" i="17" s="1"/>
  <c r="F11" i="17"/>
  <c r="E11" i="17"/>
  <c r="D11" i="17"/>
  <c r="B11" i="17"/>
  <c r="V10" i="17"/>
  <c r="U10" i="17"/>
  <c r="D10" i="17" s="1"/>
  <c r="S10" i="17"/>
  <c r="R10" i="17"/>
  <c r="Q10" i="17"/>
  <c r="P10" i="17"/>
  <c r="K10" i="17"/>
  <c r="Z10" i="17" s="1"/>
  <c r="J10" i="17"/>
  <c r="I10" i="17"/>
  <c r="H10" i="17"/>
  <c r="G10" i="17"/>
  <c r="O10" i="17" s="1"/>
  <c r="F10" i="17"/>
  <c r="E10" i="17"/>
  <c r="B10" i="17"/>
  <c r="V9" i="17"/>
  <c r="U9" i="17"/>
  <c r="D9" i="17" s="1"/>
  <c r="S9" i="17"/>
  <c r="R9" i="17"/>
  <c r="Q9" i="17"/>
  <c r="P9" i="17"/>
  <c r="K9" i="17"/>
  <c r="Z9" i="17" s="1"/>
  <c r="J9" i="17"/>
  <c r="L9" i="17" s="1"/>
  <c r="I9" i="17"/>
  <c r="H9" i="17"/>
  <c r="G9" i="17"/>
  <c r="O9" i="17" s="1"/>
  <c r="F9" i="17"/>
  <c r="E9" i="17"/>
  <c r="B9" i="17"/>
  <c r="V8" i="17"/>
  <c r="U8" i="17"/>
  <c r="S8" i="17"/>
  <c r="R8" i="17"/>
  <c r="Q8" i="17"/>
  <c r="P8" i="17"/>
  <c r="K8" i="17"/>
  <c r="Z8" i="17" s="1"/>
  <c r="J8" i="17"/>
  <c r="I8" i="17"/>
  <c r="H8" i="17"/>
  <c r="G8" i="17"/>
  <c r="O8" i="17" s="1"/>
  <c r="F8" i="17"/>
  <c r="E8" i="17"/>
  <c r="D8" i="17"/>
  <c r="B8" i="17"/>
  <c r="V7" i="17"/>
  <c r="U7" i="17"/>
  <c r="S7" i="17"/>
  <c r="R7" i="17"/>
  <c r="Q7" i="17"/>
  <c r="P7" i="17"/>
  <c r="K7" i="17"/>
  <c r="Z7" i="17" s="1"/>
  <c r="J7" i="17"/>
  <c r="L7" i="17" s="1"/>
  <c r="I7" i="17"/>
  <c r="H7" i="17"/>
  <c r="G7" i="17"/>
  <c r="O7" i="17" s="1"/>
  <c r="F7" i="17"/>
  <c r="E7" i="17"/>
  <c r="D7" i="17"/>
  <c r="B7" i="17"/>
  <c r="V6" i="17"/>
  <c r="U6" i="17"/>
  <c r="D6" i="17" s="1"/>
  <c r="S6" i="17"/>
  <c r="R6" i="17"/>
  <c r="Q6" i="17"/>
  <c r="P6" i="17"/>
  <c r="K6" i="17"/>
  <c r="Z6" i="17" s="1"/>
  <c r="J6" i="17"/>
  <c r="I6" i="17"/>
  <c r="H6" i="17"/>
  <c r="G6" i="17"/>
  <c r="O6" i="17" s="1"/>
  <c r="F6" i="17"/>
  <c r="E6" i="17"/>
  <c r="B6" i="17"/>
  <c r="V5" i="17"/>
  <c r="U5" i="17"/>
  <c r="D5" i="17" s="1"/>
  <c r="S5" i="17"/>
  <c r="R5" i="17"/>
  <c r="Q5" i="17"/>
  <c r="P5" i="17"/>
  <c r="K5" i="17"/>
  <c r="Z5" i="17" s="1"/>
  <c r="J5" i="17"/>
  <c r="I5" i="17"/>
  <c r="H5" i="17"/>
  <c r="G5" i="17"/>
  <c r="O5" i="17" s="1"/>
  <c r="F5" i="17"/>
  <c r="E5" i="17"/>
  <c r="B5" i="17"/>
  <c r="V4" i="17"/>
  <c r="U4" i="17"/>
  <c r="S4" i="17"/>
  <c r="R4" i="17"/>
  <c r="Q4" i="17"/>
  <c r="P4" i="17"/>
  <c r="K4" i="17"/>
  <c r="Z4" i="17" s="1"/>
  <c r="J4" i="17"/>
  <c r="I4" i="17"/>
  <c r="H4" i="17"/>
  <c r="G4" i="17"/>
  <c r="O4" i="17" s="1"/>
  <c r="F4" i="17"/>
  <c r="E4" i="17"/>
  <c r="D4" i="17"/>
  <c r="B4" i="17"/>
  <c r="V3" i="17"/>
  <c r="U3" i="17"/>
  <c r="S3" i="17"/>
  <c r="R3" i="17"/>
  <c r="Q3" i="17"/>
  <c r="P3" i="17"/>
  <c r="K3" i="17"/>
  <c r="Z3" i="17" s="1"/>
  <c r="J3" i="17"/>
  <c r="L3" i="17" s="1"/>
  <c r="I3" i="17"/>
  <c r="H3" i="17"/>
  <c r="G3" i="17"/>
  <c r="O3" i="17" s="1"/>
  <c r="F3" i="17"/>
  <c r="E3" i="17"/>
  <c r="D3" i="17"/>
  <c r="B3" i="17"/>
  <c r="V2" i="17"/>
  <c r="U2" i="17"/>
  <c r="D2" i="17" s="1"/>
  <c r="S2" i="17"/>
  <c r="R2" i="17"/>
  <c r="Q2" i="17"/>
  <c r="P2" i="17"/>
  <c r="K2" i="17"/>
  <c r="Z2" i="17" s="1"/>
  <c r="J2" i="17"/>
  <c r="I2" i="17"/>
  <c r="H2" i="17"/>
  <c r="G2" i="17"/>
  <c r="O2" i="17" s="1"/>
  <c r="F2" i="17"/>
  <c r="E2" i="17"/>
  <c r="B2" i="17"/>
  <c r="J1" i="17"/>
  <c r="I1" i="17"/>
  <c r="H1" i="17"/>
  <c r="G1" i="17"/>
  <c r="F1" i="17"/>
  <c r="S44" i="16"/>
  <c r="I44" i="16"/>
  <c r="B44" i="16"/>
  <c r="U44" i="16" s="1"/>
  <c r="V44" i="16" s="1"/>
  <c r="W44" i="16" s="1"/>
  <c r="P43" i="16"/>
  <c r="O43" i="16"/>
  <c r="M43" i="16"/>
  <c r="J43" i="16"/>
  <c r="I43" i="16"/>
  <c r="H43" i="16"/>
  <c r="P42" i="16"/>
  <c r="O42" i="16"/>
  <c r="M42" i="16"/>
  <c r="K42" i="16"/>
  <c r="N42" i="16" s="1"/>
  <c r="J42" i="16"/>
  <c r="I42" i="16"/>
  <c r="H42" i="16"/>
  <c r="P41" i="16"/>
  <c r="Q41" i="16" s="1"/>
  <c r="R41" i="16" s="1"/>
  <c r="O41" i="16"/>
  <c r="M41" i="16"/>
  <c r="I41" i="16"/>
  <c r="H41" i="16"/>
  <c r="J41" i="16" s="1"/>
  <c r="P40" i="16"/>
  <c r="Q40" i="16" s="1"/>
  <c r="R40" i="16" s="1"/>
  <c r="O40" i="16"/>
  <c r="N40" i="16"/>
  <c r="M40" i="16"/>
  <c r="I40" i="16"/>
  <c r="K40" i="16" s="1"/>
  <c r="H40" i="16"/>
  <c r="J40" i="16" s="1"/>
  <c r="P39" i="16"/>
  <c r="O39" i="16"/>
  <c r="M39" i="16"/>
  <c r="K39" i="16"/>
  <c r="N39" i="16" s="1"/>
  <c r="J39" i="16"/>
  <c r="I39" i="16"/>
  <c r="H39" i="16"/>
  <c r="P38" i="16"/>
  <c r="O38" i="16"/>
  <c r="Q38" i="16" s="1"/>
  <c r="R38" i="16" s="1"/>
  <c r="M38" i="16"/>
  <c r="K38" i="16"/>
  <c r="N38" i="16" s="1"/>
  <c r="I38" i="16"/>
  <c r="H38" i="16"/>
  <c r="J38" i="16" s="1"/>
  <c r="P37" i="16"/>
  <c r="Q37" i="16" s="1"/>
  <c r="R37" i="16" s="1"/>
  <c r="O37" i="16"/>
  <c r="N37" i="16"/>
  <c r="M37" i="16"/>
  <c r="K37" i="16"/>
  <c r="I37" i="16"/>
  <c r="H37" i="16"/>
  <c r="J37" i="16" s="1"/>
  <c r="P36" i="16"/>
  <c r="O36" i="16"/>
  <c r="Q36" i="16" s="1"/>
  <c r="M36" i="16"/>
  <c r="I36" i="16"/>
  <c r="H36" i="16"/>
  <c r="J36" i="16" s="1"/>
  <c r="P35" i="16"/>
  <c r="Q35" i="16" s="1"/>
  <c r="R35" i="16" s="1"/>
  <c r="O35" i="16"/>
  <c r="M35" i="16"/>
  <c r="J35" i="16"/>
  <c r="I35" i="16"/>
  <c r="H35" i="16"/>
  <c r="P34" i="16"/>
  <c r="Q34" i="16" s="1"/>
  <c r="R34" i="16" s="1"/>
  <c r="AA34" i="16" s="1"/>
  <c r="O34" i="16"/>
  <c r="M34" i="16"/>
  <c r="K34" i="16"/>
  <c r="N34" i="16" s="1"/>
  <c r="J34" i="16"/>
  <c r="I34" i="16"/>
  <c r="H34" i="16"/>
  <c r="P33" i="16"/>
  <c r="O33" i="16"/>
  <c r="M33" i="16"/>
  <c r="I33" i="16"/>
  <c r="K33" i="16" s="1"/>
  <c r="N33" i="16" s="1"/>
  <c r="H33" i="16"/>
  <c r="J33" i="16" s="1"/>
  <c r="P32" i="16"/>
  <c r="O32" i="16"/>
  <c r="N32" i="16"/>
  <c r="M32" i="16"/>
  <c r="I32" i="16"/>
  <c r="K32" i="16" s="1"/>
  <c r="H32" i="16"/>
  <c r="J32" i="16" s="1"/>
  <c r="P31" i="16"/>
  <c r="O31" i="16"/>
  <c r="M31" i="16"/>
  <c r="J31" i="16"/>
  <c r="I31" i="16"/>
  <c r="H31" i="16"/>
  <c r="P30" i="16"/>
  <c r="Q30" i="16" s="1"/>
  <c r="R30" i="16" s="1"/>
  <c r="O30" i="16"/>
  <c r="M30" i="16"/>
  <c r="K30" i="16"/>
  <c r="N30" i="16" s="1"/>
  <c r="I30" i="16"/>
  <c r="H30" i="16"/>
  <c r="J30" i="16" s="1"/>
  <c r="Q29" i="16"/>
  <c r="R29" i="16" s="1"/>
  <c r="P29" i="16"/>
  <c r="O29" i="16"/>
  <c r="M29" i="16"/>
  <c r="K29" i="16"/>
  <c r="N29" i="16" s="1"/>
  <c r="I29" i="16"/>
  <c r="H29" i="16"/>
  <c r="J29" i="16" s="1"/>
  <c r="P28" i="16"/>
  <c r="Q28" i="16" s="1"/>
  <c r="O28" i="16"/>
  <c r="M28" i="16"/>
  <c r="I28" i="16"/>
  <c r="K28" i="16" s="1"/>
  <c r="N28" i="16" s="1"/>
  <c r="H28" i="16"/>
  <c r="J28" i="16" s="1"/>
  <c r="P27" i="16"/>
  <c r="O27" i="16"/>
  <c r="Q27" i="16" s="1"/>
  <c r="R27" i="16" s="1"/>
  <c r="M27" i="16"/>
  <c r="J27" i="16"/>
  <c r="I27" i="16"/>
  <c r="H27" i="16"/>
  <c r="P26" i="16"/>
  <c r="Q26" i="16" s="1"/>
  <c r="R26" i="16" s="1"/>
  <c r="AA26" i="16" s="1"/>
  <c r="O26" i="16"/>
  <c r="N26" i="16"/>
  <c r="M26" i="16"/>
  <c r="K26" i="16"/>
  <c r="J26" i="16"/>
  <c r="I26" i="16"/>
  <c r="H26" i="16"/>
  <c r="P25" i="16"/>
  <c r="Q25" i="16" s="1"/>
  <c r="R25" i="16" s="1"/>
  <c r="O25" i="16"/>
  <c r="M25" i="16"/>
  <c r="I25" i="16"/>
  <c r="K25" i="16" s="1"/>
  <c r="N25" i="16" s="1"/>
  <c r="H25" i="16"/>
  <c r="J25" i="16" s="1"/>
  <c r="P24" i="16"/>
  <c r="Q24" i="16" s="1"/>
  <c r="O24" i="16"/>
  <c r="M24" i="16"/>
  <c r="I24" i="16"/>
  <c r="H24" i="16"/>
  <c r="J24" i="16" s="1"/>
  <c r="P23" i="16"/>
  <c r="O23" i="16"/>
  <c r="M23" i="16"/>
  <c r="J23" i="16"/>
  <c r="I23" i="16"/>
  <c r="K23" i="16" s="1"/>
  <c r="N23" i="16" s="1"/>
  <c r="H23" i="16"/>
  <c r="P22" i="16"/>
  <c r="O22" i="16"/>
  <c r="M22" i="16"/>
  <c r="K22" i="16"/>
  <c r="N22" i="16" s="1"/>
  <c r="J22" i="16"/>
  <c r="I22" i="16"/>
  <c r="H22" i="16"/>
  <c r="P21" i="16"/>
  <c r="O21" i="16"/>
  <c r="K21" i="16"/>
  <c r="N21" i="16" s="1"/>
  <c r="J21" i="16"/>
  <c r="I21" i="16"/>
  <c r="H21" i="16"/>
  <c r="Q20" i="16"/>
  <c r="R20" i="16" s="1"/>
  <c r="AA20" i="16" s="1"/>
  <c r="P20" i="16"/>
  <c r="O20" i="16"/>
  <c r="K20" i="16"/>
  <c r="N20" i="16" s="1"/>
  <c r="J20" i="16"/>
  <c r="I20" i="16"/>
  <c r="H20" i="16"/>
  <c r="P19" i="16"/>
  <c r="O19" i="16"/>
  <c r="J19" i="16"/>
  <c r="H19" i="16"/>
  <c r="G19" i="16"/>
  <c r="Q18" i="16"/>
  <c r="R18" i="16" s="1"/>
  <c r="P18" i="16"/>
  <c r="O18" i="16"/>
  <c r="I18" i="16"/>
  <c r="H18" i="16"/>
  <c r="J18" i="16" s="1"/>
  <c r="G18" i="16"/>
  <c r="P17" i="16"/>
  <c r="Q17" i="16" s="1"/>
  <c r="O17" i="16"/>
  <c r="H17" i="16"/>
  <c r="J17" i="16" s="1"/>
  <c r="G17" i="16"/>
  <c r="AA16" i="16"/>
  <c r="P16" i="16"/>
  <c r="Q16" i="16" s="1"/>
  <c r="R16" i="16" s="1"/>
  <c r="O16" i="16"/>
  <c r="J16" i="16"/>
  <c r="I16" i="16"/>
  <c r="K16" i="16" s="1"/>
  <c r="N16" i="16" s="1"/>
  <c r="H16" i="16"/>
  <c r="G16" i="16"/>
  <c r="P15" i="16"/>
  <c r="Q15" i="16" s="1"/>
  <c r="O15" i="16"/>
  <c r="M15" i="16"/>
  <c r="H15" i="16"/>
  <c r="J15" i="16" s="1"/>
  <c r="G15" i="16"/>
  <c r="P14" i="16"/>
  <c r="O14" i="16"/>
  <c r="M14" i="16"/>
  <c r="J14" i="16"/>
  <c r="I14" i="16"/>
  <c r="H14" i="16"/>
  <c r="G14" i="16"/>
  <c r="P13" i="16"/>
  <c r="O13" i="16"/>
  <c r="M13" i="16"/>
  <c r="H13" i="16"/>
  <c r="J13" i="16" s="1"/>
  <c r="G13" i="16"/>
  <c r="P12" i="16"/>
  <c r="Q12" i="16" s="1"/>
  <c r="R12" i="16" s="1"/>
  <c r="AA12" i="16" s="1"/>
  <c r="O12" i="16"/>
  <c r="M12" i="16"/>
  <c r="K12" i="16"/>
  <c r="N12" i="16" s="1"/>
  <c r="J12" i="16"/>
  <c r="I12" i="16"/>
  <c r="H12" i="16"/>
  <c r="G12" i="16"/>
  <c r="P11" i="16"/>
  <c r="O11" i="16"/>
  <c r="Q11" i="16" s="1"/>
  <c r="M11" i="16"/>
  <c r="H11" i="16"/>
  <c r="J11" i="16" s="1"/>
  <c r="G11" i="16"/>
  <c r="P10" i="16"/>
  <c r="O10" i="16"/>
  <c r="M10" i="16"/>
  <c r="K10" i="16"/>
  <c r="N10" i="16" s="1"/>
  <c r="J10" i="16"/>
  <c r="I10" i="16"/>
  <c r="H10" i="16"/>
  <c r="G10" i="16"/>
  <c r="P9" i="16"/>
  <c r="Q9" i="16" s="1"/>
  <c r="R9" i="16" s="1"/>
  <c r="O9" i="16"/>
  <c r="M9" i="16"/>
  <c r="I9" i="16"/>
  <c r="H9" i="16"/>
  <c r="J9" i="16" s="1"/>
  <c r="G9" i="16"/>
  <c r="P8" i="16"/>
  <c r="O8" i="16"/>
  <c r="K8" i="16"/>
  <c r="N8" i="16" s="1"/>
  <c r="I8" i="16"/>
  <c r="H8" i="16"/>
  <c r="J8" i="16" s="1"/>
  <c r="G8" i="16"/>
  <c r="Q7" i="16"/>
  <c r="P7" i="16"/>
  <c r="O7" i="16"/>
  <c r="J7" i="16"/>
  <c r="H7" i="16"/>
  <c r="G7" i="16"/>
  <c r="I7" i="16" s="1"/>
  <c r="P6" i="16"/>
  <c r="O6" i="16"/>
  <c r="H6" i="16"/>
  <c r="J6" i="16" s="1"/>
  <c r="G6" i="16"/>
  <c r="P5" i="16"/>
  <c r="O5" i="16"/>
  <c r="Q5" i="16" s="1"/>
  <c r="R5" i="16" s="1"/>
  <c r="I5" i="16"/>
  <c r="H5" i="16"/>
  <c r="J5" i="16" s="1"/>
  <c r="G5" i="16"/>
  <c r="P4" i="16"/>
  <c r="O4" i="16"/>
  <c r="Q4" i="16" s="1"/>
  <c r="J4" i="16"/>
  <c r="H4" i="16"/>
  <c r="G4" i="16"/>
  <c r="P3" i="16"/>
  <c r="Q3" i="16" s="1"/>
  <c r="O3" i="16"/>
  <c r="J3" i="16"/>
  <c r="H3" i="16"/>
  <c r="G3" i="16"/>
  <c r="I3" i="16" s="1"/>
  <c r="P2" i="16"/>
  <c r="O2" i="16"/>
  <c r="J2" i="16"/>
  <c r="I2" i="16"/>
  <c r="K2" i="16" s="1"/>
  <c r="N2" i="16" s="1"/>
  <c r="H2" i="16"/>
  <c r="G2" i="16"/>
  <c r="Z25" i="16" l="1"/>
  <c r="S25" i="16"/>
  <c r="Q33" i="16"/>
  <c r="R33" i="16" s="1"/>
  <c r="Q6" i="16"/>
  <c r="Q32" i="16"/>
  <c r="R32" i="16" s="1"/>
  <c r="Z32" i="16" s="1"/>
  <c r="U34" i="16"/>
  <c r="R36" i="16"/>
  <c r="S36" i="16" s="1"/>
  <c r="L5" i="17"/>
  <c r="O49" i="17"/>
  <c r="N51" i="17"/>
  <c r="AB51" i="17" s="1"/>
  <c r="X64" i="17"/>
  <c r="N66" i="17"/>
  <c r="AB66" i="17" s="1"/>
  <c r="N74" i="17"/>
  <c r="AB74" i="17" s="1"/>
  <c r="N120" i="17"/>
  <c r="AB120" i="17" s="1"/>
  <c r="X228" i="17"/>
  <c r="AG228" i="17" s="1"/>
  <c r="U39" i="16"/>
  <c r="S34" i="16"/>
  <c r="L24" i="17"/>
  <c r="L31" i="17"/>
  <c r="L32" i="17"/>
  <c r="AD32" i="17" s="1"/>
  <c r="X32" i="17"/>
  <c r="O47" i="17"/>
  <c r="N50" i="17"/>
  <c r="AB50" i="17" s="1"/>
  <c r="L60" i="17"/>
  <c r="AC60" i="17" s="1"/>
  <c r="N63" i="17"/>
  <c r="AB63" i="17" s="1"/>
  <c r="N64" i="17"/>
  <c r="AB64" i="17" s="1"/>
  <c r="L118" i="17"/>
  <c r="L206" i="17"/>
  <c r="L211" i="17"/>
  <c r="L220" i="17"/>
  <c r="N228" i="17"/>
  <c r="AB228" i="17" s="1"/>
  <c r="Q10" i="16"/>
  <c r="R10" i="16" s="1"/>
  <c r="S10" i="16" s="1"/>
  <c r="L15" i="17"/>
  <c r="L33" i="17"/>
  <c r="X33" i="17"/>
  <c r="L179" i="17"/>
  <c r="AD179" i="17" s="1"/>
  <c r="L204" i="17"/>
  <c r="N205" i="17"/>
  <c r="AB205" i="17" s="1"/>
  <c r="X206" i="17"/>
  <c r="AG206" i="17" s="1"/>
  <c r="L209" i="17"/>
  <c r="AA209" i="17" s="1"/>
  <c r="L214" i="17"/>
  <c r="L215" i="17"/>
  <c r="X220" i="17"/>
  <c r="N232" i="17"/>
  <c r="L233" i="17"/>
  <c r="Q13" i="16"/>
  <c r="Q42" i="16"/>
  <c r="R42" i="16" s="1"/>
  <c r="Z42" i="16" s="1"/>
  <c r="X34" i="16"/>
  <c r="Y34" i="16" s="1"/>
  <c r="Q39" i="16"/>
  <c r="R39" i="16" s="1"/>
  <c r="AA39" i="16" s="1"/>
  <c r="L23" i="17"/>
  <c r="L177" i="17"/>
  <c r="AD177" i="17" s="1"/>
  <c r="X179" i="17"/>
  <c r="AG179" i="17" s="1"/>
  <c r="N206" i="17"/>
  <c r="AB206" i="17" s="1"/>
  <c r="N212" i="17"/>
  <c r="AB212" i="17" s="1"/>
  <c r="X214" i="17"/>
  <c r="AG214" i="17" s="1"/>
  <c r="N220" i="17"/>
  <c r="AB220" i="17" s="1"/>
  <c r="Q8" i="16"/>
  <c r="R8" i="16" s="1"/>
  <c r="S8" i="16" s="1"/>
  <c r="Q19" i="16"/>
  <c r="U41" i="16"/>
  <c r="L101" i="17"/>
  <c r="L124" i="17"/>
  <c r="L170" i="17"/>
  <c r="L174" i="17"/>
  <c r="AD174" i="17" s="1"/>
  <c r="X176" i="17"/>
  <c r="AG176" i="17" s="1"/>
  <c r="N180" i="17"/>
  <c r="AB180" i="17" s="1"/>
  <c r="N214" i="17"/>
  <c r="AB214" i="17" s="1"/>
  <c r="N215" i="17"/>
  <c r="AB215" i="17" s="1"/>
  <c r="N218" i="17"/>
  <c r="AB218" i="17" s="1"/>
  <c r="L222" i="17"/>
  <c r="Q14" i="16"/>
  <c r="R14" i="16" s="1"/>
  <c r="L49" i="17"/>
  <c r="AD49" i="17" s="1"/>
  <c r="N56" i="17"/>
  <c r="AB56" i="17" s="1"/>
  <c r="O57" i="17"/>
  <c r="L76" i="17"/>
  <c r="L85" i="17"/>
  <c r="AC85" i="17" s="1"/>
  <c r="L110" i="17"/>
  <c r="L155" i="17"/>
  <c r="L156" i="17"/>
  <c r="AD156" i="17" s="1"/>
  <c r="L158" i="17"/>
  <c r="AD158" i="17" s="1"/>
  <c r="X164" i="17"/>
  <c r="AG164" i="17" s="1"/>
  <c r="L165" i="17"/>
  <c r="L173" i="17"/>
  <c r="X174" i="17"/>
  <c r="AG174" i="17" s="1"/>
  <c r="N176" i="17"/>
  <c r="AB176" i="17" s="1"/>
  <c r="N177" i="17"/>
  <c r="AB177" i="17" s="1"/>
  <c r="N196" i="17"/>
  <c r="AB196" i="17" s="1"/>
  <c r="N198" i="17"/>
  <c r="AB198" i="17" s="1"/>
  <c r="N199" i="17"/>
  <c r="AB199" i="17" s="1"/>
  <c r="AD31" i="17"/>
  <c r="AC31" i="17"/>
  <c r="N46" i="17"/>
  <c r="AB46" i="17" s="1"/>
  <c r="N47" i="17"/>
  <c r="AB47" i="17" s="1"/>
  <c r="L87" i="17"/>
  <c r="AD87" i="17" s="1"/>
  <c r="N127" i="17"/>
  <c r="AB127" i="17" s="1"/>
  <c r="N131" i="17"/>
  <c r="AB131" i="17" s="1"/>
  <c r="L135" i="17"/>
  <c r="AA135" i="17" s="1"/>
  <c r="N159" i="17"/>
  <c r="AB159" i="17" s="1"/>
  <c r="N161" i="17"/>
  <c r="AB161" i="17" s="1"/>
  <c r="N173" i="17"/>
  <c r="AB173" i="17" s="1"/>
  <c r="N174" i="17"/>
  <c r="AB174" i="17" s="1"/>
  <c r="X177" i="17"/>
  <c r="L91" i="17"/>
  <c r="AD91" i="17" s="1"/>
  <c r="L111" i="17"/>
  <c r="AD111" i="17" s="1"/>
  <c r="L154" i="17"/>
  <c r="AC154" i="17" s="1"/>
  <c r="L180" i="17"/>
  <c r="AG213" i="17"/>
  <c r="L8" i="17"/>
  <c r="L17" i="17"/>
  <c r="AG45" i="17"/>
  <c r="L52" i="17"/>
  <c r="AA52" i="17" s="1"/>
  <c r="AG75" i="17"/>
  <c r="O86" i="17"/>
  <c r="N110" i="17"/>
  <c r="AB110" i="17" s="1"/>
  <c r="N137" i="17"/>
  <c r="AB137" i="17" s="1"/>
  <c r="N140" i="17"/>
  <c r="AB140" i="17" s="1"/>
  <c r="L145" i="17"/>
  <c r="L153" i="17"/>
  <c r="X166" i="17"/>
  <c r="AG166" i="17" s="1"/>
  <c r="N179" i="17"/>
  <c r="AB179" i="17" s="1"/>
  <c r="AC179" i="17"/>
  <c r="L187" i="17"/>
  <c r="O215" i="17"/>
  <c r="L230" i="17"/>
  <c r="L237" i="17"/>
  <c r="X27" i="17"/>
  <c r="N53" i="17"/>
  <c r="AB53" i="17" s="1"/>
  <c r="X53" i="17"/>
  <c r="AG53" i="17" s="1"/>
  <c r="L80" i="17"/>
  <c r="AA80" i="17" s="1"/>
  <c r="L152" i="17"/>
  <c r="AC152" i="17" s="1"/>
  <c r="N178" i="17"/>
  <c r="AB178" i="17" s="1"/>
  <c r="X180" i="17"/>
  <c r="AG180" i="17" s="1"/>
  <c r="L181" i="17"/>
  <c r="AD181" i="17" s="1"/>
  <c r="L182" i="17"/>
  <c r="AA182" i="17" s="1"/>
  <c r="X187" i="17"/>
  <c r="AG187" i="17" s="1"/>
  <c r="L192" i="17"/>
  <c r="AD192" i="17" s="1"/>
  <c r="L194" i="17"/>
  <c r="AC194" i="17" s="1"/>
  <c r="L197" i="17"/>
  <c r="O209" i="17"/>
  <c r="X222" i="17"/>
  <c r="L224" i="17"/>
  <c r="X230" i="17"/>
  <c r="AG230" i="17" s="1"/>
  <c r="L236" i="17"/>
  <c r="L16" i="17"/>
  <c r="L25" i="17"/>
  <c r="L29" i="17"/>
  <c r="X29" i="17"/>
  <c r="X31" i="17"/>
  <c r="X39" i="17"/>
  <c r="X60" i="17"/>
  <c r="AG60" i="17" s="1"/>
  <c r="X61" i="17"/>
  <c r="L66" i="17"/>
  <c r="AC66" i="17" s="1"/>
  <c r="L77" i="17"/>
  <c r="AA77" i="17" s="1"/>
  <c r="N114" i="17"/>
  <c r="AB114" i="17" s="1"/>
  <c r="X123" i="17"/>
  <c r="N129" i="17"/>
  <c r="AB129" i="17" s="1"/>
  <c r="X129" i="17"/>
  <c r="L132" i="17"/>
  <c r="AC132" i="17" s="1"/>
  <c r="L149" i="17"/>
  <c r="L150" i="17"/>
  <c r="AC150" i="17" s="1"/>
  <c r="AG165" i="17"/>
  <c r="X181" i="17"/>
  <c r="X182" i="17"/>
  <c r="AG182" i="17" s="1"/>
  <c r="N187" i="17"/>
  <c r="AB187" i="17" s="1"/>
  <c r="X194" i="17"/>
  <c r="AG194" i="17" s="1"/>
  <c r="L196" i="17"/>
  <c r="AC196" i="17" s="1"/>
  <c r="L213" i="17"/>
  <c r="AG215" i="17"/>
  <c r="L218" i="17"/>
  <c r="AC218" i="17" s="1"/>
  <c r="X224" i="17"/>
  <c r="N230" i="17"/>
  <c r="AB230" i="17" s="1"/>
  <c r="L235" i="17"/>
  <c r="L20" i="17"/>
  <c r="L53" i="17"/>
  <c r="AD53" i="17" s="1"/>
  <c r="L4" i="17"/>
  <c r="L13" i="17"/>
  <c r="L35" i="17"/>
  <c r="AC35" i="17" s="1"/>
  <c r="N39" i="17"/>
  <c r="AB39" i="17" s="1"/>
  <c r="X40" i="17"/>
  <c r="AG40" i="17" s="1"/>
  <c r="L41" i="17"/>
  <c r="AD41" i="17" s="1"/>
  <c r="L44" i="17"/>
  <c r="AA44" i="17" s="1"/>
  <c r="N60" i="17"/>
  <c r="AB60" i="17" s="1"/>
  <c r="N61" i="17"/>
  <c r="AB61" i="17" s="1"/>
  <c r="L62" i="17"/>
  <c r="AD62" i="17" s="1"/>
  <c r="L67" i="17"/>
  <c r="AA67" i="17" s="1"/>
  <c r="L68" i="17"/>
  <c r="L70" i="17"/>
  <c r="L72" i="17"/>
  <c r="L74" i="17"/>
  <c r="N117" i="17"/>
  <c r="AB117" i="17" s="1"/>
  <c r="X125" i="17"/>
  <c r="O129" i="17"/>
  <c r="L164" i="17"/>
  <c r="AA164" i="17" s="1"/>
  <c r="N168" i="17"/>
  <c r="AB168" i="17" s="1"/>
  <c r="L172" i="17"/>
  <c r="N181" i="17"/>
  <c r="AB181" i="17" s="1"/>
  <c r="N182" i="17"/>
  <c r="AB182" i="17" s="1"/>
  <c r="X192" i="17"/>
  <c r="AG192" i="17" s="1"/>
  <c r="N194" i="17"/>
  <c r="AB194" i="17" s="1"/>
  <c r="X196" i="17"/>
  <c r="AG196" i="17" s="1"/>
  <c r="O211" i="17"/>
  <c r="X218" i="17"/>
  <c r="AG218" i="17" s="1"/>
  <c r="N224" i="17"/>
  <c r="AB224" i="17" s="1"/>
  <c r="AA76" i="17"/>
  <c r="AC76" i="17"/>
  <c r="L2" i="17"/>
  <c r="AA27" i="17"/>
  <c r="X35" i="17"/>
  <c r="AG35" i="17" s="1"/>
  <c r="AG49" i="17"/>
  <c r="X50" i="17"/>
  <c r="AG50" i="17" s="1"/>
  <c r="X56" i="17"/>
  <c r="AG56" i="17" s="1"/>
  <c r="L57" i="17"/>
  <c r="AA57" i="17" s="1"/>
  <c r="N59" i="17"/>
  <c r="AB59" i="17" s="1"/>
  <c r="L65" i="17"/>
  <c r="AA65" i="17" s="1"/>
  <c r="X67" i="17"/>
  <c r="AG67" i="17" s="1"/>
  <c r="N69" i="17"/>
  <c r="AB69" i="17" s="1"/>
  <c r="N71" i="17"/>
  <c r="AB71" i="17" s="1"/>
  <c r="N73" i="17"/>
  <c r="AB73" i="17" s="1"/>
  <c r="O75" i="17"/>
  <c r="O78" i="17"/>
  <c r="L81" i="17"/>
  <c r="AD81" i="17" s="1"/>
  <c r="AG83" i="17"/>
  <c r="AG85" i="17"/>
  <c r="L89" i="17"/>
  <c r="AC89" i="17" s="1"/>
  <c r="O94" i="17"/>
  <c r="O100" i="17"/>
  <c r="L103" i="17"/>
  <c r="AD103" i="17" s="1"/>
  <c r="N106" i="17"/>
  <c r="AB106" i="17" s="1"/>
  <c r="L128" i="17"/>
  <c r="L130" i="17"/>
  <c r="AD130" i="17" s="1"/>
  <c r="X130" i="17"/>
  <c r="AD155" i="17"/>
  <c r="AA155" i="17"/>
  <c r="N163" i="17"/>
  <c r="AB163" i="17" s="1"/>
  <c r="O168" i="17"/>
  <c r="X168" i="17"/>
  <c r="AG168" i="17" s="1"/>
  <c r="L168" i="17"/>
  <c r="AD168" i="17" s="1"/>
  <c r="AD208" i="17"/>
  <c r="AA208" i="17"/>
  <c r="AC214" i="17"/>
  <c r="AD214" i="17"/>
  <c r="AA214" i="17"/>
  <c r="AA228" i="17"/>
  <c r="AD228" i="17"/>
  <c r="AA31" i="17"/>
  <c r="L36" i="17"/>
  <c r="AD36" i="17" s="1"/>
  <c r="L37" i="17"/>
  <c r="X44" i="17"/>
  <c r="AG44" i="17" s="1"/>
  <c r="AC53" i="17"/>
  <c r="AC56" i="17"/>
  <c r="X62" i="17"/>
  <c r="AG62" i="17" s="1"/>
  <c r="L63" i="17"/>
  <c r="AA63" i="17" s="1"/>
  <c r="X65" i="17"/>
  <c r="AG65" i="17" s="1"/>
  <c r="N67" i="17"/>
  <c r="AB67" i="17" s="1"/>
  <c r="AG77" i="17"/>
  <c r="AG91" i="17"/>
  <c r="L112" i="17"/>
  <c r="AG123" i="17"/>
  <c r="N130" i="17"/>
  <c r="AB130" i="17" s="1"/>
  <c r="L131" i="17"/>
  <c r="AC131" i="17" s="1"/>
  <c r="L141" i="17"/>
  <c r="AC153" i="17"/>
  <c r="AD153" i="17"/>
  <c r="AA153" i="17"/>
  <c r="X28" i="17"/>
  <c r="AG28" i="17" s="1"/>
  <c r="L45" i="17"/>
  <c r="AD45" i="17" s="1"/>
  <c r="L48" i="17"/>
  <c r="X51" i="17"/>
  <c r="AG51" i="17" s="1"/>
  <c r="X63" i="17"/>
  <c r="AG63" i="17" s="1"/>
  <c r="N65" i="17"/>
  <c r="AB65" i="17" s="1"/>
  <c r="O81" i="17"/>
  <c r="AG86" i="17"/>
  <c r="AG87" i="17"/>
  <c r="O103" i="17"/>
  <c r="L108" i="17"/>
  <c r="L113" i="17"/>
  <c r="AD113" i="17" s="1"/>
  <c r="N123" i="17"/>
  <c r="AB123" i="17" s="1"/>
  <c r="AC123" i="17"/>
  <c r="O126" i="17"/>
  <c r="N126" i="17"/>
  <c r="AB126" i="17" s="1"/>
  <c r="X126" i="17"/>
  <c r="N128" i="17"/>
  <c r="AB128" i="17" s="1"/>
  <c r="L136" i="17"/>
  <c r="O136" i="17"/>
  <c r="AD187" i="17"/>
  <c r="AC187" i="17"/>
  <c r="AA187" i="17"/>
  <c r="O212" i="17"/>
  <c r="X212" i="17"/>
  <c r="AG212" i="17" s="1"/>
  <c r="L212" i="17"/>
  <c r="AG78" i="17"/>
  <c r="AG79" i="17"/>
  <c r="N112" i="17"/>
  <c r="AB112" i="17" s="1"/>
  <c r="X119" i="17"/>
  <c r="O119" i="17"/>
  <c r="AG125" i="17"/>
  <c r="AA149" i="17"/>
  <c r="AD149" i="17"/>
  <c r="O163" i="17"/>
  <c r="X163" i="17"/>
  <c r="AG163" i="17" s="1"/>
  <c r="O175" i="17"/>
  <c r="N175" i="17"/>
  <c r="AB175" i="17" s="1"/>
  <c r="X175" i="17"/>
  <c r="AD222" i="17"/>
  <c r="AA222" i="17"/>
  <c r="AA230" i="17"/>
  <c r="AD230" i="17"/>
  <c r="L30" i="17"/>
  <c r="AC30" i="17" s="1"/>
  <c r="AG32" i="17"/>
  <c r="O37" i="17"/>
  <c r="N45" i="17"/>
  <c r="AB45" i="17" s="1"/>
  <c r="X48" i="17"/>
  <c r="AG48" i="17" s="1"/>
  <c r="X54" i="17"/>
  <c r="AG54" i="17" s="1"/>
  <c r="L58" i="17"/>
  <c r="AC58" i="17" s="1"/>
  <c r="L61" i="17"/>
  <c r="AA61" i="17" s="1"/>
  <c r="AD85" i="17"/>
  <c r="L90" i="17"/>
  <c r="AD90" i="17" s="1"/>
  <c r="X90" i="17"/>
  <c r="AG90" i="17" s="1"/>
  <c r="O96" i="17"/>
  <c r="O98" i="17"/>
  <c r="O104" i="17"/>
  <c r="L105" i="17"/>
  <c r="N108" i="17"/>
  <c r="AB108" i="17" s="1"/>
  <c r="L114" i="17"/>
  <c r="AD114" i="17" s="1"/>
  <c r="L115" i="17"/>
  <c r="AC115" i="17" s="1"/>
  <c r="X132" i="17"/>
  <c r="AG132" i="17" s="1"/>
  <c r="L140" i="17"/>
  <c r="AA140" i="17" s="1"/>
  <c r="O140" i="17"/>
  <c r="X140" i="17"/>
  <c r="AG140" i="17" s="1"/>
  <c r="O143" i="17"/>
  <c r="X143" i="17"/>
  <c r="N151" i="17"/>
  <c r="AB151" i="17" s="1"/>
  <c r="N184" i="17"/>
  <c r="AB184" i="17" s="1"/>
  <c r="N186" i="17"/>
  <c r="AB186" i="17" s="1"/>
  <c r="N188" i="17"/>
  <c r="AB188" i="17" s="1"/>
  <c r="N190" i="17"/>
  <c r="AB190" i="17" s="1"/>
  <c r="AD224" i="17"/>
  <c r="AA224" i="17"/>
  <c r="O45" i="17"/>
  <c r="N48" i="17"/>
  <c r="AB48" i="17" s="1"/>
  <c r="X52" i="17"/>
  <c r="AG52" i="17" s="1"/>
  <c r="N54" i="17"/>
  <c r="AB54" i="17" s="1"/>
  <c r="AD54" i="17"/>
  <c r="AG57" i="17"/>
  <c r="X58" i="17"/>
  <c r="X68" i="17"/>
  <c r="X70" i="17"/>
  <c r="AG70" i="17" s="1"/>
  <c r="X72" i="17"/>
  <c r="AG72" i="17" s="1"/>
  <c r="O76" i="17"/>
  <c r="AG81" i="17"/>
  <c r="AG89" i="17"/>
  <c r="O128" i="17"/>
  <c r="X128" i="17"/>
  <c r="N132" i="17"/>
  <c r="AB132" i="17" s="1"/>
  <c r="O139" i="17"/>
  <c r="X139" i="17"/>
  <c r="AG139" i="17" s="1"/>
  <c r="AD172" i="17"/>
  <c r="AC172" i="17"/>
  <c r="L6" i="17"/>
  <c r="L10" i="17"/>
  <c r="L14" i="17"/>
  <c r="L18" i="17"/>
  <c r="L22" i="17"/>
  <c r="L26" i="17"/>
  <c r="L34" i="17"/>
  <c r="AG37" i="17"/>
  <c r="N52" i="17"/>
  <c r="AB52" i="17" s="1"/>
  <c r="N58" i="17"/>
  <c r="AB58" i="17" s="1"/>
  <c r="L59" i="17"/>
  <c r="AA59" i="17" s="1"/>
  <c r="N68" i="17"/>
  <c r="AB68" i="17" s="1"/>
  <c r="L69" i="17"/>
  <c r="N70" i="17"/>
  <c r="AB70" i="17" s="1"/>
  <c r="L71" i="17"/>
  <c r="AA71" i="17" s="1"/>
  <c r="N72" i="17"/>
  <c r="AB72" i="17" s="1"/>
  <c r="L73" i="17"/>
  <c r="AA73" i="17" s="1"/>
  <c r="L75" i="17"/>
  <c r="AC75" i="17" s="1"/>
  <c r="L79" i="17"/>
  <c r="AD79" i="17" s="1"/>
  <c r="L88" i="17"/>
  <c r="Z127" i="17"/>
  <c r="X131" i="17"/>
  <c r="O131" i="17"/>
  <c r="O141" i="17"/>
  <c r="X141" i="17"/>
  <c r="O147" i="17"/>
  <c r="X147" i="17"/>
  <c r="AG147" i="17" s="1"/>
  <c r="AD173" i="17"/>
  <c r="AA173" i="17"/>
  <c r="O178" i="17"/>
  <c r="X178" i="17"/>
  <c r="AG178" i="17" s="1"/>
  <c r="L178" i="17"/>
  <c r="AC198" i="17"/>
  <c r="AD198" i="17"/>
  <c r="AA198" i="17"/>
  <c r="AD220" i="17"/>
  <c r="AA220" i="17"/>
  <c r="AG31" i="17"/>
  <c r="AG39" i="17"/>
  <c r="X59" i="17"/>
  <c r="X69" i="17"/>
  <c r="AG69" i="17" s="1"/>
  <c r="X71" i="17"/>
  <c r="AG71" i="17" s="1"/>
  <c r="X73" i="17"/>
  <c r="AG73" i="17" s="1"/>
  <c r="O151" i="17"/>
  <c r="X151" i="17"/>
  <c r="AG151" i="17" s="1"/>
  <c r="L151" i="17"/>
  <c r="O184" i="17"/>
  <c r="X184" i="17"/>
  <c r="AG184" i="17" s="1"/>
  <c r="L184" i="17"/>
  <c r="AC184" i="17" s="1"/>
  <c r="O186" i="17"/>
  <c r="X186" i="17"/>
  <c r="AG186" i="17" s="1"/>
  <c r="L186" i="17"/>
  <c r="AD186" i="17" s="1"/>
  <c r="O188" i="17"/>
  <c r="X188" i="17"/>
  <c r="AG188" i="17" s="1"/>
  <c r="L188" i="17"/>
  <c r="O190" i="17"/>
  <c r="X190" i="17"/>
  <c r="AG190" i="17" s="1"/>
  <c r="L190" i="17"/>
  <c r="AD190" i="17" s="1"/>
  <c r="AC204" i="17"/>
  <c r="AD204" i="17"/>
  <c r="AA204" i="17"/>
  <c r="AC206" i="17"/>
  <c r="AD206" i="17"/>
  <c r="AA206" i="17"/>
  <c r="AD226" i="17"/>
  <c r="AA226" i="17"/>
  <c r="L119" i="17"/>
  <c r="AD119" i="17" s="1"/>
  <c r="L126" i="17"/>
  <c r="AA126" i="17" s="1"/>
  <c r="N138" i="17"/>
  <c r="AB138" i="17" s="1"/>
  <c r="L139" i="17"/>
  <c r="X145" i="17"/>
  <c r="X149" i="17"/>
  <c r="L167" i="17"/>
  <c r="AD167" i="17" s="1"/>
  <c r="X169" i="17"/>
  <c r="AG169" i="17" s="1"/>
  <c r="X171" i="17"/>
  <c r="AG171" i="17" s="1"/>
  <c r="AG175" i="17"/>
  <c r="AA179" i="17"/>
  <c r="L183" i="17"/>
  <c r="AD183" i="17" s="1"/>
  <c r="X185" i="17"/>
  <c r="X189" i="17"/>
  <c r="X191" i="17"/>
  <c r="AG191" i="17" s="1"/>
  <c r="X198" i="17"/>
  <c r="AG198" i="17" s="1"/>
  <c r="AG199" i="17"/>
  <c r="AG205" i="17"/>
  <c r="X208" i="17"/>
  <c r="AG208" i="17" s="1"/>
  <c r="AG209" i="17"/>
  <c r="N211" i="17"/>
  <c r="AB211" i="17" s="1"/>
  <c r="X216" i="17"/>
  <c r="AG216" i="17" s="1"/>
  <c r="AG222" i="17"/>
  <c r="X233" i="17"/>
  <c r="L134" i="17"/>
  <c r="N135" i="17"/>
  <c r="AB135" i="17" s="1"/>
  <c r="N141" i="17"/>
  <c r="AB141" i="17" s="1"/>
  <c r="N145" i="17"/>
  <c r="AB145" i="17" s="1"/>
  <c r="N149" i="17"/>
  <c r="AB149" i="17" s="1"/>
  <c r="N152" i="17"/>
  <c r="AB152" i="17" s="1"/>
  <c r="N154" i="17"/>
  <c r="AB154" i="17" s="1"/>
  <c r="X159" i="17"/>
  <c r="AG159" i="17" s="1"/>
  <c r="N235" i="17"/>
  <c r="N236" i="17"/>
  <c r="N237" i="17"/>
  <c r="N119" i="17"/>
  <c r="AB119" i="17" s="1"/>
  <c r="AD129" i="17"/>
  <c r="N139" i="17"/>
  <c r="AB139" i="17" s="1"/>
  <c r="L143" i="17"/>
  <c r="L147" i="17"/>
  <c r="L163" i="17"/>
  <c r="AD163" i="17" s="1"/>
  <c r="X167" i="17"/>
  <c r="AG167" i="17" s="1"/>
  <c r="X172" i="17"/>
  <c r="AG172" i="17" s="1"/>
  <c r="L175" i="17"/>
  <c r="AD175" i="17" s="1"/>
  <c r="X183" i="17"/>
  <c r="L195" i="17"/>
  <c r="AC195" i="17" s="1"/>
  <c r="L200" i="17"/>
  <c r="L202" i="17"/>
  <c r="X204" i="17"/>
  <c r="AG204" i="17" s="1"/>
  <c r="L210" i="17"/>
  <c r="AG211" i="17"/>
  <c r="X226" i="17"/>
  <c r="AG226" i="17" s="1"/>
  <c r="AG229" i="17"/>
  <c r="X121" i="17"/>
  <c r="AG121" i="17" s="1"/>
  <c r="L122" i="17"/>
  <c r="L133" i="17"/>
  <c r="L138" i="17"/>
  <c r="AA138" i="17" s="1"/>
  <c r="O142" i="17"/>
  <c r="N150" i="17"/>
  <c r="AB150" i="17" s="1"/>
  <c r="X153" i="17"/>
  <c r="AG153" i="17" s="1"/>
  <c r="X155" i="17"/>
  <c r="X157" i="17"/>
  <c r="AG157" i="17" s="1"/>
  <c r="N162" i="17"/>
  <c r="AB162" i="17" s="1"/>
  <c r="N167" i="17"/>
  <c r="AB167" i="17" s="1"/>
  <c r="X170" i="17"/>
  <c r="AG170" i="17" s="1"/>
  <c r="N172" i="17"/>
  <c r="AB172" i="17" s="1"/>
  <c r="N183" i="17"/>
  <c r="AB183" i="17" s="1"/>
  <c r="N195" i="17"/>
  <c r="AB195" i="17" s="1"/>
  <c r="X200" i="17"/>
  <c r="AG200" i="17" s="1"/>
  <c r="X202" i="17"/>
  <c r="AG202" i="17" s="1"/>
  <c r="N204" i="17"/>
  <c r="AB204" i="17" s="1"/>
  <c r="X210" i="17"/>
  <c r="AG210" i="17" s="1"/>
  <c r="O213" i="17"/>
  <c r="N226" i="17"/>
  <c r="AB226" i="17" s="1"/>
  <c r="N143" i="17"/>
  <c r="AB143" i="17" s="1"/>
  <c r="N147" i="17"/>
  <c r="AB147" i="17" s="1"/>
  <c r="N153" i="17"/>
  <c r="AB153" i="17" s="1"/>
  <c r="N155" i="17"/>
  <c r="AB155" i="17" s="1"/>
  <c r="AG185" i="17"/>
  <c r="O195" i="17"/>
  <c r="N200" i="17"/>
  <c r="AB200" i="17" s="1"/>
  <c r="N202" i="17"/>
  <c r="AB202" i="17" s="1"/>
  <c r="N210" i="17"/>
  <c r="AB210" i="17" s="1"/>
  <c r="L232" i="17"/>
  <c r="AG177" i="17"/>
  <c r="AG181" i="17"/>
  <c r="X232" i="17"/>
  <c r="AG126" i="17"/>
  <c r="L169" i="17"/>
  <c r="AC169" i="17" s="1"/>
  <c r="AA181" i="17"/>
  <c r="AG183" i="17"/>
  <c r="L185" i="17"/>
  <c r="L189" i="17"/>
  <c r="L191" i="17"/>
  <c r="N193" i="17"/>
  <c r="AB193" i="17" s="1"/>
  <c r="L216" i="17"/>
  <c r="AG217" i="17"/>
  <c r="AG221" i="17"/>
  <c r="AA48" i="17"/>
  <c r="AD48" i="17"/>
  <c r="AC48" i="17"/>
  <c r="AD29" i="17"/>
  <c r="AC29" i="17"/>
  <c r="AA29" i="17"/>
  <c r="AG29" i="17"/>
  <c r="AD33" i="17"/>
  <c r="AC33" i="17"/>
  <c r="AA33" i="17"/>
  <c r="AG33" i="17"/>
  <c r="AA46" i="17"/>
  <c r="AD46" i="17"/>
  <c r="AC46" i="17"/>
  <c r="AG27" i="17"/>
  <c r="AC34" i="17"/>
  <c r="AA34" i="17"/>
  <c r="AD34" i="17"/>
  <c r="AC36" i="17"/>
  <c r="O38" i="17"/>
  <c r="AD180" i="17"/>
  <c r="AA180" i="17"/>
  <c r="AC180" i="17"/>
  <c r="X203" i="17"/>
  <c r="AG203" i="17" s="1"/>
  <c r="O203" i="17"/>
  <c r="L203" i="17"/>
  <c r="AD213" i="17"/>
  <c r="AC213" i="17"/>
  <c r="AA213" i="17"/>
  <c r="X227" i="17"/>
  <c r="AG227" i="17" s="1"/>
  <c r="O227" i="17"/>
  <c r="L227" i="17"/>
  <c r="AD37" i="17"/>
  <c r="AC54" i="17"/>
  <c r="AD56" i="17"/>
  <c r="X102" i="17"/>
  <c r="AG102" i="17" s="1"/>
  <c r="L102" i="17"/>
  <c r="O102" i="17"/>
  <c r="X95" i="17"/>
  <c r="AG95" i="17" s="1"/>
  <c r="O95" i="17"/>
  <c r="AA32" i="17"/>
  <c r="X107" i="17"/>
  <c r="AG107" i="17" s="1"/>
  <c r="N107" i="17"/>
  <c r="AB107" i="17" s="1"/>
  <c r="O107" i="17"/>
  <c r="AA122" i="17"/>
  <c r="AD122" i="17"/>
  <c r="AC122" i="17"/>
  <c r="AD165" i="17"/>
  <c r="AC165" i="17"/>
  <c r="AA165" i="17"/>
  <c r="AA28" i="17"/>
  <c r="AD27" i="17"/>
  <c r="X41" i="17"/>
  <c r="AG41" i="17" s="1"/>
  <c r="L42" i="17"/>
  <c r="L43" i="17"/>
  <c r="AC44" i="17"/>
  <c r="AA49" i="17"/>
  <c r="AC50" i="17"/>
  <c r="L55" i="17"/>
  <c r="AD58" i="17"/>
  <c r="AA58" i="17"/>
  <c r="AD64" i="17"/>
  <c r="AC64" i="17"/>
  <c r="AA64" i="17"/>
  <c r="AD66" i="17"/>
  <c r="AA66" i="17"/>
  <c r="AD68" i="17"/>
  <c r="AC68" i="17"/>
  <c r="AA68" i="17"/>
  <c r="O97" i="17"/>
  <c r="X97" i="17"/>
  <c r="AG97" i="17" s="1"/>
  <c r="O82" i="17"/>
  <c r="X82" i="17"/>
  <c r="AG82" i="17" s="1"/>
  <c r="L82" i="17"/>
  <c r="AD109" i="17"/>
  <c r="AC109" i="17"/>
  <c r="AA109" i="17"/>
  <c r="AC28" i="17"/>
  <c r="X30" i="17"/>
  <c r="AG30" i="17" s="1"/>
  <c r="AC32" i="17"/>
  <c r="X34" i="17"/>
  <c r="AG34" i="17" s="1"/>
  <c r="X36" i="17"/>
  <c r="AG36" i="17" s="1"/>
  <c r="AD44" i="17"/>
  <c r="AA47" i="17"/>
  <c r="AD50" i="17"/>
  <c r="AG58" i="17"/>
  <c r="AA60" i="17"/>
  <c r="D62" i="17"/>
  <c r="AG64" i="17"/>
  <c r="AG66" i="17"/>
  <c r="AG68" i="17"/>
  <c r="AD70" i="17"/>
  <c r="AC70" i="17"/>
  <c r="AA70" i="17"/>
  <c r="N37" i="17"/>
  <c r="AB37" i="17" s="1"/>
  <c r="L38" i="17"/>
  <c r="L39" i="17"/>
  <c r="AC40" i="17"/>
  <c r="AA41" i="17"/>
  <c r="N42" i="17"/>
  <c r="AB42" i="17" s="1"/>
  <c r="X42" i="17"/>
  <c r="AG42" i="17" s="1"/>
  <c r="AC47" i="17"/>
  <c r="L51" i="17"/>
  <c r="N57" i="17"/>
  <c r="AB57" i="17" s="1"/>
  <c r="AD72" i="17"/>
  <c r="AC72" i="17"/>
  <c r="AA72" i="17"/>
  <c r="X99" i="17"/>
  <c r="AG99" i="17" s="1"/>
  <c r="O99" i="17"/>
  <c r="AD40" i="17"/>
  <c r="AC41" i="17"/>
  <c r="N43" i="17"/>
  <c r="AB43" i="17" s="1"/>
  <c r="X43" i="17"/>
  <c r="AG43" i="17" s="1"/>
  <c r="N55" i="17"/>
  <c r="AB55" i="17" s="1"/>
  <c r="X55" i="17"/>
  <c r="AG55" i="17" s="1"/>
  <c r="AD61" i="17"/>
  <c r="AC61" i="17"/>
  <c r="AD71" i="17"/>
  <c r="AC71" i="17"/>
  <c r="AD74" i="17"/>
  <c r="AC74" i="17"/>
  <c r="AA74" i="17"/>
  <c r="O93" i="17"/>
  <c r="X93" i="17"/>
  <c r="AG93" i="17" s="1"/>
  <c r="AC112" i="17"/>
  <c r="AA112" i="17"/>
  <c r="AD112" i="17"/>
  <c r="N38" i="17"/>
  <c r="AB38" i="17" s="1"/>
  <c r="AG59" i="17"/>
  <c r="AG61" i="17"/>
  <c r="AD73" i="17"/>
  <c r="AC73" i="17"/>
  <c r="AG76" i="17"/>
  <c r="AD76" i="17"/>
  <c r="L78" i="17"/>
  <c r="L83" i="17"/>
  <c r="L86" i="17"/>
  <c r="O89" i="17"/>
  <c r="AA89" i="17"/>
  <c r="AC106" i="17"/>
  <c r="AA106" i="17"/>
  <c r="AA101" i="17"/>
  <c r="AC101" i="17"/>
  <c r="X111" i="17"/>
  <c r="AG111" i="17" s="1"/>
  <c r="N111" i="17"/>
  <c r="AB111" i="17" s="1"/>
  <c r="AA133" i="17"/>
  <c r="AD133" i="17"/>
  <c r="AC133" i="17"/>
  <c r="O83" i="17"/>
  <c r="X84" i="17"/>
  <c r="AG84" i="17" s="1"/>
  <c r="L84" i="17"/>
  <c r="AD89" i="17"/>
  <c r="L93" i="17"/>
  <c r="L95" i="17"/>
  <c r="L97" i="17"/>
  <c r="L99" i="17"/>
  <c r="AD101" i="17"/>
  <c r="AG103" i="17"/>
  <c r="X105" i="17"/>
  <c r="AG105" i="17" s="1"/>
  <c r="N105" i="17"/>
  <c r="AB105" i="17" s="1"/>
  <c r="L107" i="17"/>
  <c r="AC110" i="17"/>
  <c r="AA110" i="17"/>
  <c r="X115" i="17"/>
  <c r="AG115" i="17" s="1"/>
  <c r="O115" i="17"/>
  <c r="AD126" i="17"/>
  <c r="O77" i="17"/>
  <c r="O80" i="17"/>
  <c r="O85" i="17"/>
  <c r="AA85" i="17"/>
  <c r="O88" i="17"/>
  <c r="O91" i="17"/>
  <c r="X92" i="17"/>
  <c r="AG92" i="17" s="1"/>
  <c r="L92" i="17"/>
  <c r="AG96" i="17"/>
  <c r="AG100" i="17"/>
  <c r="AD110" i="17"/>
  <c r="X116" i="17"/>
  <c r="AG116" i="17" s="1"/>
  <c r="N116" i="17"/>
  <c r="AB116" i="17" s="1"/>
  <c r="L116" i="17"/>
  <c r="AC87" i="17"/>
  <c r="AA87" i="17"/>
  <c r="X109" i="17"/>
  <c r="AG109" i="17" s="1"/>
  <c r="N109" i="17"/>
  <c r="AB109" i="17" s="1"/>
  <c r="AC114" i="17"/>
  <c r="AA114" i="17"/>
  <c r="AA124" i="17"/>
  <c r="AD124" i="17"/>
  <c r="AC124" i="17"/>
  <c r="AC103" i="17"/>
  <c r="AD105" i="17"/>
  <c r="AC105" i="17"/>
  <c r="AA105" i="17"/>
  <c r="AC108" i="17"/>
  <c r="AA108" i="17"/>
  <c r="AA131" i="17"/>
  <c r="AD131" i="17"/>
  <c r="O79" i="17"/>
  <c r="AG80" i="17"/>
  <c r="O87" i="17"/>
  <c r="L94" i="17"/>
  <c r="L98" i="17"/>
  <c r="O101" i="17"/>
  <c r="X101" i="17"/>
  <c r="AG101" i="17" s="1"/>
  <c r="AD108" i="17"/>
  <c r="X113" i="17"/>
  <c r="AG113" i="17" s="1"/>
  <c r="N113" i="17"/>
  <c r="AB113" i="17" s="1"/>
  <c r="AD118" i="17"/>
  <c r="AA118" i="17"/>
  <c r="O117" i="17"/>
  <c r="N118" i="17"/>
  <c r="AB118" i="17" s="1"/>
  <c r="X118" i="17"/>
  <c r="AG118" i="17" s="1"/>
  <c r="AD120" i="17"/>
  <c r="L121" i="17"/>
  <c r="AA123" i="17"/>
  <c r="N124" i="17"/>
  <c r="AB124" i="17" s="1"/>
  <c r="X124" i="17"/>
  <c r="AG124" i="17" s="1"/>
  <c r="L127" i="17"/>
  <c r="N134" i="17"/>
  <c r="AB134" i="17" s="1"/>
  <c r="X134" i="17"/>
  <c r="AG134" i="17" s="1"/>
  <c r="N136" i="17"/>
  <c r="AB136" i="17" s="1"/>
  <c r="X136" i="17"/>
  <c r="N142" i="17"/>
  <c r="AB142" i="17" s="1"/>
  <c r="X142" i="17"/>
  <c r="AG142" i="17" s="1"/>
  <c r="X146" i="17"/>
  <c r="AG146" i="17" s="1"/>
  <c r="N146" i="17"/>
  <c r="AB146" i="17" s="1"/>
  <c r="L146" i="17"/>
  <c r="AD170" i="17"/>
  <c r="AC170" i="17"/>
  <c r="AA170" i="17"/>
  <c r="AG117" i="17"/>
  <c r="O118" i="17"/>
  <c r="O124" i="17"/>
  <c r="L96" i="17"/>
  <c r="L100" i="17"/>
  <c r="L104" i="17"/>
  <c r="X106" i="17"/>
  <c r="AG106" i="17" s="1"/>
  <c r="X108" i="17"/>
  <c r="AG108" i="17" s="1"/>
  <c r="X110" i="17"/>
  <c r="AG110" i="17" s="1"/>
  <c r="X112" i="17"/>
  <c r="AG112" i="17" s="1"/>
  <c r="X114" i="17"/>
  <c r="AG114" i="17" s="1"/>
  <c r="O132" i="17"/>
  <c r="O133" i="17"/>
  <c r="O135" i="17"/>
  <c r="AD142" i="17"/>
  <c r="AC142" i="17"/>
  <c r="AA142" i="17"/>
  <c r="AC145" i="17"/>
  <c r="AA145" i="17"/>
  <c r="AD178" i="17"/>
  <c r="AA178" i="17"/>
  <c r="AC178" i="17"/>
  <c r="AG135" i="17"/>
  <c r="AG141" i="17"/>
  <c r="AG145" i="17"/>
  <c r="AD166" i="17"/>
  <c r="AA166" i="17"/>
  <c r="AD182" i="17"/>
  <c r="AG119" i="17"/>
  <c r="X127" i="17"/>
  <c r="AG127" i="17" s="1"/>
  <c r="AG131" i="17"/>
  <c r="L137" i="17"/>
  <c r="X138" i="17"/>
  <c r="AG138" i="17" s="1"/>
  <c r="AC141" i="17"/>
  <c r="X144" i="17"/>
  <c r="AG144" i="17" s="1"/>
  <c r="N144" i="17"/>
  <c r="AB144" i="17" s="1"/>
  <c r="L144" i="17"/>
  <c r="AD145" i="17"/>
  <c r="AA152" i="17"/>
  <c r="AD152" i="17"/>
  <c r="AD164" i="17"/>
  <c r="N115" i="17"/>
  <c r="AB115" i="17" s="1"/>
  <c r="N122" i="17"/>
  <c r="AB122" i="17" s="1"/>
  <c r="X122" i="17"/>
  <c r="AG122" i="17" s="1"/>
  <c r="O138" i="17"/>
  <c r="AG143" i="17"/>
  <c r="X148" i="17"/>
  <c r="AG148" i="17" s="1"/>
  <c r="N148" i="17"/>
  <c r="AB148" i="17" s="1"/>
  <c r="L148" i="17"/>
  <c r="X160" i="17"/>
  <c r="AG160" i="17" s="1"/>
  <c r="N160" i="17"/>
  <c r="AB160" i="17" s="1"/>
  <c r="L160" i="17"/>
  <c r="AD171" i="17"/>
  <c r="AC171" i="17"/>
  <c r="AA171" i="17"/>
  <c r="L117" i="17"/>
  <c r="L125" i="17"/>
  <c r="AD138" i="17"/>
  <c r="AC138" i="17"/>
  <c r="X156" i="17"/>
  <c r="AG156" i="17" s="1"/>
  <c r="X158" i="17"/>
  <c r="AG158" i="17" s="1"/>
  <c r="AA161" i="17"/>
  <c r="X162" i="17"/>
  <c r="AG162" i="17" s="1"/>
  <c r="AA172" i="17"/>
  <c r="AC173" i="17"/>
  <c r="AC181" i="17"/>
  <c r="AD188" i="17"/>
  <c r="AC188" i="17"/>
  <c r="AA188" i="17"/>
  <c r="AA183" i="17"/>
  <c r="AD197" i="17"/>
  <c r="AA197" i="17"/>
  <c r="AC197" i="17"/>
  <c r="X231" i="17"/>
  <c r="AG231" i="17" s="1"/>
  <c r="O231" i="17"/>
  <c r="L231" i="17"/>
  <c r="AA156" i="17"/>
  <c r="L157" i="17"/>
  <c r="L159" i="17"/>
  <c r="AC161" i="17"/>
  <c r="AA162" i="17"/>
  <c r="AC183" i="17"/>
  <c r="X150" i="17"/>
  <c r="AG150" i="17" s="1"/>
  <c r="AC151" i="17"/>
  <c r="X152" i="17"/>
  <c r="AG152" i="17" s="1"/>
  <c r="X154" i="17"/>
  <c r="AG154" i="17" s="1"/>
  <c r="AC162" i="17"/>
  <c r="AA177" i="17"/>
  <c r="AD199" i="17"/>
  <c r="AC199" i="17"/>
  <c r="AA199" i="17"/>
  <c r="X219" i="17"/>
  <c r="AG219" i="17" s="1"/>
  <c r="O219" i="17"/>
  <c r="L219" i="17"/>
  <c r="AC156" i="17"/>
  <c r="AC158" i="17"/>
  <c r="AA191" i="17"/>
  <c r="AD191" i="17"/>
  <c r="AD176" i="17"/>
  <c r="AA176" i="17"/>
  <c r="AG189" i="17"/>
  <c r="X223" i="17"/>
  <c r="AG223" i="17" s="1"/>
  <c r="O223" i="17"/>
  <c r="L223" i="17"/>
  <c r="O193" i="17"/>
  <c r="AG195" i="17"/>
  <c r="O205" i="17"/>
  <c r="L207" i="17"/>
  <c r="N213" i="17"/>
  <c r="AB213" i="17" s="1"/>
  <c r="L221" i="17"/>
  <c r="L225" i="17"/>
  <c r="L229" i="17"/>
  <c r="AG193" i="17"/>
  <c r="N207" i="17"/>
  <c r="AB207" i="17" s="1"/>
  <c r="AD215" i="17"/>
  <c r="AC215" i="17"/>
  <c r="AA215" i="17"/>
  <c r="N221" i="17"/>
  <c r="AB221" i="17" s="1"/>
  <c r="N225" i="17"/>
  <c r="AB225" i="17" s="1"/>
  <c r="N229" i="17"/>
  <c r="AB229" i="17" s="1"/>
  <c r="L201" i="17"/>
  <c r="O207" i="17"/>
  <c r="L217" i="17"/>
  <c r="O221" i="17"/>
  <c r="O225" i="17"/>
  <c r="O229" i="17"/>
  <c r="N197" i="17"/>
  <c r="AB197" i="17" s="1"/>
  <c r="N201" i="17"/>
  <c r="AB201" i="17" s="1"/>
  <c r="N217" i="17"/>
  <c r="AB217" i="17" s="1"/>
  <c r="AG220" i="17"/>
  <c r="AG224" i="17"/>
  <c r="O197" i="17"/>
  <c r="O201" i="17"/>
  <c r="N209" i="17"/>
  <c r="AB209" i="17" s="1"/>
  <c r="O217" i="17"/>
  <c r="AG197" i="17"/>
  <c r="N203" i="17"/>
  <c r="AB203" i="17" s="1"/>
  <c r="AD211" i="17"/>
  <c r="AC211" i="17"/>
  <c r="AA211" i="17"/>
  <c r="N219" i="17"/>
  <c r="AB219" i="17" s="1"/>
  <c r="N223" i="17"/>
  <c r="AB223" i="17" s="1"/>
  <c r="N227" i="17"/>
  <c r="AB227" i="17" s="1"/>
  <c r="N231" i="17"/>
  <c r="AB231" i="17" s="1"/>
  <c r="L193" i="17"/>
  <c r="L205" i="17"/>
  <c r="O234" i="17"/>
  <c r="X236" i="17"/>
  <c r="X235" i="17"/>
  <c r="L234" i="17"/>
  <c r="X237" i="17"/>
  <c r="N234" i="17"/>
  <c r="R6" i="16"/>
  <c r="S6" i="16" s="1"/>
  <c r="Z27" i="16"/>
  <c r="S27" i="16"/>
  <c r="AA27" i="16"/>
  <c r="R3" i="16"/>
  <c r="U3" i="16" s="1"/>
  <c r="Z10" i="16"/>
  <c r="R4" i="16"/>
  <c r="Z5" i="16"/>
  <c r="AA5" i="16"/>
  <c r="S5" i="16"/>
  <c r="AA9" i="16"/>
  <c r="Z9" i="16"/>
  <c r="K3" i="16"/>
  <c r="N3" i="16" s="1"/>
  <c r="AA33" i="16"/>
  <c r="S33" i="16"/>
  <c r="T33" i="16" s="1"/>
  <c r="U33" i="16"/>
  <c r="Z33" i="16"/>
  <c r="AA14" i="16"/>
  <c r="Z14" i="16"/>
  <c r="S14" i="16"/>
  <c r="Q2" i="16"/>
  <c r="R2" i="16" s="1"/>
  <c r="U20" i="16"/>
  <c r="U5" i="16"/>
  <c r="K5" i="16"/>
  <c r="N5" i="16" s="1"/>
  <c r="I17" i="16"/>
  <c r="S18" i="16"/>
  <c r="AA18" i="16"/>
  <c r="I15" i="16"/>
  <c r="X25" i="16"/>
  <c r="Y25" i="16" s="1"/>
  <c r="U2" i="16"/>
  <c r="Q22" i="16"/>
  <c r="R22" i="16" s="1"/>
  <c r="AA38" i="16"/>
  <c r="S38" i="16"/>
  <c r="Z38" i="16"/>
  <c r="S20" i="16"/>
  <c r="Z20" i="16"/>
  <c r="Z8" i="16"/>
  <c r="U9" i="16"/>
  <c r="I11" i="16"/>
  <c r="Q21" i="16"/>
  <c r="R21" i="16" s="1"/>
  <c r="Z26" i="16"/>
  <c r="U26" i="16"/>
  <c r="S26" i="16"/>
  <c r="V26" i="16" s="1"/>
  <c r="W26" i="16" s="1"/>
  <c r="K7" i="16"/>
  <c r="N7" i="16" s="1"/>
  <c r="T8" i="16"/>
  <c r="K24" i="16"/>
  <c r="N24" i="16" s="1"/>
  <c r="U24" i="16"/>
  <c r="I4" i="16"/>
  <c r="U8" i="16"/>
  <c r="V8" i="16" s="1"/>
  <c r="W8" i="16" s="1"/>
  <c r="AA8" i="16"/>
  <c r="Z16" i="16"/>
  <c r="S16" i="16"/>
  <c r="X16" i="16" s="1"/>
  <c r="U18" i="16"/>
  <c r="Z18" i="16"/>
  <c r="R28" i="16"/>
  <c r="AA30" i="16"/>
  <c r="S30" i="16"/>
  <c r="Z30" i="16"/>
  <c r="T30" i="16"/>
  <c r="AA32" i="16"/>
  <c r="S32" i="16"/>
  <c r="T32" i="16" s="1"/>
  <c r="U32" i="16"/>
  <c r="V34" i="16"/>
  <c r="W34" i="16" s="1"/>
  <c r="T34" i="16"/>
  <c r="AA35" i="16"/>
  <c r="S35" i="16"/>
  <c r="Z35" i="16"/>
  <c r="U28" i="16"/>
  <c r="R7" i="16"/>
  <c r="S7" i="16" s="1"/>
  <c r="X8" i="16"/>
  <c r="Y8" i="16" s="1"/>
  <c r="S12" i="16"/>
  <c r="Z12" i="16"/>
  <c r="U12" i="16"/>
  <c r="U14" i="16"/>
  <c r="K14" i="16"/>
  <c r="N14" i="16" s="1"/>
  <c r="X14" i="16" s="1"/>
  <c r="Y14" i="16" s="1"/>
  <c r="U22" i="16"/>
  <c r="R24" i="16"/>
  <c r="T25" i="16"/>
  <c r="AA25" i="16"/>
  <c r="U27" i="16"/>
  <c r="T36" i="16"/>
  <c r="Z36" i="16"/>
  <c r="Q31" i="16"/>
  <c r="R31" i="16" s="1"/>
  <c r="AA37" i="16"/>
  <c r="S37" i="16"/>
  <c r="Z37" i="16"/>
  <c r="T37" i="16"/>
  <c r="U43" i="16"/>
  <c r="I6" i="16"/>
  <c r="S9" i="16"/>
  <c r="U29" i="16"/>
  <c r="U37" i="16"/>
  <c r="Z39" i="16"/>
  <c r="U16" i="16"/>
  <c r="U25" i="16"/>
  <c r="V25" i="16" s="1"/>
  <c r="W25" i="16" s="1"/>
  <c r="X32" i="16"/>
  <c r="Y32" i="16" s="1"/>
  <c r="X40" i="16"/>
  <c r="Y40" i="16" s="1"/>
  <c r="K9" i="16"/>
  <c r="N9" i="16" s="1"/>
  <c r="I19" i="16"/>
  <c r="R19" i="16" s="1"/>
  <c r="S39" i="16"/>
  <c r="AA41" i="16"/>
  <c r="S41" i="16"/>
  <c r="V41" i="16" s="1"/>
  <c r="W41" i="16" s="1"/>
  <c r="Z41" i="16"/>
  <c r="Q43" i="16"/>
  <c r="R43" i="16" s="1"/>
  <c r="Q23" i="16"/>
  <c r="R23" i="16" s="1"/>
  <c r="I13" i="16"/>
  <c r="K18" i="16"/>
  <c r="N18" i="16" s="1"/>
  <c r="X18" i="16" s="1"/>
  <c r="Y18" i="16" s="1"/>
  <c r="K31" i="16"/>
  <c r="N31" i="16" s="1"/>
  <c r="Z34" i="16"/>
  <c r="U35" i="16"/>
  <c r="X37" i="16"/>
  <c r="Y37" i="16" s="1"/>
  <c r="U38" i="16"/>
  <c r="T39" i="16"/>
  <c r="AC40" i="16"/>
  <c r="AD40" i="16" s="1"/>
  <c r="AA40" i="16"/>
  <c r="S40" i="16"/>
  <c r="Z40" i="16"/>
  <c r="U40" i="16"/>
  <c r="AA29" i="16"/>
  <c r="S29" i="16"/>
  <c r="V29" i="16" s="1"/>
  <c r="W29" i="16" s="1"/>
  <c r="Z29" i="16"/>
  <c r="U30" i="16"/>
  <c r="K36" i="16"/>
  <c r="N36" i="16" s="1"/>
  <c r="K44" i="16"/>
  <c r="N44" i="16" s="1"/>
  <c r="K41" i="16"/>
  <c r="N41" i="16" s="1"/>
  <c r="K27" i="16"/>
  <c r="N27" i="16" s="1"/>
  <c r="X27" i="16" s="1"/>
  <c r="Y27" i="16" s="1"/>
  <c r="K35" i="16"/>
  <c r="N35" i="16" s="1"/>
  <c r="X35" i="16" s="1"/>
  <c r="Y35" i="16" s="1"/>
  <c r="K43" i="16"/>
  <c r="N43" i="16" s="1"/>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X7" i="16" l="1"/>
  <c r="Y7" i="16" s="1"/>
  <c r="S3" i="16"/>
  <c r="V5" i="16"/>
  <c r="W5" i="16" s="1"/>
  <c r="U7" i="16"/>
  <c r="AC209" i="17"/>
  <c r="AA168" i="17"/>
  <c r="AD115" i="17"/>
  <c r="AA111" i="17"/>
  <c r="AD60" i="17"/>
  <c r="AC80" i="17"/>
  <c r="AD209" i="17"/>
  <c r="AA158" i="17"/>
  <c r="AC168" i="17"/>
  <c r="AA115" i="17"/>
  <c r="AA90" i="17"/>
  <c r="AC111" i="17"/>
  <c r="AC67" i="17"/>
  <c r="S42" i="16"/>
  <c r="X42" i="16" s="1"/>
  <c r="AA42" i="16"/>
  <c r="V12" i="16"/>
  <c r="W12" i="16" s="1"/>
  <c r="AC174" i="17"/>
  <c r="AA186" i="17"/>
  <c r="AC90" i="17"/>
  <c r="AD67" i="17"/>
  <c r="AA218" i="17"/>
  <c r="AD35" i="17"/>
  <c r="AA36" i="17"/>
  <c r="AC34" i="16"/>
  <c r="AD34" i="16" s="1"/>
  <c r="X41" i="16"/>
  <c r="Y41" i="16" s="1"/>
  <c r="V39" i="16"/>
  <c r="W39" i="16" s="1"/>
  <c r="AC3" i="16"/>
  <c r="AD3" i="16" s="1"/>
  <c r="X36" i="16"/>
  <c r="Y36" i="16" s="1"/>
  <c r="U42" i="16"/>
  <c r="X9" i="16"/>
  <c r="Y9" i="16" s="1"/>
  <c r="U10" i="16"/>
  <c r="V10" i="16" s="1"/>
  <c r="W10" i="16" s="1"/>
  <c r="X33" i="16"/>
  <c r="Y33" i="16" s="1"/>
  <c r="AD194" i="17"/>
  <c r="AA174" i="17"/>
  <c r="AD150" i="17"/>
  <c r="AC186" i="17"/>
  <c r="AA130" i="17"/>
  <c r="AA163" i="17"/>
  <c r="AA113" i="17"/>
  <c r="AA35" i="17"/>
  <c r="AC65" i="17"/>
  <c r="AC49" i="17"/>
  <c r="AD30" i="17"/>
  <c r="AD218" i="17"/>
  <c r="U36" i="16"/>
  <c r="V36" i="16" s="1"/>
  <c r="W36" i="16" s="1"/>
  <c r="AC8" i="16"/>
  <c r="AD8" i="16" s="1"/>
  <c r="X3" i="16"/>
  <c r="Y3" i="16" s="1"/>
  <c r="AA10" i="16"/>
  <c r="AD169" i="17"/>
  <c r="AC163" i="17"/>
  <c r="AC113" i="17"/>
  <c r="AD65" i="17"/>
  <c r="AA30" i="17"/>
  <c r="AD80" i="17"/>
  <c r="AD154" i="17"/>
  <c r="AC14" i="16"/>
  <c r="AD14" i="16" s="1"/>
  <c r="AA36" i="16"/>
  <c r="AC192" i="17"/>
  <c r="AA194" i="17"/>
  <c r="AA195" i="17"/>
  <c r="AA175" i="17"/>
  <c r="AD132" i="17"/>
  <c r="AA154" i="17"/>
  <c r="AA103" i="17"/>
  <c r="AA119" i="17"/>
  <c r="AD52" i="17"/>
  <c r="AA192" i="17"/>
  <c r="AD195" i="17"/>
  <c r="AC175" i="17"/>
  <c r="AA150" i="17"/>
  <c r="AC135" i="17"/>
  <c r="AA62" i="17"/>
  <c r="AA53" i="17"/>
  <c r="AC52" i="17"/>
  <c r="AD135" i="17"/>
  <c r="AC62" i="17"/>
  <c r="AA196" i="17"/>
  <c r="AC182" i="17"/>
  <c r="AA132" i="17"/>
  <c r="AA91" i="17"/>
  <c r="AC45" i="17"/>
  <c r="AD196" i="17"/>
  <c r="AC91" i="17"/>
  <c r="AC77" i="17"/>
  <c r="AD77" i="17"/>
  <c r="AA190" i="17"/>
  <c r="AA169" i="17"/>
  <c r="AC140" i="17"/>
  <c r="AA45" i="17"/>
  <c r="AC57" i="17"/>
  <c r="AA134" i="17"/>
  <c r="AD134" i="17"/>
  <c r="AD69" i="17"/>
  <c r="AA69" i="17"/>
  <c r="AA141" i="17"/>
  <c r="AD141" i="17"/>
  <c r="AC210" i="17"/>
  <c r="AD210" i="17"/>
  <c r="AA210" i="17"/>
  <c r="AD140" i="17"/>
  <c r="AD57" i="17"/>
  <c r="AA88" i="17"/>
  <c r="AD88" i="17"/>
  <c r="AA136" i="17"/>
  <c r="AD136" i="17"/>
  <c r="AA128" i="17"/>
  <c r="AD128" i="17"/>
  <c r="AC81" i="17"/>
  <c r="AA81" i="17"/>
  <c r="AC59" i="17"/>
  <c r="AA167" i="17"/>
  <c r="AC79" i="17"/>
  <c r="AD59" i="17"/>
  <c r="AA79" i="17"/>
  <c r="AC190" i="17"/>
  <c r="AC167" i="17"/>
  <c r="AC63" i="17"/>
  <c r="AC202" i="17"/>
  <c r="AD202" i="17"/>
  <c r="AA202" i="17"/>
  <c r="AC212" i="17"/>
  <c r="AA212" i="17"/>
  <c r="AD212" i="17"/>
  <c r="AC216" i="17"/>
  <c r="AD216" i="17"/>
  <c r="AA216" i="17"/>
  <c r="AA184" i="17"/>
  <c r="AD75" i="17"/>
  <c r="AD63" i="17"/>
  <c r="AD189" i="17"/>
  <c r="AC189" i="17"/>
  <c r="AA189" i="17"/>
  <c r="AC200" i="17"/>
  <c r="AD200" i="17"/>
  <c r="AA200" i="17"/>
  <c r="AA147" i="17"/>
  <c r="AD147" i="17"/>
  <c r="AA139" i="17"/>
  <c r="AD139" i="17"/>
  <c r="AC139" i="17"/>
  <c r="AD151" i="17"/>
  <c r="AA151" i="17"/>
  <c r="AD184" i="17"/>
  <c r="AA75" i="17"/>
  <c r="AD185" i="17"/>
  <c r="AC185" i="17"/>
  <c r="AA185" i="17"/>
  <c r="AA143" i="17"/>
  <c r="AD143" i="17"/>
  <c r="AA37" i="17"/>
  <c r="AC37" i="17"/>
  <c r="AD205" i="17"/>
  <c r="AC205" i="17"/>
  <c r="AA205" i="17"/>
  <c r="AD217" i="17"/>
  <c r="AC217" i="17"/>
  <c r="AA217" i="17"/>
  <c r="AD229" i="17"/>
  <c r="AA229" i="17"/>
  <c r="AC97" i="17"/>
  <c r="AD97" i="17"/>
  <c r="AA97" i="17"/>
  <c r="AC86" i="17"/>
  <c r="AA86" i="17"/>
  <c r="AD86" i="17"/>
  <c r="AD193" i="17"/>
  <c r="AC193" i="17"/>
  <c r="AA193" i="17"/>
  <c r="AD225" i="17"/>
  <c r="AA225" i="17"/>
  <c r="AD223" i="17"/>
  <c r="AA223" i="17"/>
  <c r="AD231" i="17"/>
  <c r="AA231" i="17"/>
  <c r="AD125" i="17"/>
  <c r="AA125" i="17"/>
  <c r="AD160" i="17"/>
  <c r="AC160" i="17"/>
  <c r="AA160" i="17"/>
  <c r="AD144" i="17"/>
  <c r="AC144" i="17"/>
  <c r="AA144" i="17"/>
  <c r="AC104" i="17"/>
  <c r="AA104" i="17"/>
  <c r="AD104" i="17"/>
  <c r="AD146" i="17"/>
  <c r="AC146" i="17"/>
  <c r="AA146" i="17"/>
  <c r="AC121" i="17"/>
  <c r="AA121" i="17"/>
  <c r="AD121" i="17"/>
  <c r="AD95" i="17"/>
  <c r="AC95" i="17"/>
  <c r="AA95" i="17"/>
  <c r="AC83" i="17"/>
  <c r="AA83" i="17"/>
  <c r="AD83" i="17"/>
  <c r="AD43" i="17"/>
  <c r="AA43" i="17"/>
  <c r="AC43" i="17"/>
  <c r="AD203" i="17"/>
  <c r="AC203" i="17"/>
  <c r="AA203" i="17"/>
  <c r="AD221" i="17"/>
  <c r="AA221" i="17"/>
  <c r="AD107" i="17"/>
  <c r="AC107" i="17"/>
  <c r="AA107" i="17"/>
  <c r="AC78" i="17"/>
  <c r="AA78" i="17"/>
  <c r="AD78" i="17"/>
  <c r="AA42" i="17"/>
  <c r="AC42" i="17"/>
  <c r="AD42" i="17"/>
  <c r="AD137" i="17"/>
  <c r="AA137" i="17"/>
  <c r="AA157" i="17"/>
  <c r="AD157" i="17"/>
  <c r="AC157" i="17"/>
  <c r="AD117" i="17"/>
  <c r="AC117" i="17"/>
  <c r="AA117" i="17"/>
  <c r="AC100" i="17"/>
  <c r="AA100" i="17"/>
  <c r="AD100" i="17"/>
  <c r="AC93" i="17"/>
  <c r="AD93" i="17"/>
  <c r="AA93" i="17"/>
  <c r="AD201" i="17"/>
  <c r="AC201" i="17"/>
  <c r="AA201" i="17"/>
  <c r="AA96" i="17"/>
  <c r="AD96" i="17"/>
  <c r="AC96" i="17"/>
  <c r="AC82" i="17"/>
  <c r="AA82" i="17"/>
  <c r="AD82" i="17"/>
  <c r="AD55" i="17"/>
  <c r="AA55" i="17"/>
  <c r="AC55" i="17"/>
  <c r="AD227" i="17"/>
  <c r="AA227" i="17"/>
  <c r="AD207" i="17"/>
  <c r="AC207" i="17"/>
  <c r="AA207" i="17"/>
  <c r="AA92" i="17"/>
  <c r="AD92" i="17"/>
  <c r="AC92" i="17"/>
  <c r="AA84" i="17"/>
  <c r="AD84" i="17"/>
  <c r="AC84" i="17"/>
  <c r="AD219" i="17"/>
  <c r="AA219" i="17"/>
  <c r="AA159" i="17"/>
  <c r="AD159" i="17"/>
  <c r="AD127" i="17"/>
  <c r="AA127" i="17"/>
  <c r="AD39" i="17"/>
  <c r="AC39" i="17"/>
  <c r="AA39" i="17"/>
  <c r="AC102" i="17"/>
  <c r="AA102" i="17"/>
  <c r="AD102" i="17"/>
  <c r="AD148" i="17"/>
  <c r="AC148" i="17"/>
  <c r="AA148" i="17"/>
  <c r="AC98" i="17"/>
  <c r="AA98" i="17"/>
  <c r="AD98" i="17"/>
  <c r="AC116" i="17"/>
  <c r="AD116" i="17"/>
  <c r="AA116" i="17"/>
  <c r="AA38" i="17"/>
  <c r="AD38" i="17"/>
  <c r="AC38" i="17"/>
  <c r="AC94" i="17"/>
  <c r="AA94" i="17"/>
  <c r="AD94" i="17"/>
  <c r="AD99" i="17"/>
  <c r="AC99" i="17"/>
  <c r="AA99" i="17"/>
  <c r="AD51" i="17"/>
  <c r="AC51" i="17"/>
  <c r="AA51" i="17"/>
  <c r="AA19" i="16"/>
  <c r="Z19" i="16"/>
  <c r="S19" i="16"/>
  <c r="T19" i="16" s="1"/>
  <c r="Y16" i="16"/>
  <c r="AC16" i="16"/>
  <c r="AD16" i="16" s="1"/>
  <c r="U11" i="16"/>
  <c r="K11" i="16"/>
  <c r="N11" i="16" s="1"/>
  <c r="K17" i="16"/>
  <c r="N17" i="16" s="1"/>
  <c r="R11" i="16"/>
  <c r="K13" i="16"/>
  <c r="N13" i="16" s="1"/>
  <c r="V38" i="16"/>
  <c r="W38" i="16" s="1"/>
  <c r="X38" i="16"/>
  <c r="T12" i="16"/>
  <c r="V30" i="16"/>
  <c r="W30" i="16" s="1"/>
  <c r="X30" i="16"/>
  <c r="K15" i="16"/>
  <c r="N15" i="16" s="1"/>
  <c r="X5" i="16"/>
  <c r="V14" i="16"/>
  <c r="W14" i="16" s="1"/>
  <c r="R15" i="16"/>
  <c r="V27" i="16"/>
  <c r="W27" i="16" s="1"/>
  <c r="S23" i="16"/>
  <c r="T23" i="16" s="1"/>
  <c r="Z23" i="16"/>
  <c r="AA23" i="16"/>
  <c r="V9" i="16"/>
  <c r="W9" i="16" s="1"/>
  <c r="V35" i="16"/>
  <c r="W35" i="16" s="1"/>
  <c r="V32" i="16"/>
  <c r="W32" i="16" s="1"/>
  <c r="U4" i="16"/>
  <c r="K4" i="16"/>
  <c r="N4" i="16" s="1"/>
  <c r="U23" i="16"/>
  <c r="T38" i="16"/>
  <c r="X29" i="16"/>
  <c r="V33" i="16"/>
  <c r="W33" i="16" s="1"/>
  <c r="AC9" i="16"/>
  <c r="AD9" i="16" s="1"/>
  <c r="T10" i="16"/>
  <c r="Y42" i="16"/>
  <c r="AC42" i="16"/>
  <c r="AD42" i="16" s="1"/>
  <c r="AA2" i="16"/>
  <c r="Z2" i="16"/>
  <c r="S2" i="16"/>
  <c r="T2" i="16" s="1"/>
  <c r="AA4" i="16"/>
  <c r="Z4" i="16"/>
  <c r="T29" i="16"/>
  <c r="V16" i="16"/>
  <c r="W16" i="16" s="1"/>
  <c r="T16" i="16"/>
  <c r="T26" i="16"/>
  <c r="S4" i="16"/>
  <c r="X26" i="16"/>
  <c r="T5" i="16"/>
  <c r="AC37" i="16"/>
  <c r="AD37" i="16" s="1"/>
  <c r="V40" i="16"/>
  <c r="W40" i="16" s="1"/>
  <c r="T43" i="16"/>
  <c r="AA43" i="16"/>
  <c r="S43" i="16"/>
  <c r="V43" i="16" s="1"/>
  <c r="W43" i="16" s="1"/>
  <c r="Z43" i="16"/>
  <c r="AC25" i="16"/>
  <c r="AD25" i="16" s="1"/>
  <c r="V20" i="16"/>
  <c r="W20" i="16" s="1"/>
  <c r="X20" i="16"/>
  <c r="V42" i="16"/>
  <c r="W42" i="16" s="1"/>
  <c r="T42" i="16"/>
  <c r="T41" i="16"/>
  <c r="AC7" i="16"/>
  <c r="AD7" i="16" s="1"/>
  <c r="K6" i="16"/>
  <c r="N6" i="16" s="1"/>
  <c r="X6" i="16" s="1"/>
  <c r="Y6" i="16" s="1"/>
  <c r="U6" i="16"/>
  <c r="V6" i="16" s="1"/>
  <c r="W6" i="16" s="1"/>
  <c r="V37" i="16"/>
  <c r="W37" i="16" s="1"/>
  <c r="AC18" i="16"/>
  <c r="AD18" i="16" s="1"/>
  <c r="T35" i="16"/>
  <c r="X24" i="16"/>
  <c r="Y24" i="16" s="1"/>
  <c r="AA21" i="16"/>
  <c r="S21" i="16"/>
  <c r="T21" i="16" s="1"/>
  <c r="Z21" i="16"/>
  <c r="U21" i="16"/>
  <c r="T20" i="16"/>
  <c r="V18" i="16"/>
  <c r="W18" i="16" s="1"/>
  <c r="T14" i="16"/>
  <c r="T27" i="16"/>
  <c r="Z31" i="16"/>
  <c r="AA31" i="16"/>
  <c r="S31" i="16"/>
  <c r="T31" i="16" s="1"/>
  <c r="X39" i="16"/>
  <c r="U19" i="16"/>
  <c r="K19" i="16"/>
  <c r="N19" i="16" s="1"/>
  <c r="X19" i="16" s="1"/>
  <c r="Y19" i="16" s="1"/>
  <c r="R13" i="16"/>
  <c r="U13" i="16" s="1"/>
  <c r="X12" i="16"/>
  <c r="Z28" i="16"/>
  <c r="S28" i="16"/>
  <c r="AA28" i="16"/>
  <c r="T28" i="16"/>
  <c r="T40" i="16"/>
  <c r="AC41" i="16"/>
  <c r="AD41" i="16" s="1"/>
  <c r="V7" i="16"/>
  <c r="U31" i="16"/>
  <c r="AC36" i="16"/>
  <c r="AD36" i="16" s="1"/>
  <c r="AA24" i="16"/>
  <c r="S24" i="16"/>
  <c r="V24" i="16" s="1"/>
  <c r="W24" i="16" s="1"/>
  <c r="Z24" i="16"/>
  <c r="R17" i="16"/>
  <c r="U17" i="16" s="1"/>
  <c r="T7" i="16"/>
  <c r="AA7" i="16"/>
  <c r="Z7" i="16"/>
  <c r="W7" i="16"/>
  <c r="AC35" i="16"/>
  <c r="AD35" i="16" s="1"/>
  <c r="AC32" i="16"/>
  <c r="AD32" i="16" s="1"/>
  <c r="V3" i="16"/>
  <c r="W3" i="16" s="1"/>
  <c r="AA22" i="16"/>
  <c r="Z22" i="16"/>
  <c r="S22" i="16"/>
  <c r="T22" i="16" s="1"/>
  <c r="T18" i="16"/>
  <c r="AC33" i="16"/>
  <c r="AD33" i="16" s="1"/>
  <c r="T9" i="16"/>
  <c r="X10" i="16"/>
  <c r="Z3" i="16"/>
  <c r="T3" i="16"/>
  <c r="AA3" i="16"/>
  <c r="AC27" i="16"/>
  <c r="AD27" i="16" s="1"/>
  <c r="AA6" i="16"/>
  <c r="Z6" i="16"/>
  <c r="T6" i="16"/>
  <c r="T24" i="16" l="1"/>
  <c r="AC24" i="16"/>
  <c r="AD24" i="16" s="1"/>
  <c r="V4" i="16"/>
  <c r="W4" i="16" s="1"/>
  <c r="Z15" i="16"/>
  <c r="AA15" i="16"/>
  <c r="S15" i="16"/>
  <c r="X15" i="16" s="1"/>
  <c r="Y10" i="16"/>
  <c r="AC10" i="16"/>
  <c r="AD10" i="16" s="1"/>
  <c r="Y39" i="16"/>
  <c r="AC39" i="16"/>
  <c r="AD39" i="16" s="1"/>
  <c r="V21" i="16"/>
  <c r="W21" i="16" s="1"/>
  <c r="X21" i="16"/>
  <c r="AA17" i="16"/>
  <c r="Z17" i="16"/>
  <c r="S17" i="16"/>
  <c r="V17" i="16" s="1"/>
  <c r="W17" i="16" s="1"/>
  <c r="V31" i="16"/>
  <c r="W31" i="16" s="1"/>
  <c r="X4" i="16"/>
  <c r="U15" i="16"/>
  <c r="AA11" i="16"/>
  <c r="Z11" i="16"/>
  <c r="S11" i="16"/>
  <c r="V11" i="16" s="1"/>
  <c r="W11" i="16" s="1"/>
  <c r="AA13" i="16"/>
  <c r="Z13" i="16"/>
  <c r="S13" i="16"/>
  <c r="V13" i="16" s="1"/>
  <c r="W13" i="16" s="1"/>
  <c r="Y20" i="16"/>
  <c r="AC20" i="16"/>
  <c r="AD20" i="16" s="1"/>
  <c r="Y29" i="16"/>
  <c r="AC29" i="16"/>
  <c r="AD29" i="16" s="1"/>
  <c r="Y5" i="16"/>
  <c r="AC5" i="16"/>
  <c r="AD5" i="16" s="1"/>
  <c r="V28" i="16"/>
  <c r="W28" i="16" s="1"/>
  <c r="X28" i="16"/>
  <c r="AC6" i="16"/>
  <c r="AD6" i="16" s="1"/>
  <c r="Y26" i="16"/>
  <c r="AC26" i="16"/>
  <c r="AD26" i="16" s="1"/>
  <c r="Y30" i="16"/>
  <c r="AC30" i="16"/>
  <c r="AD30" i="16" s="1"/>
  <c r="V19" i="16"/>
  <c r="W19" i="16" s="1"/>
  <c r="Y38" i="16"/>
  <c r="AC38" i="16"/>
  <c r="AD38" i="16" s="1"/>
  <c r="T4" i="16"/>
  <c r="V23" i="16"/>
  <c r="W23" i="16" s="1"/>
  <c r="X23" i="16"/>
  <c r="AC19" i="16"/>
  <c r="AD19" i="16" s="1"/>
  <c r="V22" i="16"/>
  <c r="W22" i="16" s="1"/>
  <c r="X22" i="16"/>
  <c r="X31" i="16"/>
  <c r="Y12" i="16"/>
  <c r="AC12" i="16"/>
  <c r="AD12" i="16" s="1"/>
  <c r="X43" i="16"/>
  <c r="V2" i="16"/>
  <c r="W2" i="16" s="1"/>
  <c r="X2" i="16"/>
  <c r="Y15" i="16" l="1"/>
  <c r="AC15" i="16"/>
  <c r="AD15" i="16" s="1"/>
  <c r="T15" i="16"/>
  <c r="Y23" i="16"/>
  <c r="AC23" i="16"/>
  <c r="AD23" i="16" s="1"/>
  <c r="T13" i="16"/>
  <c r="Y43" i="16"/>
  <c r="AC43" i="16"/>
  <c r="AD43" i="16" s="1"/>
  <c r="T17" i="16"/>
  <c r="Y2" i="16"/>
  <c r="AC2" i="16"/>
  <c r="AD2" i="16" s="1"/>
  <c r="Y4" i="16"/>
  <c r="AC4" i="16"/>
  <c r="AD4" i="16" s="1"/>
  <c r="V15" i="16"/>
  <c r="W15" i="16" s="1"/>
  <c r="X13" i="16"/>
  <c r="Y21" i="16"/>
  <c r="AC21" i="16"/>
  <c r="AD21" i="16" s="1"/>
  <c r="Y31" i="16"/>
  <c r="AC31" i="16"/>
  <c r="AD31" i="16" s="1"/>
  <c r="Y22" i="16"/>
  <c r="AC22" i="16"/>
  <c r="AD22" i="16" s="1"/>
  <c r="Y28" i="16"/>
  <c r="AC28" i="16"/>
  <c r="AD28" i="16" s="1"/>
  <c r="X11" i="16"/>
  <c r="X17" i="16"/>
  <c r="T11" i="16"/>
  <c r="Y17" i="16" l="1"/>
  <c r="AC17" i="16"/>
  <c r="AD17" i="16" s="1"/>
  <c r="Y11" i="16"/>
  <c r="AC11" i="16"/>
  <c r="AD11" i="16" s="1"/>
  <c r="Y13" i="16"/>
  <c r="AC13" i="16"/>
  <c r="AD13" i="16" s="1"/>
  <c r="G46" i="9" l="1"/>
  <c r="F46" i="9"/>
  <c r="E46" i="9"/>
  <c r="C46" i="9"/>
  <c r="K45" i="9" l="1"/>
  <c r="K44" i="9"/>
  <c r="K43" i="9"/>
  <c r="K42" i="9"/>
  <c r="K41" i="9"/>
  <c r="K40" i="9"/>
  <c r="K39" i="9"/>
  <c r="K38" i="9"/>
  <c r="K37" i="9"/>
  <c r="K36" i="9"/>
  <c r="K35" i="9"/>
  <c r="K34" i="9"/>
  <c r="K33" i="9"/>
  <c r="K32" i="9"/>
  <c r="K31" i="9"/>
  <c r="K30" i="9"/>
  <c r="K29" i="9"/>
  <c r="K28" i="9"/>
  <c r="K27" i="9"/>
  <c r="K26" i="9"/>
  <c r="K25" i="9"/>
  <c r="K24" i="9"/>
  <c r="K23" i="9"/>
  <c r="K22" i="9"/>
  <c r="K21" i="9"/>
  <c r="K20" i="9"/>
  <c r="K19" i="9"/>
  <c r="K18" i="9"/>
  <c r="K17" i="9"/>
  <c r="K16" i="9"/>
  <c r="K15" i="9"/>
  <c r="K14" i="9"/>
  <c r="K13" i="9"/>
  <c r="K12" i="9"/>
  <c r="K11" i="9"/>
  <c r="K10" i="9"/>
  <c r="K9" i="9"/>
  <c r="K8" i="9"/>
  <c r="K7" i="9"/>
  <c r="K6" i="9"/>
  <c r="K5" i="9"/>
  <c r="K4" i="9"/>
  <c r="K46" i="9" l="1"/>
  <c r="D3" i="13" l="1"/>
  <c r="E3" i="13"/>
  <c r="D4" i="13"/>
  <c r="E4" i="13"/>
  <c r="D5" i="13"/>
  <c r="E5" i="13"/>
  <c r="D2" i="13"/>
  <c r="E2" i="13"/>
  <c r="B1" i="13"/>
  <c r="C1" i="13"/>
  <c r="D1" i="13"/>
  <c r="E1" i="13"/>
  <c r="A1" i="13"/>
  <c r="AM46" i="9"/>
  <c r="AL46" i="9"/>
  <c r="AK46" i="9"/>
  <c r="AM45" i="9"/>
  <c r="AL45" i="9"/>
  <c r="AK45" i="9"/>
  <c r="AM44" i="9"/>
  <c r="AL44" i="9"/>
  <c r="AK44" i="9"/>
  <c r="AM43" i="9"/>
  <c r="AL43" i="9"/>
  <c r="AK43" i="9"/>
  <c r="AM42" i="9"/>
  <c r="AL42" i="9"/>
  <c r="AK42" i="9"/>
  <c r="AM41" i="9"/>
  <c r="AL41" i="9"/>
  <c r="AK41" i="9"/>
  <c r="AM40" i="9"/>
  <c r="AL40" i="9"/>
  <c r="AK40" i="9"/>
  <c r="AM39" i="9"/>
  <c r="AL39" i="9"/>
  <c r="AK39" i="9"/>
  <c r="AM38" i="9"/>
  <c r="AL38" i="9"/>
  <c r="AK38" i="9"/>
  <c r="AM37" i="9"/>
  <c r="AL37" i="9"/>
  <c r="AK37" i="9"/>
  <c r="AM36" i="9"/>
  <c r="AL36" i="9"/>
  <c r="AK36" i="9"/>
  <c r="AM35" i="9"/>
  <c r="AL35" i="9"/>
  <c r="AK35" i="9"/>
  <c r="AM34" i="9"/>
  <c r="AL34" i="9"/>
  <c r="AK34" i="9"/>
  <c r="AM33" i="9"/>
  <c r="AL33" i="9"/>
  <c r="AK33" i="9"/>
  <c r="AM32" i="9"/>
  <c r="AL32" i="9"/>
  <c r="AK32" i="9"/>
  <c r="AM31" i="9"/>
  <c r="AL31" i="9"/>
  <c r="AK31" i="9"/>
  <c r="AM30" i="9"/>
  <c r="AL30" i="9"/>
  <c r="AK30" i="9"/>
  <c r="AM29" i="9"/>
  <c r="AL29" i="9"/>
  <c r="AK29" i="9"/>
  <c r="AM28" i="9"/>
  <c r="AL28" i="9"/>
  <c r="AK28" i="9"/>
  <c r="AM27" i="9"/>
  <c r="AL27" i="9"/>
  <c r="AK27" i="9"/>
  <c r="AM26" i="9"/>
  <c r="AL26" i="9"/>
  <c r="AK26" i="9"/>
  <c r="AM25" i="9"/>
  <c r="AL25" i="9"/>
  <c r="AK25" i="9"/>
  <c r="AM24" i="9"/>
  <c r="AL24" i="9"/>
  <c r="AK24" i="9"/>
  <c r="AM23" i="9"/>
  <c r="AL23" i="9"/>
  <c r="AK23" i="9"/>
  <c r="AM22" i="9"/>
  <c r="AL22" i="9"/>
  <c r="AK22" i="9"/>
  <c r="AM21" i="9"/>
  <c r="AL21" i="9"/>
  <c r="AK21" i="9"/>
  <c r="AM20" i="9"/>
  <c r="AL20" i="9"/>
  <c r="AK20" i="9"/>
  <c r="AM19" i="9"/>
  <c r="AL19" i="9"/>
  <c r="AK19" i="9"/>
  <c r="AM18" i="9"/>
  <c r="AL18" i="9"/>
  <c r="AK18" i="9"/>
  <c r="AM17" i="9"/>
  <c r="AL17" i="9"/>
  <c r="AK17" i="9"/>
  <c r="AM16" i="9"/>
  <c r="AL16" i="9"/>
  <c r="AK16" i="9"/>
  <c r="AM15" i="9"/>
  <c r="AL15" i="9"/>
  <c r="AK15" i="9"/>
  <c r="AM14" i="9"/>
  <c r="AL14" i="9"/>
  <c r="AK14" i="9"/>
  <c r="AM13" i="9"/>
  <c r="AL13" i="9"/>
  <c r="AK13" i="9"/>
  <c r="AM12" i="9"/>
  <c r="AL12" i="9"/>
  <c r="AK12" i="9"/>
  <c r="AM11" i="9"/>
  <c r="AL11" i="9"/>
  <c r="AK11" i="9"/>
  <c r="AM10" i="9"/>
  <c r="AL10" i="9"/>
  <c r="AK10" i="9"/>
  <c r="AM9" i="9"/>
  <c r="AL9" i="9"/>
  <c r="AK9" i="9"/>
  <c r="AM8" i="9"/>
  <c r="AL8" i="9"/>
  <c r="AK8" i="9"/>
  <c r="AM7" i="9"/>
  <c r="AL7" i="9"/>
  <c r="AK7" i="9"/>
  <c r="AM6" i="9"/>
  <c r="AL6" i="9"/>
  <c r="AK6" i="9"/>
  <c r="AM5" i="9"/>
  <c r="AL5" i="9"/>
  <c r="AK5" i="9"/>
  <c r="AM4" i="9"/>
  <c r="AL4" i="9"/>
  <c r="AK4" i="9"/>
  <c r="L42" i="4" l="1"/>
  <c r="AA42" i="4" s="1"/>
  <c r="AB42" i="4" s="1"/>
  <c r="AA41" i="4"/>
  <c r="U42" i="4" l="1"/>
  <c r="V42" i="4" s="1"/>
  <c r="M42" i="4"/>
  <c r="N42" i="4" s="1"/>
  <c r="Q42" i="4"/>
  <c r="R42" i="4" s="1"/>
  <c r="Y42" i="4"/>
  <c r="Z42" i="4" s="1"/>
  <c r="O42" i="4"/>
  <c r="P42" i="4" s="1"/>
  <c r="W42" i="4"/>
  <c r="X42" i="4" s="1"/>
  <c r="S42" i="4"/>
  <c r="T42" i="4" s="1"/>
  <c r="AC42" i="4" l="1"/>
  <c r="Y45" i="10" l="1"/>
  <c r="Y43" i="10"/>
  <c r="Y42" i="10"/>
  <c r="Y41" i="10"/>
  <c r="Y40" i="10"/>
  <c r="Y39" i="10"/>
  <c r="Y38" i="10"/>
  <c r="Y37" i="10"/>
  <c r="X45" i="10"/>
  <c r="X43" i="10"/>
  <c r="X42" i="10"/>
  <c r="X41" i="10"/>
  <c r="X40" i="10"/>
  <c r="X39" i="10"/>
  <c r="X38" i="10"/>
  <c r="X37" i="10"/>
  <c r="W45" i="10"/>
  <c r="W43" i="10"/>
  <c r="W42" i="10"/>
  <c r="W41" i="10"/>
  <c r="W40" i="10"/>
  <c r="W39" i="10"/>
  <c r="W38" i="10"/>
  <c r="W37" i="10"/>
  <c r="A46" i="4"/>
  <c r="A44" i="13" s="1"/>
  <c r="F9" i="10" l="1"/>
  <c r="F58" i="10"/>
  <c r="F57" i="10"/>
  <c r="F56" i="10"/>
  <c r="F55" i="10"/>
  <c r="F54" i="10"/>
  <c r="F53" i="10"/>
  <c r="F52" i="10"/>
  <c r="F51" i="10"/>
  <c r="F50" i="10"/>
  <c r="F49" i="10"/>
  <c r="F48" i="10"/>
  <c r="F47"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F15" i="10"/>
  <c r="F14" i="10"/>
  <c r="F13" i="10"/>
  <c r="F12" i="10"/>
  <c r="F11" i="10"/>
  <c r="F10" i="10"/>
  <c r="F8" i="10"/>
  <c r="F7" i="10"/>
  <c r="F6" i="10"/>
  <c r="F5" i="10"/>
  <c r="F4" i="10"/>
  <c r="T47" i="10"/>
  <c r="T48" i="10"/>
  <c r="T49" i="10"/>
  <c r="S47" i="10"/>
  <c r="S48" i="10"/>
  <c r="S49" i="10"/>
  <c r="R28" i="10"/>
  <c r="S28" i="10" s="1"/>
  <c r="R29" i="10"/>
  <c r="S29" i="10" s="1"/>
  <c r="R30" i="10"/>
  <c r="S30" i="10" s="1"/>
  <c r="R31" i="10"/>
  <c r="S31" i="10" s="1"/>
  <c r="R32" i="10"/>
  <c r="T32" i="10" s="1"/>
  <c r="R33" i="10"/>
  <c r="T33" i="10" s="1"/>
  <c r="R34" i="10"/>
  <c r="S34" i="10" s="1"/>
  <c r="R35" i="10"/>
  <c r="S35" i="10" s="1"/>
  <c r="R36" i="10"/>
  <c r="T36" i="10" s="1"/>
  <c r="R37" i="10"/>
  <c r="T37" i="10" s="1"/>
  <c r="R38" i="10"/>
  <c r="S38" i="10" s="1"/>
  <c r="R39" i="10"/>
  <c r="S39" i="10" s="1"/>
  <c r="R40" i="10"/>
  <c r="T40" i="10" s="1"/>
  <c r="R41" i="10"/>
  <c r="S41" i="10" s="1"/>
  <c r="R42" i="10"/>
  <c r="T42" i="10" s="1"/>
  <c r="R43" i="10"/>
  <c r="T43" i="10" s="1"/>
  <c r="R4" i="10"/>
  <c r="T4" i="10" s="1"/>
  <c r="R5" i="10"/>
  <c r="S5" i="10" s="1"/>
  <c r="R6" i="10"/>
  <c r="S6" i="10" s="1"/>
  <c r="R7" i="10"/>
  <c r="T7" i="10" s="1"/>
  <c r="R8" i="10"/>
  <c r="S8" i="10" s="1"/>
  <c r="R9" i="10"/>
  <c r="T9" i="10" s="1"/>
  <c r="R10" i="10"/>
  <c r="S10" i="10" s="1"/>
  <c r="R11" i="10"/>
  <c r="T11" i="10" s="1"/>
  <c r="R12" i="10"/>
  <c r="S12" i="10" s="1"/>
  <c r="R13" i="10"/>
  <c r="T13" i="10" s="1"/>
  <c r="R14" i="10"/>
  <c r="S14" i="10" s="1"/>
  <c r="R15" i="10"/>
  <c r="T15" i="10" s="1"/>
  <c r="R16" i="10"/>
  <c r="S16" i="10" s="1"/>
  <c r="R17" i="10"/>
  <c r="T17" i="10" s="1"/>
  <c r="R18" i="10"/>
  <c r="S18" i="10" s="1"/>
  <c r="R19" i="10"/>
  <c r="T19" i="10" s="1"/>
  <c r="R20" i="10"/>
  <c r="T20" i="10" s="1"/>
  <c r="R21" i="10"/>
  <c r="T21" i="10" s="1"/>
  <c r="R22" i="10"/>
  <c r="T22" i="10" s="1"/>
  <c r="R23" i="10"/>
  <c r="T23" i="10" s="1"/>
  <c r="R24" i="10"/>
  <c r="S24" i="10" s="1"/>
  <c r="R25" i="10"/>
  <c r="T25" i="10" s="1"/>
  <c r="R26" i="10"/>
  <c r="S26" i="10" s="1"/>
  <c r="R27" i="10"/>
  <c r="T27" i="10" s="1"/>
  <c r="R44" i="10"/>
  <c r="T44" i="10" s="1"/>
  <c r="R45" i="10"/>
  <c r="T45" i="10" s="1"/>
  <c r="R46" i="10"/>
  <c r="T46" i="10" s="1"/>
  <c r="R50" i="10"/>
  <c r="S50" i="10" s="1"/>
  <c r="R51" i="10"/>
  <c r="S51" i="10" s="1"/>
  <c r="R52" i="10"/>
  <c r="T52" i="10" s="1"/>
  <c r="S52" i="10"/>
  <c r="R53" i="10"/>
  <c r="S53" i="10" s="1"/>
  <c r="R54" i="10"/>
  <c r="S54" i="10" s="1"/>
  <c r="R55" i="10"/>
  <c r="S55" i="10" s="1"/>
  <c r="T55" i="10"/>
  <c r="R56" i="10"/>
  <c r="T56" i="10" s="1"/>
  <c r="R57" i="10"/>
  <c r="S57" i="10"/>
  <c r="T57" i="10"/>
  <c r="R58" i="10"/>
  <c r="T58" i="10" s="1"/>
  <c r="B56" i="4"/>
  <c r="G56" i="4" s="1"/>
  <c r="B54" i="4"/>
  <c r="G54" i="4" s="1"/>
  <c r="B55" i="4"/>
  <c r="G55" i="4" s="1"/>
  <c r="S56" i="10" l="1"/>
  <c r="T54" i="10"/>
  <c r="S58" i="10"/>
  <c r="S4" i="10"/>
  <c r="S7" i="10"/>
  <c r="T6" i="10"/>
  <c r="S46" i="10"/>
  <c r="T51" i="10"/>
  <c r="S22" i="10"/>
  <c r="T50" i="10"/>
  <c r="T38" i="10"/>
  <c r="T30" i="10"/>
  <c r="S20" i="10"/>
  <c r="S15" i="10"/>
  <c r="T31" i="10"/>
  <c r="T35" i="10"/>
  <c r="T41" i="10"/>
  <c r="S40" i="10"/>
  <c r="S32" i="10"/>
  <c r="S23" i="10"/>
  <c r="T14" i="10"/>
  <c r="T39" i="10"/>
  <c r="S45" i="10"/>
  <c r="S37" i="10"/>
  <c r="S44" i="10"/>
  <c r="S36" i="10"/>
  <c r="T16" i="10"/>
  <c r="S43" i="10"/>
  <c r="S42" i="10"/>
  <c r="S25" i="10"/>
  <c r="S33" i="10"/>
  <c r="S9" i="10"/>
  <c r="T29" i="10"/>
  <c r="T34" i="10"/>
  <c r="T18" i="10"/>
  <c r="S27" i="10"/>
  <c r="S11" i="10"/>
  <c r="S13" i="10"/>
  <c r="T53" i="10"/>
  <c r="T24" i="10"/>
  <c r="T8" i="10"/>
  <c r="T26" i="10"/>
  <c r="S17" i="10"/>
  <c r="T10" i="10"/>
  <c r="T28" i="10"/>
  <c r="S19" i="10"/>
  <c r="T12" i="10"/>
  <c r="S21" i="10"/>
  <c r="T5" i="10"/>
  <c r="B57" i="4"/>
  <c r="G57" i="4" s="1"/>
  <c r="A57" i="4"/>
  <c r="A56" i="4"/>
  <c r="A54" i="4"/>
  <c r="B53" i="4"/>
  <c r="G53" i="4" s="1"/>
  <c r="A53" i="4"/>
  <c r="B52" i="4"/>
  <c r="G52" i="4" s="1"/>
  <c r="A52" i="4"/>
  <c r="B51" i="4"/>
  <c r="A51" i="4"/>
  <c r="A49" i="13" s="1"/>
  <c r="B50" i="4"/>
  <c r="A50" i="4"/>
  <c r="A48" i="13" s="1"/>
  <c r="B49" i="4"/>
  <c r="A49" i="4"/>
  <c r="A47" i="13" s="1"/>
  <c r="B48" i="4"/>
  <c r="A48" i="4"/>
  <c r="A46" i="13" s="1"/>
  <c r="B47" i="4"/>
  <c r="A47" i="4"/>
  <c r="A45" i="13" s="1"/>
  <c r="B46" i="4"/>
  <c r="B44" i="13" s="1"/>
  <c r="B45" i="4"/>
  <c r="B43" i="13" s="1"/>
  <c r="A45" i="4"/>
  <c r="A43" i="13" s="1"/>
  <c r="B44" i="4"/>
  <c r="B42" i="13" s="1"/>
  <c r="A44" i="4"/>
  <c r="A42" i="13" s="1"/>
  <c r="B43" i="4"/>
  <c r="B41" i="13" s="1"/>
  <c r="A43" i="4"/>
  <c r="A41" i="13" s="1"/>
  <c r="B42" i="4"/>
  <c r="B40" i="13" s="1"/>
  <c r="A42" i="4"/>
  <c r="A40" i="13" s="1"/>
  <c r="B41" i="4"/>
  <c r="B39" i="13" s="1"/>
  <c r="A41" i="4"/>
  <c r="A39" i="13" s="1"/>
  <c r="B40" i="4"/>
  <c r="B38" i="13" s="1"/>
  <c r="A40" i="4"/>
  <c r="A38" i="13" s="1"/>
  <c r="B39" i="4"/>
  <c r="B37" i="13" s="1"/>
  <c r="A39" i="4"/>
  <c r="A37" i="13" s="1"/>
  <c r="B38" i="4"/>
  <c r="B36" i="13" s="1"/>
  <c r="A38" i="4"/>
  <c r="A36" i="13" s="1"/>
  <c r="B37" i="4"/>
  <c r="B35" i="13" s="1"/>
  <c r="A37" i="4"/>
  <c r="A35" i="13" s="1"/>
  <c r="B36" i="4"/>
  <c r="B34" i="13" s="1"/>
  <c r="A36" i="4"/>
  <c r="A34" i="13" s="1"/>
  <c r="B35" i="4"/>
  <c r="B33" i="13" s="1"/>
  <c r="A35" i="4"/>
  <c r="A33" i="13" s="1"/>
  <c r="B34" i="4"/>
  <c r="B32" i="13" s="1"/>
  <c r="A34" i="4"/>
  <c r="A32" i="13" s="1"/>
  <c r="B33" i="4"/>
  <c r="B31" i="13" s="1"/>
  <c r="A33" i="4"/>
  <c r="A31" i="13" s="1"/>
  <c r="B32" i="4"/>
  <c r="B30" i="13" s="1"/>
  <c r="A32" i="4"/>
  <c r="A30" i="13" s="1"/>
  <c r="B31" i="4"/>
  <c r="B29" i="13" s="1"/>
  <c r="A31" i="4"/>
  <c r="A29" i="13" s="1"/>
  <c r="B30" i="4"/>
  <c r="B28" i="13" s="1"/>
  <c r="A30" i="4"/>
  <c r="A28" i="13" s="1"/>
  <c r="B29" i="4"/>
  <c r="B27" i="13" s="1"/>
  <c r="A29" i="4"/>
  <c r="A27" i="13" s="1"/>
  <c r="B28" i="4"/>
  <c r="B26" i="13" s="1"/>
  <c r="A28" i="4"/>
  <c r="A26" i="13" s="1"/>
  <c r="B27" i="4"/>
  <c r="B25" i="13" s="1"/>
  <c r="A27" i="4"/>
  <c r="A25" i="13" s="1"/>
  <c r="B26" i="4"/>
  <c r="B24" i="13" s="1"/>
  <c r="A26" i="4"/>
  <c r="A24" i="13" s="1"/>
  <c r="B25" i="4"/>
  <c r="B23" i="13" s="1"/>
  <c r="A25" i="4"/>
  <c r="A23" i="13" s="1"/>
  <c r="B24" i="4"/>
  <c r="B22" i="13" s="1"/>
  <c r="A24" i="4"/>
  <c r="A22" i="13" s="1"/>
  <c r="B23" i="4"/>
  <c r="B21" i="13" s="1"/>
  <c r="A23" i="4"/>
  <c r="A21" i="13" s="1"/>
  <c r="B22" i="4"/>
  <c r="B20" i="13" s="1"/>
  <c r="A22" i="4"/>
  <c r="A20" i="13" s="1"/>
  <c r="B21" i="4"/>
  <c r="B19" i="13" s="1"/>
  <c r="A21" i="4"/>
  <c r="A19" i="13" s="1"/>
  <c r="B20" i="4"/>
  <c r="B18" i="13" s="1"/>
  <c r="A20" i="4"/>
  <c r="A18" i="13" s="1"/>
  <c r="B19" i="4"/>
  <c r="B17" i="13" s="1"/>
  <c r="A19" i="4"/>
  <c r="A17" i="13" s="1"/>
  <c r="B18" i="4"/>
  <c r="B16" i="13" s="1"/>
  <c r="A18" i="4"/>
  <c r="A16" i="13" s="1"/>
  <c r="B17" i="4"/>
  <c r="B15" i="13" s="1"/>
  <c r="A17" i="4"/>
  <c r="A15" i="13" s="1"/>
  <c r="B16" i="4"/>
  <c r="B14" i="13" s="1"/>
  <c r="A16" i="4"/>
  <c r="A14" i="13" s="1"/>
  <c r="B15" i="4"/>
  <c r="B13" i="13" s="1"/>
  <c r="A15" i="4"/>
  <c r="A13" i="13" s="1"/>
  <c r="B14" i="4"/>
  <c r="B12" i="13" s="1"/>
  <c r="A14" i="4"/>
  <c r="A12" i="13" s="1"/>
  <c r="B13" i="4"/>
  <c r="B11" i="13" s="1"/>
  <c r="A13" i="4"/>
  <c r="A11" i="13" s="1"/>
  <c r="B12" i="4"/>
  <c r="B10" i="13" s="1"/>
  <c r="A12" i="4"/>
  <c r="A10" i="13" s="1"/>
  <c r="B11" i="4"/>
  <c r="B9" i="13" s="1"/>
  <c r="A11" i="4"/>
  <c r="A9" i="13" s="1"/>
  <c r="B10" i="4"/>
  <c r="A10" i="4"/>
  <c r="A8" i="13" s="1"/>
  <c r="A55" i="4"/>
  <c r="B8" i="13" l="1"/>
  <c r="H8" i="13"/>
  <c r="G47" i="4"/>
  <c r="B45" i="13"/>
  <c r="G48" i="4"/>
  <c r="B46" i="13"/>
  <c r="G51" i="4"/>
  <c r="B49" i="13"/>
  <c r="G49" i="4"/>
  <c r="B47" i="13"/>
  <c r="G50" i="4"/>
  <c r="B48" i="13"/>
  <c r="M20" i="4"/>
  <c r="A4" i="4"/>
  <c r="A2" i="13" s="1"/>
  <c r="B9" i="4" l="1"/>
  <c r="B8" i="4"/>
  <c r="B6" i="13" s="1"/>
  <c r="B7" i="4"/>
  <c r="B5" i="13" s="1"/>
  <c r="B6" i="4"/>
  <c r="B4" i="13" s="1"/>
  <c r="B5" i="4"/>
  <c r="B3" i="13" s="1"/>
  <c r="B4" i="4"/>
  <c r="B2" i="13" s="1"/>
  <c r="B7" i="13" l="1"/>
  <c r="H7" i="13" s="1"/>
  <c r="F9" i="4"/>
  <c r="D53" i="4"/>
  <c r="D9" i="4"/>
  <c r="D7" i="13" s="1"/>
  <c r="D8" i="4"/>
  <c r="D6" i="13" s="1"/>
  <c r="F10" i="4"/>
  <c r="D10" i="4"/>
  <c r="D8" i="13" s="1"/>
  <c r="F18" i="4"/>
  <c r="D18" i="4"/>
  <c r="D16" i="13" s="1"/>
  <c r="F26" i="4"/>
  <c r="D26" i="4"/>
  <c r="D24" i="13" s="1"/>
  <c r="F34" i="4"/>
  <c r="D34" i="4"/>
  <c r="D32" i="13" s="1"/>
  <c r="F42" i="4"/>
  <c r="D42" i="4"/>
  <c r="D40" i="13" s="1"/>
  <c r="F50" i="4"/>
  <c r="D50" i="4"/>
  <c r="D11" i="4"/>
  <c r="D9" i="13" s="1"/>
  <c r="F11" i="4"/>
  <c r="D19" i="4"/>
  <c r="D17" i="13" s="1"/>
  <c r="F19" i="4"/>
  <c r="D27" i="4"/>
  <c r="D25" i="13" s="1"/>
  <c r="F27" i="4"/>
  <c r="D35" i="4"/>
  <c r="D33" i="13" s="1"/>
  <c r="F35" i="4"/>
  <c r="D43" i="4"/>
  <c r="D41" i="13" s="1"/>
  <c r="F43" i="4"/>
  <c r="D51" i="4"/>
  <c r="F51" i="4"/>
  <c r="F12" i="4"/>
  <c r="D12" i="4"/>
  <c r="D10" i="13" s="1"/>
  <c r="F16" i="4"/>
  <c r="D16" i="4"/>
  <c r="D14" i="13" s="1"/>
  <c r="F20" i="4"/>
  <c r="D20" i="4"/>
  <c r="D18" i="13" s="1"/>
  <c r="F24" i="4"/>
  <c r="D24" i="4"/>
  <c r="D22" i="13" s="1"/>
  <c r="F28" i="4"/>
  <c r="D28" i="4"/>
  <c r="D26" i="13" s="1"/>
  <c r="F32" i="4"/>
  <c r="D32" i="4"/>
  <c r="D30" i="13" s="1"/>
  <c r="F36" i="4"/>
  <c r="D36" i="4"/>
  <c r="D34" i="13" s="1"/>
  <c r="F40" i="4"/>
  <c r="D40" i="4"/>
  <c r="D38" i="13" s="1"/>
  <c r="F44" i="4"/>
  <c r="D44" i="4"/>
  <c r="F48" i="4"/>
  <c r="D48" i="4"/>
  <c r="F52" i="4"/>
  <c r="D52" i="4"/>
  <c r="F56" i="4"/>
  <c r="D56" i="4"/>
  <c r="D14" i="4"/>
  <c r="D12" i="13" s="1"/>
  <c r="F14" i="4"/>
  <c r="F22" i="4"/>
  <c r="D22" i="4"/>
  <c r="D20" i="13" s="1"/>
  <c r="F30" i="4"/>
  <c r="D30" i="4"/>
  <c r="D28" i="13" s="1"/>
  <c r="F38" i="4"/>
  <c r="D38" i="4"/>
  <c r="D36" i="13" s="1"/>
  <c r="D46" i="4"/>
  <c r="G46" i="4" s="1"/>
  <c r="F46" i="4"/>
  <c r="D54" i="4"/>
  <c r="F54" i="4"/>
  <c r="D15" i="4"/>
  <c r="D13" i="13" s="1"/>
  <c r="F15" i="4"/>
  <c r="D23" i="4"/>
  <c r="D21" i="13" s="1"/>
  <c r="F23" i="4"/>
  <c r="D31" i="4"/>
  <c r="D29" i="13" s="1"/>
  <c r="F31" i="4"/>
  <c r="D39" i="4"/>
  <c r="D37" i="13" s="1"/>
  <c r="F39" i="4"/>
  <c r="D47" i="4"/>
  <c r="F47" i="4"/>
  <c r="D55" i="4"/>
  <c r="F55" i="4"/>
  <c r="D13" i="4"/>
  <c r="D11" i="13" s="1"/>
  <c r="F13" i="4"/>
  <c r="F17" i="4"/>
  <c r="D17" i="4"/>
  <c r="D15" i="13" s="1"/>
  <c r="F21" i="4"/>
  <c r="D21" i="4"/>
  <c r="D19" i="13" s="1"/>
  <c r="D25" i="4"/>
  <c r="D23" i="13" s="1"/>
  <c r="F25" i="4"/>
  <c r="F29" i="4"/>
  <c r="D29" i="4"/>
  <c r="D27" i="13" s="1"/>
  <c r="D33" i="4"/>
  <c r="D31" i="13" s="1"/>
  <c r="F33" i="4"/>
  <c r="F37" i="4"/>
  <c r="D37" i="4"/>
  <c r="D35" i="13" s="1"/>
  <c r="F41" i="4"/>
  <c r="D41" i="4"/>
  <c r="D39" i="13" s="1"/>
  <c r="D45" i="4"/>
  <c r="F45" i="4"/>
  <c r="F49" i="4"/>
  <c r="D49" i="4"/>
  <c r="F53" i="4"/>
  <c r="F57" i="4"/>
  <c r="D57" i="4"/>
  <c r="AH2" i="9"/>
  <c r="G11" i="4" l="1"/>
  <c r="G17" i="4"/>
  <c r="G22" i="4"/>
  <c r="G32" i="4"/>
  <c r="G16" i="4"/>
  <c r="G18" i="4"/>
  <c r="G43" i="4"/>
  <c r="G33" i="4"/>
  <c r="G39" i="4"/>
  <c r="G35" i="4"/>
  <c r="G29" i="4"/>
  <c r="G44" i="4"/>
  <c r="D42" i="13"/>
  <c r="G28" i="4"/>
  <c r="G12" i="4"/>
  <c r="G42" i="4"/>
  <c r="G10" i="4"/>
  <c r="G13" i="4"/>
  <c r="G31" i="4"/>
  <c r="G14" i="4"/>
  <c r="G27" i="4"/>
  <c r="G15" i="4"/>
  <c r="G45" i="4"/>
  <c r="D43" i="13"/>
  <c r="G38" i="4"/>
  <c r="G40" i="4"/>
  <c r="G24" i="4"/>
  <c r="G34" i="4"/>
  <c r="G8" i="4"/>
  <c r="G41" i="4"/>
  <c r="G25" i="4"/>
  <c r="G23" i="4"/>
  <c r="G19" i="4"/>
  <c r="G9" i="4"/>
  <c r="G37" i="4"/>
  <c r="G21" i="4"/>
  <c r="G30" i="4"/>
  <c r="G36" i="4"/>
  <c r="G20" i="4"/>
  <c r="G26" i="4"/>
  <c r="J4" i="4"/>
  <c r="AK52" i="9"/>
  <c r="AL52" i="9" s="1"/>
  <c r="AK51" i="9"/>
  <c r="AM51" i="9" s="1"/>
  <c r="AK50" i="9"/>
  <c r="AM50" i="9" s="1"/>
  <c r="AK49" i="9"/>
  <c r="AM49" i="9" s="1"/>
  <c r="AK48" i="9"/>
  <c r="AM48" i="9" s="1"/>
  <c r="AK47" i="9"/>
  <c r="AM47" i="9" s="1"/>
  <c r="A9" i="4"/>
  <c r="A7" i="13" s="1"/>
  <c r="A8" i="4"/>
  <c r="A6" i="13" s="1"/>
  <c r="A7" i="4"/>
  <c r="A5" i="13" s="1"/>
  <c r="H6" i="4"/>
  <c r="A6" i="4"/>
  <c r="A4" i="13" s="1"/>
  <c r="J5" i="4"/>
  <c r="A5" i="4"/>
  <c r="A3" i="13" s="1"/>
  <c r="Q7" i="13" l="1"/>
  <c r="Q8" i="13"/>
  <c r="O8" i="13"/>
  <c r="O7" i="13"/>
  <c r="N7" i="13"/>
  <c r="N8" i="13"/>
  <c r="R8" i="13"/>
  <c r="P8" i="13"/>
  <c r="P7" i="13"/>
  <c r="R7" i="13"/>
  <c r="H10" i="4"/>
  <c r="I7" i="4"/>
  <c r="AL48" i="9"/>
  <c r="AM52" i="9"/>
  <c r="H5" i="4"/>
  <c r="J7" i="4"/>
  <c r="I10" i="4"/>
  <c r="AL49" i="9"/>
  <c r="I5" i="4"/>
  <c r="H8" i="4"/>
  <c r="J10" i="4"/>
  <c r="I8" i="4"/>
  <c r="C9" i="4"/>
  <c r="C4" i="4"/>
  <c r="C2" i="13" s="1"/>
  <c r="J8" i="4"/>
  <c r="C5" i="4"/>
  <c r="C3" i="13" s="1"/>
  <c r="C6" i="4"/>
  <c r="C4" i="13" s="1"/>
  <c r="AL47" i="9"/>
  <c r="I6" i="4"/>
  <c r="H9" i="4"/>
  <c r="AL51" i="9"/>
  <c r="H4" i="4"/>
  <c r="J6" i="4"/>
  <c r="I9" i="4"/>
  <c r="I4" i="4"/>
  <c r="H7" i="4"/>
  <c r="J9" i="4"/>
  <c r="AL50" i="9"/>
  <c r="C7" i="4"/>
  <c r="C5" i="13" s="1"/>
  <c r="C8" i="4"/>
  <c r="C10" i="4"/>
  <c r="Q9" i="13" l="1"/>
  <c r="O9" i="13"/>
  <c r="P9" i="13"/>
  <c r="E9" i="4"/>
  <c r="C7" i="13"/>
  <c r="E8" i="4"/>
  <c r="E6" i="13" s="1"/>
  <c r="C6" i="13"/>
  <c r="E10" i="4"/>
  <c r="E8" i="13" s="1"/>
  <c r="C8" i="13"/>
  <c r="J57" i="4"/>
  <c r="I57" i="4"/>
  <c r="H57" i="4"/>
  <c r="C56" i="4"/>
  <c r="E56" i="4" s="1"/>
  <c r="J56" i="4"/>
  <c r="I56" i="4"/>
  <c r="H56" i="4"/>
  <c r="H55" i="4"/>
  <c r="I55" i="4"/>
  <c r="J55" i="4"/>
  <c r="J54" i="4"/>
  <c r="I54" i="4"/>
  <c r="H54" i="4"/>
  <c r="C57" i="4"/>
  <c r="E57" i="4" s="1"/>
  <c r="C55" i="4"/>
  <c r="E55" i="4" s="1"/>
  <c r="C54" i="4"/>
  <c r="E54" i="4" s="1"/>
  <c r="E7" i="13" l="1"/>
  <c r="C46" i="4"/>
  <c r="E46" i="4" s="1"/>
  <c r="J46" i="4"/>
  <c r="I46" i="4"/>
  <c r="H46" i="4"/>
  <c r="C38" i="4"/>
  <c r="J38" i="4"/>
  <c r="I38" i="4"/>
  <c r="H38" i="4"/>
  <c r="C50" i="4"/>
  <c r="E50" i="4" s="1"/>
  <c r="H50" i="4"/>
  <c r="J50" i="4"/>
  <c r="I50" i="4"/>
  <c r="C39" i="4"/>
  <c r="H39" i="4"/>
  <c r="I39" i="4"/>
  <c r="J39" i="4"/>
  <c r="C45" i="4"/>
  <c r="J45" i="4"/>
  <c r="I45" i="4"/>
  <c r="H45" i="4"/>
  <c r="C37" i="4"/>
  <c r="J37" i="4"/>
  <c r="I37" i="4"/>
  <c r="H37" i="4"/>
  <c r="C44" i="4"/>
  <c r="I44" i="4"/>
  <c r="H44" i="4"/>
  <c r="J44" i="4"/>
  <c r="C36" i="4"/>
  <c r="I36" i="4"/>
  <c r="H36" i="4"/>
  <c r="J36" i="4"/>
  <c r="C43" i="4"/>
  <c r="J43" i="4"/>
  <c r="I43" i="4"/>
  <c r="H43" i="4"/>
  <c r="C35" i="4"/>
  <c r="J35" i="4"/>
  <c r="I35" i="4"/>
  <c r="H35" i="4"/>
  <c r="C51" i="4"/>
  <c r="E51" i="4" s="1"/>
  <c r="J51" i="4"/>
  <c r="I51" i="4"/>
  <c r="H51" i="4"/>
  <c r="C42" i="4"/>
  <c r="J42" i="4"/>
  <c r="H42" i="4"/>
  <c r="I42" i="4"/>
  <c r="C34" i="4"/>
  <c r="J34" i="4"/>
  <c r="H34" i="4"/>
  <c r="I34" i="4"/>
  <c r="C49" i="4"/>
  <c r="E49" i="4" s="1"/>
  <c r="J49" i="4"/>
  <c r="I49" i="4"/>
  <c r="H49" i="4"/>
  <c r="C41" i="4"/>
  <c r="J41" i="4"/>
  <c r="I41" i="4"/>
  <c r="H41" i="4"/>
  <c r="C53" i="4"/>
  <c r="E53" i="4" s="1"/>
  <c r="J53" i="4"/>
  <c r="I53" i="4"/>
  <c r="H53" i="4"/>
  <c r="C47" i="4"/>
  <c r="E47" i="4" s="1"/>
  <c r="H47" i="4"/>
  <c r="I47" i="4"/>
  <c r="J47" i="4"/>
  <c r="C48" i="4"/>
  <c r="E48" i="4" s="1"/>
  <c r="J48" i="4"/>
  <c r="I48" i="4"/>
  <c r="H48" i="4"/>
  <c r="C40" i="4"/>
  <c r="J40" i="4"/>
  <c r="I40" i="4"/>
  <c r="H40" i="4"/>
  <c r="C52" i="4"/>
  <c r="E52" i="4" s="1"/>
  <c r="I52" i="4"/>
  <c r="H52" i="4"/>
  <c r="J52" i="4"/>
  <c r="E42" i="4" l="1"/>
  <c r="E40" i="13" s="1"/>
  <c r="C40" i="13"/>
  <c r="E35" i="4"/>
  <c r="E33" i="13" s="1"/>
  <c r="C33" i="13"/>
  <c r="E36" i="4"/>
  <c r="E34" i="13" s="1"/>
  <c r="C34" i="13"/>
  <c r="E37" i="4"/>
  <c r="E35" i="13" s="1"/>
  <c r="C35" i="13"/>
  <c r="E39" i="4"/>
  <c r="E37" i="13" s="1"/>
  <c r="C37" i="13"/>
  <c r="E38" i="4"/>
  <c r="E36" i="13" s="1"/>
  <c r="C36" i="13"/>
  <c r="E40" i="4"/>
  <c r="E38" i="13" s="1"/>
  <c r="C38" i="13"/>
  <c r="E41" i="4"/>
  <c r="E39" i="13" s="1"/>
  <c r="C39" i="13"/>
  <c r="E34" i="4"/>
  <c r="E32" i="13" s="1"/>
  <c r="C32" i="13"/>
  <c r="E43" i="4"/>
  <c r="E41" i="13" s="1"/>
  <c r="C41" i="13"/>
  <c r="E44" i="4"/>
  <c r="E42" i="13" s="1"/>
  <c r="C42" i="13"/>
  <c r="E45" i="4"/>
  <c r="E43" i="13" s="1"/>
  <c r="C43" i="13"/>
  <c r="K48" i="9"/>
  <c r="K49" i="9"/>
  <c r="K50" i="9"/>
  <c r="K51" i="9"/>
  <c r="K52" i="9"/>
  <c r="C16" i="4" l="1"/>
  <c r="J16" i="4"/>
  <c r="I16" i="4"/>
  <c r="H16" i="4"/>
  <c r="E16" i="4" l="1"/>
  <c r="E14" i="13" s="1"/>
  <c r="C14" i="13"/>
  <c r="C15" i="4"/>
  <c r="H15" i="4"/>
  <c r="I15" i="4"/>
  <c r="J15" i="4"/>
  <c r="C32" i="4"/>
  <c r="J32" i="4"/>
  <c r="I32" i="4"/>
  <c r="H32" i="4"/>
  <c r="C17" i="4"/>
  <c r="J17" i="4"/>
  <c r="I17" i="4"/>
  <c r="H17" i="4"/>
  <c r="C25" i="4"/>
  <c r="J25" i="4"/>
  <c r="I25" i="4"/>
  <c r="H25" i="4"/>
  <c r="C12" i="4"/>
  <c r="I12" i="4"/>
  <c r="H12" i="4"/>
  <c r="J12" i="4"/>
  <c r="C21" i="4"/>
  <c r="J21" i="4"/>
  <c r="I21" i="4"/>
  <c r="H21" i="4"/>
  <c r="C29" i="4"/>
  <c r="J29" i="4"/>
  <c r="I29" i="4"/>
  <c r="H29" i="4"/>
  <c r="C24" i="4"/>
  <c r="J24" i="4"/>
  <c r="I24" i="4"/>
  <c r="H24" i="4"/>
  <c r="C33" i="4"/>
  <c r="J33" i="4"/>
  <c r="I33" i="4"/>
  <c r="H33" i="4"/>
  <c r="C18" i="4"/>
  <c r="J18" i="4"/>
  <c r="H18" i="4"/>
  <c r="I18" i="4"/>
  <c r="C26" i="4"/>
  <c r="H26" i="4"/>
  <c r="J26" i="4"/>
  <c r="I26" i="4"/>
  <c r="C11" i="4"/>
  <c r="C9" i="13" s="1"/>
  <c r="J11" i="4"/>
  <c r="I11" i="4"/>
  <c r="H11" i="4"/>
  <c r="C19" i="4"/>
  <c r="J19" i="4"/>
  <c r="I19" i="4"/>
  <c r="H19" i="4"/>
  <c r="C27" i="4"/>
  <c r="J27" i="4"/>
  <c r="I27" i="4"/>
  <c r="H27" i="4"/>
  <c r="C20" i="4"/>
  <c r="I20" i="4"/>
  <c r="H20" i="4"/>
  <c r="J20" i="4"/>
  <c r="C28" i="4"/>
  <c r="I28" i="4"/>
  <c r="H28" i="4"/>
  <c r="J28" i="4"/>
  <c r="C13" i="4"/>
  <c r="J13" i="4"/>
  <c r="I13" i="4"/>
  <c r="H13" i="4"/>
  <c r="C22" i="4"/>
  <c r="J22" i="4"/>
  <c r="I22" i="4"/>
  <c r="H22" i="4"/>
  <c r="C30" i="4"/>
  <c r="J30" i="4"/>
  <c r="I30" i="4"/>
  <c r="H30" i="4"/>
  <c r="C14" i="4"/>
  <c r="J14" i="4"/>
  <c r="I14" i="4"/>
  <c r="H14" i="4"/>
  <c r="C23" i="4"/>
  <c r="H23" i="4"/>
  <c r="I23" i="4"/>
  <c r="J23" i="4"/>
  <c r="C31" i="4"/>
  <c r="H31" i="4"/>
  <c r="I31" i="4"/>
  <c r="J31" i="4"/>
  <c r="AL4" i="2"/>
  <c r="AL5" i="2"/>
  <c r="AL6" i="2"/>
  <c r="AL7" i="2"/>
  <c r="AL8" i="2"/>
  <c r="AL9" i="2"/>
  <c r="AL10" i="2"/>
  <c r="AL11" i="2"/>
  <c r="AL12" i="2"/>
  <c r="AL13" i="2"/>
  <c r="AL14" i="2"/>
  <c r="AL15" i="2"/>
  <c r="AL16" i="2"/>
  <c r="AL17" i="2"/>
  <c r="AL18" i="2"/>
  <c r="AL19" i="2"/>
  <c r="AL20" i="2"/>
  <c r="AL21" i="2"/>
  <c r="AL22" i="2"/>
  <c r="AL23" i="2"/>
  <c r="AL24" i="2"/>
  <c r="AL25" i="2"/>
  <c r="AL26" i="2"/>
  <c r="AL3" i="2"/>
  <c r="AC26" i="2"/>
  <c r="E31" i="4" l="1"/>
  <c r="E29" i="13" s="1"/>
  <c r="C29" i="13"/>
  <c r="E14" i="4"/>
  <c r="E12" i="13" s="1"/>
  <c r="C12" i="13"/>
  <c r="E22" i="4"/>
  <c r="E20" i="13" s="1"/>
  <c r="C20" i="13"/>
  <c r="E28" i="4"/>
  <c r="E26" i="13" s="1"/>
  <c r="C26" i="13"/>
  <c r="E27" i="4"/>
  <c r="E25" i="13" s="1"/>
  <c r="C25" i="13"/>
  <c r="E11" i="4"/>
  <c r="E18" i="4"/>
  <c r="E16" i="13" s="1"/>
  <c r="C16" i="13"/>
  <c r="E24" i="4"/>
  <c r="E22" i="13" s="1"/>
  <c r="C22" i="13"/>
  <c r="E21" i="4"/>
  <c r="E19" i="13" s="1"/>
  <c r="C19" i="13"/>
  <c r="E25" i="4"/>
  <c r="E23" i="13" s="1"/>
  <c r="C23" i="13"/>
  <c r="E32" i="4"/>
  <c r="E30" i="13" s="1"/>
  <c r="C30" i="13"/>
  <c r="E23" i="4"/>
  <c r="E21" i="13" s="1"/>
  <c r="C21" i="13"/>
  <c r="E30" i="4"/>
  <c r="E28" i="13" s="1"/>
  <c r="C28" i="13"/>
  <c r="E13" i="4"/>
  <c r="E11" i="13" s="1"/>
  <c r="C11" i="13"/>
  <c r="E20" i="4"/>
  <c r="E18" i="13" s="1"/>
  <c r="C18" i="13"/>
  <c r="E19" i="4"/>
  <c r="E17" i="13" s="1"/>
  <c r="C17" i="13"/>
  <c r="E26" i="4"/>
  <c r="E24" i="13" s="1"/>
  <c r="C24" i="13"/>
  <c r="E33" i="4"/>
  <c r="E31" i="13" s="1"/>
  <c r="C31" i="13"/>
  <c r="E29" i="4"/>
  <c r="E27" i="13" s="1"/>
  <c r="C27" i="13"/>
  <c r="E12" i="4"/>
  <c r="E10" i="13" s="1"/>
  <c r="C10" i="13"/>
  <c r="E17" i="4"/>
  <c r="E15" i="13" s="1"/>
  <c r="C15" i="13"/>
  <c r="E15" i="4"/>
  <c r="E13" i="13" s="1"/>
  <c r="C13" i="13"/>
  <c r="AQ21" i="2"/>
  <c r="AQ22" i="2"/>
  <c r="AO21" i="2"/>
  <c r="AO22" i="2"/>
  <c r="AQ20" i="2"/>
  <c r="AQ19" i="2"/>
  <c r="AQ18" i="2"/>
  <c r="AQ17" i="2"/>
  <c r="AQ16" i="2"/>
  <c r="AO17" i="2"/>
  <c r="AO18" i="2"/>
  <c r="AO19" i="2"/>
  <c r="AO20" i="2"/>
  <c r="AO16" i="2"/>
  <c r="K20" i="2"/>
  <c r="K19" i="2"/>
  <c r="K18" i="2"/>
  <c r="K17" i="2"/>
  <c r="K16" i="2"/>
  <c r="K15" i="2"/>
  <c r="K14" i="2"/>
  <c r="K13" i="2"/>
  <c r="K12" i="2"/>
  <c r="K11" i="2"/>
  <c r="K10" i="2"/>
  <c r="K9" i="2"/>
  <c r="K8" i="2"/>
  <c r="K7" i="2"/>
  <c r="K6" i="2"/>
  <c r="K5" i="2"/>
  <c r="K4" i="2"/>
  <c r="K3" i="2"/>
  <c r="L26" i="1"/>
  <c r="L25" i="1"/>
  <c r="L24" i="1"/>
  <c r="L23" i="1"/>
  <c r="K26" i="1"/>
  <c r="K25" i="1"/>
  <c r="K24" i="1"/>
  <c r="K23" i="1"/>
  <c r="K22" i="1"/>
  <c r="L22" i="1" s="1"/>
  <c r="K21" i="1"/>
  <c r="L21" i="1" s="1"/>
  <c r="K20" i="1"/>
  <c r="L20" i="1" s="1"/>
  <c r="K19" i="1"/>
  <c r="L19" i="1" s="1"/>
  <c r="K18" i="1"/>
  <c r="L18" i="1" s="1"/>
  <c r="K17" i="1"/>
  <c r="L17" i="1" s="1"/>
  <c r="K16" i="1"/>
  <c r="L16" i="1" s="1"/>
  <c r="K15" i="1"/>
  <c r="L15" i="1" s="1"/>
  <c r="K14" i="1"/>
  <c r="L14" i="1" s="1"/>
  <c r="K13" i="1"/>
  <c r="L13" i="1" s="1"/>
  <c r="K12" i="1"/>
  <c r="L12" i="1" s="1"/>
  <c r="K11" i="1"/>
  <c r="L11" i="1" s="1"/>
  <c r="K10" i="1"/>
  <c r="L10" i="1" s="1"/>
  <c r="K9" i="1"/>
  <c r="L9" i="1" s="1"/>
  <c r="K8" i="1"/>
  <c r="L8" i="1" s="1"/>
  <c r="K7" i="1"/>
  <c r="L7" i="1" s="1"/>
  <c r="K6" i="1"/>
  <c r="L6" i="1" s="1"/>
  <c r="K5" i="1"/>
  <c r="L5" i="1" s="1"/>
  <c r="K4" i="1"/>
  <c r="L4" i="1" s="1"/>
  <c r="K3" i="1"/>
  <c r="L3" i="1" s="1"/>
  <c r="E9" i="13" l="1"/>
  <c r="V7" i="13" s="1"/>
  <c r="V8" i="13"/>
  <c r="T8" i="13"/>
  <c r="L8" i="13"/>
  <c r="L7" i="13"/>
  <c r="J8" i="13"/>
  <c r="J7" i="13"/>
  <c r="S8" i="13"/>
  <c r="I7" i="13"/>
  <c r="I8" i="13"/>
  <c r="U8" i="13"/>
  <c r="W8" i="13"/>
  <c r="M8" i="13"/>
  <c r="K8" i="13"/>
  <c r="M7" i="13"/>
  <c r="K7" i="13"/>
  <c r="AC11" i="2"/>
  <c r="T11" i="2"/>
  <c r="AC4" i="2"/>
  <c r="T4" i="2"/>
  <c r="AC5" i="2"/>
  <c r="T5" i="2"/>
  <c r="AC14" i="2"/>
  <c r="T14" i="2"/>
  <c r="AC7" i="2"/>
  <c r="T7" i="2"/>
  <c r="AC15" i="2"/>
  <c r="T15" i="2"/>
  <c r="AC8" i="2"/>
  <c r="T8" i="2"/>
  <c r="AC16" i="2"/>
  <c r="T16" i="2"/>
  <c r="AC19" i="2"/>
  <c r="T19" i="2"/>
  <c r="AC12" i="2"/>
  <c r="T12" i="2"/>
  <c r="AC13" i="2"/>
  <c r="T13" i="2"/>
  <c r="AC6" i="2"/>
  <c r="T6" i="2"/>
  <c r="AC9" i="2"/>
  <c r="T9" i="2"/>
  <c r="AC17" i="2"/>
  <c r="T17" i="2"/>
  <c r="AC3" i="2"/>
  <c r="T3" i="2"/>
  <c r="AC20" i="2"/>
  <c r="T20" i="2"/>
  <c r="AC10" i="2"/>
  <c r="T10" i="2"/>
  <c r="AC18" i="2"/>
  <c r="T18" i="2"/>
  <c r="K27" i="2"/>
  <c r="AA15" i="1"/>
  <c r="AA19" i="1"/>
  <c r="AA22" i="1"/>
  <c r="M3" i="1"/>
  <c r="K26" i="2"/>
  <c r="T26" i="2" s="1"/>
  <c r="K25" i="2"/>
  <c r="K24" i="2"/>
  <c r="K23" i="2"/>
  <c r="K22" i="2"/>
  <c r="K21" i="2"/>
  <c r="AC21" i="2" s="1"/>
  <c r="T7" i="13" l="1"/>
  <c r="T9" i="13" s="1"/>
  <c r="U7" i="13"/>
  <c r="U9" i="13" s="1"/>
  <c r="W7" i="13"/>
  <c r="S7" i="13"/>
  <c r="V9" i="13"/>
  <c r="L9" i="13"/>
  <c r="J9" i="13"/>
  <c r="K9" i="13"/>
  <c r="AC25" i="2"/>
  <c r="T25" i="2"/>
  <c r="AC22" i="2"/>
  <c r="T22" i="2"/>
  <c r="AC24" i="2"/>
  <c r="T24" i="2"/>
  <c r="AC23" i="2"/>
  <c r="T23" i="2"/>
  <c r="T21" i="2"/>
  <c r="AA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HS</author>
    <author>Howard Stiff</author>
    <author>Howard Stiff (DFO)</author>
    <author>DFO</author>
    <author xml:space="preserve">[hs] </author>
  </authors>
  <commentList>
    <comment ref="A1" authorId="0" shapeId="0" xr:uid="{00000000-0006-0000-0100-000001000000}">
      <text>
        <r>
          <rPr>
            <sz val="9"/>
            <color indexed="81"/>
            <rFont val="Tahoma"/>
            <family val="2"/>
          </rPr>
          <t>Sockeye population (CU) name</t>
        </r>
      </text>
    </comment>
    <comment ref="B1" authorId="0" shapeId="0" xr:uid="{00000000-0006-0000-0100-000002000000}">
      <text>
        <r>
          <rPr>
            <sz val="9"/>
            <color indexed="81"/>
            <rFont val="Tahoma"/>
            <family val="2"/>
          </rPr>
          <t>Year of seaward migration</t>
        </r>
      </text>
    </comment>
    <comment ref="AB1" authorId="0" shapeId="0" xr:uid="{00000000-0006-0000-0100-000003000000}">
      <text>
        <r>
          <rPr>
            <sz val="9"/>
            <color indexed="81"/>
            <rFont val="Tahoma"/>
            <family val="2"/>
          </rPr>
          <t>For in-lake fry abundance and biometric data, if available</t>
        </r>
      </text>
    </comment>
    <comment ref="AI1" authorId="0" shapeId="0" xr:uid="{00000000-0006-0000-0100-000004000000}">
      <text>
        <r>
          <rPr>
            <sz val="9"/>
            <color indexed="81"/>
            <rFont val="Tahoma"/>
            <family val="2"/>
          </rPr>
          <t>Comment on environmental conditions or events potentially impacting fish, rearing locations or migration routes, e.g. floods, droughts, temperature anomalies, fish mortalities, fish conditions, etc.</t>
        </r>
      </text>
    </comment>
    <comment ref="AJ1" authorId="0" shapeId="0" xr:uid="{00000000-0006-0000-0100-000005000000}">
      <text>
        <r>
          <rPr>
            <sz val="9"/>
            <color indexed="81"/>
            <rFont val="Tahoma"/>
            <family val="2"/>
          </rPr>
          <t>General notes and considerations for this year's data. Also please indicate if any changes have been made to this year's data relative to previous submissions, and why.</t>
        </r>
      </text>
    </comment>
    <comment ref="AK1" authorId="0" shapeId="0" xr:uid="{00000000-0006-0000-0100-000006000000}">
      <text>
        <r>
          <rPr>
            <sz val="9"/>
            <color indexed="81"/>
            <rFont val="Tahoma"/>
            <family val="2"/>
          </rPr>
          <t xml:space="preserve">Contact information for this year's data. Example: initials, email, phone, date
</t>
        </r>
      </text>
    </comment>
    <comment ref="G2" authorId="0" shapeId="0" xr:uid="{00000000-0006-0000-0100-000007000000}">
      <text>
        <r>
          <rPr>
            <sz val="9"/>
            <color indexed="81"/>
            <rFont val="Tahoma"/>
            <family val="2"/>
          </rPr>
          <t>Please include notes on smolt abundance methods employed, data issues, or data changes.</t>
        </r>
      </text>
    </comment>
    <comment ref="Q2" authorId="0" shapeId="0" xr:uid="{00000000-0006-0000-0100-000008000000}">
      <text>
        <r>
          <rPr>
            <b/>
            <sz val="9"/>
            <color indexed="81"/>
            <rFont val="Tahoma"/>
            <family val="2"/>
          </rPr>
          <t>Length Type</t>
        </r>
        <r>
          <rPr>
            <sz val="9"/>
            <color indexed="81"/>
            <rFont val="Tahoma"/>
            <family val="2"/>
          </rPr>
          <t xml:space="preserve"> 
Refers to length measurement method
  SL - Std Length
  TL - Total Length
  FL - Fork Length 
  PO - PO-Hypural</t>
        </r>
      </text>
    </comment>
    <comment ref="U2" authorId="0" shapeId="0" xr:uid="{00000000-0006-0000-0100-000009000000}">
      <text>
        <r>
          <rPr>
            <sz val="9"/>
            <color indexed="81"/>
            <rFont val="Tahoma"/>
            <family val="2"/>
          </rPr>
          <t>Please include notes on smolt biosample methods employed, data issues, or data changes.</t>
        </r>
      </text>
    </comment>
    <comment ref="V2" authorId="0" shapeId="0" xr:uid="{00000000-0006-0000-0100-00000A000000}">
      <text>
        <r>
          <rPr>
            <b/>
            <sz val="9"/>
            <color indexed="81"/>
            <rFont val="Tahoma"/>
            <family val="2"/>
          </rPr>
          <t xml:space="preserve">Use either date format:
</t>
        </r>
        <r>
          <rPr>
            <sz val="9"/>
            <color indexed="81"/>
            <rFont val="Tahoma"/>
            <family val="2"/>
          </rPr>
          <t xml:space="preserve">(1) </t>
        </r>
        <r>
          <rPr>
            <b/>
            <sz val="9"/>
            <color indexed="81"/>
            <rFont val="Tahoma"/>
            <family val="2"/>
          </rPr>
          <t>d-mmm-yy</t>
        </r>
        <r>
          <rPr>
            <sz val="9"/>
            <color indexed="81"/>
            <rFont val="Tahoma"/>
            <family val="2"/>
          </rPr>
          <t xml:space="preserve"> (e.g. 11-Apr-21)
(2) </t>
        </r>
        <r>
          <rPr>
            <b/>
            <sz val="9"/>
            <color indexed="81"/>
            <rFont val="Tahoma"/>
            <family val="2"/>
          </rPr>
          <t>yy-mm-dd</t>
        </r>
        <r>
          <rPr>
            <sz val="9"/>
            <color indexed="81"/>
            <rFont val="Tahoma"/>
            <family val="2"/>
          </rPr>
          <t xml:space="preserve"> (e.g. 21-4-11)</t>
        </r>
      </text>
    </comment>
    <comment ref="X2" authorId="0" shapeId="0" xr:uid="{00000000-0006-0000-0100-00000B000000}">
      <text>
        <r>
          <rPr>
            <b/>
            <sz val="9"/>
            <color indexed="81"/>
            <rFont val="Tahoma"/>
            <family val="2"/>
          </rPr>
          <t xml:space="preserve">Use either date format:
</t>
        </r>
        <r>
          <rPr>
            <sz val="9"/>
            <color indexed="81"/>
            <rFont val="Tahoma"/>
            <family val="2"/>
          </rPr>
          <t xml:space="preserve">(1) </t>
        </r>
        <r>
          <rPr>
            <b/>
            <sz val="9"/>
            <color indexed="81"/>
            <rFont val="Tahoma"/>
            <family val="2"/>
          </rPr>
          <t>d-mmm-yy</t>
        </r>
        <r>
          <rPr>
            <sz val="9"/>
            <color indexed="81"/>
            <rFont val="Tahoma"/>
            <family val="2"/>
          </rPr>
          <t xml:space="preserve"> (e.g. 11-Apr-21)
(2) </t>
        </r>
        <r>
          <rPr>
            <b/>
            <sz val="9"/>
            <color indexed="81"/>
            <rFont val="Tahoma"/>
            <family val="2"/>
          </rPr>
          <t>yy-mm-dd</t>
        </r>
        <r>
          <rPr>
            <sz val="9"/>
            <color indexed="81"/>
            <rFont val="Tahoma"/>
            <family val="2"/>
          </rPr>
          <t xml:space="preserve"> (e.g. 21-4-11)</t>
        </r>
      </text>
    </comment>
    <comment ref="Y2" authorId="0" shapeId="0" xr:uid="{00000000-0006-0000-0100-00000C000000}">
      <text>
        <r>
          <rPr>
            <b/>
            <sz val="9"/>
            <color indexed="81"/>
            <rFont val="Tahoma"/>
            <family val="2"/>
          </rPr>
          <t xml:space="preserve">Use either date format:
</t>
        </r>
        <r>
          <rPr>
            <sz val="9"/>
            <color indexed="81"/>
            <rFont val="Tahoma"/>
            <family val="2"/>
          </rPr>
          <t xml:space="preserve">(1) </t>
        </r>
        <r>
          <rPr>
            <b/>
            <sz val="9"/>
            <color indexed="81"/>
            <rFont val="Tahoma"/>
            <family val="2"/>
          </rPr>
          <t>d-mmm-yy</t>
        </r>
        <r>
          <rPr>
            <sz val="9"/>
            <color indexed="81"/>
            <rFont val="Tahoma"/>
            <family val="2"/>
          </rPr>
          <t xml:space="preserve"> (e.g. 11-Apr-21)
(2) </t>
        </r>
        <r>
          <rPr>
            <b/>
            <sz val="9"/>
            <color indexed="81"/>
            <rFont val="Tahoma"/>
            <family val="2"/>
          </rPr>
          <t>yy-mm-dd</t>
        </r>
        <r>
          <rPr>
            <sz val="9"/>
            <color indexed="81"/>
            <rFont val="Tahoma"/>
            <family val="2"/>
          </rPr>
          <t xml:space="preserve"> (e.g. 21-4-11)</t>
        </r>
      </text>
    </comment>
    <comment ref="Z2" authorId="0" shapeId="0" xr:uid="{00000000-0006-0000-0100-00000D000000}">
      <text>
        <r>
          <rPr>
            <b/>
            <sz val="9"/>
            <color indexed="81"/>
            <rFont val="Tahoma"/>
            <family val="2"/>
          </rPr>
          <t xml:space="preserve">Use either date format:
</t>
        </r>
        <r>
          <rPr>
            <sz val="9"/>
            <color indexed="81"/>
            <rFont val="Tahoma"/>
            <family val="2"/>
          </rPr>
          <t xml:space="preserve">(1) </t>
        </r>
        <r>
          <rPr>
            <b/>
            <sz val="9"/>
            <color indexed="81"/>
            <rFont val="Tahoma"/>
            <family val="2"/>
          </rPr>
          <t>d-mmm-yy</t>
        </r>
        <r>
          <rPr>
            <sz val="9"/>
            <color indexed="81"/>
            <rFont val="Tahoma"/>
            <family val="2"/>
          </rPr>
          <t xml:space="preserve"> (e.g. 11-Apr-21)
(2) </t>
        </r>
        <r>
          <rPr>
            <b/>
            <sz val="9"/>
            <color indexed="81"/>
            <rFont val="Tahoma"/>
            <family val="2"/>
          </rPr>
          <t>yy-mm-dd</t>
        </r>
        <r>
          <rPr>
            <sz val="9"/>
            <color indexed="81"/>
            <rFont val="Tahoma"/>
            <family val="2"/>
          </rPr>
          <t xml:space="preserve"> (e.g. 21-4-11)</t>
        </r>
      </text>
    </comment>
    <comment ref="AA2" authorId="0" shapeId="0" xr:uid="{00000000-0006-0000-0100-00000E000000}">
      <text>
        <r>
          <rPr>
            <sz val="9"/>
            <color indexed="81"/>
            <rFont val="Tahoma"/>
            <family val="2"/>
          </rPr>
          <t xml:space="preserve">Please include notes on migration timing methods employed, data issues, or data changes.
Do you have migration timing data by </t>
        </r>
        <r>
          <rPr>
            <b/>
            <sz val="9"/>
            <color indexed="81"/>
            <rFont val="Tahoma"/>
            <family val="2"/>
          </rPr>
          <t>Quartiles</t>
        </r>
        <r>
          <rPr>
            <sz val="9"/>
            <color indexed="81"/>
            <rFont val="Tahoma"/>
            <family val="2"/>
          </rPr>
          <t xml:space="preserve"> (i.e. 25th and 75th percentiles)? If so, unhide the columns on either side of </t>
        </r>
        <r>
          <rPr>
            <b/>
            <sz val="9"/>
            <color indexed="81"/>
            <rFont val="Tahoma"/>
            <family val="2"/>
          </rPr>
          <t>Median or Peak Date</t>
        </r>
        <r>
          <rPr>
            <sz val="9"/>
            <color indexed="81"/>
            <rFont val="Tahoma"/>
            <family val="2"/>
          </rPr>
          <t xml:space="preserve"> column. (You will have to unprotect the worksheet first - see READ ME - and don't forget to re-protect the worksheet to prevent errant data entry events.)</t>
        </r>
      </text>
    </comment>
    <comment ref="AC2" authorId="0" shapeId="0" xr:uid="{00000000-0006-0000-0100-00000F000000}">
      <text>
        <r>
          <rPr>
            <b/>
            <sz val="9"/>
            <color indexed="81"/>
            <rFont val="Tahoma"/>
            <family val="2"/>
          </rPr>
          <t>Identify lake survey date associated with Abundance estimate.</t>
        </r>
        <r>
          <rPr>
            <sz val="9"/>
            <color indexed="81"/>
            <rFont val="Tahoma"/>
            <family val="2"/>
          </rPr>
          <t xml:space="preserve">   Usually the most recent late-winter or fall survey date, but may be the "best" survey date, or the mean of multiple survey dates (in which case, identify latest date and note method of averaging in Methods column).</t>
        </r>
      </text>
    </comment>
    <comment ref="AH2" authorId="0" shapeId="0" xr:uid="{00000000-0006-0000-0100-000010000000}">
      <text>
        <r>
          <rPr>
            <sz val="9"/>
            <color indexed="81"/>
            <rFont val="Tahoma"/>
            <family val="2"/>
          </rPr>
          <t>Please include notes on  fry abundance &amp; sampling methods, data issues, or data changes.</t>
        </r>
      </text>
    </comment>
    <comment ref="AD3" authorId="0" shapeId="0" xr:uid="{00000000-0006-0000-0100-000011000000}">
      <text>
        <r>
          <rPr>
            <sz val="9"/>
            <color indexed="81"/>
            <rFont val="Tahoma"/>
            <family val="2"/>
          </rPr>
          <t>Sample size (N)</t>
        </r>
      </text>
    </comment>
    <comment ref="AG3" authorId="0" shapeId="0" xr:uid="{A55E25B9-EB33-43C5-A125-16EEBBC6DCD0}">
      <text>
        <r>
          <rPr>
            <b/>
            <sz val="9"/>
            <color indexed="81"/>
            <rFont val="Tahoma"/>
            <family val="2"/>
          </rPr>
          <t>Length Type</t>
        </r>
        <r>
          <rPr>
            <sz val="9"/>
            <color indexed="81"/>
            <rFont val="Tahoma"/>
            <family val="2"/>
          </rPr>
          <t xml:space="preserve"> 
Refers to length measurement method
  SL - Std Length
  TL - Total Length
  FL - Fork Length 
  PO - PO-Hypural</t>
        </r>
      </text>
    </comment>
    <comment ref="C9" authorId="1" shapeId="0" xr:uid="{B2C03DFA-7160-4BBE-B3D8-EB4C22A54E83}">
      <text>
        <r>
          <rPr>
            <b/>
            <sz val="9"/>
            <color indexed="81"/>
            <rFont val="Tahoma"/>
            <family val="2"/>
          </rPr>
          <t>Red years are 'ATS equivalents' based on post-1998 regression relationship between 'best' Okanagan 'smolt' estimates (actually, pre-smolts from Acoustic-Trawl-Surveys (ATS)) as a function of total annual McNary smolt estimates (Margot Stockwell, pers. comm.)</t>
        </r>
      </text>
    </comment>
    <comment ref="AB9" authorId="1" shapeId="0" xr:uid="{04FDD994-E60C-47BE-8F83-722F836DA497}">
      <text>
        <r>
          <rPr>
            <b/>
            <sz val="9"/>
            <color indexed="81"/>
            <rFont val="Tahoma"/>
            <family val="2"/>
          </rPr>
          <t>Red years are 'ATS equivalents' based on post-1998 regression relationship between 'best' Okanagan 'smolt' estimates (actually, pre-smolts from Acoustic-Trawl-Surveys (ATS)) as a function of total annual McNary smolt estimates (Margot Stockwell, pers. comm.)</t>
        </r>
      </text>
    </comment>
    <comment ref="AC9" authorId="2" shapeId="0" xr:uid="{8C833744-5F70-4812-8CB6-BDCCF8200CAC}">
      <text>
        <r>
          <rPr>
            <sz val="9"/>
            <color indexed="81"/>
            <rFont val="Tahoma"/>
            <family val="2"/>
          </rPr>
          <t>No ATS available</t>
        </r>
      </text>
    </comment>
    <comment ref="AC10" authorId="2" shapeId="0" xr:uid="{BFEF28D2-C2BD-40BB-B0CB-34CD3870AD18}">
      <text>
        <r>
          <rPr>
            <sz val="9"/>
            <color indexed="81"/>
            <rFont val="Tahoma"/>
            <family val="2"/>
          </rPr>
          <t>No ATS available</t>
        </r>
      </text>
    </comment>
    <comment ref="AC11" authorId="2" shapeId="0" xr:uid="{54238630-548C-4025-A2E2-401E370D6F28}">
      <text>
        <r>
          <rPr>
            <sz val="9"/>
            <color indexed="81"/>
            <rFont val="Tahoma"/>
            <family val="2"/>
          </rPr>
          <t>No ATS available</t>
        </r>
      </text>
    </comment>
    <comment ref="AC12" authorId="2" shapeId="0" xr:uid="{970AA132-7E37-415D-A422-2768B826B152}">
      <text>
        <r>
          <rPr>
            <sz val="9"/>
            <color indexed="81"/>
            <rFont val="Tahoma"/>
            <family val="2"/>
          </rPr>
          <t>No ATS available</t>
        </r>
      </text>
    </comment>
    <comment ref="AC13" authorId="2" shapeId="0" xr:uid="{DB81D32C-4A49-4CCB-93C6-F311E525E982}">
      <text>
        <r>
          <rPr>
            <sz val="9"/>
            <color indexed="81"/>
            <rFont val="Tahoma"/>
            <family val="2"/>
          </rPr>
          <t>No ATS available</t>
        </r>
      </text>
    </comment>
    <comment ref="AC14" authorId="2" shapeId="0" xr:uid="{574CF3A2-B812-4C9F-8572-27DD877EBA32}">
      <text>
        <r>
          <rPr>
            <sz val="9"/>
            <color indexed="81"/>
            <rFont val="Tahoma"/>
            <family val="2"/>
          </rPr>
          <t>No ATS available</t>
        </r>
      </text>
    </comment>
    <comment ref="AC15" authorId="2" shapeId="0" xr:uid="{D5E36A80-418C-4446-B8C2-391489702007}">
      <text>
        <r>
          <rPr>
            <sz val="9"/>
            <color indexed="81"/>
            <rFont val="Tahoma"/>
            <family val="2"/>
          </rPr>
          <t>No ATS available</t>
        </r>
      </text>
    </comment>
    <comment ref="AC16" authorId="2" shapeId="0" xr:uid="{DE3A7101-D182-415C-B0D5-AECEE205F0DA}">
      <text>
        <r>
          <rPr>
            <sz val="9"/>
            <color indexed="81"/>
            <rFont val="Tahoma"/>
            <family val="2"/>
          </rPr>
          <t>No ATS available</t>
        </r>
      </text>
    </comment>
    <comment ref="AC17" authorId="2" shapeId="0" xr:uid="{C97D0E1D-BE56-4A4C-98C3-05AD1A26111A}">
      <text>
        <r>
          <rPr>
            <sz val="9"/>
            <color indexed="81"/>
            <rFont val="Tahoma"/>
            <family val="2"/>
          </rPr>
          <t>No ATS available</t>
        </r>
      </text>
    </comment>
    <comment ref="AC18" authorId="2" shapeId="0" xr:uid="{754DC603-8A04-4F2C-9CF6-58F620983CEC}">
      <text>
        <r>
          <rPr>
            <sz val="9"/>
            <color indexed="81"/>
            <rFont val="Tahoma"/>
            <family val="2"/>
          </rPr>
          <t>No ATS available</t>
        </r>
      </text>
    </comment>
    <comment ref="AC19" authorId="2" shapeId="0" xr:uid="{888A215D-6D9C-4D41-A03F-A3FA623D7E41}">
      <text>
        <r>
          <rPr>
            <sz val="9"/>
            <color indexed="81"/>
            <rFont val="Tahoma"/>
            <family val="2"/>
          </rPr>
          <t>No ATS available</t>
        </r>
      </text>
    </comment>
    <comment ref="AC20" authorId="2" shapeId="0" xr:uid="{62402CF3-5B7C-4350-BD05-3DB456B47540}">
      <text>
        <r>
          <rPr>
            <sz val="9"/>
            <color indexed="81"/>
            <rFont val="Tahoma"/>
            <family val="2"/>
          </rPr>
          <t>No ATS available</t>
        </r>
      </text>
    </comment>
    <comment ref="AC21" authorId="2" shapeId="0" xr:uid="{21191117-C878-4818-B74E-8E2DE53F663B}">
      <text>
        <r>
          <rPr>
            <sz val="9"/>
            <color indexed="81"/>
            <rFont val="Tahoma"/>
            <family val="2"/>
          </rPr>
          <t>No ATS available</t>
        </r>
      </text>
    </comment>
    <comment ref="C22" authorId="3" shapeId="0" xr:uid="{DC21033D-2810-4F61-B748-5568D3A455AC}">
      <text>
        <r>
          <rPr>
            <b/>
            <sz val="9"/>
            <color indexed="81"/>
            <rFont val="Tahoma"/>
            <family val="2"/>
          </rPr>
          <t>DFO: Update</t>
        </r>
        <r>
          <rPr>
            <sz val="9"/>
            <color indexed="81"/>
            <rFont val="Tahoma"/>
            <family val="2"/>
          </rPr>
          <t xml:space="preserve">
</t>
        </r>
        <r>
          <rPr>
            <b/>
            <sz val="10"/>
            <color indexed="81"/>
            <rFont val="Tahoma"/>
            <family val="2"/>
          </rPr>
          <t xml:space="preserve">Was 937,685 (winter ATS survey only), but changed to 1,209,167 (mean of all ATS surveys)  [19.04.10]
</t>
        </r>
        <r>
          <rPr>
            <sz val="9"/>
            <color indexed="81"/>
            <rFont val="Tahoma"/>
            <family val="2"/>
          </rPr>
          <t xml:space="preserve">
See CNAT_nuOkanagan_Juveniles.xlsx [19.04.10]</t>
        </r>
      </text>
    </comment>
    <comment ref="AB22" authorId="3" shapeId="0" xr:uid="{E0257751-D02B-42F4-95A3-DE9F7234F0E1}">
      <text>
        <r>
          <rPr>
            <b/>
            <sz val="9"/>
            <color indexed="81"/>
            <rFont val="Tahoma"/>
            <family val="2"/>
          </rPr>
          <t>DFO: Update</t>
        </r>
        <r>
          <rPr>
            <sz val="9"/>
            <color indexed="81"/>
            <rFont val="Tahoma"/>
            <family val="2"/>
          </rPr>
          <t xml:space="preserve">
</t>
        </r>
        <r>
          <rPr>
            <b/>
            <sz val="10"/>
            <color indexed="81"/>
            <rFont val="Tahoma"/>
            <family val="2"/>
          </rPr>
          <t xml:space="preserve">Was 937,685 (winter ATS survey only), but changed to 1,209,167 (mean of all ATS surveys)  [19.04.10]
</t>
        </r>
        <r>
          <rPr>
            <sz val="9"/>
            <color indexed="81"/>
            <rFont val="Tahoma"/>
            <family val="2"/>
          </rPr>
          <t xml:space="preserve">
See CNAT_nuOkanagan_Juveniles.xlsx [19.04.10]</t>
        </r>
      </text>
    </comment>
    <comment ref="AC22" authorId="4" shapeId="0" xr:uid="{D67FEE2F-41B2-4A1B-A3A5-89FD9DC5E621}">
      <text>
        <r>
          <rPr>
            <b/>
            <sz val="9"/>
            <color indexed="81"/>
            <rFont val="Tahoma"/>
            <family val="2"/>
          </rPr>
          <t>[hs] : Last ATS survey date</t>
        </r>
      </text>
    </comment>
    <comment ref="C23" authorId="3" shapeId="0" xr:uid="{737E7C57-1AB8-40A4-8F8D-40F576AFF50C}">
      <text>
        <r>
          <rPr>
            <b/>
            <sz val="9"/>
            <color indexed="81"/>
            <rFont val="Tahoma"/>
            <family val="2"/>
          </rPr>
          <t>DFO:</t>
        </r>
        <r>
          <rPr>
            <sz val="9"/>
            <color indexed="81"/>
            <rFont val="Tahoma"/>
            <family val="2"/>
          </rPr>
          <t xml:space="preserve">
mean of all surveys
CNAT_nuOkanagan_Juveniles.xlsx</t>
        </r>
      </text>
    </comment>
    <comment ref="AB23" authorId="3" shapeId="0" xr:uid="{D618AD1A-DC20-4008-840D-604924E5E4A9}">
      <text>
        <r>
          <rPr>
            <b/>
            <sz val="9"/>
            <color indexed="81"/>
            <rFont val="Tahoma"/>
            <family val="2"/>
          </rPr>
          <t>DFO:</t>
        </r>
        <r>
          <rPr>
            <sz val="9"/>
            <color indexed="81"/>
            <rFont val="Tahoma"/>
            <family val="2"/>
          </rPr>
          <t xml:space="preserve">
mean of all surveys
CNAT_nuOkanagan_Juveniles.xlsx</t>
        </r>
      </text>
    </comment>
    <comment ref="AC23" authorId="4" shapeId="0" xr:uid="{473C037B-C926-445D-8A4F-77285894EDB2}">
      <text>
        <r>
          <rPr>
            <b/>
            <sz val="9"/>
            <color indexed="81"/>
            <rFont val="Tahoma"/>
            <family val="2"/>
          </rPr>
          <t>[hs] : Last ATS survey date</t>
        </r>
      </text>
    </comment>
    <comment ref="C24" authorId="3" shapeId="0" xr:uid="{77B041D4-725B-48CC-9727-FE0EBDCF63BF}">
      <text>
        <r>
          <rPr>
            <b/>
            <sz val="9"/>
            <color indexed="81"/>
            <rFont val="Tahoma"/>
            <family val="2"/>
          </rPr>
          <t>DFO:</t>
        </r>
        <r>
          <rPr>
            <sz val="9"/>
            <color indexed="81"/>
            <rFont val="Tahoma"/>
            <family val="2"/>
          </rPr>
          <t xml:space="preserve">
mean of all surveys
CNAT_nuOkanagan_Juveniles.xlsx</t>
        </r>
      </text>
    </comment>
    <comment ref="AB24" authorId="3" shapeId="0" xr:uid="{AD87B7D9-1534-43C0-B650-F802D591EDAF}">
      <text>
        <r>
          <rPr>
            <b/>
            <sz val="9"/>
            <color indexed="81"/>
            <rFont val="Tahoma"/>
            <family val="2"/>
          </rPr>
          <t>DFO:</t>
        </r>
        <r>
          <rPr>
            <sz val="9"/>
            <color indexed="81"/>
            <rFont val="Tahoma"/>
            <family val="2"/>
          </rPr>
          <t xml:space="preserve">
mean of all surveys
CNAT_nuOkanagan_Juveniles.xlsx</t>
        </r>
      </text>
    </comment>
    <comment ref="AC24" authorId="4" shapeId="0" xr:uid="{EED378ED-DCFF-4568-B3B6-086ECE71C5CC}">
      <text>
        <r>
          <rPr>
            <b/>
            <sz val="9"/>
            <color indexed="81"/>
            <rFont val="Tahoma"/>
            <family val="2"/>
          </rPr>
          <t>[hs] : Last ATS survey date</t>
        </r>
      </text>
    </comment>
    <comment ref="C25" authorId="3" shapeId="0" xr:uid="{C20C423D-78D2-4ACB-8854-33B77CB183A8}">
      <text>
        <r>
          <rPr>
            <b/>
            <sz val="9"/>
            <color indexed="81"/>
            <rFont val="Tahoma"/>
            <family val="2"/>
          </rPr>
          <t>DFO:</t>
        </r>
        <r>
          <rPr>
            <sz val="9"/>
            <color indexed="81"/>
            <rFont val="Tahoma"/>
            <family val="2"/>
          </rPr>
          <t xml:space="preserve">
mean of all surveys
CNAT_nuOkanagan_Juveniles.xlsx</t>
        </r>
      </text>
    </comment>
    <comment ref="AB25" authorId="3" shapeId="0" xr:uid="{8972E1D4-4774-4822-A0EC-98459A8997C0}">
      <text>
        <r>
          <rPr>
            <b/>
            <sz val="9"/>
            <color indexed="81"/>
            <rFont val="Tahoma"/>
            <family val="2"/>
          </rPr>
          <t>DFO:</t>
        </r>
        <r>
          <rPr>
            <sz val="9"/>
            <color indexed="81"/>
            <rFont val="Tahoma"/>
            <family val="2"/>
          </rPr>
          <t xml:space="preserve">
mean of all surveys
CNAT_nuOkanagan_Juveniles.xlsx</t>
        </r>
      </text>
    </comment>
    <comment ref="AC25" authorId="4" shapeId="0" xr:uid="{93E1651C-F008-4B29-BEA4-5BA4B80EA10A}">
      <text>
        <r>
          <rPr>
            <b/>
            <sz val="9"/>
            <color indexed="81"/>
            <rFont val="Tahoma"/>
            <family val="2"/>
          </rPr>
          <t>[hs] : Last ATS survey date</t>
        </r>
      </text>
    </comment>
    <comment ref="C26" authorId="3" shapeId="0" xr:uid="{760F3A64-4601-42BB-BB56-A61D064B5128}">
      <text>
        <r>
          <rPr>
            <b/>
            <sz val="9"/>
            <color indexed="81"/>
            <rFont val="Tahoma"/>
            <family val="2"/>
          </rPr>
          <t>DFO:</t>
        </r>
        <r>
          <rPr>
            <sz val="9"/>
            <color indexed="81"/>
            <rFont val="Tahoma"/>
            <family val="2"/>
          </rPr>
          <t xml:space="preserve">
winter survey only
CNAT_nuOkanagan_Juveniles.xlsx</t>
        </r>
      </text>
    </comment>
    <comment ref="AB26" authorId="3" shapeId="0" xr:uid="{1BF8AB32-DBD1-4119-B375-0705CC103D41}">
      <text>
        <r>
          <rPr>
            <b/>
            <sz val="9"/>
            <color indexed="81"/>
            <rFont val="Tahoma"/>
            <family val="2"/>
          </rPr>
          <t>DFO:</t>
        </r>
        <r>
          <rPr>
            <sz val="9"/>
            <color indexed="81"/>
            <rFont val="Tahoma"/>
            <family val="2"/>
          </rPr>
          <t xml:space="preserve">
winter survey only
CNAT_nuOkanagan_Juveniles.xlsx</t>
        </r>
      </text>
    </comment>
    <comment ref="AC26" authorId="4" shapeId="0" xr:uid="{023F4597-8FA0-45C8-BB73-95430122CB5E}">
      <text>
        <r>
          <rPr>
            <b/>
            <sz val="9"/>
            <color indexed="81"/>
            <rFont val="Tahoma"/>
            <family val="2"/>
          </rPr>
          <t>[hs] : Last ATS survey date</t>
        </r>
      </text>
    </comment>
    <comment ref="C27" authorId="3" shapeId="0" xr:uid="{FF062154-6763-4858-B09A-A5C9069D2013}">
      <text>
        <r>
          <rPr>
            <b/>
            <sz val="9"/>
            <color indexed="81"/>
            <rFont val="Tahoma"/>
            <family val="2"/>
          </rPr>
          <t>DFO:</t>
        </r>
        <r>
          <rPr>
            <sz val="9"/>
            <color indexed="81"/>
            <rFont val="Tahoma"/>
            <family val="2"/>
          </rPr>
          <t xml:space="preserve">
mean of 2 winter  surveys only
CNAT_nuOkanagan_Juveniles.xlsx</t>
        </r>
      </text>
    </comment>
    <comment ref="AB27" authorId="3" shapeId="0" xr:uid="{44803A47-B9C8-4A6E-98E5-512A219217B8}">
      <text>
        <r>
          <rPr>
            <b/>
            <sz val="9"/>
            <color indexed="81"/>
            <rFont val="Tahoma"/>
            <family val="2"/>
          </rPr>
          <t>DFO:</t>
        </r>
        <r>
          <rPr>
            <sz val="9"/>
            <color indexed="81"/>
            <rFont val="Tahoma"/>
            <family val="2"/>
          </rPr>
          <t xml:space="preserve">
mean of 2 winter  surveys only
CNAT_nuOkanagan_Juveniles.xlsx</t>
        </r>
      </text>
    </comment>
    <comment ref="AC27" authorId="4" shapeId="0" xr:uid="{5ED798A9-BAE2-42DC-AA6D-41210C4A232C}">
      <text>
        <r>
          <rPr>
            <b/>
            <sz val="9"/>
            <color indexed="81"/>
            <rFont val="Tahoma"/>
            <family val="2"/>
          </rPr>
          <t>[hs] : Last ATS survey date</t>
        </r>
      </text>
    </comment>
    <comment ref="C28" authorId="3" shapeId="0" xr:uid="{A1B953F5-E70F-4DE2-8DCC-957E42A83E10}">
      <text>
        <r>
          <rPr>
            <b/>
            <sz val="9"/>
            <color indexed="81"/>
            <rFont val="Tahoma"/>
            <family val="2"/>
          </rPr>
          <t>DFO:</t>
        </r>
        <r>
          <rPr>
            <sz val="9"/>
            <color indexed="81"/>
            <rFont val="Tahoma"/>
            <family val="2"/>
          </rPr>
          <t xml:space="preserve">
fall-winter surveys only
CNAT_nuOkanagan_Juveniles.xlsx</t>
        </r>
      </text>
    </comment>
    <comment ref="AB28" authorId="3" shapeId="0" xr:uid="{A2FF0038-C66A-42C9-8502-6281B39590F2}">
      <text>
        <r>
          <rPr>
            <b/>
            <sz val="9"/>
            <color indexed="81"/>
            <rFont val="Tahoma"/>
            <family val="2"/>
          </rPr>
          <t>DFO:</t>
        </r>
        <r>
          <rPr>
            <sz val="9"/>
            <color indexed="81"/>
            <rFont val="Tahoma"/>
            <family val="2"/>
          </rPr>
          <t xml:space="preserve">
fall-winter surveys only
CNAT_nuOkanagan_Juveniles.xlsx</t>
        </r>
      </text>
    </comment>
    <comment ref="AC28" authorId="4" shapeId="0" xr:uid="{A0753FAE-3100-4924-83CF-2AC3AAD03ECE}">
      <text>
        <r>
          <rPr>
            <b/>
            <sz val="9"/>
            <color indexed="81"/>
            <rFont val="Tahoma"/>
            <family val="2"/>
          </rPr>
          <t>[hs] : Last ATS survey date</t>
        </r>
      </text>
    </comment>
    <comment ref="C29" authorId="3" shapeId="0" xr:uid="{65AB78BB-26AA-440E-A396-CE76245C41B0}">
      <text>
        <r>
          <rPr>
            <b/>
            <sz val="9"/>
            <color indexed="81"/>
            <rFont val="Tahoma"/>
            <family val="2"/>
          </rPr>
          <t>DFO:</t>
        </r>
        <r>
          <rPr>
            <sz val="9"/>
            <color indexed="81"/>
            <rFont val="Tahoma"/>
            <family val="2"/>
          </rPr>
          <t xml:space="preserve">
mean of 2 winter  surveys only
CNAT_nuOkanagan_Juveniles.xlsx</t>
        </r>
      </text>
    </comment>
    <comment ref="AB29" authorId="3" shapeId="0" xr:uid="{214F6B66-A6D1-4934-A0F2-01E07EB8D4CB}">
      <text>
        <r>
          <rPr>
            <b/>
            <sz val="9"/>
            <color indexed="81"/>
            <rFont val="Tahoma"/>
            <family val="2"/>
          </rPr>
          <t>DFO:</t>
        </r>
        <r>
          <rPr>
            <sz val="9"/>
            <color indexed="81"/>
            <rFont val="Tahoma"/>
            <family val="2"/>
          </rPr>
          <t xml:space="preserve">
mean of 2 winter  surveys only
CNAT_nuOkanagan_Juveniles.xlsx</t>
        </r>
      </text>
    </comment>
    <comment ref="AC29" authorId="4" shapeId="0" xr:uid="{108128DA-8DD1-48C0-BD45-38DAB6D305E0}">
      <text>
        <r>
          <rPr>
            <b/>
            <sz val="9"/>
            <color indexed="81"/>
            <rFont val="Tahoma"/>
            <family val="2"/>
          </rPr>
          <t>[hs] : Last ATS survey date</t>
        </r>
      </text>
    </comment>
    <comment ref="C30" authorId="3" shapeId="0" xr:uid="{9E1AA6AF-8649-4ABD-8A65-780A89B6DB36}">
      <text>
        <r>
          <rPr>
            <b/>
            <sz val="9"/>
            <color indexed="81"/>
            <rFont val="Tahoma"/>
            <family val="2"/>
          </rPr>
          <t>DFO:</t>
        </r>
        <r>
          <rPr>
            <sz val="9"/>
            <color indexed="81"/>
            <rFont val="Tahoma"/>
            <family val="2"/>
          </rPr>
          <t xml:space="preserve">
mean of 2 winter  surveys only
CNAT_nuOkanagan_Juveniles.xlsx</t>
        </r>
      </text>
    </comment>
    <comment ref="AB30" authorId="3" shapeId="0" xr:uid="{4F0AAE56-C526-46CC-9CE0-19D0E652A29B}">
      <text>
        <r>
          <rPr>
            <b/>
            <sz val="9"/>
            <color indexed="81"/>
            <rFont val="Tahoma"/>
            <family val="2"/>
          </rPr>
          <t>DFO:</t>
        </r>
        <r>
          <rPr>
            <sz val="9"/>
            <color indexed="81"/>
            <rFont val="Tahoma"/>
            <family val="2"/>
          </rPr>
          <t xml:space="preserve">
mean of 2 winter  surveys only
CNAT_nuOkanagan_Juveniles.xlsx</t>
        </r>
      </text>
    </comment>
    <comment ref="AC30" authorId="4" shapeId="0" xr:uid="{B50989F1-BBA5-4FAE-B5B3-9007A1DE286D}">
      <text>
        <r>
          <rPr>
            <b/>
            <sz val="9"/>
            <color indexed="81"/>
            <rFont val="Tahoma"/>
            <family val="2"/>
          </rPr>
          <t>[hs] : Last ATS survey date</t>
        </r>
      </text>
    </comment>
    <comment ref="C31" authorId="3" shapeId="0" xr:uid="{25E4D651-D22B-48CF-8A1E-7F22DC56A07B}">
      <text>
        <r>
          <rPr>
            <b/>
            <sz val="9"/>
            <color indexed="81"/>
            <rFont val="Tahoma"/>
            <family val="2"/>
          </rPr>
          <t>DFO:</t>
        </r>
        <r>
          <rPr>
            <sz val="9"/>
            <color indexed="81"/>
            <rFont val="Tahoma"/>
            <family val="2"/>
          </rPr>
          <t xml:space="preserve">
mean of 4 winter  surveys only
CNAT_nuOkanagan_Juveniles.xlsx</t>
        </r>
      </text>
    </comment>
    <comment ref="AB31" authorId="3" shapeId="0" xr:uid="{5A655FD4-D3CE-4E88-B5C0-4F6C801BF5FC}">
      <text>
        <r>
          <rPr>
            <b/>
            <sz val="9"/>
            <color indexed="81"/>
            <rFont val="Tahoma"/>
            <family val="2"/>
          </rPr>
          <t>DFO:</t>
        </r>
        <r>
          <rPr>
            <sz val="9"/>
            <color indexed="81"/>
            <rFont val="Tahoma"/>
            <family val="2"/>
          </rPr>
          <t xml:space="preserve">
mean of 4 winter  surveys only
CNAT_nuOkanagan_Juveniles.xlsx</t>
        </r>
      </text>
    </comment>
    <comment ref="AC31" authorId="4" shapeId="0" xr:uid="{25F75800-EF7C-4D68-B1C1-01CF224FA568}">
      <text>
        <r>
          <rPr>
            <b/>
            <sz val="9"/>
            <color indexed="81"/>
            <rFont val="Tahoma"/>
            <family val="2"/>
          </rPr>
          <t>[hs] : Last ATS survey date</t>
        </r>
      </text>
    </comment>
    <comment ref="C32" authorId="3" shapeId="0" xr:uid="{C6E9CBC7-C7E8-4168-BA3C-B64AA82CA4B1}">
      <text>
        <r>
          <rPr>
            <b/>
            <sz val="9"/>
            <color indexed="81"/>
            <rFont val="Tahoma"/>
            <family val="2"/>
          </rPr>
          <t>DFO:</t>
        </r>
        <r>
          <rPr>
            <sz val="9"/>
            <color indexed="81"/>
            <rFont val="Tahoma"/>
            <family val="2"/>
          </rPr>
          <t xml:space="preserve">
fall-winter surveys only
CNAT_nuOkanagan_Juveniles.xlsx</t>
        </r>
      </text>
    </comment>
    <comment ref="AB32" authorId="3" shapeId="0" xr:uid="{FD21A665-7071-4D8F-B093-A1C7BAAB94B5}">
      <text>
        <r>
          <rPr>
            <b/>
            <sz val="9"/>
            <color indexed="81"/>
            <rFont val="Tahoma"/>
            <family val="2"/>
          </rPr>
          <t>DFO:</t>
        </r>
        <r>
          <rPr>
            <sz val="9"/>
            <color indexed="81"/>
            <rFont val="Tahoma"/>
            <family val="2"/>
          </rPr>
          <t xml:space="preserve">
fall-winter surveys only
CNAT_nuOkanagan_Juveniles.xlsx</t>
        </r>
      </text>
    </comment>
    <comment ref="AC32" authorId="4" shapeId="0" xr:uid="{B0B0AFA6-C6F5-4DD3-837D-853C35394986}">
      <text>
        <r>
          <rPr>
            <b/>
            <sz val="9"/>
            <color indexed="81"/>
            <rFont val="Tahoma"/>
            <family val="2"/>
          </rPr>
          <t>[hs] : Last ATS survey date</t>
        </r>
      </text>
    </comment>
    <comment ref="C33" authorId="3" shapeId="0" xr:uid="{8698859B-CAB3-47BA-83CD-D41EBECB875C}">
      <text>
        <r>
          <rPr>
            <b/>
            <sz val="9"/>
            <color indexed="81"/>
            <rFont val="Tahoma"/>
            <family val="2"/>
          </rPr>
          <t xml:space="preserve">DFO:
</t>
        </r>
        <r>
          <rPr>
            <sz val="9"/>
            <color indexed="81"/>
            <rFont val="Tahoma"/>
            <family val="2"/>
          </rPr>
          <t>winter surveys only
CNAT_nuOkanagan_Juveniles.xlsx</t>
        </r>
      </text>
    </comment>
    <comment ref="AB33" authorId="3" shapeId="0" xr:uid="{CEF17625-2DA6-4EAE-AFE7-FF7786411201}">
      <text>
        <r>
          <rPr>
            <b/>
            <sz val="9"/>
            <color indexed="81"/>
            <rFont val="Tahoma"/>
            <family val="2"/>
          </rPr>
          <t xml:space="preserve">DFO:
</t>
        </r>
        <r>
          <rPr>
            <sz val="9"/>
            <color indexed="81"/>
            <rFont val="Tahoma"/>
            <family val="2"/>
          </rPr>
          <t>winter surveys only
CNAT_nuOkanagan_Juveniles.xlsx</t>
        </r>
      </text>
    </comment>
    <comment ref="AC33" authorId="4" shapeId="0" xr:uid="{0D3FF5E7-E5A7-4219-A9DD-33D50733FD1A}">
      <text>
        <r>
          <rPr>
            <b/>
            <sz val="9"/>
            <color indexed="81"/>
            <rFont val="Tahoma"/>
            <family val="2"/>
          </rPr>
          <t>[hs] : Last ATS survey date</t>
        </r>
      </text>
    </comment>
    <comment ref="C34" authorId="3" shapeId="0" xr:uid="{B0677694-DBC3-4454-83A4-571FD0828407}">
      <text>
        <r>
          <rPr>
            <b/>
            <sz val="9"/>
            <color indexed="81"/>
            <rFont val="Tahoma"/>
            <family val="2"/>
          </rPr>
          <t xml:space="preserve">DFO:
</t>
        </r>
        <r>
          <rPr>
            <sz val="9"/>
            <color indexed="81"/>
            <rFont val="Tahoma"/>
            <family val="2"/>
          </rPr>
          <t>winter surveys only
CNAT_nuOkanagan_Juveniles.xlsx</t>
        </r>
      </text>
    </comment>
    <comment ref="AB34" authorId="3" shapeId="0" xr:uid="{9D4CE92E-0A65-48CB-BEC4-1B609CC499D3}">
      <text>
        <r>
          <rPr>
            <b/>
            <sz val="9"/>
            <color indexed="81"/>
            <rFont val="Tahoma"/>
            <family val="2"/>
          </rPr>
          <t xml:space="preserve">DFO:
</t>
        </r>
        <r>
          <rPr>
            <sz val="9"/>
            <color indexed="81"/>
            <rFont val="Tahoma"/>
            <family val="2"/>
          </rPr>
          <t>winter surveys only
CNAT_nuOkanagan_Juveniles.xlsx</t>
        </r>
      </text>
    </comment>
    <comment ref="AC34" authorId="4" shapeId="0" xr:uid="{69C6425F-29D7-4B78-928D-9C0DF82ECBB5}">
      <text>
        <r>
          <rPr>
            <b/>
            <sz val="9"/>
            <color indexed="81"/>
            <rFont val="Tahoma"/>
            <family val="2"/>
          </rPr>
          <t>[hs] : Last ATS survey date</t>
        </r>
      </text>
    </comment>
    <comment ref="C35" authorId="3" shapeId="0" xr:uid="{B2887C8B-F93D-43E0-BC59-06409AD2FD21}">
      <text>
        <r>
          <rPr>
            <b/>
            <sz val="9"/>
            <color indexed="81"/>
            <rFont val="Tahoma"/>
            <family val="2"/>
          </rPr>
          <t xml:space="preserve">DFO:
</t>
        </r>
        <r>
          <rPr>
            <sz val="9"/>
            <color indexed="81"/>
            <rFont val="Tahoma"/>
            <family val="2"/>
          </rPr>
          <t>winter surveys only
CNAT_nuOkanagan_Juveniles.xlsx</t>
        </r>
      </text>
    </comment>
    <comment ref="AB35" authorId="3" shapeId="0" xr:uid="{EC747306-99C0-43A8-8BCF-112D79191276}">
      <text>
        <r>
          <rPr>
            <b/>
            <sz val="9"/>
            <color indexed="81"/>
            <rFont val="Tahoma"/>
            <family val="2"/>
          </rPr>
          <t xml:space="preserve">DFO:
</t>
        </r>
        <r>
          <rPr>
            <sz val="9"/>
            <color indexed="81"/>
            <rFont val="Tahoma"/>
            <family val="2"/>
          </rPr>
          <t>winter surveys only
CNAT_nuOkanagan_Juveniles.xlsx</t>
        </r>
      </text>
    </comment>
    <comment ref="AC35" authorId="4" shapeId="0" xr:uid="{D5C60B44-DF8E-4FFA-B2D6-4CCA9160016D}">
      <text>
        <r>
          <rPr>
            <b/>
            <sz val="9"/>
            <color indexed="81"/>
            <rFont val="Tahoma"/>
            <family val="2"/>
          </rPr>
          <t>[hs] : Last ATS survey date</t>
        </r>
      </text>
    </comment>
    <comment ref="C36" authorId="3" shapeId="0" xr:uid="{41A42D00-ED6E-42AD-936D-E63281A1D3BE}">
      <text>
        <r>
          <rPr>
            <b/>
            <sz val="9"/>
            <color indexed="81"/>
            <rFont val="Tahoma"/>
            <family val="2"/>
          </rPr>
          <t xml:space="preserve">DFO:
</t>
        </r>
        <r>
          <rPr>
            <sz val="9"/>
            <color indexed="81"/>
            <rFont val="Tahoma"/>
            <family val="2"/>
          </rPr>
          <t>winter surveys only
CNAT_nuOkanagan_Juveniles.xlsx</t>
        </r>
      </text>
    </comment>
    <comment ref="AB36" authorId="3" shapeId="0" xr:uid="{8E7326FB-3891-4CEE-BBF6-244338911AD1}">
      <text>
        <r>
          <rPr>
            <b/>
            <sz val="9"/>
            <color indexed="81"/>
            <rFont val="Tahoma"/>
            <family val="2"/>
          </rPr>
          <t xml:space="preserve">DFO:
</t>
        </r>
        <r>
          <rPr>
            <sz val="9"/>
            <color indexed="81"/>
            <rFont val="Tahoma"/>
            <family val="2"/>
          </rPr>
          <t>winter surveys only
CNAT_nuOkanagan_Juveniles.xlsx</t>
        </r>
      </text>
    </comment>
    <comment ref="AC36" authorId="4" shapeId="0" xr:uid="{2AED37AC-08A6-4C78-BD21-EFEA8B1FA399}">
      <text>
        <r>
          <rPr>
            <b/>
            <sz val="9"/>
            <color indexed="81"/>
            <rFont val="Tahoma"/>
            <family val="2"/>
          </rPr>
          <t>[hs] : Last ATS survey date</t>
        </r>
      </text>
    </comment>
    <comment ref="C37" authorId="3" shapeId="0" xr:uid="{95A42BE3-FC34-41DA-9E08-EEA4616F2AFF}">
      <text>
        <r>
          <rPr>
            <b/>
            <sz val="9"/>
            <color indexed="81"/>
            <rFont val="Tahoma"/>
            <family val="2"/>
          </rPr>
          <t xml:space="preserve">DFO:
</t>
        </r>
        <r>
          <rPr>
            <sz val="9"/>
            <color indexed="81"/>
            <rFont val="Tahoma"/>
            <family val="2"/>
          </rPr>
          <t>winter surveys only
CNAT_nuOkanagan_Juveniles.xlsx</t>
        </r>
      </text>
    </comment>
    <comment ref="AB37" authorId="3" shapeId="0" xr:uid="{B6F15385-A22D-49B2-A355-40B65F249A2F}">
      <text>
        <r>
          <rPr>
            <b/>
            <sz val="9"/>
            <color indexed="81"/>
            <rFont val="Tahoma"/>
            <family val="2"/>
          </rPr>
          <t xml:space="preserve">DFO:
</t>
        </r>
        <r>
          <rPr>
            <sz val="9"/>
            <color indexed="81"/>
            <rFont val="Tahoma"/>
            <family val="2"/>
          </rPr>
          <t>winter surveys only
CNAT_nuOkanagan_Juveniles.xlsx</t>
        </r>
      </text>
    </comment>
    <comment ref="AC37" authorId="4" shapeId="0" xr:uid="{ED690397-D892-47B6-BD75-AC56EF27A945}">
      <text>
        <r>
          <rPr>
            <b/>
            <sz val="9"/>
            <color indexed="81"/>
            <rFont val="Tahoma"/>
            <family val="2"/>
          </rPr>
          <t>[hs] : Last ATS survey date</t>
        </r>
      </text>
    </comment>
    <comment ref="C38" authorId="3" shapeId="0" xr:uid="{408C7612-5948-463F-926D-ADDB89F3ABF4}">
      <text>
        <r>
          <rPr>
            <b/>
            <sz val="9"/>
            <color indexed="81"/>
            <rFont val="Tahoma"/>
            <family val="2"/>
          </rPr>
          <t xml:space="preserve">DFO:
</t>
        </r>
        <r>
          <rPr>
            <sz val="9"/>
            <color indexed="81"/>
            <rFont val="Tahoma"/>
            <family val="2"/>
          </rPr>
          <t>winter surveys only
CNAT_nuOkanagan_Juveniles.xlsx</t>
        </r>
      </text>
    </comment>
    <comment ref="AB38" authorId="3" shapeId="0" xr:uid="{D8CBF504-A7C9-4EA5-AF3B-AE46A25019F7}">
      <text>
        <r>
          <rPr>
            <b/>
            <sz val="9"/>
            <color indexed="81"/>
            <rFont val="Tahoma"/>
            <family val="2"/>
          </rPr>
          <t xml:space="preserve">DFO:
</t>
        </r>
        <r>
          <rPr>
            <sz val="9"/>
            <color indexed="81"/>
            <rFont val="Tahoma"/>
            <family val="2"/>
          </rPr>
          <t>winter surveys only
CNAT_nuOkanagan_Juveniles.xlsx</t>
        </r>
      </text>
    </comment>
    <comment ref="AC38" authorId="4" shapeId="0" xr:uid="{FB1838FC-2BCA-46E7-A366-A61E475E7A2A}">
      <text>
        <r>
          <rPr>
            <b/>
            <sz val="9"/>
            <color indexed="81"/>
            <rFont val="Tahoma"/>
            <family val="2"/>
          </rPr>
          <t>[hs] : Last ATS survey date</t>
        </r>
      </text>
    </comment>
    <comment ref="C39" authorId="3" shapeId="0" xr:uid="{34BF4197-8E72-4AC5-9D44-5A4030A8219A}">
      <text>
        <r>
          <rPr>
            <b/>
            <sz val="9"/>
            <color indexed="81"/>
            <rFont val="Tahoma"/>
            <family val="2"/>
          </rPr>
          <t xml:space="preserve">DFO:
</t>
        </r>
        <r>
          <rPr>
            <sz val="9"/>
            <color indexed="81"/>
            <rFont val="Tahoma"/>
            <family val="2"/>
          </rPr>
          <t>winter surveys only
CNAT_nuOkanagan_Juveniles.xlsx</t>
        </r>
      </text>
    </comment>
    <comment ref="AB39" authorId="3" shapeId="0" xr:uid="{6EFA6296-1269-4931-A6A5-B4DC91F8070B}">
      <text>
        <r>
          <rPr>
            <b/>
            <sz val="9"/>
            <color indexed="81"/>
            <rFont val="Tahoma"/>
            <family val="2"/>
          </rPr>
          <t xml:space="preserve">DFO:
</t>
        </r>
        <r>
          <rPr>
            <sz val="9"/>
            <color indexed="81"/>
            <rFont val="Tahoma"/>
            <family val="2"/>
          </rPr>
          <t>winter surveys only
CNAT_nuOkanagan_Juveniles.xlsx</t>
        </r>
      </text>
    </comment>
    <comment ref="AC39" authorId="4" shapeId="0" xr:uid="{70C052EE-92AA-460B-9B0F-20E0102A3D38}">
      <text>
        <r>
          <rPr>
            <b/>
            <sz val="9"/>
            <color indexed="81"/>
            <rFont val="Tahoma"/>
            <family val="2"/>
          </rPr>
          <t>[hs] : Last ATS survey date</t>
        </r>
      </text>
    </comment>
    <comment ref="C40" authorId="3" shapeId="0" xr:uid="{E4A10E52-75D7-47B5-AF88-FDA44EBACEDF}">
      <text>
        <r>
          <rPr>
            <b/>
            <sz val="9"/>
            <color indexed="81"/>
            <rFont val="Tahoma"/>
            <family val="2"/>
          </rPr>
          <t xml:space="preserve">DFO:
</t>
        </r>
        <r>
          <rPr>
            <sz val="9"/>
            <color indexed="81"/>
            <rFont val="Tahoma"/>
            <family val="2"/>
          </rPr>
          <t>winter surveys only
CNAT_nuOkanagan_Juveniles.xlsx</t>
        </r>
      </text>
    </comment>
    <comment ref="AB40" authorId="3" shapeId="0" xr:uid="{2F72FA1C-FF42-44F5-8B77-75F84DF7D2F9}">
      <text>
        <r>
          <rPr>
            <b/>
            <sz val="9"/>
            <color indexed="81"/>
            <rFont val="Tahoma"/>
            <family val="2"/>
          </rPr>
          <t xml:space="preserve">DFO:
</t>
        </r>
        <r>
          <rPr>
            <sz val="9"/>
            <color indexed="81"/>
            <rFont val="Tahoma"/>
            <family val="2"/>
          </rPr>
          <t>winter surveys only
CNAT_nuOkanagan_Juveniles.xlsx</t>
        </r>
      </text>
    </comment>
    <comment ref="AC40" authorId="4" shapeId="0" xr:uid="{2E2041F3-B048-4262-AEFF-20418DC777FD}">
      <text>
        <r>
          <rPr>
            <b/>
            <sz val="9"/>
            <color indexed="81"/>
            <rFont val="Tahoma"/>
            <family val="2"/>
          </rPr>
          <t>[hs] : Last ATS survey date</t>
        </r>
      </text>
    </comment>
    <comment ref="C41" authorId="3" shapeId="0" xr:uid="{7BC1DB8F-3349-4D7A-88C7-8E953C6609B0}">
      <text>
        <r>
          <rPr>
            <b/>
            <sz val="9"/>
            <color indexed="81"/>
            <rFont val="Tahoma"/>
            <family val="2"/>
          </rPr>
          <t xml:space="preserve">DFO:
</t>
        </r>
        <r>
          <rPr>
            <sz val="9"/>
            <color indexed="81"/>
            <rFont val="Tahoma"/>
            <family val="2"/>
          </rPr>
          <t>winter surveys only
CNAT_nuOkanagan_Juveniles.xlsx</t>
        </r>
      </text>
    </comment>
    <comment ref="AB41" authorId="3" shapeId="0" xr:uid="{464AE10F-E13C-4215-ABCA-510307FEDC8E}">
      <text>
        <r>
          <rPr>
            <b/>
            <sz val="9"/>
            <color indexed="81"/>
            <rFont val="Tahoma"/>
            <family val="2"/>
          </rPr>
          <t xml:space="preserve">DFO:
</t>
        </r>
        <r>
          <rPr>
            <sz val="9"/>
            <color indexed="81"/>
            <rFont val="Tahoma"/>
            <family val="2"/>
          </rPr>
          <t>winter surveys only
CNAT_nuOkanagan_Juveniles.xlsx</t>
        </r>
      </text>
    </comment>
    <comment ref="AC41" authorId="4" shapeId="0" xr:uid="{0765EB10-3125-49D0-9F3D-8467F20DEE78}">
      <text>
        <r>
          <rPr>
            <b/>
            <sz val="9"/>
            <color indexed="81"/>
            <rFont val="Tahoma"/>
            <family val="2"/>
          </rPr>
          <t>[hs] : Last ATS survey date</t>
        </r>
      </text>
    </comment>
    <comment ref="C42" authorId="3" shapeId="0" xr:uid="{C3A28192-CD78-4AAC-B151-FD50377D73DF}">
      <text>
        <r>
          <rPr>
            <b/>
            <sz val="9"/>
            <color indexed="81"/>
            <rFont val="Tahoma"/>
            <family val="2"/>
          </rPr>
          <t xml:space="preserve">DFO:
</t>
        </r>
        <r>
          <rPr>
            <sz val="9"/>
            <color indexed="81"/>
            <rFont val="Tahoma"/>
            <family val="2"/>
          </rPr>
          <t>winter surveys only
CNAT_nuOkanagan_Juveniles.xlsx</t>
        </r>
      </text>
    </comment>
    <comment ref="AB42" authorId="3" shapeId="0" xr:uid="{0942286C-F4EA-4C3B-92F8-A16179C95B05}">
      <text>
        <r>
          <rPr>
            <b/>
            <sz val="9"/>
            <color indexed="81"/>
            <rFont val="Tahoma"/>
            <family val="2"/>
          </rPr>
          <t xml:space="preserve">DFO:
</t>
        </r>
        <r>
          <rPr>
            <sz val="9"/>
            <color indexed="81"/>
            <rFont val="Tahoma"/>
            <family val="2"/>
          </rPr>
          <t>winter surveys only
CNAT_nuOkanagan_Juveniles.xlsx</t>
        </r>
      </text>
    </comment>
    <comment ref="AC42" authorId="4" shapeId="0" xr:uid="{BEC66C5C-F81A-4C76-B137-8415ABC8F820}">
      <text>
        <r>
          <rPr>
            <b/>
            <sz val="9"/>
            <color indexed="81"/>
            <rFont val="Tahoma"/>
            <family val="2"/>
          </rPr>
          <t>[hs] : Last ATS survey date</t>
        </r>
      </text>
    </comment>
    <comment ref="C43" authorId="0" shapeId="0" xr:uid="{DEB74799-6870-4190-B8F1-DF658E504DEF}">
      <text>
        <r>
          <rPr>
            <sz val="9"/>
            <color indexed="81"/>
            <rFont val="Tahoma"/>
            <family val="2"/>
          </rPr>
          <t>Mean of survey 15-Oct-2018 and spring estimate (Athena O 10/19/2020]
See
CNAT_nuOkanagan_Juveniles.xlsx 20.10.14.xlsx</t>
        </r>
      </text>
    </comment>
    <comment ref="AB43" authorId="0" shapeId="0" xr:uid="{6DDA803B-984F-4E4A-82F6-8B71DE457812}">
      <text>
        <r>
          <rPr>
            <sz val="9"/>
            <color indexed="81"/>
            <rFont val="Tahoma"/>
            <family val="2"/>
          </rPr>
          <t>Mean of survey 15-Oct-2018 and spring estimate (Athena O 10/19/2020]
See
CNAT_nuOkanagan_Juveniles.xlsx 20.10.14.xlsx</t>
        </r>
      </text>
    </comment>
    <comment ref="AC43" authorId="4" shapeId="0" xr:uid="{704EA71C-95C5-4B29-8A80-29869038BF2B}">
      <text>
        <r>
          <rPr>
            <b/>
            <sz val="9"/>
            <color indexed="81"/>
            <rFont val="Tahoma"/>
            <family val="2"/>
          </rPr>
          <t>[hs] : Last ATS survey date</t>
        </r>
      </text>
    </comment>
    <comment ref="C44" authorId="3" shapeId="0" xr:uid="{BA87F995-0C3B-487C-BE26-3B565FDE1FC3}">
      <text>
        <r>
          <rPr>
            <b/>
            <sz val="9"/>
            <color indexed="81"/>
            <rFont val="Tahoma"/>
            <family val="2"/>
          </rPr>
          <t xml:space="preserve">DFO:
</t>
        </r>
        <r>
          <rPr>
            <sz val="9"/>
            <color indexed="81"/>
            <rFont val="Tahoma"/>
            <family val="2"/>
          </rPr>
          <t>winter surveys only
CNAT_nuOkanagan_Juveniles.xlsx</t>
        </r>
      </text>
    </comment>
    <comment ref="AB44" authorId="3" shapeId="0" xr:uid="{287D0F8D-70DC-4A35-ACB2-EC67215C1CFD}">
      <text>
        <r>
          <rPr>
            <b/>
            <sz val="9"/>
            <color indexed="81"/>
            <rFont val="Tahoma"/>
            <family val="2"/>
          </rPr>
          <t xml:space="preserve">DFO:
</t>
        </r>
        <r>
          <rPr>
            <sz val="9"/>
            <color indexed="81"/>
            <rFont val="Tahoma"/>
            <family val="2"/>
          </rPr>
          <t>winter surveys only
CNAT_nuOkanagan_Juveniles.xlsx</t>
        </r>
      </text>
    </comment>
    <comment ref="AC44" authorId="4" shapeId="0" xr:uid="{15E702AE-097E-401C-A138-1D38147413D7}">
      <text>
        <r>
          <rPr>
            <b/>
            <sz val="9"/>
            <color indexed="81"/>
            <rFont val="Tahoma"/>
            <family val="2"/>
          </rPr>
          <t>[hs] : Last ATS survey date</t>
        </r>
      </text>
    </comment>
    <comment ref="AC45" authorId="4" shapeId="0" xr:uid="{47C3A5DD-0D36-4DA7-91A3-170CD5F8F320}">
      <text>
        <r>
          <rPr>
            <b/>
            <sz val="9"/>
            <color indexed="81"/>
            <rFont val="Tahoma"/>
            <family val="2"/>
          </rPr>
          <t>[hs] : Last ATS survey date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DFO</author>
    <author>Howard Stiff</author>
    <author>HS</author>
    <author>Stiff, Howard</author>
    <author>Howard Stiff (DFO)</author>
    <author>tc={42B5370C-9C94-493D-A306-C461B4AEBCB5}</author>
    <author>tc={6669782B-7F58-4FE5-B91C-013AF5B5DA5D}</author>
  </authors>
  <commentList>
    <comment ref="A1" authorId="0" shapeId="0" xr:uid="{9967CAED-8739-4C87-B78C-DA93968E17E1}">
      <text>
        <r>
          <rPr>
            <b/>
            <sz val="9"/>
            <color indexed="81"/>
            <rFont val="Tahoma"/>
            <family val="2"/>
          </rPr>
          <t xml:space="preserve">DFO:  Source: 
Margot Stockwell
Ok_Sox_Total_Rtns to Wells.xlsx [19.04.10]
</t>
        </r>
      </text>
    </comment>
    <comment ref="F1" authorId="1" shapeId="0" xr:uid="{E25E4F6E-9864-44C4-83AC-BFEED83447F9}">
      <text>
        <r>
          <rPr>
            <b/>
            <sz val="9"/>
            <color indexed="81"/>
            <rFont val="Tahoma"/>
            <family val="2"/>
          </rPr>
          <t xml:space="preserve">Estimated Sockeye returning to Columbia River Mouth (all stocks)  </t>
        </r>
        <r>
          <rPr>
            <sz val="9"/>
            <color indexed="81"/>
            <rFont val="Tahoma"/>
            <family val="2"/>
          </rPr>
          <t>[2022-06-13]</t>
        </r>
        <r>
          <rPr>
            <b/>
            <sz val="9"/>
            <color indexed="81"/>
            <rFont val="Tahoma"/>
            <family val="2"/>
          </rPr>
          <t xml:space="preserve">
</t>
        </r>
        <r>
          <rPr>
            <sz val="9"/>
            <color indexed="81"/>
            <rFont val="Tahoma"/>
            <family val="2"/>
          </rPr>
          <t xml:space="preserve">
From OFW/WDFW 2022 Joint Staff Report Table 15 p.78
https://www.dfw.state.or.us/fish/OSCRP/CRM/reports/22_reports/2022%20OR_WA%20Spring%20Joint%20Staff%20Report.pdf </t>
        </r>
      </text>
    </comment>
    <comment ref="G1" authorId="2" shapeId="0" xr:uid="{B7213EA1-FFF8-4222-93BF-BD1501EA1A11}">
      <text>
        <r>
          <rPr>
            <b/>
            <sz val="9"/>
            <color indexed="81"/>
            <rFont val="Tahoma"/>
            <family val="2"/>
          </rPr>
          <t>HS: 2020 Sox = 341,739 [14/09/2020]</t>
        </r>
        <r>
          <rPr>
            <sz val="9"/>
            <color indexed="81"/>
            <rFont val="Tahoma"/>
            <family val="2"/>
          </rPr>
          <t xml:space="preserve">
https://www.fpc.org/web/apps/adultsalmon/R_adultcount_dataquery_results.php
https://www.fpc.org/web/apps/adultsalmon/R_yeartodatecomparisontable_results.php</t>
        </r>
      </text>
    </comment>
    <comment ref="H1" authorId="3" shapeId="0" xr:uid="{2F427C85-6268-4AAC-8A3F-6F10D86EEC51}">
      <text>
        <r>
          <rPr>
            <b/>
            <sz val="9"/>
            <color indexed="81"/>
            <rFont val="Tahoma"/>
            <family val="2"/>
          </rPr>
          <t>Rock Island from FPC.org</t>
        </r>
        <r>
          <rPr>
            <sz val="9"/>
            <color indexed="81"/>
            <rFont val="Tahoma"/>
            <family val="2"/>
          </rPr>
          <t xml:space="preserve">
</t>
        </r>
      </text>
    </comment>
    <comment ref="I1" authorId="2" shapeId="0" xr:uid="{6077FD44-25ED-4219-8AB6-53040E8BF635}">
      <text>
        <r>
          <rPr>
            <b/>
            <sz val="9"/>
            <color indexed="81"/>
            <rFont val="Tahoma"/>
            <family val="2"/>
          </rPr>
          <t>HS: 2020 Sox = 226,014 [14/09/2020]</t>
        </r>
        <r>
          <rPr>
            <sz val="9"/>
            <color indexed="81"/>
            <rFont val="Tahoma"/>
            <family val="2"/>
          </rPr>
          <t xml:space="preserve">
https://www.fpc.org/web/apps/adultsalmon/R_adultcount_dataquery_results.php
https://www.fpc.org/web/apps/adultsalmon/R_yeartodatecomparisontable_results.php
red text - minor changes to match FPC.org [16/09/2020]</t>
        </r>
      </text>
    </comment>
    <comment ref="J1" authorId="2" shapeId="0" xr:uid="{07539D64-EB28-4BC9-939F-0B55BB795186}">
      <text>
        <r>
          <rPr>
            <b/>
            <sz val="9"/>
            <color indexed="81"/>
            <rFont val="Tahoma"/>
            <family val="2"/>
          </rPr>
          <t>HS: 2020 Sox = 226,014 [14/09/2020]</t>
        </r>
        <r>
          <rPr>
            <sz val="9"/>
            <color indexed="81"/>
            <rFont val="Tahoma"/>
            <family val="2"/>
          </rPr>
          <t xml:space="preserve">
https://www.fpc.org/web/apps/adultsalmon/R_adultcount_dataquery_results.php
https://www.fpc.org/web/apps/adultsalmon/R_yeartodatecomparisontable_results.php
red text - minor changes to match FPC.org [16/09/2020]</t>
        </r>
      </text>
    </comment>
    <comment ref="K1" authorId="1" shapeId="0" xr:uid="{99884424-5932-46BA-AC5B-B5EFC9BD4096}">
      <text>
        <r>
          <rPr>
            <b/>
            <sz val="9"/>
            <color indexed="81"/>
            <rFont val="Tahoma"/>
            <family val="2"/>
          </rPr>
          <t xml:space="preserve">Estimated Okanagan Sockeye (aggregate) Returns
</t>
        </r>
        <r>
          <rPr>
            <sz val="9"/>
            <color indexed="81"/>
            <rFont val="Tahoma"/>
            <family val="2"/>
          </rPr>
          <t>from Column W in "Sockeye Returns Data" tab
Ok Sox at Mouth: This is the annual aggregate Ok Sox total recruits to the mouth of the Columbia River, based on:
- Wells Dam counts (adjusted to 24-hr counts) plus 
- downstream fishing mortality (F) and natural mortality (M) estimates, after application of Stock composition based on Wells:Rock ratio [2022-10-30]</t>
        </r>
      </text>
    </comment>
    <comment ref="L1" authorId="3" shapeId="0" xr:uid="{3D7875B2-7576-4E73-9969-6072526EA768}">
      <text>
        <r>
          <rPr>
            <sz val="9"/>
            <color indexed="81"/>
            <rFont val="Tahoma"/>
            <family val="2"/>
          </rPr>
          <t xml:space="preserve">based on </t>
        </r>
        <r>
          <rPr>
            <b/>
            <sz val="9"/>
            <color indexed="81"/>
            <rFont val="Tahoma"/>
            <family val="2"/>
          </rPr>
          <t>Bonn Counts</t>
        </r>
        <r>
          <rPr>
            <sz val="9"/>
            <color indexed="81"/>
            <rFont val="Tahoma"/>
            <family val="2"/>
          </rPr>
          <t xml:space="preserve"> (16-hr counts!) apportioned to stock from </t>
        </r>
        <r>
          <rPr>
            <b/>
            <sz val="9"/>
            <color indexed="81"/>
            <rFont val="Tahoma"/>
            <family val="2"/>
          </rPr>
          <t>Wells &amp; RI</t>
        </r>
        <r>
          <rPr>
            <sz val="9"/>
            <color indexed="81"/>
            <rFont val="Tahoma"/>
            <family val="2"/>
          </rPr>
          <t xml:space="preserve"> (Ok/Wen Ratio)</t>
        </r>
      </text>
    </comment>
    <comment ref="M1" authorId="3" shapeId="0" xr:uid="{30654761-7C35-403A-AD5A-184DFA6FC7ED}">
      <text>
        <r>
          <rPr>
            <sz val="9"/>
            <color indexed="81"/>
            <rFont val="Tahoma"/>
            <family val="2"/>
          </rPr>
          <t>Okanagan stock composition based on published info in CRITFC reports* 
May involve scale analysis in early years, and PIT tag / DNA analysis (GSI genetic stock identification) in more recent years.
* Fryer et al - reports annotated in cell comments for each return year</t>
        </r>
      </text>
    </comment>
    <comment ref="N1" authorId="3" shapeId="0" xr:uid="{40B5233C-77C5-4B36-87B2-B38A24E900BE}">
      <text>
        <r>
          <rPr>
            <sz val="9"/>
            <color indexed="81"/>
            <rFont val="Tahoma"/>
            <family val="2"/>
          </rPr>
          <t xml:space="preserve">based on </t>
        </r>
        <r>
          <rPr>
            <b/>
            <sz val="9"/>
            <color indexed="81"/>
            <rFont val="Tahoma"/>
            <family val="2"/>
          </rPr>
          <t>Bonn Counts</t>
        </r>
        <r>
          <rPr>
            <sz val="9"/>
            <color indexed="81"/>
            <rFont val="Tahoma"/>
            <family val="2"/>
          </rPr>
          <t xml:space="preserve"> apportioned to stock based on published  Ok/Wen/Other proportions from scale/PIT/DNA analyses, as found in www.CRITFC.org reports. </t>
        </r>
      </text>
    </comment>
    <comment ref="O1" authorId="2" shapeId="0" xr:uid="{FE6C3B44-5FAF-4B56-847C-E26160367F49}">
      <text>
        <r>
          <rPr>
            <b/>
            <sz val="9"/>
            <color indexed="81"/>
            <rFont val="Tahoma"/>
            <family val="2"/>
          </rPr>
          <t>HS:</t>
        </r>
        <r>
          <rPr>
            <sz val="9"/>
            <color indexed="81"/>
            <rFont val="Tahoma"/>
            <family val="2"/>
          </rPr>
          <t xml:space="preserve">
CR does not take into account harvest level below Wells</t>
        </r>
      </text>
    </comment>
    <comment ref="P1" authorId="3" shapeId="0" xr:uid="{C16C8D70-3CE7-462B-9743-F099B299CA13}">
      <text>
        <r>
          <rPr>
            <sz val="9"/>
            <color indexed="81"/>
            <rFont val="Tahoma"/>
            <family val="2"/>
          </rPr>
          <t xml:space="preserve">Okanagan component of catch below Wells [10/9/2020]
See Margot's CNAT_%Oksockeye in catch 2018.xlsx, column H for below Wells, column I for above Wells
</t>
        </r>
      </text>
    </comment>
    <comment ref="Q1" authorId="3" shapeId="0" xr:uid="{B2F61B2D-71B0-49BB-9227-E57EEAB280F0}">
      <text>
        <r>
          <rPr>
            <sz val="9"/>
            <color indexed="81"/>
            <rFont val="Tahoma"/>
            <family val="2"/>
          </rPr>
          <t>indicates relatively high proportion of in-river fishing mortality in 1985-1988 (Zones 1-6)</t>
        </r>
      </text>
    </comment>
    <comment ref="R1" authorId="3" shapeId="0" xr:uid="{A71BC085-7589-477F-B6D6-C0D6951C7196}">
      <text>
        <r>
          <rPr>
            <b/>
            <sz val="9"/>
            <color indexed="81"/>
            <rFont val="Tahoma"/>
            <family val="2"/>
          </rPr>
          <t>Includes catch below Wells (assuming Zones 1-6) apportioned to Okanagan based on OK Stock Comp 1 (Wells:Rock ratio)</t>
        </r>
        <r>
          <rPr>
            <sz val="9"/>
            <color indexed="81"/>
            <rFont val="Tahoma"/>
            <family val="2"/>
          </rPr>
          <t xml:space="preserve">
</t>
        </r>
      </text>
    </comment>
    <comment ref="S1" authorId="2" shapeId="0" xr:uid="{11C41EA6-0E9F-4F20-9194-459ED2B90C73}">
      <text>
        <r>
          <rPr>
            <b/>
            <sz val="9"/>
            <color indexed="81"/>
            <rFont val="Tahoma"/>
            <family val="2"/>
          </rPr>
          <t>HS:</t>
        </r>
        <r>
          <rPr>
            <sz val="9"/>
            <color indexed="81"/>
            <rFont val="Tahoma"/>
            <family val="2"/>
          </rPr>
          <t xml:space="preserve">
takes into account harvest level below Wells…more reasonable estimate of inter-dam survival related to environmental factors ?
</t>
        </r>
      </text>
    </comment>
    <comment ref="T1" authorId="4" shapeId="0" xr:uid="{9BFE2FC5-8B8B-4BED-B616-7DA3AE79F122}">
      <text>
        <r>
          <rPr>
            <sz val="9"/>
            <color indexed="81"/>
            <rFont val="Tahoma"/>
            <family val="2"/>
          </rPr>
          <t>Major ages are:
1.1 1.2 1.3 2.1 2.2 2.3
May contain 3.x in some years</t>
        </r>
      </text>
    </comment>
    <comment ref="W1" authorId="2" shapeId="0" xr:uid="{B7FA5A4F-B7AF-40D2-AF62-C30CF93C05C7}">
      <text>
        <r>
          <rPr>
            <b/>
            <sz val="9"/>
            <color indexed="81"/>
            <rFont val="Tahoma"/>
            <family val="2"/>
          </rPr>
          <t>HS:</t>
        </r>
        <r>
          <rPr>
            <sz val="9"/>
            <color indexed="81"/>
            <rFont val="Tahoma"/>
            <family val="2"/>
          </rPr>
          <t xml:space="preserve">
From JF email [20.09.18]
Since about 2007, JF used PIT tagged sockeye at Bonneville reaching the Okanagan to get age comp; before then it is normally Wells or spawning ground data.  
Other ages = 3.1, 4.1, or 3.2.  </t>
        </r>
      </text>
    </comment>
    <comment ref="Y1" authorId="2" shapeId="0" xr:uid="{B074BE7D-750F-4F75-B761-67C80CAE115B}">
      <text>
        <r>
          <rPr>
            <b/>
            <sz val="9"/>
            <color indexed="81"/>
            <rFont val="Tahoma"/>
            <family val="2"/>
          </rPr>
          <t>HS:</t>
        </r>
        <r>
          <rPr>
            <sz val="9"/>
            <color indexed="81"/>
            <rFont val="Tahoma"/>
            <family val="2"/>
          </rPr>
          <t xml:space="preserve">
age comp at Wells or above (Okanagan spawning grounds)
*NB: % of Returns at Age in GREY are all year averages from sheet "Ages_Abund_BrYr" 
- used for 1987 only [10/21/2020]</t>
        </r>
      </text>
    </comment>
    <comment ref="Z1" authorId="4" shapeId="0" xr:uid="{66728097-D184-453D-8B6F-27774A5E95E2}">
      <text>
        <r>
          <rPr>
            <sz val="9"/>
            <color indexed="81"/>
            <rFont val="Tahoma"/>
            <family val="2"/>
          </rPr>
          <t xml:space="preserve">Returns at age for Ok Sox. Age composition source/method varies from year-to-year. "Best" age comp method decided annually based on 'expert opinion'.  
Green cells indicated SIRE aging data used; 
Yellow cells indicate Fryer (CRITFC) aging data used. </t>
        </r>
      </text>
    </comment>
    <comment ref="AA1" authorId="2" shapeId="0" xr:uid="{5A6EE83A-F001-4AA6-9CB4-3FB8CDCD3662}">
      <text>
        <r>
          <rPr>
            <b/>
            <sz val="9"/>
            <color indexed="81"/>
            <rFont val="Tahoma"/>
            <family val="2"/>
          </rPr>
          <t>HS:</t>
        </r>
        <r>
          <rPr>
            <sz val="9"/>
            <color indexed="81"/>
            <rFont val="Tahoma"/>
            <family val="2"/>
          </rPr>
          <t xml:space="preserve">
Based on Bonn counts 
- apportioned to stock (OK Stock 1 (Bonn) [based on Wells:RI abund ratio], and 
- age (Age Comp Fryer)</t>
        </r>
      </text>
    </comment>
    <comment ref="AB1" authorId="2" shapeId="0" xr:uid="{F454B905-B5DE-4258-A05D-1503948160FC}">
      <text>
        <r>
          <rPr>
            <b/>
            <sz val="9"/>
            <color indexed="81"/>
            <rFont val="Tahoma"/>
            <family val="2"/>
          </rPr>
          <t>HS:</t>
        </r>
        <r>
          <rPr>
            <sz val="9"/>
            <color indexed="81"/>
            <rFont val="Tahoma"/>
            <family val="2"/>
          </rPr>
          <t xml:space="preserve">
Based on Bonn counts 
- apportioned to stock (OK Stock 1 (Bonn) [based on Scale/DNA/PIT studies if available, otherwise Wells/RI ratio], and 
- age (Age Comp Fryer)</t>
        </r>
      </text>
    </comment>
    <comment ref="AC1" authorId="2" shapeId="0" xr:uid="{E64E3339-5F67-4AEF-A8E4-8613D64438EB}">
      <text>
        <r>
          <rPr>
            <b/>
            <sz val="9"/>
            <color indexed="81"/>
            <rFont val="Tahoma"/>
            <family val="2"/>
          </rPr>
          <t>HS:</t>
        </r>
        <r>
          <rPr>
            <sz val="9"/>
            <color indexed="81"/>
            <rFont val="Tahoma"/>
            <family val="2"/>
          </rPr>
          <t xml:space="preserve">
Based on Bonn counts 
- apportioned to stock (OK Stock 1 (Bonn) [based on Wells:RI abund ratio], and 
- age (Age Comp SIRE)</t>
        </r>
      </text>
    </comment>
    <comment ref="AD1" authorId="3" shapeId="0" xr:uid="{91AA6D87-943B-429A-AFE8-B49BC0A2669B}">
      <text>
        <r>
          <rPr>
            <sz val="9"/>
            <color indexed="81"/>
            <rFont val="Tahoma"/>
            <family val="2"/>
          </rPr>
          <t xml:space="preserve">[HS 10/21/2020]
ABUNDANCE based on Bonn counts and downstream harvest apportioned to OK stock based on Wells:RI ratio
AGE COMP based on: 
1985-2000 : Fryer
2001         : SIRE
2002-2005 : Fryer
2006-2017 : SIRE
2018-2019 : Fryer/Bonn
</t>
        </r>
      </text>
    </comment>
    <comment ref="AE1" authorId="2" shapeId="0" xr:uid="{31E32D21-989D-4509-A628-BB7A6C23267F}">
      <text>
        <r>
          <rPr>
            <b/>
            <sz val="9"/>
            <color indexed="81"/>
            <rFont val="Tahoma"/>
            <family val="2"/>
          </rPr>
          <t>HS:</t>
        </r>
        <r>
          <rPr>
            <sz val="9"/>
            <color indexed="81"/>
            <rFont val="Tahoma"/>
            <family val="2"/>
          </rPr>
          <t xml:space="preserve">
Based on actual Wells counts</t>
        </r>
      </text>
    </comment>
    <comment ref="AF1" authorId="3" shapeId="0" xr:uid="{DFF6D485-2D66-4378-A28D-E98C0A5D0BF2}">
      <text>
        <r>
          <rPr>
            <sz val="9"/>
            <color indexed="81"/>
            <rFont val="Tahoma"/>
            <family val="2"/>
          </rPr>
          <t>Based on Wells Counts + portion of downstream catch apportioned to Okanagan based on Wells:Rock ratio</t>
        </r>
      </text>
    </comment>
    <comment ref="AH1" authorId="3" shapeId="0" xr:uid="{D90C072D-B372-4545-BA01-7CC1E0B5EC45}">
      <text>
        <r>
          <rPr>
            <sz val="9"/>
            <color indexed="81"/>
            <rFont val="Tahoma"/>
            <family val="2"/>
          </rPr>
          <t xml:space="preserve">Margot's notes about source of age composition data
</t>
        </r>
      </text>
    </comment>
    <comment ref="Y2" authorId="3" shapeId="0" xr:uid="{91D29042-43E3-4973-848C-58A791F3F121}">
      <text>
        <r>
          <rPr>
            <sz val="9"/>
            <color indexed="81"/>
            <rFont val="Tahoma"/>
            <family val="2"/>
          </rPr>
          <t>Age-comp in grey is all-year average [MMS - OkSox_total_rtns to Wells_rY_OEY_BY 2019.04.10.xlsx]</t>
        </r>
      </text>
    </comment>
    <comment ref="Y7" authorId="3" shapeId="0" xr:uid="{9F34C2A2-0ECE-4D0A-B1BD-B88D320AE044}">
      <text>
        <r>
          <rPr>
            <sz val="9"/>
            <color indexed="81"/>
            <rFont val="Tahoma"/>
            <family val="2"/>
          </rPr>
          <t>Age-comp in grey is all-year average [MMS - OkSox_total_rtns to Wells_rY_OEY_BY 2019.04.10.xlsx]</t>
        </r>
      </text>
    </comment>
    <comment ref="Y12" authorId="3" shapeId="0" xr:uid="{D137B49C-24D5-4C58-B9FD-765212090FDD}">
      <text>
        <r>
          <rPr>
            <sz val="9"/>
            <color indexed="81"/>
            <rFont val="Tahoma"/>
            <family val="2"/>
          </rPr>
          <t>Age-comp in grey is all-year average [MMS - OkSox_total_rtns to Wells_rY_OEY_BY 2019.04.10.xlsx]</t>
        </r>
      </text>
    </comment>
    <comment ref="Y17" authorId="3" shapeId="0" xr:uid="{3E37865D-2E70-44AF-BF8C-382BF3066C14}">
      <text>
        <r>
          <rPr>
            <sz val="9"/>
            <color indexed="81"/>
            <rFont val="Tahoma"/>
            <family val="2"/>
          </rPr>
          <t>Age-comp in grey is all-year average [MMS - OkSox_total_rtns to Wells_rY_OEY_BY 2019.04.10.xlsx]</t>
        </r>
      </text>
    </comment>
    <comment ref="Y22" authorId="3" shapeId="0" xr:uid="{FFF2887A-AE32-4FA8-BF8C-930E9DE0DFD1}">
      <text>
        <r>
          <rPr>
            <sz val="9"/>
            <color indexed="81"/>
            <rFont val="Tahoma"/>
            <family val="2"/>
          </rPr>
          <t>Age-comp in grey is all-year average [MMS - OkSox_total_rtns to Wells_rY_OEY_BY 2019.04.10.xlsx]</t>
        </r>
      </text>
    </comment>
    <comment ref="Y27" authorId="3" shapeId="0" xr:uid="{259DB168-D1E1-4B46-BB60-73E07D95DE75}">
      <text>
        <r>
          <rPr>
            <sz val="9"/>
            <color indexed="81"/>
            <rFont val="Tahoma"/>
            <family val="2"/>
          </rPr>
          <t>Age-comp in grey is all-year average [MMS - OkSox_total_rtns to Wells_rY_OEY_BY 2019.04.10.xlsx]</t>
        </r>
      </text>
    </comment>
    <comment ref="W32" authorId="3" shapeId="0" xr:uid="{EC8D6E05-347F-43A3-8835-DBE1D529838D}">
      <text>
        <r>
          <rPr>
            <sz val="9"/>
            <color indexed="81"/>
            <rFont val="Tahoma"/>
            <family val="2"/>
          </rPr>
          <t>Fryer has no age-comp for RY1986.  Age-comp in grey is all-year average [MMS - OkSox_total_rtns to Wells_rY_OEY_BY 2019.04.10.xlsx]</t>
        </r>
      </text>
    </comment>
    <comment ref="M37" authorId="3" shapeId="0" xr:uid="{4463CD4C-3692-4B36-97D8-7B0DCEDD96CF}">
      <text>
        <r>
          <rPr>
            <sz val="9"/>
            <color indexed="81"/>
            <rFont val="Tahoma"/>
            <family val="2"/>
          </rPr>
          <t>https://www.critfc.org/wp-content/uploads/2013/05/93-2.pdf 
TABLE 5 and FIGURE 4</t>
        </r>
      </text>
    </comment>
    <comment ref="M42" authorId="3" shapeId="0" xr:uid="{8B5A15BC-9B80-435A-8435-A6CE602C3FAA}">
      <text>
        <r>
          <rPr>
            <sz val="9"/>
            <color indexed="81"/>
            <rFont val="Tahoma"/>
            <family val="2"/>
          </rPr>
          <t>https://www.critfc.org/wp-content/uploads/2013/05/93-2.pdf 
TABLE 5 and FIGURE 4</t>
        </r>
      </text>
    </comment>
    <comment ref="M47" authorId="3" shapeId="0" xr:uid="{2D0B00E8-F765-4887-88D1-EEE586824476}">
      <text>
        <r>
          <rPr>
            <sz val="9"/>
            <color indexed="81"/>
            <rFont val="Tahoma"/>
            <family val="2"/>
          </rPr>
          <t>https://www.critfc.org/wp-content/uploads/2013/05/93-2.pdf 
TABLE 5 and FIGURE 4</t>
        </r>
      </text>
    </comment>
    <comment ref="M52" authorId="3" shapeId="0" xr:uid="{CFADF58A-4703-45B5-87CA-B42FF11A46D7}">
      <text>
        <r>
          <rPr>
            <sz val="9"/>
            <color indexed="81"/>
            <rFont val="Tahoma"/>
            <family val="2"/>
          </rPr>
          <t>https://www.critfc.org/wp-content/uploads/2013/05/93-2.pdf 
TABLE 5 and FIGURE 4</t>
        </r>
      </text>
    </comment>
    <comment ref="M58" authorId="3" shapeId="0" xr:uid="{519AF7A2-20B5-4C21-BEF8-FE6B7723B0ED}">
      <text>
        <r>
          <rPr>
            <sz val="9"/>
            <color indexed="81"/>
            <rFont val="Tahoma"/>
            <family val="2"/>
          </rPr>
          <t>https://www.critfc.org/wp-content/uploads/2013/05/93-2.pdf 
TABLE 5 and FIGURE 4</t>
        </r>
      </text>
    </comment>
    <comment ref="M64" authorId="3" shapeId="0" xr:uid="{1410A7C5-9109-45AD-9707-7C90F82FBD13}">
      <text>
        <r>
          <rPr>
            <sz val="9"/>
            <color indexed="81"/>
            <rFont val="Tahoma"/>
            <family val="2"/>
          </rPr>
          <t>https://www.critfc.org/wp-content/uploads/2013/05/93-2.pdf 
TABLE 5 and FIGURE 4</t>
        </r>
      </text>
    </comment>
    <comment ref="M69" authorId="3" shapeId="0" xr:uid="{71329ADC-2E75-40D8-8125-199AA9EE0CB8}">
      <text>
        <r>
          <rPr>
            <sz val="9"/>
            <color indexed="81"/>
            <rFont val="Tahoma"/>
            <family val="2"/>
          </rPr>
          <t>https://www.critfc.org/wp-content/uploads/2015/05/94-2.pdf  TABLE 5</t>
        </r>
      </text>
    </comment>
    <comment ref="Y75" authorId="3" shapeId="0" xr:uid="{F7084D51-51C9-475F-8A6D-39FE54BC13B1}">
      <text>
        <r>
          <rPr>
            <sz val="9"/>
            <color indexed="81"/>
            <rFont val="Tahoma"/>
            <family val="2"/>
          </rPr>
          <t>Age-comp in grey is all-year average [MMS - OkSox_total_rtns to Wells_rY_OEY_BY 2019.04.10.xlsx]</t>
        </r>
      </text>
    </comment>
    <comment ref="Y90" authorId="3" shapeId="0" xr:uid="{7E4B8146-B608-4286-8D1D-4DA0EE1657D7}">
      <text>
        <r>
          <rPr>
            <sz val="9"/>
            <color indexed="81"/>
            <rFont val="Tahoma"/>
            <family val="2"/>
          </rPr>
          <t>Age-comp in grey is all-year average [MMS - OkSox_total_rtns to Wells_rY_OEY_BY 2019.04.10.xlsx]</t>
        </r>
      </text>
    </comment>
    <comment ref="Y95" authorId="3" shapeId="0" xr:uid="{5E92B895-8A2B-4D47-A47A-6DAB86278B2C}">
      <text>
        <r>
          <rPr>
            <sz val="9"/>
            <color indexed="81"/>
            <rFont val="Tahoma"/>
            <family val="2"/>
          </rPr>
          <t>Age-comp in grey is all-year average [MMS - OkSox_total_rtns to Wells_rY_OEY_BY 2019.04.10.xlsx]</t>
        </r>
      </text>
    </comment>
    <comment ref="Y100" authorId="3" shapeId="0" xr:uid="{7FC9C89A-53DC-4204-81AB-630A13C6C6DA}">
      <text>
        <r>
          <rPr>
            <sz val="9"/>
            <color indexed="81"/>
            <rFont val="Tahoma"/>
            <family val="2"/>
          </rPr>
          <t>Age-comp in grey is all-year average [MMS - OkSox_total_rtns to Wells_rY_OEY_BY 2019.04.10.xlsx]</t>
        </r>
      </text>
    </comment>
    <comment ref="M105" authorId="3" shapeId="0" xr:uid="{0E8C8497-53EA-473D-A3CD-028D4B2C8BC1}">
      <text>
        <r>
          <rPr>
            <sz val="9"/>
            <color indexed="81"/>
            <rFont val="Tahoma"/>
            <family val="2"/>
          </rPr>
          <t>https://www.critfc.org/blog/reports/identification-of-columbia-basin-sockeye-salmon-stocks-using-scale-pattern-analyses-in-2000/</t>
        </r>
      </text>
    </comment>
    <comment ref="M110" authorId="3" shapeId="0" xr:uid="{086E6B08-5CDB-4EB0-B035-861F84A6FF26}">
      <text>
        <r>
          <rPr>
            <sz val="9"/>
            <color indexed="81"/>
            <rFont val="Tahoma"/>
            <family val="2"/>
          </rPr>
          <t>https://www.critfc.org/blog/reports/identification-of-columbia-basin-sockeye-salmon-stocks-using-scale-pattern-analyses-in-2001/</t>
        </r>
      </text>
    </comment>
    <comment ref="M115" authorId="3" shapeId="0" xr:uid="{A6B5AA00-A838-4290-8FE2-B7E0DFE93594}">
      <text>
        <r>
          <rPr>
            <sz val="9"/>
            <color indexed="81"/>
            <rFont val="Tahoma"/>
            <family val="2"/>
          </rPr>
          <t>https://www.critfc.org/wp-content/uploads/2012/11/03_02report.pdf</t>
        </r>
      </text>
    </comment>
    <comment ref="AD115" authorId="3" shapeId="0" xr:uid="{B7D2AF53-9CE8-4428-8679-032984FED1B2}">
      <text>
        <r>
          <rPr>
            <sz val="9"/>
            <color indexed="81"/>
            <rFont val="Tahoma"/>
            <family val="2"/>
          </rPr>
          <t>Using Fryer a/c cuz SG estimates missing some ages, &amp; Fryer % supported by Wells %.... 10/19/2020</t>
        </r>
      </text>
    </comment>
    <comment ref="M121" authorId="3" shapeId="0" xr:uid="{06E3DB35-A4F7-49FD-A4F7-220312B63AD8}">
      <text>
        <r>
          <rPr>
            <sz val="9"/>
            <color indexed="81"/>
            <rFont val="Tahoma"/>
            <family val="2"/>
          </rPr>
          <t>https://www.critfc.org/blog/reports/identification-of-columbia-basin-sockeye-salmon-stocks-in-2003/</t>
        </r>
      </text>
    </comment>
    <comment ref="W121" authorId="2" shapeId="0" xr:uid="{5161FDCC-73EA-4B8B-8777-CE7110530528}">
      <text>
        <r>
          <rPr>
            <b/>
            <sz val="9"/>
            <color indexed="81"/>
            <rFont val="Tahoma"/>
            <family val="2"/>
          </rPr>
          <t>HS:</t>
        </r>
        <r>
          <rPr>
            <sz val="9"/>
            <color indexed="81"/>
            <rFont val="Tahoma"/>
            <family val="2"/>
          </rPr>
          <t xml:space="preserve">
Age 1.1 - 1.3 from Fryer who allocates 17.8 % to Other ie 3.1, 3.2, 4.1 ((2020.09.18)
3.1-4.1 from age comp weighted by run size from Miranda et al 2004. Table 5.  https://www.critfc.org/wp-content/uploads/2012/11/04_02report.pdf</t>
        </r>
      </text>
    </comment>
    <comment ref="W127" authorId="2" shapeId="0" xr:uid="{D55BA52A-076A-4CAE-AF4A-8E852095243D}">
      <text>
        <r>
          <rPr>
            <b/>
            <sz val="9"/>
            <color indexed="81"/>
            <rFont val="Tahoma"/>
            <family val="2"/>
          </rPr>
          <t>HS:</t>
        </r>
        <r>
          <rPr>
            <sz val="9"/>
            <color indexed="81"/>
            <rFont val="Tahoma"/>
            <family val="2"/>
          </rPr>
          <t xml:space="preserve">
Age 1.1 - 1.3 from Fryer who allocates 17.8 % to Other ie 3.1, 3.2, 4.1 ((2020.09.18)
3.1-4.1 from age comp weighted by run size from Miranda et al 2004. Table 5.  https://www.critfc.org/wp-content/uploads/2012/11/04_02report.pdf</t>
        </r>
      </text>
    </comment>
    <comment ref="M131" authorId="3" shapeId="0" xr:uid="{AC2FDBF3-109F-4F7B-8509-03C941111706}">
      <text>
        <r>
          <rPr>
            <sz val="9"/>
            <color indexed="81"/>
            <rFont val="Tahoma"/>
            <family val="2"/>
          </rPr>
          <t>https://www.critfc.org/blog/reports/identification-of-columbia-basin-sockeye-salmon-stocks-in-2004/</t>
        </r>
      </text>
    </comment>
    <comment ref="M138" authorId="3" shapeId="0" xr:uid="{62AFB518-8BFB-4690-803C-796A70B92FDD}">
      <text>
        <r>
          <rPr>
            <sz val="9"/>
            <color indexed="81"/>
            <rFont val="Tahoma"/>
            <family val="2"/>
          </rPr>
          <t>https://www.critfc.org/blog/reports/identification-of-columbia-basin-sockeye-salmon-stocks-in-2005/</t>
        </r>
      </text>
    </comment>
    <comment ref="M144" authorId="3" shapeId="0" xr:uid="{407101C3-B6D9-4F46-AF8B-3FB211D53194}">
      <text>
        <r>
          <rPr>
            <sz val="9"/>
            <color indexed="81"/>
            <rFont val="Tahoma"/>
            <family val="2"/>
          </rPr>
          <t xml:space="preserve">https://www.critfc.org/blog/reports/identification-of-columbia-basin-sockeye-salmon-stocks-using-scale-pattern-analyses-in-2006/
</t>
        </r>
      </text>
    </comment>
    <comment ref="M150" authorId="3" shapeId="0" xr:uid="{14D74D1C-061A-4ECC-A236-8C24978CA6BD}">
      <text>
        <r>
          <rPr>
            <sz val="9"/>
            <color indexed="81"/>
            <rFont val="Tahoma"/>
            <family val="2"/>
          </rPr>
          <t>From CRITFC 2007 report supplied by JF [20.10.09]</t>
        </r>
      </text>
    </comment>
    <comment ref="M156" authorId="3" shapeId="0" xr:uid="{8653484B-0F4C-47F9-A02F-166A6E8644DE}">
      <text>
        <r>
          <rPr>
            <sz val="9"/>
            <color indexed="81"/>
            <rFont val="Tahoma"/>
            <family val="2"/>
          </rPr>
          <t>From CRITFC 2008 report supplied by JF [20.10.09]</t>
        </r>
      </text>
    </comment>
    <comment ref="M161" authorId="3" shapeId="0" xr:uid="{5D70E35B-0391-4B93-B444-D7B958F0567F}">
      <text>
        <r>
          <rPr>
            <sz val="9"/>
            <color indexed="81"/>
            <rFont val="Tahoma"/>
            <family val="2"/>
          </rPr>
          <t>https://www.critfc.org/blog/reports/studies-into-factors-limiting-the-abundance-of-okanagan-and-wenatchee-sockeye-salmon/</t>
        </r>
      </text>
    </comment>
    <comment ref="M167" authorId="3" shapeId="0" xr:uid="{2BDEDFA3-1A8C-470C-AC22-61A2FDDA3E8D}">
      <text>
        <r>
          <rPr>
            <sz val="9"/>
            <color indexed="81"/>
            <rFont val="Tahoma"/>
            <family val="2"/>
          </rPr>
          <t>https://www.critfc.org/blog/reports/limiting-factors-of-the-abundance-of-okanagan-and-wenatchee-sockeye-salmon-in-2010/</t>
        </r>
      </text>
    </comment>
    <comment ref="M172" authorId="3" shapeId="0" xr:uid="{57046CDF-996B-4B0C-B0BC-A11C2AA309A1}">
      <text>
        <r>
          <rPr>
            <sz val="9"/>
            <color indexed="81"/>
            <rFont val="Tahoma"/>
            <family val="2"/>
          </rPr>
          <t>https://www.critfc.org/blog/reports/limiting-factors-of-the-abundance-of-okanagan-and-wenatchee-sockeye-salmon-in-2011/</t>
        </r>
      </text>
    </comment>
    <comment ref="M178" authorId="3" shapeId="0" xr:uid="{F8FCD44E-C877-4213-AA17-CEDD69AF5557}">
      <text>
        <r>
          <rPr>
            <sz val="9"/>
            <color indexed="81"/>
            <rFont val="Tahoma"/>
            <family val="2"/>
          </rPr>
          <t>https://www.critfc.org/blog/reports/limiting-factors-of-the-abundance-of-okanagan-and-wenatchee-sockeye-salmon-in-2012/</t>
        </r>
      </text>
    </comment>
    <comment ref="M183" authorId="3" shapeId="0" xr:uid="{A9393FC5-40F7-4977-905C-2135CEBBBF88}">
      <text>
        <r>
          <rPr>
            <sz val="9"/>
            <color indexed="81"/>
            <rFont val="Tahoma"/>
            <family val="2"/>
          </rPr>
          <t>https://www.critfc.org/blog/reports/limiting-factors-of-the-abundance-of-okanagan-and-wenatchee-sockeye-salmon-in-2013/
Based on GSI + PIT data - Table 25.</t>
        </r>
      </text>
    </comment>
    <comment ref="W183" authorId="2" shapeId="0" xr:uid="{887027BD-63D1-4D89-986C-FB22C7F1EF58}">
      <text>
        <r>
          <rPr>
            <b/>
            <sz val="9"/>
            <color indexed="81"/>
            <rFont val="Tahoma"/>
            <family val="2"/>
          </rPr>
          <t>HS:</t>
        </r>
        <r>
          <rPr>
            <sz val="9"/>
            <color indexed="81"/>
            <rFont val="Tahoma"/>
            <family val="2"/>
          </rPr>
          <t xml:space="preserve">
Updated from composite Sockeye age comp table in Jones et al (2014) Age &amp; Length Composition…at Bonn Dam 2013. https://www.critfc.org/wp-content/uploads/2014/06/14-04.pdf Table 4. [17/09/2020]</t>
        </r>
      </text>
    </comment>
    <comment ref="Y183" authorId="2" shapeId="0" xr:uid="{BC3B3D78-99BE-42C9-9645-B558A40C972C}">
      <text>
        <r>
          <rPr>
            <b/>
            <sz val="9"/>
            <color indexed="81"/>
            <rFont val="Tahoma"/>
            <family val="2"/>
          </rPr>
          <t>HS:</t>
        </r>
        <r>
          <rPr>
            <sz val="9"/>
            <color indexed="81"/>
            <rFont val="Tahoma"/>
            <family val="2"/>
          </rPr>
          <t xml:space="preserve">
age comp adds up to only 89% for RY 2013 [see OKSox…2020.09.11.xlsx for original values]
Updated from composite Sockeye age comp table in Jones et al (2014) Age &amp; Length Composition…at Bonn Dam 2013. https://www.critfc.org/wp-content/uploads/2014/06/14-04.pdf Table 4. [17/09/2020]</t>
        </r>
      </text>
    </comment>
    <comment ref="M188" authorId="3" shapeId="0" xr:uid="{758F7C4D-3C64-4CFF-827A-11234DDA4DA3}">
      <text>
        <r>
          <rPr>
            <sz val="9"/>
            <color indexed="81"/>
            <rFont val="Tahoma"/>
            <family val="2"/>
          </rPr>
          <t>https://www.critfc.org/blog/reports/limiting-factors-abundance-okanagan-wenatchee-sockeye-salmon-2014/</t>
        </r>
      </text>
    </comment>
    <comment ref="M193" authorId="3" shapeId="0" xr:uid="{59BAD7DA-6363-49B6-8336-A63DB8C5C1BB}">
      <text>
        <r>
          <rPr>
            <sz val="9"/>
            <color indexed="81"/>
            <rFont val="Tahoma"/>
            <family val="2"/>
          </rPr>
          <t xml:space="preserve">https://www.critfc.org/blog/reports/studies-into-factors-limiting-the-abundance-of-okanagan-and-wenatchee-sockeye-salmon-in-2015/
</t>
        </r>
      </text>
    </comment>
    <comment ref="W193" authorId="2" shapeId="0" xr:uid="{783E9601-175B-4753-A9D9-6E3C73F369B8}">
      <text>
        <r>
          <rPr>
            <b/>
            <sz val="9"/>
            <color indexed="81"/>
            <rFont val="Tahoma"/>
            <family val="2"/>
          </rPr>
          <t>HS:</t>
        </r>
        <r>
          <rPr>
            <sz val="9"/>
            <color indexed="81"/>
            <rFont val="Tahoma"/>
            <family val="2"/>
          </rPr>
          <t xml:space="preserve">
original age comp only added up to 98% [15/09/2020] See OK_Sox…20.09.11.xlsx for previous data
Here revised to composite age comp from Fryer et al. 2017. Table 7. [17/09/2020]</t>
        </r>
      </text>
    </comment>
    <comment ref="M198" authorId="3" shapeId="0" xr:uid="{465FB41D-8AAC-44A0-AA33-D51049133CE9}">
      <text>
        <r>
          <rPr>
            <sz val="9"/>
            <color indexed="81"/>
            <rFont val="Tahoma"/>
            <family val="2"/>
          </rPr>
          <t>https://www.critfc.org/wp-content/uploads/2018/06/18-02.pdf?x78172</t>
        </r>
      </text>
    </comment>
    <comment ref="M203" authorId="3" shapeId="0" xr:uid="{6305FC3B-9C97-4BC3-B74B-E0C63D9FB956}">
      <text>
        <r>
          <rPr>
            <sz val="9"/>
            <color indexed="81"/>
            <rFont val="Tahoma"/>
            <family val="2"/>
          </rPr>
          <t>https://www.critfc.org/wp-content/uploads/2018/06/18-02.pdf?x78172</t>
        </r>
      </text>
    </comment>
    <comment ref="M209" authorId="3" shapeId="0" xr:uid="{32A434EB-6BA5-44B2-81DA-1231E90F16B9}">
      <text>
        <r>
          <rPr>
            <sz val="9"/>
            <color indexed="81"/>
            <rFont val="Tahoma"/>
            <family val="2"/>
          </rPr>
          <t>https://www.critfc.org/blog/reports/studies-into-factors-limiting-the-abundance-of-okanagan-and-wenatchee-sockeye-salmon-in-2018/</t>
        </r>
      </text>
    </comment>
    <comment ref="Y209" authorId="2" shapeId="0" xr:uid="{873114D1-98A5-477A-BB94-004F8DE5E58C}">
      <text>
        <r>
          <rPr>
            <b/>
            <sz val="9"/>
            <color indexed="81"/>
            <rFont val="Tahoma"/>
            <family val="2"/>
          </rPr>
          <t>HS:</t>
        </r>
        <r>
          <rPr>
            <sz val="9"/>
            <color indexed="81"/>
            <rFont val="Tahoma"/>
            <family val="2"/>
          </rPr>
          <t xml:space="preserve">
based on deadpitch of natural spawners in Index sector in "2018 Deadpiitch Adult Sockeye BioData.xlsx" 10/21/2020  NOTE: Dawn M sent another version "2018 Deadpitch Adult.BioData 6-28-19.xlsx" on 11/3/2020 but that file may be an earlier version as it has no minor ages (1.1, 2.1, 2.2) and fewer age 1.3s identified. 11/3/2020</t>
        </r>
      </text>
    </comment>
    <comment ref="M214" authorId="3" shapeId="0" xr:uid="{7C557BCD-2A2C-4861-A872-E68E059D0191}">
      <text>
        <r>
          <rPr>
            <b/>
            <sz val="9"/>
            <color indexed="81"/>
            <rFont val="Tahoma"/>
            <family val="2"/>
          </rPr>
          <t xml:space="preserve">Update from JF email </t>
        </r>
        <r>
          <rPr>
            <sz val="9"/>
            <color indexed="81"/>
            <rFont val="Tahoma"/>
            <family val="2"/>
          </rPr>
          <t xml:space="preserve">
[20.10.08]</t>
        </r>
      </text>
    </comment>
    <comment ref="P214" authorId="2" shapeId="0" xr:uid="{C789C259-0397-48EB-B6C1-9E5FE0214EA3}">
      <text>
        <r>
          <rPr>
            <b/>
            <sz val="9"/>
            <color indexed="81"/>
            <rFont val="Tahoma"/>
            <family val="2"/>
          </rPr>
          <t>76</t>
        </r>
        <r>
          <rPr>
            <sz val="9"/>
            <color indexed="81"/>
            <rFont val="Tahoma"/>
            <family val="2"/>
          </rPr>
          <t xml:space="preserve"> - unclipped non treaty tribal fisheries (Wanapum)
</t>
        </r>
        <r>
          <rPr>
            <b/>
            <sz val="9"/>
            <color indexed="81"/>
            <rFont val="Tahoma"/>
            <family val="2"/>
          </rPr>
          <t>2507</t>
        </r>
        <r>
          <rPr>
            <sz val="9"/>
            <color indexed="81"/>
            <rFont val="Tahoma"/>
            <family val="2"/>
          </rPr>
          <t xml:space="preserve"> - Colville Tribes (excluded from calc)
</t>
        </r>
        <r>
          <rPr>
            <b/>
            <sz val="9"/>
            <color indexed="81"/>
            <rFont val="Tahoma"/>
            <family val="2"/>
          </rPr>
          <t>0</t>
        </r>
        <r>
          <rPr>
            <sz val="9"/>
            <color indexed="81"/>
            <rFont val="Tahoma"/>
            <family val="2"/>
          </rPr>
          <t xml:space="preserve"> - </t>
        </r>
        <r>
          <rPr>
            <b/>
            <sz val="9"/>
            <color indexed="81"/>
            <rFont val="Tahoma"/>
            <family val="2"/>
          </rPr>
          <t>rec</t>
        </r>
        <r>
          <rPr>
            <sz val="9"/>
            <color indexed="81"/>
            <rFont val="Tahoma"/>
            <family val="2"/>
          </rPr>
          <t xml:space="preserve"> (1236 sox released
</t>
        </r>
        <r>
          <rPr>
            <b/>
            <sz val="9"/>
            <color indexed="81"/>
            <rFont val="Tahoma"/>
            <family val="2"/>
          </rPr>
          <t>1112</t>
        </r>
        <r>
          <rPr>
            <sz val="9"/>
            <color indexed="81"/>
            <rFont val="Tahoma"/>
            <family val="2"/>
          </rPr>
          <t xml:space="preserve"> - Zone 6 + comm GN d/s of Bonn (1118 but 6 were Snake)
WDFW - https://wdfw.wa.gov/sites/default/files/2020-02/2020_or_wa_spring_joint_staff_report.pdf PAGE 51</t>
        </r>
      </text>
    </comment>
    <comment ref="W214" authorId="2" shapeId="0" xr:uid="{C873C1F5-E978-4BC0-B986-ABC06E4ABE50}">
      <text>
        <r>
          <rPr>
            <b/>
            <sz val="9"/>
            <color indexed="81"/>
            <rFont val="Tahoma"/>
            <family val="2"/>
          </rPr>
          <t>HS:</t>
        </r>
        <r>
          <rPr>
            <sz val="9"/>
            <color indexed="81"/>
            <rFont val="Tahoma"/>
            <family val="2"/>
          </rPr>
          <t xml:space="preserve">
Ages for 2019 Return year are from Fryer's sampling at BON [prelim, report not finalized, 14/09/2020]</t>
        </r>
      </text>
    </comment>
    <comment ref="Y214" authorId="2" shapeId="0" xr:uid="{42C00C33-2B29-4B5F-BF83-50B9C56B0696}">
      <text>
        <r>
          <rPr>
            <b/>
            <sz val="9"/>
            <color indexed="81"/>
            <rFont val="Tahoma"/>
            <family val="2"/>
          </rPr>
          <t>HS:</t>
        </r>
        <r>
          <rPr>
            <sz val="9"/>
            <color indexed="81"/>
            <rFont val="Tahoma"/>
            <family val="2"/>
          </rPr>
          <t xml:space="preserve">
based on deadpitch of natural spawners in "2019 Deadpiitch Adult  BioData_FINAL 20.11.03.xlsx" (Dawn M email on 11/3/2020) </t>
        </r>
      </text>
    </comment>
    <comment ref="G220" authorId="3" shapeId="0" xr:uid="{B38012A5-879F-45FE-9D0A-F60F05D60500}">
      <text>
        <r>
          <rPr>
            <sz val="9"/>
            <color indexed="81"/>
            <rFont val="Tahoma"/>
            <family val="2"/>
          </rPr>
          <t xml:space="preserve">OR/WA CR Joint Mgmt report indicates </t>
        </r>
        <r>
          <rPr>
            <b/>
            <sz val="9"/>
            <color indexed="81"/>
            <rFont val="Tahoma"/>
            <family val="2"/>
          </rPr>
          <t>345,018 Sockeye</t>
        </r>
        <r>
          <rPr>
            <sz val="9"/>
            <color indexed="81"/>
            <rFont val="Tahoma"/>
            <family val="2"/>
          </rPr>
          <t xml:space="preserve"> to CR in 2020, including 282,463 OK
 61,821 WEN
     734 SNA
p. 17 https://wdfw.wa.gov/sites/default/files/2021-02/2021_or_wa_spring_joint_staff_report.pdf</t>
        </r>
      </text>
    </comment>
    <comment ref="M220" authorId="3" shapeId="0" xr:uid="{26F952DC-80FB-41F6-993B-9A95662CB5D1}">
      <text>
        <r>
          <rPr>
            <sz val="9"/>
            <color indexed="81"/>
            <rFont val="Tahoma"/>
            <family val="2"/>
          </rPr>
          <t>81.9% based on OR/WA Joint CR Mgmt report of 282,463 OKSox of 345,018 total Sox  (p. 17 https://wdfw.wa.gov/sites/default/files/2021-02/2021_or_wa_spring_joint_staff_report.pdf)
80.5% OKSox according to JF CRITFC 2020 prelim  [3/25/2021]
17.1% Wenatchee, 2.4% Yakima, 0% Redfish
Revised (CRITFC 2020 draft 2022-05-01) to 
80.7% Okanagan
17.1% Wenatchee
2.2% Yakima
0.1% Snake</t>
        </r>
      </text>
    </comment>
    <comment ref="P220" authorId="2" shapeId="0" xr:uid="{E97A236B-336E-45A1-9B1D-5868CB724AAB}">
      <text>
        <r>
          <rPr>
            <b/>
            <sz val="9"/>
            <color indexed="81"/>
            <rFont val="Tahoma"/>
            <family val="2"/>
          </rPr>
          <t>OR/WA Joint CR Mgmt report 2020 (2021)
176</t>
        </r>
        <r>
          <rPr>
            <sz val="9"/>
            <color indexed="81"/>
            <rFont val="Tahoma"/>
            <family val="2"/>
          </rPr>
          <t xml:space="preserve"> - unclipped non treaty tribal fisheries (Wanapum)
</t>
        </r>
        <r>
          <rPr>
            <b/>
            <sz val="9"/>
            <color indexed="81"/>
            <rFont val="Tahoma"/>
            <family val="2"/>
          </rPr>
          <t>3159</t>
        </r>
        <r>
          <rPr>
            <sz val="9"/>
            <color indexed="81"/>
            <rFont val="Tahoma"/>
            <family val="2"/>
          </rPr>
          <t xml:space="preserve"> - kept </t>
        </r>
        <r>
          <rPr>
            <b/>
            <sz val="9"/>
            <color indexed="81"/>
            <rFont val="Tahoma"/>
            <family val="2"/>
          </rPr>
          <t>rec</t>
        </r>
        <r>
          <rPr>
            <sz val="9"/>
            <color indexed="81"/>
            <rFont val="Tahoma"/>
            <family val="2"/>
          </rPr>
          <t xml:space="preserve"> (124 sox released)
</t>
        </r>
        <r>
          <rPr>
            <b/>
            <sz val="9"/>
            <color indexed="81"/>
            <rFont val="Tahoma"/>
            <family val="2"/>
          </rPr>
          <t>15258</t>
        </r>
        <r>
          <rPr>
            <sz val="9"/>
            <color indexed="81"/>
            <rFont val="Tahoma"/>
            <family val="2"/>
          </rPr>
          <t xml:space="preserve"> - Zone 6 + comm GN d/s of Bonn (Snake -32) = 15,226
</t>
        </r>
        <r>
          <rPr>
            <b/>
            <sz val="9"/>
            <color indexed="81"/>
            <rFont val="Tahoma"/>
            <family val="2"/>
          </rPr>
          <t>6311</t>
        </r>
        <r>
          <rPr>
            <sz val="9"/>
            <color indexed="81"/>
            <rFont val="Tahoma"/>
            <family val="2"/>
          </rPr>
          <t xml:space="preserve"> rec u/s of Bonn
</t>
        </r>
        <r>
          <rPr>
            <b/>
            <sz val="9"/>
            <color indexed="81"/>
            <rFont val="Tahoma"/>
            <family val="2"/>
          </rPr>
          <t>23944</t>
        </r>
        <r>
          <rPr>
            <sz val="9"/>
            <color indexed="81"/>
            <rFont val="Tahoma"/>
            <family val="2"/>
          </rPr>
          <t xml:space="preserve"> rec u/s of PRD
</t>
        </r>
        <r>
          <rPr>
            <b/>
            <sz val="9"/>
            <color indexed="81"/>
            <rFont val="Tahoma"/>
            <family val="2"/>
          </rPr>
          <t>3902</t>
        </r>
        <r>
          <rPr>
            <sz val="9"/>
            <color indexed="81"/>
            <rFont val="Tahoma"/>
            <family val="2"/>
          </rPr>
          <t xml:space="preserve"> - Colville Tribes u/s of Wells (excluded from calc)
WDFW - https://wdfw.wa.gov/sites/default/files/2020-02/2020_or_wa_spring_joint_staff_report.pdf PAGE 51</t>
        </r>
      </text>
    </comment>
    <comment ref="W220" authorId="2" shapeId="0" xr:uid="{F14CA405-1C3C-461D-9ACF-AC4DA4E41CB3}">
      <text>
        <r>
          <rPr>
            <b/>
            <sz val="9"/>
            <color indexed="81"/>
            <rFont val="Tahoma"/>
            <family val="2"/>
          </rPr>
          <t>HS:</t>
        </r>
        <r>
          <rPr>
            <sz val="9"/>
            <color indexed="81"/>
            <rFont val="Tahoma"/>
            <family val="2"/>
          </rPr>
          <t xml:space="preserve">
Ages for 2020 Return year are from Fryer's sampling at BON [prelim, report not finalized, 3/25/2021]</t>
        </r>
      </text>
    </comment>
    <comment ref="AH220" authorId="2" shapeId="0" xr:uid="{73DC7024-90E5-4848-A204-8B78847C4D2F}">
      <text>
        <r>
          <rPr>
            <b/>
            <sz val="9"/>
            <color indexed="81"/>
            <rFont val="Tahoma"/>
            <family val="2"/>
          </rPr>
          <t>HS:</t>
        </r>
        <r>
          <rPr>
            <sz val="9"/>
            <color indexed="81"/>
            <rFont val="Tahoma"/>
            <family val="2"/>
          </rPr>
          <t xml:space="preserve">
Age abund based on JF's age composition!</t>
        </r>
      </text>
    </comment>
    <comment ref="G226" authorId="1" shapeId="0" xr:uid="{81FDCEB2-6364-4DAA-81D4-E2225D0FB3A0}">
      <text>
        <r>
          <rPr>
            <sz val="9"/>
            <color indexed="81"/>
            <rFont val="Tahoma"/>
            <family val="2"/>
          </rPr>
          <t xml:space="preserve">The 2021 return of sockeye to the Columbia River of 152,309 adults was 83% of the preseason forecast of 155,600 adults, but is only 49% of the recent 10-year average return. The 2021 return included at least 41,219 Wenatchee, 105,493 Okanogan, and 953 Snake River stock returning to 
the Columbia River. 
</t>
        </r>
      </text>
    </comment>
    <comment ref="M226" authorId="3" shapeId="0" xr:uid="{FD310786-2BB0-46CA-A6EB-EA72664F40D5}">
      <text>
        <r>
          <rPr>
            <sz val="9"/>
            <color indexed="81"/>
            <rFont val="Tahoma"/>
            <family val="2"/>
          </rPr>
          <t xml:space="preserve">69% based on OR/WA Joint CR Mgmt report of 105493/152309 OKSox/BonnSox  (p. 17 https://wdfw.wa.gov/sites/default/files/2022-02/2022%20OR_WA%20Spring%20Joint%20Staff%20Report.pdf)
</t>
        </r>
      </text>
    </comment>
    <comment ref="Y226" authorId="2" shapeId="0" xr:uid="{930244E6-B47E-44ED-A3B6-C1728916A22B}">
      <text>
        <r>
          <rPr>
            <b/>
            <sz val="9"/>
            <color indexed="81"/>
            <rFont val="Tahoma"/>
            <family val="2"/>
          </rPr>
          <t>HS:</t>
        </r>
        <r>
          <rPr>
            <sz val="9"/>
            <color indexed="81"/>
            <rFont val="Tahoma"/>
            <family val="2"/>
          </rPr>
          <t xml:space="preserve">
Ages for 2021 Return year are DUPLICATED from Fryer's 2020 - MUST BE UPDATED - preferably with </t>
        </r>
        <r>
          <rPr>
            <b/>
            <sz val="9"/>
            <color indexed="81"/>
            <rFont val="Tahoma"/>
            <family val="2"/>
          </rPr>
          <t>deadpitch</t>
        </r>
        <r>
          <rPr>
            <sz val="9"/>
            <color indexed="81"/>
            <rFont val="Tahoma"/>
            <family val="2"/>
          </rPr>
          <t xml:space="preserve"> results.
2022-05-04</t>
        </r>
      </text>
    </comment>
    <comment ref="AH226" authorId="2" shapeId="0" xr:uid="{EE14D4A6-2746-4D15-8B47-43EF61BE209C}">
      <text>
        <r>
          <rPr>
            <b/>
            <sz val="9"/>
            <color indexed="81"/>
            <rFont val="Tahoma"/>
            <family val="2"/>
          </rPr>
          <t>HS:</t>
        </r>
        <r>
          <rPr>
            <sz val="9"/>
            <color indexed="81"/>
            <rFont val="Tahoma"/>
            <family val="2"/>
          </rPr>
          <t xml:space="preserve">
Age abund based on JF's age composition!</t>
        </r>
      </text>
    </comment>
    <comment ref="W227" authorId="5" shapeId="0" xr:uid="{42B5370C-9C94-493D-A306-C461B4AEBCB5}">
      <text>
        <t>[Threaded comment]
Your version of Excel allows you to read this threaded comment; however, any edits to it will get removed if the file is opened in a newer version of Excel. Learn more: https://go.microsoft.com/fwlink/?linkid=870924
Comment:
    Age comp (prelim) from JF 22.05.06 email</t>
      </text>
    </comment>
    <comment ref="G232" authorId="1" shapeId="0" xr:uid="{3072104F-A50E-490D-8D91-A7EA0FB537A7}">
      <text>
        <r>
          <rPr>
            <sz val="9"/>
            <color indexed="81"/>
            <rFont val="Tahoma"/>
            <family val="2"/>
          </rPr>
          <t xml:space="preserve">The 2021 return of sockeye to the Columbia River of 152,309 adults was 83% of the preseason forecast of 155,600 adults, but is only 49% of the recent 10-year average return. The 2021 return included at least 41,219 Wenatchee, 105,493 Okanogan, and 953 Snake River stock returning to 
the Columbia River. 
</t>
        </r>
      </text>
    </comment>
    <comment ref="M232" authorId="3" shapeId="0" xr:uid="{946BF23C-15EA-422F-8C98-23AA7D0FA25B}">
      <text>
        <r>
          <rPr>
            <sz val="9"/>
            <color indexed="81"/>
            <rFont val="Tahoma"/>
            <family val="2"/>
          </rPr>
          <t xml:space="preserve">69% based on OR/WA Joint CR Mgmt report of 105493/152309 OKSox/BonnSox  (p. 17 https://wdfw.wa.gov/sites/default/files/2022-02/2022%20OR_WA%20Spring%20Joint%20Staff%20Report.pdf)
</t>
        </r>
      </text>
    </comment>
    <comment ref="Y232" authorId="2" shapeId="0" xr:uid="{C587C586-9BA5-47DA-96AA-86146A87C922}">
      <text>
        <r>
          <rPr>
            <b/>
            <sz val="9"/>
            <color indexed="81"/>
            <rFont val="Tahoma"/>
            <family val="2"/>
          </rPr>
          <t>HS:</t>
        </r>
        <r>
          <rPr>
            <sz val="9"/>
            <color indexed="81"/>
            <rFont val="Tahoma"/>
            <family val="2"/>
          </rPr>
          <t xml:space="preserve">
Ages for 2021 Return year are DUPLICATED from Fryer's 2020 - MUST BE UPDATED - preferably with </t>
        </r>
        <r>
          <rPr>
            <b/>
            <sz val="9"/>
            <color indexed="81"/>
            <rFont val="Tahoma"/>
            <family val="2"/>
          </rPr>
          <t>deadpitch</t>
        </r>
        <r>
          <rPr>
            <sz val="9"/>
            <color indexed="81"/>
            <rFont val="Tahoma"/>
            <family val="2"/>
          </rPr>
          <t xml:space="preserve"> results.
2022-05-04</t>
        </r>
      </text>
    </comment>
    <comment ref="AH232" authorId="2" shapeId="0" xr:uid="{5966D03C-AE8D-45CB-A581-6DC9CA888758}">
      <text>
        <r>
          <rPr>
            <b/>
            <sz val="9"/>
            <color indexed="81"/>
            <rFont val="Tahoma"/>
            <family val="2"/>
          </rPr>
          <t>HS:</t>
        </r>
        <r>
          <rPr>
            <sz val="9"/>
            <color indexed="81"/>
            <rFont val="Tahoma"/>
            <family val="2"/>
          </rPr>
          <t xml:space="preserve">
Age abund based on JF's age composition!</t>
        </r>
      </text>
    </comment>
    <comment ref="W233" authorId="6" shapeId="0" xr:uid="{6669782B-7F58-4FE5-B91C-013AF5B5DA5D}">
      <text>
        <t>[Threaded comment]
Your version of Excel allows you to read this threaded comment; however, any edits to it will get removed if the file is opened in a newer version of Excel. Learn more: https://go.microsoft.com/fwlink/?linkid=870924
Comment:
    Age comp (prelim) from JF 22.05.06 email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Howard Stiff (DFO)</author>
  </authors>
  <commentList>
    <comment ref="O4" authorId="0" shapeId="0" xr:uid="{2E5E2159-DE8C-4455-AA70-9B9D694D1C14}">
      <text>
        <r>
          <rPr>
            <sz val="9"/>
            <color indexed="81"/>
            <rFont val="Tahoma"/>
            <family val="2"/>
          </rPr>
          <t>from Sockeye Returns Data tab, column W</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Howard Stiff (DFO)</author>
  </authors>
  <commentList>
    <comment ref="A1" authorId="0" shapeId="0" xr:uid="{B7FC9005-D8D4-494C-AD59-7888F71EC6FD}">
      <text>
        <r>
          <rPr>
            <sz val="9"/>
            <color indexed="81"/>
            <rFont val="Tahoma"/>
            <family val="2"/>
          </rPr>
          <t>A good way to check that these numbers are correct is to replace Smolt Year with Return Year in the PivotTable Analysis window, and confirm that the values in the Total column match up with the Total in "Annual Ok Sox Returns by RY" tab</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Howard Stiff</author>
  </authors>
  <commentList>
    <comment ref="A1" authorId="0" shapeId="0" xr:uid="{193326B4-07EB-4F6E-85A3-1172C81D0977}">
      <text>
        <r>
          <rPr>
            <b/>
            <sz val="9"/>
            <color indexed="81"/>
            <rFont val="Tahoma"/>
            <family val="2"/>
          </rPr>
          <t>Williams et al. 2014. Table 4</t>
        </r>
        <r>
          <rPr>
            <sz val="9"/>
            <color indexed="81"/>
            <rFont val="Tahoma"/>
            <family val="2"/>
          </rPr>
          <t xml:space="preserve">
</t>
        </r>
      </text>
    </comment>
    <comment ref="B1" authorId="0" shapeId="0" xr:uid="{3F50156A-B9BF-42A9-9EF1-FFD50821F20A}">
      <text>
        <r>
          <rPr>
            <b/>
            <sz val="9"/>
            <color indexed="81"/>
            <rFont val="Tahoma"/>
            <family val="2"/>
          </rPr>
          <t>Thousands</t>
        </r>
      </text>
    </comment>
    <comment ref="C1" authorId="0" shapeId="0" xr:uid="{8B46D653-B5D8-43F8-BF9E-BDC94AAFEA73}">
      <text>
        <r>
          <rPr>
            <b/>
            <sz val="9"/>
            <color indexed="81"/>
            <rFont val="Tahoma"/>
            <family val="2"/>
          </rPr>
          <t xml:space="preserve">Thousands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HS</author>
  </authors>
  <commentList>
    <comment ref="A1" authorId="0" shapeId="0" xr:uid="{00000000-0006-0000-0200-000001000000}">
      <text>
        <r>
          <rPr>
            <sz val="9"/>
            <color indexed="81"/>
            <rFont val="Tahoma"/>
            <family val="2"/>
          </rPr>
          <t>Sockeye population (CU) name</t>
        </r>
      </text>
    </comment>
    <comment ref="B1" authorId="0" shapeId="0" xr:uid="{00000000-0006-0000-0200-000002000000}">
      <text>
        <r>
          <rPr>
            <sz val="9"/>
            <color indexed="81"/>
            <rFont val="Tahoma"/>
            <family val="2"/>
          </rPr>
          <t>Conservation Unit Index number 
See: https://open.canada.ca/data/en/dataset/39aa4ce0-7185-448a-be87-9b69a87854a4</t>
        </r>
      </text>
    </comment>
    <comment ref="C1" authorId="0" shapeId="0" xr:uid="{00000000-0006-0000-0200-000003000000}">
      <text>
        <r>
          <rPr>
            <sz val="9"/>
            <color indexed="81"/>
            <rFont val="Tahoma"/>
            <family val="2"/>
          </rPr>
          <t>Year of seaward migration</t>
        </r>
      </text>
    </comment>
    <comment ref="D1" authorId="0" shapeId="0" xr:uid="{00000000-0006-0000-0200-000004000000}">
      <text>
        <r>
          <rPr>
            <sz val="9"/>
            <color indexed="81"/>
            <rFont val="Tahoma"/>
            <family val="2"/>
          </rPr>
          <t>For in-lake fry abundance and biometric data, if available</t>
        </r>
      </text>
    </comment>
    <comment ref="AF1" authorId="0" shapeId="0" xr:uid="{00000000-0006-0000-0200-000005000000}">
      <text>
        <r>
          <rPr>
            <sz val="9"/>
            <color indexed="81"/>
            <rFont val="Tahoma"/>
            <family val="2"/>
          </rPr>
          <t>Comment on environmental conditions or events potentially impacting fish, rearing locations or migration routes, e.g. floods, droughts, temperature anomalies, fish mortalities, fish conditions, etc.</t>
        </r>
      </text>
    </comment>
    <comment ref="AG1" authorId="0" shapeId="0" xr:uid="{00000000-0006-0000-0200-000006000000}">
      <text>
        <r>
          <rPr>
            <sz val="9"/>
            <color indexed="81"/>
            <rFont val="Tahoma"/>
            <family val="2"/>
          </rPr>
          <t>Also please indicate if any changes have been made to historic data and why.</t>
        </r>
      </text>
    </comment>
    <comment ref="Q2" authorId="0" shapeId="0" xr:uid="{00000000-0006-0000-0200-000007000000}">
      <text>
        <r>
          <rPr>
            <sz val="9"/>
            <color indexed="81"/>
            <rFont val="Tahoma"/>
            <family val="2"/>
          </rPr>
          <t>Please include notes on methods employed, data issues, or data changes.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HS</author>
  </authors>
  <commentList>
    <comment ref="A1" authorId="0" shapeId="0" xr:uid="{00000000-0006-0000-0300-000001000000}">
      <text>
        <r>
          <rPr>
            <sz val="9"/>
            <color indexed="81"/>
            <rFont val="Tahoma"/>
            <family val="2"/>
          </rPr>
          <t>Sockeye population (CU) name</t>
        </r>
      </text>
    </comment>
    <comment ref="B1" authorId="0" shapeId="0" xr:uid="{00000000-0006-0000-0300-000002000000}">
      <text>
        <r>
          <rPr>
            <sz val="9"/>
            <color indexed="81"/>
            <rFont val="Tahoma"/>
            <family val="2"/>
          </rPr>
          <t>Conservation Unit Index number 
See: https://open.canada.ca/data/en/dataset/39aa4ce0-7185-448a-be87-9b69a87854a4</t>
        </r>
      </text>
    </comment>
    <comment ref="C1" authorId="0" shapeId="0" xr:uid="{00000000-0006-0000-0300-000003000000}">
      <text>
        <r>
          <rPr>
            <sz val="9"/>
            <color indexed="81"/>
            <rFont val="Tahoma"/>
            <family val="2"/>
          </rPr>
          <t>Year of seaward migration</t>
        </r>
      </text>
    </comment>
    <comment ref="L2" authorId="0" shapeId="0" xr:uid="{00000000-0006-0000-0300-000004000000}">
      <text>
        <r>
          <rPr>
            <b/>
            <sz val="9"/>
            <color indexed="81"/>
            <rFont val="Tahoma"/>
            <family val="2"/>
          </rPr>
          <t>HS:</t>
        </r>
        <r>
          <rPr>
            <sz val="9"/>
            <color indexed="81"/>
            <rFont val="Tahoma"/>
            <family val="2"/>
          </rPr>
          <t xml:space="preserve">
notes about whether constant percentages or annual biosamples</t>
        </r>
      </text>
    </comment>
    <comment ref="T2" authorId="0" shapeId="0" xr:uid="{00000000-0006-0000-0300-000005000000}">
      <text>
        <r>
          <rPr>
            <sz val="9"/>
            <color indexed="81"/>
            <rFont val="Tahoma"/>
            <family val="2"/>
          </rPr>
          <t>Weighted by returns at age</t>
        </r>
      </text>
    </comment>
    <comment ref="AC2" authorId="0" shapeId="0" xr:uid="{00000000-0006-0000-0300-000006000000}">
      <text>
        <r>
          <rPr>
            <sz val="9"/>
            <color indexed="81"/>
            <rFont val="Tahoma"/>
            <family val="2"/>
          </rPr>
          <t>Weighted by returns at age</t>
        </r>
      </text>
    </comment>
    <comment ref="AL2" authorId="0" shapeId="0" xr:uid="{00000000-0006-0000-0300-000007000000}">
      <text>
        <r>
          <rPr>
            <sz val="9"/>
            <color indexed="81"/>
            <rFont val="Tahoma"/>
            <family val="2"/>
          </rPr>
          <t>Weighted by returns at age</t>
        </r>
      </text>
    </comment>
    <comment ref="AK9" authorId="0" shapeId="0" xr:uid="{00000000-0006-0000-0300-000008000000}">
      <text>
        <r>
          <rPr>
            <sz val="9"/>
            <color indexed="81"/>
            <rFont val="Tahoma"/>
            <family val="2"/>
          </rPr>
          <t>Age 7 fish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HS</author>
    <author>Howard Stiff</author>
  </authors>
  <commentList>
    <comment ref="A1" authorId="0" shapeId="0" xr:uid="{00000000-0006-0000-0400-000001000000}">
      <text>
        <r>
          <rPr>
            <sz val="9"/>
            <color indexed="81"/>
            <rFont val="Tahoma"/>
            <family val="2"/>
          </rPr>
          <t>Sockeye population (CU) name</t>
        </r>
      </text>
    </comment>
    <comment ref="B1" authorId="0" shapeId="0" xr:uid="{00000000-0006-0000-0400-000002000000}">
      <text>
        <r>
          <rPr>
            <sz val="9"/>
            <color indexed="81"/>
            <rFont val="Tahoma"/>
            <family val="2"/>
          </rPr>
          <t>Year of seaward migration</t>
        </r>
      </text>
    </comment>
    <comment ref="C1" authorId="0" shapeId="0" xr:uid="{00000000-0006-0000-0400-000003000000}">
      <text>
        <r>
          <rPr>
            <sz val="9"/>
            <color indexed="81"/>
            <rFont val="Tahoma"/>
            <family val="2"/>
          </rPr>
          <t xml:space="preserve">Total Returns generally consist of (C+H+E+M): </t>
        </r>
        <r>
          <rPr>
            <b/>
            <sz val="9"/>
            <color indexed="81"/>
            <rFont val="Tahoma"/>
            <family val="2"/>
          </rPr>
          <t>C</t>
        </r>
        <r>
          <rPr>
            <sz val="9"/>
            <color indexed="81"/>
            <rFont val="Tahoma"/>
            <family val="2"/>
          </rPr>
          <t xml:space="preserve">atch, </t>
        </r>
        <r>
          <rPr>
            <b/>
            <sz val="9"/>
            <color indexed="81"/>
            <rFont val="Tahoma"/>
            <family val="2"/>
          </rPr>
          <t>H</t>
        </r>
        <r>
          <rPr>
            <sz val="9"/>
            <color indexed="81"/>
            <rFont val="Tahoma"/>
            <family val="2"/>
          </rPr>
          <t xml:space="preserve">atchery (removals), </t>
        </r>
        <r>
          <rPr>
            <b/>
            <sz val="9"/>
            <color indexed="81"/>
            <rFont val="Tahoma"/>
            <family val="2"/>
          </rPr>
          <t>E</t>
        </r>
        <r>
          <rPr>
            <sz val="9"/>
            <color indexed="81"/>
            <rFont val="Tahoma"/>
            <family val="2"/>
          </rPr>
          <t xml:space="preserve">scapement, and </t>
        </r>
        <r>
          <rPr>
            <b/>
            <sz val="9"/>
            <color indexed="81"/>
            <rFont val="Tahoma"/>
            <family val="2"/>
          </rPr>
          <t>M</t>
        </r>
        <r>
          <rPr>
            <sz val="9"/>
            <color indexed="81"/>
            <rFont val="Tahoma"/>
            <family val="2"/>
          </rPr>
          <t xml:space="preserve">ortality (natural)
</t>
        </r>
      </text>
    </comment>
    <comment ref="AV1" authorId="0" shapeId="0" xr:uid="{00000000-0006-0000-0400-000004000000}">
      <text>
        <r>
          <rPr>
            <sz val="9"/>
            <color indexed="81"/>
            <rFont val="Tahoma"/>
            <family val="2"/>
          </rPr>
          <t>Comment on environmental conditions or events potentially impacting fish, rearing locations or migration routes, e.g. floods, droughts, temperature anomalies, fish mortalities, fish conditions, etc.</t>
        </r>
      </text>
    </comment>
    <comment ref="AW1" authorId="0" shapeId="0" xr:uid="{00000000-0006-0000-0400-000005000000}">
      <text>
        <r>
          <rPr>
            <sz val="9"/>
            <color indexed="81"/>
            <rFont val="Tahoma"/>
            <family val="2"/>
          </rPr>
          <t>Include any notes and considerations for this year's data. Indicate if any changes have been made to this year's data relative to previous submissions, and why.</t>
        </r>
      </text>
    </comment>
    <comment ref="AX1" authorId="0" shapeId="0" xr:uid="{00000000-0006-0000-0400-000006000000}">
      <text>
        <r>
          <rPr>
            <sz val="9"/>
            <color indexed="81"/>
            <rFont val="Tahoma"/>
            <family val="2"/>
          </rPr>
          <t xml:space="preserve">Contact information for this year's data. Example: initials, email, phone, date
</t>
        </r>
      </text>
    </comment>
    <comment ref="L2" authorId="0" shapeId="0" xr:uid="{00000000-0006-0000-0400-000007000000}">
      <text>
        <r>
          <rPr>
            <sz val="9"/>
            <color indexed="81"/>
            <rFont val="Tahoma"/>
            <family val="2"/>
          </rPr>
          <t>Please note source of  age composition estimates (i.e., assumed annual percent at age, or based on annual biosampling)</t>
        </r>
      </text>
    </comment>
    <comment ref="AH2" authorId="0" shapeId="0" xr:uid="{00000000-0006-0000-0400-000008000000}">
      <text>
        <r>
          <rPr>
            <sz val="9"/>
            <color indexed="81"/>
            <rFont val="Tahoma"/>
            <family val="2"/>
          </rPr>
          <t xml:space="preserve">Replace </t>
        </r>
        <r>
          <rPr>
            <b/>
            <sz val="9"/>
            <color indexed="81"/>
            <rFont val="Tahoma"/>
            <family val="2"/>
          </rPr>
          <t>OTHER</t>
        </r>
        <r>
          <rPr>
            <sz val="9"/>
            <color indexed="81"/>
            <rFont val="Tahoma"/>
            <family val="2"/>
          </rPr>
          <t xml:space="preserve"> with additional age in </t>
        </r>
        <r>
          <rPr>
            <b/>
            <sz val="9"/>
            <color indexed="81"/>
            <rFont val="Tahoma"/>
            <family val="2"/>
          </rPr>
          <t>X.Y</t>
        </r>
        <r>
          <rPr>
            <sz val="9"/>
            <color indexed="81"/>
            <rFont val="Tahoma"/>
            <family val="2"/>
          </rPr>
          <t xml:space="preserve"> format</t>
        </r>
      </text>
    </comment>
    <comment ref="AN2" authorId="0" shapeId="0" xr:uid="{00000000-0006-0000-0400-000009000000}">
      <text>
        <r>
          <rPr>
            <b/>
            <sz val="9"/>
            <color indexed="81"/>
            <rFont val="Tahoma"/>
            <family val="2"/>
          </rPr>
          <t>Length Type</t>
        </r>
        <r>
          <rPr>
            <sz val="9"/>
            <color indexed="81"/>
            <rFont val="Tahoma"/>
            <family val="2"/>
          </rPr>
          <t xml:space="preserve"> 
Refers to length measurement method
  SL - Std Length
  TL - Total Length
  FL - Fork Length 
  PO - PO-Hypural</t>
        </r>
      </text>
    </comment>
    <comment ref="AO2" authorId="0" shapeId="0" xr:uid="{00000000-0006-0000-0400-00000A000000}">
      <text>
        <r>
          <rPr>
            <sz val="9"/>
            <color indexed="81"/>
            <rFont val="Tahoma"/>
            <family val="2"/>
          </rPr>
          <t>Please note biosampling methods, issues, or data changes.</t>
        </r>
      </text>
    </comment>
    <comment ref="AP2" authorId="0" shapeId="0" xr:uid="{00000000-0006-0000-0400-00000B000000}">
      <text>
        <r>
          <rPr>
            <b/>
            <sz val="9"/>
            <color indexed="81"/>
            <rFont val="Tahoma"/>
            <family val="2"/>
          </rPr>
          <t xml:space="preserve">Use either date format:
</t>
        </r>
        <r>
          <rPr>
            <sz val="9"/>
            <color indexed="81"/>
            <rFont val="Tahoma"/>
            <family val="2"/>
          </rPr>
          <t xml:space="preserve">(1) </t>
        </r>
        <r>
          <rPr>
            <b/>
            <sz val="9"/>
            <color indexed="81"/>
            <rFont val="Tahoma"/>
            <family val="2"/>
          </rPr>
          <t>d-mmm-yy</t>
        </r>
        <r>
          <rPr>
            <sz val="9"/>
            <color indexed="81"/>
            <rFont val="Tahoma"/>
            <family val="2"/>
          </rPr>
          <t xml:space="preserve"> (e.g. 11-Apr-21)
(2) </t>
        </r>
        <r>
          <rPr>
            <b/>
            <sz val="9"/>
            <color indexed="81"/>
            <rFont val="Tahoma"/>
            <family val="2"/>
          </rPr>
          <t>yy-mm-dd</t>
        </r>
        <r>
          <rPr>
            <sz val="9"/>
            <color indexed="81"/>
            <rFont val="Tahoma"/>
            <family val="2"/>
          </rPr>
          <t xml:space="preserve"> (e.g. 21-4-11)</t>
        </r>
      </text>
    </comment>
    <comment ref="AQ2" authorId="0" shapeId="0" xr:uid="{00000000-0006-0000-0400-00000C000000}">
      <text>
        <r>
          <rPr>
            <b/>
            <sz val="9"/>
            <color indexed="81"/>
            <rFont val="Tahoma"/>
            <family val="2"/>
          </rPr>
          <t xml:space="preserve">Use either date format:
</t>
        </r>
        <r>
          <rPr>
            <sz val="9"/>
            <color indexed="81"/>
            <rFont val="Tahoma"/>
            <family val="2"/>
          </rPr>
          <t xml:space="preserve">(1) </t>
        </r>
        <r>
          <rPr>
            <b/>
            <sz val="9"/>
            <color indexed="81"/>
            <rFont val="Tahoma"/>
            <family val="2"/>
          </rPr>
          <t>d-mmm-yy</t>
        </r>
        <r>
          <rPr>
            <sz val="9"/>
            <color indexed="81"/>
            <rFont val="Tahoma"/>
            <family val="2"/>
          </rPr>
          <t xml:space="preserve"> (e.g. 11-Apr-21)
(2) </t>
        </r>
        <r>
          <rPr>
            <b/>
            <sz val="9"/>
            <color indexed="81"/>
            <rFont val="Tahoma"/>
            <family val="2"/>
          </rPr>
          <t>yy-mm-dd</t>
        </r>
        <r>
          <rPr>
            <sz val="9"/>
            <color indexed="81"/>
            <rFont val="Tahoma"/>
            <family val="2"/>
          </rPr>
          <t xml:space="preserve"> (e.g. 21-4-11)</t>
        </r>
      </text>
    </comment>
    <comment ref="AR2" authorId="0" shapeId="0" xr:uid="{00000000-0006-0000-0400-00000D000000}">
      <text>
        <r>
          <rPr>
            <b/>
            <sz val="9"/>
            <color indexed="81"/>
            <rFont val="Tahoma"/>
            <family val="2"/>
          </rPr>
          <t xml:space="preserve">Use either date format:
</t>
        </r>
        <r>
          <rPr>
            <sz val="9"/>
            <color indexed="81"/>
            <rFont val="Tahoma"/>
            <family val="2"/>
          </rPr>
          <t xml:space="preserve">(1) </t>
        </r>
        <r>
          <rPr>
            <b/>
            <sz val="9"/>
            <color indexed="81"/>
            <rFont val="Tahoma"/>
            <family val="2"/>
          </rPr>
          <t>d-mmm-yy</t>
        </r>
        <r>
          <rPr>
            <sz val="9"/>
            <color indexed="81"/>
            <rFont val="Tahoma"/>
            <family val="2"/>
          </rPr>
          <t xml:space="preserve"> (e.g. 11-Apr-21)
(2) </t>
        </r>
        <r>
          <rPr>
            <b/>
            <sz val="9"/>
            <color indexed="81"/>
            <rFont val="Tahoma"/>
            <family val="2"/>
          </rPr>
          <t>yy-mm-dd</t>
        </r>
        <r>
          <rPr>
            <sz val="9"/>
            <color indexed="81"/>
            <rFont val="Tahoma"/>
            <family val="2"/>
          </rPr>
          <t xml:space="preserve"> (e.g. 21-4-11)</t>
        </r>
      </text>
    </comment>
    <comment ref="AS2" authorId="0" shapeId="0" xr:uid="{00000000-0006-0000-0400-00000E000000}">
      <text>
        <r>
          <rPr>
            <b/>
            <sz val="9"/>
            <color indexed="81"/>
            <rFont val="Tahoma"/>
            <family val="2"/>
          </rPr>
          <t xml:space="preserve">Use either date format:
</t>
        </r>
        <r>
          <rPr>
            <sz val="9"/>
            <color indexed="81"/>
            <rFont val="Tahoma"/>
            <family val="2"/>
          </rPr>
          <t xml:space="preserve">(1) </t>
        </r>
        <r>
          <rPr>
            <b/>
            <sz val="9"/>
            <color indexed="81"/>
            <rFont val="Tahoma"/>
            <family val="2"/>
          </rPr>
          <t>d-mmm-yy</t>
        </r>
        <r>
          <rPr>
            <sz val="9"/>
            <color indexed="81"/>
            <rFont val="Tahoma"/>
            <family val="2"/>
          </rPr>
          <t xml:space="preserve"> (e.g. 11-Apr-21)
(2) </t>
        </r>
        <r>
          <rPr>
            <b/>
            <sz val="9"/>
            <color indexed="81"/>
            <rFont val="Tahoma"/>
            <family val="2"/>
          </rPr>
          <t>yy-mm-dd</t>
        </r>
        <r>
          <rPr>
            <sz val="9"/>
            <color indexed="81"/>
            <rFont val="Tahoma"/>
            <family val="2"/>
          </rPr>
          <t xml:space="preserve"> (e.g. 21-4-11)</t>
        </r>
      </text>
    </comment>
    <comment ref="AT2" authorId="0" shapeId="0" xr:uid="{00000000-0006-0000-0400-00000F000000}">
      <text>
        <r>
          <rPr>
            <b/>
            <sz val="9"/>
            <color indexed="81"/>
            <rFont val="Tahoma"/>
            <family val="2"/>
          </rPr>
          <t xml:space="preserve">Use either date format:
</t>
        </r>
        <r>
          <rPr>
            <sz val="9"/>
            <color indexed="81"/>
            <rFont val="Tahoma"/>
            <family val="2"/>
          </rPr>
          <t xml:space="preserve">(1) </t>
        </r>
        <r>
          <rPr>
            <b/>
            <sz val="9"/>
            <color indexed="81"/>
            <rFont val="Tahoma"/>
            <family val="2"/>
          </rPr>
          <t>d-mmm-yy</t>
        </r>
        <r>
          <rPr>
            <sz val="9"/>
            <color indexed="81"/>
            <rFont val="Tahoma"/>
            <family val="2"/>
          </rPr>
          <t xml:space="preserve"> (e.g. 11-Apr-21)
(2) </t>
        </r>
        <r>
          <rPr>
            <b/>
            <sz val="9"/>
            <color indexed="81"/>
            <rFont val="Tahoma"/>
            <family val="2"/>
          </rPr>
          <t>yy-mm-dd</t>
        </r>
        <r>
          <rPr>
            <sz val="9"/>
            <color indexed="81"/>
            <rFont val="Tahoma"/>
            <family val="2"/>
          </rPr>
          <t xml:space="preserve"> (e.g. 21-4-11)</t>
        </r>
      </text>
    </comment>
    <comment ref="AU2" authorId="0" shapeId="0" xr:uid="{00000000-0006-0000-0400-000010000000}">
      <text>
        <r>
          <rPr>
            <sz val="9"/>
            <color indexed="81"/>
            <rFont val="Tahoma"/>
            <family val="2"/>
          </rPr>
          <t xml:space="preserve">Please note migration timing estimation methods, data issues, or data changes.
Do you have migration timing data by </t>
        </r>
        <r>
          <rPr>
            <b/>
            <sz val="9"/>
            <color indexed="81"/>
            <rFont val="Tahoma"/>
            <family val="2"/>
          </rPr>
          <t>Quartiles</t>
        </r>
        <r>
          <rPr>
            <sz val="9"/>
            <color indexed="81"/>
            <rFont val="Tahoma"/>
            <family val="2"/>
          </rPr>
          <t xml:space="preserve"> (i.e. 25th and 75th percentiles)? If so, unhide the columns on either side of </t>
        </r>
        <r>
          <rPr>
            <b/>
            <sz val="9"/>
            <color indexed="81"/>
            <rFont val="Tahoma"/>
            <family val="2"/>
          </rPr>
          <t>Median or Peak Date</t>
        </r>
        <r>
          <rPr>
            <sz val="9"/>
            <color indexed="81"/>
            <rFont val="Tahoma"/>
            <family val="2"/>
          </rPr>
          <t xml:space="preserve"> column. (You will have to unprotect the worksheet first - see READ ME - and don't forget to re-protect the worksheet to prevent errant data entry events.)</t>
        </r>
      </text>
    </comment>
    <comment ref="J3" authorId="0" shapeId="0" xr:uid="{00000000-0006-0000-0400-000011000000}">
      <text>
        <r>
          <rPr>
            <sz val="9"/>
            <color indexed="81"/>
            <rFont val="Tahoma"/>
            <family val="2"/>
          </rPr>
          <t xml:space="preserve">Replace </t>
        </r>
        <r>
          <rPr>
            <b/>
            <sz val="9"/>
            <color indexed="81"/>
            <rFont val="Tahoma"/>
            <family val="2"/>
          </rPr>
          <t>0.0</t>
        </r>
        <r>
          <rPr>
            <sz val="9"/>
            <color indexed="81"/>
            <rFont val="Tahoma"/>
            <family val="2"/>
          </rPr>
          <t xml:space="preserve"> with additional age in </t>
        </r>
        <r>
          <rPr>
            <b/>
            <sz val="9"/>
            <color indexed="81"/>
            <rFont val="Tahoma"/>
            <family val="2"/>
          </rPr>
          <t>X.Y</t>
        </r>
        <r>
          <rPr>
            <sz val="9"/>
            <color indexed="81"/>
            <rFont val="Tahoma"/>
            <family val="2"/>
          </rPr>
          <t xml:space="preserve"> format</t>
        </r>
      </text>
    </comment>
    <comment ref="J27" authorId="1" shapeId="0" xr:uid="{599CFC90-9B18-47AB-B058-0CDE1573531E}">
      <text>
        <r>
          <rPr>
            <sz val="9"/>
            <color indexed="81"/>
            <rFont val="Tahoma"/>
            <family val="2"/>
          </rPr>
          <t>This year had 3,684 3.x fish, according to J Fryer:
2,605 x 3.1s
1,042 x 3.2s
37      x  3.3s
and
1,786  x 4.1s (not included in this column)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HS</author>
  </authors>
  <commentList>
    <comment ref="A2" authorId="0" shapeId="0" xr:uid="{00000000-0006-0000-0500-000001000000}">
      <text>
        <r>
          <rPr>
            <sz val="9"/>
            <color indexed="81"/>
            <rFont val="Tahoma"/>
            <family val="2"/>
          </rPr>
          <t>Sockeye population (CU) name</t>
        </r>
      </text>
    </comment>
    <comment ref="B2" authorId="0" shapeId="0" xr:uid="{00000000-0006-0000-0500-000002000000}">
      <text>
        <r>
          <rPr>
            <sz val="9"/>
            <color indexed="81"/>
            <rFont val="Tahoma"/>
            <family val="2"/>
          </rPr>
          <t>Year of seaward migration</t>
        </r>
      </text>
    </comment>
    <comment ref="C2" authorId="0" shapeId="0" xr:uid="{00000000-0006-0000-0500-000003000000}">
      <text>
        <r>
          <rPr>
            <sz val="9"/>
            <color indexed="81"/>
            <rFont val="Tahoma"/>
            <family val="2"/>
          </rPr>
          <t>Total smolts (all ages)</t>
        </r>
      </text>
    </comment>
    <comment ref="D2" authorId="0" shapeId="0" xr:uid="{00000000-0006-0000-0500-000004000000}">
      <text>
        <r>
          <rPr>
            <sz val="9"/>
            <color indexed="81"/>
            <rFont val="Tahoma"/>
            <family val="2"/>
          </rPr>
          <t>Total adult returns (all ages), including harvest, escapement, hatchery broodstock, in-river mortality estimates.</t>
        </r>
      </text>
    </comment>
    <comment ref="E2" authorId="0" shapeId="0" xr:uid="{00000000-0006-0000-0500-000005000000}">
      <text>
        <r>
          <rPr>
            <sz val="9"/>
            <color indexed="81"/>
            <rFont val="Tahoma"/>
            <family val="2"/>
          </rPr>
          <t>Marine survival - calculated field</t>
        </r>
      </text>
    </comment>
    <comment ref="F3" authorId="0" shapeId="0" xr:uid="{00000000-0006-0000-0500-000006000000}">
      <text>
        <r>
          <rPr>
            <sz val="9"/>
            <color indexed="81"/>
            <rFont val="Tahoma"/>
            <family val="2"/>
          </rPr>
          <t>Include meta-data regarding smolt production sampling methods, estimation methods, data issues, and source documents where available.</t>
        </r>
      </text>
    </comment>
    <comment ref="G3" authorId="0" shapeId="0" xr:uid="{00000000-0006-0000-0500-000007000000}">
      <text>
        <r>
          <rPr>
            <sz val="9"/>
            <color indexed="81"/>
            <rFont val="Tahoma"/>
            <family val="2"/>
          </rPr>
          <t xml:space="preserve">Include meta-data regarding adult returns sampling and estimation methods, data issues, and source documents where available. 
</t>
        </r>
      </text>
    </comment>
    <comment ref="H3" authorId="0" shapeId="0" xr:uid="{00000000-0006-0000-0500-000008000000}">
      <text>
        <r>
          <rPr>
            <sz val="9"/>
            <color indexed="81"/>
            <rFont val="Tahoma"/>
            <family val="2"/>
          </rPr>
          <t xml:space="preserve">Note any unusual environmental conditions such as drought, floods, temperature extremes, predator impacts, etc.
</t>
        </r>
      </text>
    </comment>
    <comment ref="I3" authorId="0" shapeId="0" xr:uid="{00000000-0006-0000-0500-000009000000}">
      <text>
        <r>
          <rPr>
            <sz val="9"/>
            <color indexed="81"/>
            <rFont val="Tahoma"/>
            <family val="2"/>
          </rPr>
          <t>Include any notes and considerations for this year's data. Indicate if any changes have been made to this year's data relative to previous submissions, and why.</t>
        </r>
      </text>
    </comment>
    <comment ref="J3" authorId="0" shapeId="0" xr:uid="{00000000-0006-0000-0500-00000A000000}">
      <text>
        <r>
          <rPr>
            <sz val="9"/>
            <color indexed="81"/>
            <rFont val="Tahoma"/>
            <family val="2"/>
          </rPr>
          <t xml:space="preserve">Contact information for this year's data. Example: initials, email, phone, date
</t>
        </r>
      </text>
    </comment>
    <comment ref="K3" authorId="0" shapeId="0" xr:uid="{00000000-0006-0000-0500-00000B000000}">
      <text>
        <r>
          <rPr>
            <sz val="9"/>
            <color indexed="81"/>
            <rFont val="Tahoma"/>
            <family val="2"/>
          </rPr>
          <t xml:space="preserve">  *UNPROTECTED COLUMN* 
Include any additional comments not captured in other columns.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HS</author>
  </authors>
  <commentList>
    <comment ref="A1" authorId="0" shapeId="0" xr:uid="{782D3EA3-BBEA-4034-93C4-C65B63478432}">
      <text>
        <r>
          <rPr>
            <sz val="9"/>
            <color indexed="81"/>
            <rFont val="Tahoma"/>
            <family val="2"/>
          </rPr>
          <t>Sockeye population (CU) name</t>
        </r>
      </text>
    </comment>
    <comment ref="B1" authorId="0" shapeId="0" xr:uid="{4AD3DEFB-32C6-495B-BB8A-F6E6DE7AA33F}">
      <text>
        <r>
          <rPr>
            <sz val="9"/>
            <color indexed="81"/>
            <rFont val="Tahoma"/>
            <family val="2"/>
          </rPr>
          <t>Year of seaward migration</t>
        </r>
      </text>
    </comment>
    <comment ref="C1" authorId="0" shapeId="0" xr:uid="{5C309064-D4EE-409D-AA35-6FC4AD4BA09E}">
      <text>
        <r>
          <rPr>
            <sz val="9"/>
            <color indexed="81"/>
            <rFont val="Tahoma"/>
            <family val="2"/>
          </rPr>
          <t>Total smolts (all ages)</t>
        </r>
      </text>
    </comment>
    <comment ref="D1" authorId="0" shapeId="0" xr:uid="{0999C710-5F28-441F-BBE4-F6D3097FA132}">
      <text>
        <r>
          <rPr>
            <sz val="9"/>
            <color indexed="81"/>
            <rFont val="Tahoma"/>
            <family val="2"/>
          </rPr>
          <t>Total adult returns (all ages), including harvest, escapement, hatchery broodstock, in-river mortality estimates.</t>
        </r>
      </text>
    </comment>
    <comment ref="E1" authorId="0" shapeId="0" xr:uid="{DEAF609A-F442-4CB4-8E47-ABE5CAE16926}">
      <text>
        <r>
          <rPr>
            <sz val="9"/>
            <color indexed="81"/>
            <rFont val="Tahoma"/>
            <family val="2"/>
          </rPr>
          <t>Marine survival - calculated field</t>
        </r>
      </text>
    </comment>
    <comment ref="F1" authorId="0" shapeId="0" xr:uid="{CF59067E-AC01-481A-A9A1-7E896579C78C}">
      <text>
        <r>
          <rPr>
            <sz val="9"/>
            <color indexed="81"/>
            <rFont val="Tahoma"/>
            <family val="2"/>
          </rPr>
          <t>Total adult returns (all ages), including harvest, escapement, hatchery broodstock, in-river mortality estimates.</t>
        </r>
      </text>
    </comment>
    <comment ref="G1" authorId="0" shapeId="0" xr:uid="{3E92D780-E165-4B49-8B6F-3BA0D7F30077}">
      <text>
        <r>
          <rPr>
            <sz val="9"/>
            <color indexed="81"/>
            <rFont val="Tahoma"/>
            <family val="2"/>
          </rPr>
          <t>Marine survival - calculated field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Howard Stiff</author>
  </authors>
  <commentList>
    <comment ref="F6" authorId="0" shapeId="0" xr:uid="{75A5FC5C-8B8F-4026-B15D-A18E55E4489F}">
      <text>
        <r>
          <rPr>
            <b/>
            <sz val="9"/>
            <color indexed="81"/>
            <rFont val="Tahoma"/>
            <family val="2"/>
          </rPr>
          <t xml:space="preserve">Note about smolt estimates 1985-1997.
</t>
        </r>
        <r>
          <rPr>
            <sz val="9"/>
            <color indexed="81"/>
            <rFont val="Tahoma"/>
            <family val="2"/>
          </rPr>
          <t xml:space="preserve">From: Margot Stockwell &lt;margot.stockwell@gmail.com&gt; 
Sent: Friday, September 23, 2022 3:58 PM
To: Stiff, Howard &lt;Howard.Stiff@dfo-mpo.gc.ca&gt;
Cc: Ogden, Athena &lt;athena.ogden@dfo-mpo.gc.ca&gt;
Subject: Re: FWMT program
I'm not sure if this is going to be much help but ....
I did not spend a lot of time working with fry/smolt data. That was Paul and Kim's area (finally Athena, Howard and Don's area). But if Kim had a "thought" he would get me to look into different avenues for  potential analyses to see if a particular method could be pursued further. He was a really visual thinker (hence storyboards, etc.) so I would compile lots of graphs from various groups of data which he would carefully go over and then decide if anything more should be chased down. Hence, the hodge podge of files for Osoyoos juvenile stuff. 
On that spreadsheet you sent me Athena, make sure the Osoyoos smolt numbers (values from Osoyoos trawls) are the ones that you are using now for everything else. Kim's method of estimating smolt abundance from trawl surveys changed a couple of times over the years. Although the results from each survey should not have changed over the years, the estimating for final/total abundance has -  which causes some confusion when looking at old data sets. And of course, Don has his own way of doing things. Kim's preference was as per the CNAT sheet where the final smolt abundance was the mean of the fall and winter surveys. But now you also have Skaha, etc. juveniles to deal with.
McNary:
a) </t>
        </r>
        <r>
          <rPr>
            <b/>
            <sz val="9"/>
            <color indexed="81"/>
            <rFont val="Tahoma"/>
            <family val="2"/>
          </rPr>
          <t>The smolt estimates for sea entry years 1985-97 were "subjectively" or perhaps even "haphazardly" derived from McNary Dam passage in the spring of each year.</t>
        </r>
        <r>
          <rPr>
            <sz val="9"/>
            <color indexed="81"/>
            <rFont val="Tahoma"/>
            <family val="2"/>
          </rPr>
          <t xml:space="preserve"> NB: the US dam counts were never designed to or meant to collect true abundance data but rather migration timing such that flows over the dams could be altered if/when necessary. There will be a large number that miss the bypasses and are not counted each year (not to mention mortalities at each dam along the way). However, Kim and a few scientists down south (different organizations) believed that the passage results could reasonably be used as a proxy for abundance*. McNary smolts were both Wenatchee and Osoyoos and had to somehow be separated.
* </t>
        </r>
        <r>
          <rPr>
            <b/>
            <i/>
            <sz val="9"/>
            <color indexed="81"/>
            <rFont val="Tahoma"/>
            <family val="2"/>
          </rPr>
          <t>see Williams et al. 2014 p. 213-214 for a method of calculating McNary total smolts</t>
        </r>
        <r>
          <rPr>
            <i/>
            <sz val="9"/>
            <color indexed="81"/>
            <rFont val="Tahoma"/>
            <family val="2"/>
          </rPr>
          <t xml:space="preserve"> (hs 2022-09-28)</t>
        </r>
        <r>
          <rPr>
            <b/>
            <sz val="9"/>
            <color indexed="81"/>
            <rFont val="Tahoma"/>
            <family val="2"/>
          </rPr>
          <t xml:space="preserve">
</t>
        </r>
        <r>
          <rPr>
            <sz val="9"/>
            <color indexed="81"/>
            <rFont val="Tahoma"/>
            <family val="2"/>
          </rPr>
          <t xml:space="preserve">
b) When Jeff Fryer was doing his thesis (you'll have to read the section for details), he assumed that Wenatchee smolts went through McNary earlier than Osoyoos (and there are many reasons and observations that prove this to be true). He used a cutoff date of May 16 (or 18?) such that all those counted prior to the 16th were Wenatchee and all those afterwards were Osoyoos. Note daily counts are/were available from D.A.R.T. or the Fish Passage Center. It looks like I reassessed that separation date to be May 10th (I would have had many more years of data than Jeff to work with) by looking at "peaks and troughs" from daily counts and I believe, using timing data from smolt traps on the Wenatchee River. I can hardly remember what I did as it was so long ago (prior to me moving into the office with Rick so well before 2011 and in excel97!). I can't find my notes on how I did things on the computer so I'm assuming I have the notes hand written in one of my books (if I didn't throw it out). 
c) The "results" are very simply the sum of daily counts after the May 10th cut-off to the end of the migration. See: McNarysplit_Wen_Okan.xls (summary) and McNary Smolt Index.xls (each year individually) and McNary Smolt Index [charts].xls. No analysis of any kind, no error checking, etc. -- all very basic. But Kim was happy with it for a starting point and he used the final results in ppts, etc. where methods to obtain those counts didn't really have to be explained to anyone. 
d) Finally, the results from above were regressed against known Osoyoos estimates to come up with a calibration equation to convert McNary smolts to Osoyoos McNary vs Osoyoos.xls. All super basic but good enough for what Kim was aiming for at the time. This could be updated if anyone wanted to try as there are certainly many more years of data now.
e) Kim was happy enough with the basic results but he knew he would have to dive in (or get someone else to) to do some heavy lifting in order to provide clear and defensible estimates before we went much farther. I think Scott Akenhead started out on this but things were a lot more complex than initially anticipated. 
</t>
        </r>
      </text>
    </comment>
    <comment ref="C9" authorId="0" shapeId="0" xr:uid="{CDD65CE7-D107-4083-9C0D-818435AC2720}">
      <text>
        <r>
          <rPr>
            <b/>
            <sz val="9"/>
            <color indexed="81"/>
            <rFont val="Tahoma"/>
            <family val="2"/>
          </rPr>
          <t xml:space="preserve">HS: </t>
        </r>
        <r>
          <rPr>
            <sz val="9"/>
            <color indexed="81"/>
            <rFont val="Tahoma"/>
            <family val="2"/>
          </rPr>
          <t xml:space="preserve">Willliams et al. use multi-stock (combined Wenatchee &amp; Okanagan) Sockeye smolts and adults as variables for SAR estimation. Smolts are estimated at McNary Dam. Adults are collated from Bonneville Dam + downstream harvest. IOW, theirs is a 'truer' estimate of 'marine survival' than ours since it uses downstream smolt estimates (whereas we're using Okanagan pre-smolt estimates), however their SAR is aggregated across Ok &amp; Wen stocks, so annual totals of smolts and adults (by smolt mig. year) are quite different, leading to very different annual SARs. Take-away is that our survival estimates are necessarily biased downwards due to unspecified juvenile mortality not accounted for in our data. Would it be useful to somehow relate our pre-smolt data See Williams et al tab in this workbook.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Howard Stiff (DFO)</author>
  </authors>
  <commentList>
    <comment ref="C1" authorId="0" shapeId="0" xr:uid="{FF0F1926-CE35-4F2A-89FB-9E528F293361}">
      <text>
        <r>
          <rPr>
            <b/>
            <sz val="9"/>
            <color indexed="81"/>
            <rFont val="Tahoma"/>
            <family val="2"/>
          </rPr>
          <t xml:space="preserve">From:  FPC Smolt Monitoring Program (SMP) Meta-data </t>
        </r>
        <r>
          <rPr>
            <sz val="9"/>
            <color indexed="81"/>
            <rFont val="Tahoma"/>
            <family val="2"/>
          </rPr>
          <t xml:space="preserve">https://www.fpc.org/documents/metadata/FPC_SMP_Metadata.html [2022-11-08]
</t>
        </r>
        <r>
          <rPr>
            <b/>
            <sz val="9"/>
            <color indexed="81"/>
            <rFont val="Tahoma"/>
            <family val="2"/>
          </rPr>
          <t>Sampling took place Every other day sampling at McNary:</t>
        </r>
        <r>
          <rPr>
            <sz val="9"/>
            <color indexed="81"/>
            <rFont val="Tahoma"/>
            <family val="2"/>
          </rPr>
          <t xml:space="preserve">
2003 - 4/3-6/27
2004 - 4/3-6/23
2005 - 4/3-6/23
2006 - 4/3-7/6
2007 - 4/3 – 8/17
2008 - 4/3 – 7/16
2009 - 4/9 – 7/16
2010 - 4/7 – 7/16
2011 - 4/13 – 7/20
2012 - 4/11 – 8/17
2013 - 4/11 – 9/30
2014 - 4/7 - 9/30</t>
        </r>
      </text>
    </comment>
    <comment ref="B2" authorId="0" shapeId="0" xr:uid="{A67E900A-036F-4330-9674-1256A2822BE0}">
      <text>
        <r>
          <rPr>
            <b/>
            <sz val="9"/>
            <color indexed="81"/>
            <rFont val="Tahoma"/>
            <family val="2"/>
          </rPr>
          <t xml:space="preserve">MMS ATS Equivalents, based on relationship between presmolt abundance as a function of McNary total Sockeye smolt counts… </t>
        </r>
      </text>
    </comment>
    <comment ref="B3" authorId="0" shapeId="0" xr:uid="{0A7DA482-051D-4A18-B561-A930F9E8BFA2}">
      <text>
        <r>
          <rPr>
            <b/>
            <sz val="9"/>
            <color indexed="81"/>
            <rFont val="Tahoma"/>
            <family val="2"/>
          </rPr>
          <t xml:space="preserve">MMS ATS Equivalents, based on relationship between presmolt abundance as a function of McNary total Sockeye smolt counts… </t>
        </r>
      </text>
    </comment>
    <comment ref="B4" authorId="0" shapeId="0" xr:uid="{13AD1B2A-5AE5-4E56-889E-FAD2A92893B8}">
      <text>
        <r>
          <rPr>
            <b/>
            <sz val="9"/>
            <color indexed="81"/>
            <rFont val="Tahoma"/>
            <family val="2"/>
          </rPr>
          <t xml:space="preserve">MMS ATS Equivalents, based on relationship between presmolt abundance as a function of McNary total Sockeye smolt counts… </t>
        </r>
      </text>
    </comment>
    <comment ref="B5" authorId="0" shapeId="0" xr:uid="{D92418DF-07EA-483A-88F4-06FEE317DFB5}">
      <text>
        <r>
          <rPr>
            <b/>
            <sz val="9"/>
            <color indexed="81"/>
            <rFont val="Tahoma"/>
            <family val="2"/>
          </rPr>
          <t xml:space="preserve">MMS ATS Equivalents, based on relationship between presmolt abundance as a function of McNary total Sockeye smolt counts… </t>
        </r>
      </text>
    </comment>
    <comment ref="B6" authorId="0" shapeId="0" xr:uid="{A51A9393-AE88-49AA-A4C2-94A6880F1D04}">
      <text>
        <r>
          <rPr>
            <b/>
            <sz val="9"/>
            <color indexed="81"/>
            <rFont val="Tahoma"/>
            <family val="2"/>
          </rPr>
          <t xml:space="preserve">MMS ATS Equivalents, based on relationship between presmolt abundance as a function of McNary total Sockeye smolt counts… </t>
        </r>
      </text>
    </comment>
    <comment ref="B7" authorId="0" shapeId="0" xr:uid="{B42EA41C-59B7-4D64-B1B3-7D38AF1FA6E8}">
      <text>
        <r>
          <rPr>
            <b/>
            <sz val="9"/>
            <color indexed="81"/>
            <rFont val="Tahoma"/>
            <family val="2"/>
          </rPr>
          <t xml:space="preserve">MMS ATS Equivalents, based on relationship between presmolt abundance as a function of McNary total Sockeye smolt counts… </t>
        </r>
      </text>
    </comment>
    <comment ref="B8" authorId="0" shapeId="0" xr:uid="{883F562F-5665-4AFB-A54A-533DEE13D93D}">
      <text>
        <r>
          <rPr>
            <b/>
            <sz val="9"/>
            <color indexed="81"/>
            <rFont val="Tahoma"/>
            <family val="2"/>
          </rPr>
          <t xml:space="preserve">MMS ATS Equivalents, based on relationship between presmolt abundance as a function of McNary total Sockeye smolt counts… </t>
        </r>
      </text>
    </comment>
    <comment ref="B9" authorId="0" shapeId="0" xr:uid="{DD00963E-4256-484E-95E7-7C2DB81419A0}">
      <text>
        <r>
          <rPr>
            <b/>
            <sz val="9"/>
            <color indexed="81"/>
            <rFont val="Tahoma"/>
            <family val="2"/>
          </rPr>
          <t xml:space="preserve">MMS ATS Equivalents, based on relationship between presmolt abundance as a function of McNary total Sockeye smolt counts… </t>
        </r>
      </text>
    </comment>
    <comment ref="B10" authorId="0" shapeId="0" xr:uid="{941DDB05-C9FC-437E-9D2F-474BE82456A9}">
      <text>
        <r>
          <rPr>
            <b/>
            <sz val="9"/>
            <color indexed="81"/>
            <rFont val="Tahoma"/>
            <family val="2"/>
          </rPr>
          <t xml:space="preserve">MMS ATS Equivalents, based on relationship between presmolt abundance as a function of McNary total Sockeye smolt counts… </t>
        </r>
      </text>
    </comment>
    <comment ref="B11" authorId="0" shapeId="0" xr:uid="{475A5981-2D01-4FFE-A110-F1CA71793E9D}">
      <text>
        <r>
          <rPr>
            <b/>
            <sz val="9"/>
            <color indexed="81"/>
            <rFont val="Tahoma"/>
            <family val="2"/>
          </rPr>
          <t xml:space="preserve">MMS ATS Equivalents, based on relationship between presmolt abundance as a function of McNary total Sockeye smolt counts… </t>
        </r>
      </text>
    </comment>
    <comment ref="B12" authorId="0" shapeId="0" xr:uid="{B752FDB8-D105-4C90-9074-CDEE3615CC62}">
      <text>
        <r>
          <rPr>
            <b/>
            <sz val="9"/>
            <color indexed="81"/>
            <rFont val="Tahoma"/>
            <family val="2"/>
          </rPr>
          <t xml:space="preserve">MMS ATS Equivalents, based on relationship between presmolt abundance as a function of McNary total Sockeye smolt counts… </t>
        </r>
      </text>
    </comment>
    <comment ref="B13" authorId="0" shapeId="0" xr:uid="{7A822104-1871-4196-8E48-9D9759610404}">
      <text>
        <r>
          <rPr>
            <b/>
            <sz val="9"/>
            <color indexed="81"/>
            <rFont val="Tahoma"/>
            <family val="2"/>
          </rPr>
          <t xml:space="preserve">MMS ATS Equivalents, based on relationship between presmolt abundance as a function of McNary total Sockeye smolt counts… </t>
        </r>
      </text>
    </comment>
    <comment ref="B14" authorId="0" shapeId="0" xr:uid="{12C44F74-F52C-4F28-93B1-8EF156AEC3D2}">
      <text>
        <r>
          <rPr>
            <b/>
            <sz val="9"/>
            <color indexed="81"/>
            <rFont val="Tahoma"/>
            <family val="2"/>
          </rPr>
          <t xml:space="preserve">MMS ATS Equivalents, based on relationship between presmolt abundance as a function of McNary total Sockeye smolt counts…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Howard Stiff</author>
    <author>Howard Stiff (DFO)</author>
  </authors>
  <commentList>
    <comment ref="A1" authorId="0" shapeId="0" xr:uid="{96BCB03E-7B10-4A66-9BFF-B7353CF5BA95}">
      <text>
        <r>
          <rPr>
            <b/>
            <sz val="9"/>
            <color indexed="81"/>
            <rFont val="Tahoma"/>
            <family val="2"/>
          </rPr>
          <t xml:space="preserve">Estimated Sockeye returning to Columbia River Mouth (all stocks) </t>
        </r>
        <r>
          <rPr>
            <sz val="9"/>
            <color indexed="81"/>
            <rFont val="Tahoma"/>
            <family val="2"/>
          </rPr>
          <t xml:space="preserve"> [June 2022]
From OFW/WDFW </t>
        </r>
        <r>
          <rPr>
            <b/>
            <sz val="9"/>
            <color indexed="81"/>
            <rFont val="Tahoma"/>
            <family val="2"/>
          </rPr>
          <t>2022</t>
        </r>
        <r>
          <rPr>
            <sz val="9"/>
            <color indexed="81"/>
            <rFont val="Tahoma"/>
            <family val="2"/>
          </rPr>
          <t xml:space="preserve"> </t>
        </r>
        <r>
          <rPr>
            <b/>
            <sz val="9"/>
            <color indexed="81"/>
            <rFont val="Tahoma"/>
            <family val="2"/>
          </rPr>
          <t>Joint Staff Report Table 15 p.78</t>
        </r>
        <r>
          <rPr>
            <sz val="9"/>
            <color indexed="81"/>
            <rFont val="Tahoma"/>
            <family val="2"/>
          </rPr>
          <t xml:space="preserve">
https://www.dfw.state.or.us/fish/OSCRP/CRM/reports/22_reports/2022%20OR_WA%20Spring%20Joint%20Staff%20Report.pdf </t>
        </r>
      </text>
    </comment>
    <comment ref="B1" authorId="0" shapeId="0" xr:uid="{A2641E2C-60AD-4761-9677-ED161DF5D313}">
      <text>
        <r>
          <rPr>
            <b/>
            <sz val="9"/>
            <color indexed="81"/>
            <rFont val="Tahoma"/>
            <family val="2"/>
          </rPr>
          <t xml:space="preserve">Estimated Sockeye returning to Columbia River Mouth (all stocks)
</t>
        </r>
        <r>
          <rPr>
            <sz val="9"/>
            <color indexed="81"/>
            <rFont val="Tahoma"/>
            <family val="2"/>
          </rPr>
          <t xml:space="preserve">Should equal Total Sox (Bonn) + Total Harvest Below Bonn columns.
Note: Dam counts are unadjusted, based on 16-hr day (uninflated).  Harvest is all catch below Bonn.
From OFW/WDFW 2022 Joint Staff Report Table 15 p.78
https://www.dfw.state.or.us/fish/OSCRP/CRM/reports/22_reports/2022%20OR_WA%20Spring%20Joint%20Staff%20Report.pdf </t>
        </r>
      </text>
    </comment>
    <comment ref="C1" authorId="0" shapeId="0" xr:uid="{626513E1-02B3-4C4D-A5C3-48235387F0ED}">
      <text>
        <r>
          <rPr>
            <b/>
            <sz val="9"/>
            <color indexed="81"/>
            <rFont val="Tahoma"/>
            <family val="2"/>
          </rPr>
          <t xml:space="preserve">Total annual dam counts from FPC
</t>
        </r>
        <r>
          <rPr>
            <sz val="9"/>
            <color indexed="81"/>
            <rFont val="Tahoma"/>
            <family val="2"/>
          </rPr>
          <t xml:space="preserve">https://www.fpc.org/web/apps/adultsalmon/R_adultcounts_annualtotalsquery_results.php
</t>
        </r>
        <r>
          <rPr>
            <b/>
            <sz val="9"/>
            <color indexed="81"/>
            <rFont val="Tahoma"/>
            <family val="2"/>
          </rPr>
          <t>Based on actual 16-hour counts !!  No adjustment for missing 8 hours...</t>
        </r>
      </text>
    </comment>
    <comment ref="D1" authorId="0" shapeId="0" xr:uid="{B3F35CC4-84B2-42B0-B84C-53B323B7F27C}">
      <text>
        <r>
          <rPr>
            <b/>
            <sz val="9"/>
            <color indexed="81"/>
            <rFont val="Tahoma"/>
            <family val="2"/>
          </rPr>
          <t xml:space="preserve">Total annual dam counts from FPC
</t>
        </r>
        <r>
          <rPr>
            <sz val="9"/>
            <color indexed="81"/>
            <rFont val="Tahoma"/>
            <family val="2"/>
          </rPr>
          <t xml:space="preserve">https://www.fpc.org/web/apps/adultsalmon/R_adultcounts_annualtotalsquery_results.php
</t>
        </r>
        <r>
          <rPr>
            <b/>
            <sz val="9"/>
            <color indexed="81"/>
            <rFont val="Tahoma"/>
            <family val="2"/>
          </rPr>
          <t>Based on actual 24-hour counts since 1993, and effective 24-hour counts pre-1993</t>
        </r>
        <r>
          <rPr>
            <sz val="9"/>
            <color indexed="81"/>
            <rFont val="Tahoma"/>
            <family val="2"/>
          </rPr>
          <t xml:space="preserve"> (since, pre-1993, 16 hours were observed and then gates closed for 8 hours, but no fish could pass till re-opened for next 16-hr count). 
Source: Catherine Willard (WDFW), Oct 2022</t>
        </r>
      </text>
    </comment>
    <comment ref="E1" authorId="0" shapeId="0" xr:uid="{7EC3FCEF-0542-4021-9DF7-5B6333B45292}">
      <text>
        <r>
          <rPr>
            <b/>
            <sz val="9"/>
            <color indexed="81"/>
            <rFont val="Tahoma"/>
            <family val="2"/>
          </rPr>
          <t>OBSOLETE - Total annual Wells dam Sockeye counts 
16-hr counts 1980-1997
24-hour counts since 1998</t>
        </r>
        <r>
          <rPr>
            <sz val="9"/>
            <color indexed="81"/>
            <rFont val="Tahoma"/>
            <family val="2"/>
          </rPr>
          <t xml:space="preserve">
From OFW/WDFW 2022 Joint Staff Report Table 15 p.78
https://www.dfw.state.or.us/fish/OSCRP/CRM/reports/22_reports/2022%20OR_WA%20Spring%20Joint%20Staff%20Report.pdf </t>
        </r>
      </text>
    </comment>
    <comment ref="F1" authorId="0" shapeId="0" xr:uid="{21B04588-3E56-4122-BDDE-75190F37E991}">
      <text>
        <r>
          <rPr>
            <b/>
            <sz val="9"/>
            <color indexed="81"/>
            <rFont val="Tahoma"/>
            <family val="2"/>
          </rPr>
          <t xml:space="preserve">Total annual dam counts from FPC
</t>
        </r>
        <r>
          <rPr>
            <sz val="9"/>
            <color indexed="81"/>
            <rFont val="Tahoma"/>
            <family val="2"/>
          </rPr>
          <t xml:space="preserve">16-hr counts - all data provided by Tom Kahler DCPUD [Oct 2022]
</t>
        </r>
        <r>
          <rPr>
            <b/>
            <sz val="9"/>
            <color indexed="81"/>
            <rFont val="Tahoma"/>
            <family val="2"/>
          </rPr>
          <t xml:space="preserve">
</t>
        </r>
        <r>
          <rPr>
            <sz val="9"/>
            <color indexed="81"/>
            <rFont val="Tahoma"/>
            <family val="2"/>
          </rPr>
          <t>https://www.fpc.org/web/apps/adultsalmon/R_adultcounts_annualtotalsquery_results.php</t>
        </r>
      </text>
    </comment>
    <comment ref="G1" authorId="0" shapeId="0" xr:uid="{F1D8F6B7-700D-4813-BEF5-E75FB976B253}">
      <text>
        <r>
          <rPr>
            <b/>
            <sz val="9"/>
            <color indexed="81"/>
            <rFont val="Tahoma"/>
            <family val="2"/>
          </rPr>
          <t xml:space="preserve">Estimated 24-hr total annual Wells counts 
1980-1997: </t>
        </r>
        <r>
          <rPr>
            <sz val="9"/>
            <color indexed="81"/>
            <rFont val="Tahoma"/>
            <family val="2"/>
          </rPr>
          <t xml:space="preserve">Wells Counts from FPC increased 1.132x (13.2%), which is the average prop. difference between 16- and 24-hr counts at Wells 1998-2021 [data provided by Tom Kahler DCPUD Oct 2022]
</t>
        </r>
        <r>
          <rPr>
            <b/>
            <sz val="9"/>
            <color indexed="81"/>
            <rFont val="Tahoma"/>
            <family val="2"/>
          </rPr>
          <t>1998-present:</t>
        </r>
        <r>
          <rPr>
            <sz val="9"/>
            <color indexed="81"/>
            <rFont val="Tahoma"/>
            <family val="2"/>
          </rPr>
          <t xml:space="preserve"> Wells Counts (24-hr) from FPC</t>
        </r>
        <r>
          <rPr>
            <b/>
            <sz val="9"/>
            <color indexed="81"/>
            <rFont val="Tahoma"/>
            <family val="2"/>
          </rPr>
          <t xml:space="preserve">
 </t>
        </r>
        <r>
          <rPr>
            <sz val="9"/>
            <color indexed="81"/>
            <rFont val="Tahoma"/>
            <family val="2"/>
          </rPr>
          <t>https://www.fpc.org/web/apps/adultsalmon/R_adultcounts_annualtotalsquery_results.php</t>
        </r>
      </text>
    </comment>
    <comment ref="H1" authorId="0" shapeId="0" xr:uid="{C091E8B7-DFD0-43C0-BDAE-AD2E3A4B9CB0}">
      <text>
        <r>
          <rPr>
            <b/>
            <sz val="9"/>
            <color indexed="81"/>
            <rFont val="Tahoma"/>
            <family val="2"/>
          </rPr>
          <t>Percent Okanagan Sockeye (aggregate) based on Wells:Rock ratio</t>
        </r>
        <r>
          <rPr>
            <sz val="9"/>
            <color indexed="81"/>
            <rFont val="Tahoma"/>
            <family val="2"/>
          </rPr>
          <t>, but does not take into account 16-hr counts at Wells pre-1998, therefore %OkSox biased low for those years.</t>
        </r>
      </text>
    </comment>
    <comment ref="I1" authorId="0" shapeId="0" xr:uid="{ECEFB265-58DA-47E0-9C65-6DD84C706F0F}">
      <text>
        <r>
          <rPr>
            <sz val="9"/>
            <color indexed="81"/>
            <rFont val="Tahoma"/>
            <family val="2"/>
          </rPr>
          <t>Adjusted Ok Stock Comp based on boosted Wells Counts (1980 to 1997).  Pct same as [orig] for 1998-202x since Total Sox at Wells unchanged in those years.</t>
        </r>
      </text>
    </comment>
    <comment ref="J1" authorId="0" shapeId="0" xr:uid="{24BB9C2B-A318-44F9-8D95-8D4DCA554414}">
      <text>
        <r>
          <rPr>
            <b/>
            <sz val="9"/>
            <color indexed="81"/>
            <rFont val="Tahoma"/>
            <family val="2"/>
          </rPr>
          <t>Estimated Okanagan OBSOLETE 
Sockeye (aggregate) based on Wells:Rock ratio using Bonn 16-hr counts… OBSOLETE</t>
        </r>
      </text>
    </comment>
    <comment ref="K1" authorId="0" shapeId="0" xr:uid="{A9F58E35-A286-4D90-B30F-7CD550AB96CD}">
      <text>
        <r>
          <rPr>
            <b/>
            <sz val="9"/>
            <color indexed="81"/>
            <rFont val="Tahoma"/>
            <family val="2"/>
          </rPr>
          <t xml:space="preserve">Estimated Okanagan Sockeye (aggregate) based on Wells:Rock ratio. </t>
        </r>
        <r>
          <rPr>
            <sz val="9"/>
            <color indexed="81"/>
            <rFont val="Tahoma"/>
            <family val="2"/>
          </rPr>
          <t>But based on 16-hr counts at Bonn, so might be underestimating Ok returns to mouth by up to 33%!</t>
        </r>
      </text>
    </comment>
    <comment ref="L1" authorId="0" shapeId="0" xr:uid="{836A3024-2A79-44E6-A976-7B906C5791FE}">
      <text>
        <r>
          <rPr>
            <b/>
            <sz val="9"/>
            <color indexed="81"/>
            <rFont val="Tahoma"/>
            <family val="2"/>
          </rPr>
          <t xml:space="preserve">Percent Okanagan Sockeye (aggregate) based on PIT tag and DNA analyses </t>
        </r>
        <r>
          <rPr>
            <sz val="9"/>
            <color indexed="81"/>
            <rFont val="Tahoma"/>
            <family val="2"/>
          </rPr>
          <t xml:space="preserve">(from CRITFC reports)
</t>
        </r>
        <r>
          <rPr>
            <u/>
            <sz val="9"/>
            <color indexed="81"/>
            <rFont val="Tahoma"/>
            <family val="2"/>
          </rPr>
          <t>Currently not used!</t>
        </r>
      </text>
    </comment>
    <comment ref="M1" authorId="0" shapeId="0" xr:uid="{C5286A1D-B55B-444B-AD6A-DC19D223C546}">
      <text>
        <r>
          <rPr>
            <b/>
            <sz val="9"/>
            <color indexed="81"/>
            <rFont val="Tahoma"/>
            <family val="2"/>
          </rPr>
          <t xml:space="preserve">Estimated Okanagan Sockeye (aggregate) based on PIT tag and DNA analyses </t>
        </r>
        <r>
          <rPr>
            <sz val="9"/>
            <color indexed="81"/>
            <rFont val="Tahoma"/>
            <family val="2"/>
          </rPr>
          <t xml:space="preserve">(from CRITFC reports)
</t>
        </r>
        <r>
          <rPr>
            <u/>
            <sz val="9"/>
            <color indexed="81"/>
            <rFont val="Tahoma"/>
            <family val="2"/>
          </rPr>
          <t>Currently not used!</t>
        </r>
      </text>
    </comment>
    <comment ref="N1" authorId="0" shapeId="0" xr:uid="{E0EABDE5-D30A-4CD7-B2A9-C51F4790CE44}">
      <text>
        <r>
          <rPr>
            <b/>
            <sz val="9"/>
            <color indexed="81"/>
            <rFont val="Tahoma"/>
            <family val="2"/>
          </rPr>
          <t>OBSOLETE? 
Estimate of Okanagan Sockeye (aggregate) returns. But c</t>
        </r>
        <r>
          <rPr>
            <sz val="9"/>
            <color indexed="81"/>
            <rFont val="Tahoma"/>
            <family val="2"/>
          </rPr>
          <t xml:space="preserve">urently based on </t>
        </r>
        <r>
          <rPr>
            <b/>
            <sz val="9"/>
            <color indexed="81"/>
            <rFont val="Tahoma"/>
            <family val="2"/>
          </rPr>
          <t>Bonn SK counts (16-hr day) * Wells:Rock ratio</t>
        </r>
        <r>
          <rPr>
            <sz val="9"/>
            <color indexed="81"/>
            <rFont val="Tahoma"/>
            <family val="2"/>
          </rPr>
          <t xml:space="preserve"> (consistently available time-series, but biased low due to sourcing SK counts at Bonn Dam), 
Also: could alternatively use PIT/DNA stock composition where available, under the assumption that method is more accurate than the Wells:Rock ratio for stock comp...</t>
        </r>
      </text>
    </comment>
    <comment ref="O1" authorId="0" shapeId="0" xr:uid="{A8B32D8A-C96B-4F2B-8B8E-D3DE5271C65D}">
      <text>
        <r>
          <rPr>
            <b/>
            <sz val="9"/>
            <color indexed="81"/>
            <rFont val="Tahoma"/>
            <family val="2"/>
          </rPr>
          <t xml:space="preserve">Zones 1-5 (below BONN)
</t>
        </r>
      </text>
    </comment>
    <comment ref="P1" authorId="0" shapeId="0" xr:uid="{F73D24B1-8C8A-4398-A034-44F9CFF70380}">
      <text>
        <r>
          <rPr>
            <b/>
            <sz val="9"/>
            <color indexed="81"/>
            <rFont val="Tahoma"/>
            <family val="2"/>
          </rPr>
          <t xml:space="preserve">Harvest between BONN and WELLS (Zone 6)
</t>
        </r>
        <r>
          <rPr>
            <sz val="9"/>
            <color indexed="81"/>
            <rFont val="Tahoma"/>
            <family val="2"/>
          </rPr>
          <t xml:space="preserve">
From OFW/WDFW 2022 Joint Staff Report Table 15 p.78
https://www.dfw.state.or.us/fish/OSCRP/CRM/reports/22_reports/2022%20OR_WA%20Spring%20Joint%20Staff%20Report.pdf </t>
        </r>
      </text>
    </comment>
    <comment ref="Q1" authorId="0" shapeId="0" xr:uid="{B931A196-FAA4-4500-B33B-F26AD305DA64}">
      <text>
        <r>
          <rPr>
            <b/>
            <sz val="9"/>
            <color indexed="81"/>
            <rFont val="Tahoma"/>
            <family val="2"/>
          </rPr>
          <t xml:space="preserve">Harvest below WELLS (Zones 1-6)
</t>
        </r>
        <r>
          <rPr>
            <sz val="9"/>
            <color indexed="81"/>
            <rFont val="Tahoma"/>
            <family val="2"/>
          </rPr>
          <t xml:space="preserve">
From OFW/WDFW 2022 Joint Staff Report Table 15 p.78
https://www.dfw.state.or.us/fish/OSCRP/CRM/reports/22_reports/2022%20OR_WA%20Spring%20Joint%20Staff%20Report.pdf </t>
        </r>
      </text>
    </comment>
    <comment ref="R1" authorId="0" shapeId="0" xr:uid="{CFFDADB8-6384-48D1-8004-0B46764AB0E9}">
      <text>
        <r>
          <rPr>
            <b/>
            <sz val="9"/>
            <color indexed="81"/>
            <rFont val="Tahoma"/>
            <family val="2"/>
          </rPr>
          <t>Estimated Harvest of Okanagan-bound SK below WELLS</t>
        </r>
        <r>
          <rPr>
            <sz val="9"/>
            <color indexed="81"/>
            <rFont val="Tahoma"/>
            <family val="2"/>
          </rPr>
          <t xml:space="preserve">
based on Wells:Rock ratio</t>
        </r>
      </text>
    </comment>
    <comment ref="S1" authorId="0" shapeId="0" xr:uid="{1773ED9F-7BD3-4750-96EF-ACC421614D89}">
      <text>
        <r>
          <rPr>
            <b/>
            <sz val="9"/>
            <color indexed="81"/>
            <rFont val="Tahoma"/>
            <family val="2"/>
          </rPr>
          <t>Total SK returns to Wells</t>
        </r>
        <r>
          <rPr>
            <sz val="9"/>
            <color indexed="81"/>
            <rFont val="Tahoma"/>
            <family val="2"/>
          </rPr>
          <t xml:space="preserve"> (adjusted for fishing mortality), but not natural mortality</t>
        </r>
      </text>
    </comment>
    <comment ref="U1" authorId="1" shapeId="0" xr:uid="{C673FA24-37C2-4FAF-8964-C6979A747816}">
      <text>
        <r>
          <rPr>
            <sz val="9"/>
            <color indexed="81"/>
            <rFont val="Tahoma"/>
            <family val="2"/>
          </rPr>
          <t>using 16-hr counts at Bonn vs 16-hr counts at Wells, to not bias mainstem mort calculation [2022-10-30]</t>
        </r>
      </text>
    </comment>
    <comment ref="X1" authorId="0" shapeId="0" xr:uid="{392D2650-A9B9-498B-AF27-E5E7488B4ED1}">
      <text>
        <r>
          <rPr>
            <b/>
            <sz val="9"/>
            <color indexed="81"/>
            <rFont val="Tahoma"/>
            <family val="2"/>
          </rPr>
          <t xml:space="preserve">Okanagan Sockeye estimates at COLUMBIA RIVER MOUTH vs WELLS
</t>
        </r>
        <r>
          <rPr>
            <sz val="9"/>
            <color indexed="81"/>
            <rFont val="Tahoma"/>
            <family val="2"/>
          </rPr>
          <t>Should not be negative because that suggests more Ok Sox arrived at Wells than arrived at at the river mouth
This should be a reasonable estimate of natural mortality in the river...</t>
        </r>
      </text>
    </comment>
    <comment ref="Z1" authorId="0" shapeId="0" xr:uid="{F9E8FDC6-0D09-4D4A-BFD3-D39CDD1FEB5A}">
      <text>
        <r>
          <rPr>
            <sz val="9"/>
            <color indexed="81"/>
            <rFont val="Tahoma"/>
            <family val="2"/>
          </rPr>
          <t>Based on comparison of 16-hr counts from Mouth to Wells, but ignores (i.e., incorporates) Ok Harvest, so this is an approx survival rate (a.k.a. "conversion rate") between sites - indicative of river conditions (nat mort).</t>
        </r>
      </text>
    </comment>
    <comment ref="G2" authorId="0" shapeId="0" xr:uid="{18B8A502-9700-40D9-A84A-7B54DC5124BC}">
      <text>
        <r>
          <rPr>
            <sz val="9"/>
            <color indexed="81"/>
            <rFont val="Tahoma"/>
            <family val="2"/>
          </rPr>
          <t>Estimated from 16-hr counts (pre-1998) + average annual difference 13.2% between 16- and 24-hour counts (1998-2022; Tom Kahler pers. comm.), i.e. 16-hr count x 1.132 [hs 2022-10-17]</t>
        </r>
      </text>
    </comment>
    <comment ref="G3" authorId="0" shapeId="0" xr:uid="{EB176E4D-56EC-470F-8F37-37497FA6D95D}">
      <text>
        <r>
          <rPr>
            <sz val="9"/>
            <color indexed="81"/>
            <rFont val="Tahoma"/>
            <family val="2"/>
          </rPr>
          <t>Estimated from 16-hr counts (pre-1998) + average annual difference 13.2% between 16- and 24-hour counts (1998-2022; Tom Kahler pers. comm.), i.e. 16-hr count x 1.132 [hs 2022-10-17]</t>
        </r>
      </text>
    </comment>
    <comment ref="G4" authorId="0" shapeId="0" xr:uid="{9D4DF1DC-6917-4976-B7AC-2474B55A99B3}">
      <text>
        <r>
          <rPr>
            <sz val="9"/>
            <color indexed="81"/>
            <rFont val="Tahoma"/>
            <family val="2"/>
          </rPr>
          <t>Estimated from 16-hr counts (pre-1998) + average annual difference 13.2% between 16- and 24-hour counts (1998-2022; Tom Kahler pers. comm.), i.e. 16-hr count x 1.132 [hs 2022-10-17]</t>
        </r>
      </text>
    </comment>
    <comment ref="G5" authorId="0" shapeId="0" xr:uid="{7250E8D9-E65C-496A-961F-1159DB60B717}">
      <text>
        <r>
          <rPr>
            <sz val="9"/>
            <color indexed="81"/>
            <rFont val="Tahoma"/>
            <family val="2"/>
          </rPr>
          <t>Estimated from 16-hr counts (pre-1998) + average annual difference 13.2% between 16- and 24-hour counts (1998-2022; Tom Kahler pers. comm.), i.e. 16-hr count x 1.132 [hs 2022-10-17]</t>
        </r>
      </text>
    </comment>
    <comment ref="G6" authorId="0" shapeId="0" xr:uid="{03D10143-C6D8-468D-857C-3E9FBD8425F2}">
      <text>
        <r>
          <rPr>
            <sz val="9"/>
            <color indexed="81"/>
            <rFont val="Tahoma"/>
            <family val="2"/>
          </rPr>
          <t>Estimated from 16-hr counts (pre-1998) + average annual difference 13.2% between 16- and 24-hour counts (1998-2022; Tom Kahler pers. comm.), i.e. 16-hr count x 1.132 [hs 2022-10-17]</t>
        </r>
      </text>
    </comment>
    <comment ref="G7" authorId="0" shapeId="0" xr:uid="{BCA20931-3461-4924-BFB3-F20AD2EA58CB}">
      <text>
        <r>
          <rPr>
            <sz val="9"/>
            <color indexed="81"/>
            <rFont val="Tahoma"/>
            <family val="2"/>
          </rPr>
          <t>Estimated from 16-hr counts (pre-1998) + average annual difference 13.2% between 16- and 24-hour counts (1998-2022; Tom Kahler pers. comm.), i.e. 16-hr count x 1.132 [hs 2022-10-17]</t>
        </r>
      </text>
    </comment>
    <comment ref="G8" authorId="0" shapeId="0" xr:uid="{237CA34B-ED52-4668-9B4C-E6575E1EE017}">
      <text>
        <r>
          <rPr>
            <sz val="9"/>
            <color indexed="81"/>
            <rFont val="Tahoma"/>
            <family val="2"/>
          </rPr>
          <t>Estimated from 16-hr counts (pre-1998) + average annual difference 13.2% between 16- and 24-hour counts (1998-2022; Tom Kahler pers. comm.), i.e. 16-hr count x 1.132 [hs 2022-10-17]</t>
        </r>
      </text>
    </comment>
    <comment ref="G9" authorId="0" shapeId="0" xr:uid="{2C29F53B-7470-4FD0-B3F7-F769E75408C6}">
      <text>
        <r>
          <rPr>
            <sz val="9"/>
            <color indexed="81"/>
            <rFont val="Tahoma"/>
            <family val="2"/>
          </rPr>
          <t>Estimated from 16-hr counts (pre-1998) + average annual difference 13.2% between 16- and 24-hour counts (1998-2022; Tom Kahler pers. comm.), i.e. 16-hr count x 1.132 [hs 2022-10-17]</t>
        </r>
      </text>
    </comment>
    <comment ref="L9" authorId="0" shapeId="0" xr:uid="{C7F04449-7105-4897-90D9-FB206F4281F4}">
      <text>
        <r>
          <rPr>
            <sz val="9"/>
            <color indexed="81"/>
            <rFont val="Tahoma"/>
            <family val="2"/>
          </rPr>
          <t>Need to examine the PIT tag and/or DNA methods available for these years to determine whether these are better than Wells:Rock ratio for stock composition.</t>
        </r>
      </text>
    </comment>
    <comment ref="G10" authorId="0" shapeId="0" xr:uid="{FAFE9A6D-B9D3-4B95-BD48-6986EDCED05C}">
      <text>
        <r>
          <rPr>
            <sz val="9"/>
            <color indexed="81"/>
            <rFont val="Tahoma"/>
            <family val="2"/>
          </rPr>
          <t>Estimated from 16-hr counts (pre-1998) + average annual difference 13.2% between 16- and 24-hour counts (1998-2022; Tom Kahler pers. comm.), i.e. 16-hr count x 1.132 [hs 2022-10-17]</t>
        </r>
      </text>
    </comment>
    <comment ref="G11" authorId="0" shapeId="0" xr:uid="{DA01626B-45CB-487A-80BA-E8C7AEA2896A}">
      <text>
        <r>
          <rPr>
            <sz val="9"/>
            <color indexed="81"/>
            <rFont val="Tahoma"/>
            <family val="2"/>
          </rPr>
          <t>Estimated from 16-hr counts (pre-1998) + average annual difference 13.2% between 16- and 24-hour counts (1998-2022; Tom Kahler pers. comm.), i.e. 16-hr count x 1.132 [hs 2022-10-17]</t>
        </r>
      </text>
    </comment>
    <comment ref="G12" authorId="0" shapeId="0" xr:uid="{32BDBB06-6B57-4976-A77E-1749632C4456}">
      <text>
        <r>
          <rPr>
            <sz val="9"/>
            <color indexed="81"/>
            <rFont val="Tahoma"/>
            <family val="2"/>
          </rPr>
          <t>Estimated from 16-hr counts (pre-1998) + average annual difference 13.2% between 16- and 24-hour counts (1998-2022; Tom Kahler pers. comm.), i.e. 16-hr count x 1.132 [hs 2022-10-17]</t>
        </r>
      </text>
    </comment>
    <comment ref="G13" authorId="0" shapeId="0" xr:uid="{A4CA3F1A-A4C0-475F-86F8-2808AF529710}">
      <text>
        <r>
          <rPr>
            <sz val="9"/>
            <color indexed="81"/>
            <rFont val="Tahoma"/>
            <family val="2"/>
          </rPr>
          <t>Estimated from 16-hr counts (pre-1998) + average annual difference 13.2% between 16- and 24-hour counts (1998-2022; Tom Kahler pers. comm.), i.e. 16-hr count x 1.132 [hs 2022-10-17]</t>
        </r>
      </text>
    </comment>
    <comment ref="G14" authorId="0" shapeId="0" xr:uid="{A702D50C-9668-4F9A-830A-23FAFF3E98B4}">
      <text>
        <r>
          <rPr>
            <sz val="9"/>
            <color indexed="81"/>
            <rFont val="Tahoma"/>
            <family val="2"/>
          </rPr>
          <t>Estimated from 16-hr counts (pre-1998) + average annual difference 13.2% between 16- and 24-hour counts (1998-2022; Tom Kahler pers. comm.), i.e. 16-hr count x 1.132 [hs 2022-10-17]</t>
        </r>
      </text>
    </comment>
    <comment ref="E15" authorId="1" shapeId="0" xr:uid="{F18DF3F9-994E-4F06-B128-F21C6856E9DB}">
      <text>
        <r>
          <rPr>
            <b/>
            <sz val="9"/>
            <color indexed="81"/>
            <rFont val="Tahoma"/>
            <family val="2"/>
          </rPr>
          <t xml:space="preserve">typo in last digit in Joint WDFW/ODFG report table 15? </t>
        </r>
        <r>
          <rPr>
            <sz val="9"/>
            <color indexed="81"/>
            <rFont val="Tahoma"/>
            <family val="2"/>
          </rPr>
          <t>[hs 2022-10-29]</t>
        </r>
      </text>
    </comment>
    <comment ref="G15" authorId="0" shapeId="0" xr:uid="{99C7D7E6-8124-4ADF-ADE1-FE961074A495}">
      <text>
        <r>
          <rPr>
            <sz val="9"/>
            <color indexed="81"/>
            <rFont val="Tahoma"/>
            <family val="2"/>
          </rPr>
          <t>Estimated from 16-hr counts (pre-1998) + average annual difference 13.2% between 16- and 24-hour counts (1998-2022; Tom Kahler pers. comm.), i.e. 16-hr count x 1.132 [hs 2022-10-17]</t>
        </r>
      </text>
    </comment>
    <comment ref="G16" authorId="0" shapeId="0" xr:uid="{52222E1C-BA52-4B75-835E-8E065EE9020B}">
      <text>
        <r>
          <rPr>
            <sz val="9"/>
            <color indexed="81"/>
            <rFont val="Tahoma"/>
            <family val="2"/>
          </rPr>
          <t>Estimated from 16-hr counts (pre-1998) + average annual difference 13.2% between 16- and 24-hour counts (1998-2022; Tom Kahler pers. comm.), i.e. 16-hr count x 1.132 [hs 2022-10-17]</t>
        </r>
      </text>
    </comment>
    <comment ref="G17" authorId="0" shapeId="0" xr:uid="{8AA26E4D-A9B7-4AFE-8AC1-4314064F5F78}">
      <text>
        <r>
          <rPr>
            <sz val="9"/>
            <color indexed="81"/>
            <rFont val="Tahoma"/>
            <family val="2"/>
          </rPr>
          <t>Estimated from 16-hr counts (pre-1998) + average annual difference 13.2% between 16- and 24-hour counts (1998-2022; Tom Kahler pers. comm.), i.e. 16-hr count x 1.132 [hs 2022-10-17]</t>
        </r>
      </text>
    </comment>
    <comment ref="G18" authorId="0" shapeId="0" xr:uid="{10A37C35-08F5-429E-B51C-C4D143984CB5}">
      <text>
        <r>
          <rPr>
            <sz val="9"/>
            <color indexed="81"/>
            <rFont val="Tahoma"/>
            <family val="2"/>
          </rPr>
          <t>Estimated from 16-hr counts (pre-1998) + average annual difference 13.2% between 16- and 24-hour counts (1998-2022; Tom Kahler pers. comm.), i.e. 16-hr count x 1.132 [hs 2022-10-17]</t>
        </r>
      </text>
    </comment>
    <comment ref="G19" authorId="0" shapeId="0" xr:uid="{130A97AA-E08E-4193-A859-593E95E0452E}">
      <text>
        <r>
          <rPr>
            <sz val="9"/>
            <color indexed="81"/>
            <rFont val="Tahoma"/>
            <family val="2"/>
          </rPr>
          <t>Estimated from 16-hr counts (pre-1998) + average annual difference 13.2% between 16- and 24-hour counts (1998-2022; Tom Kahler pers. comm.), i.e. 16-hr count x 1.132 [hs 2022-10-17]</t>
        </r>
      </text>
    </comment>
    <comment ref="E20" authorId="1" shapeId="0" xr:uid="{C6B95C30-CF65-4545-A6E4-BEFDE2642658}">
      <text>
        <r>
          <rPr>
            <b/>
            <sz val="9"/>
            <color indexed="81"/>
            <rFont val="Tahoma"/>
            <family val="2"/>
          </rPr>
          <t xml:space="preserve">typo in last digit in Joint WDFW/ODFG report table 15? </t>
        </r>
        <r>
          <rPr>
            <sz val="9"/>
            <color indexed="81"/>
            <rFont val="Tahoma"/>
            <family val="2"/>
          </rPr>
          <t>[hs 2022-10-29]</t>
        </r>
      </text>
    </comment>
    <comment ref="F20" authorId="0" shapeId="0" xr:uid="{A768D476-DC75-4105-8240-5B2726521882}">
      <text>
        <r>
          <rPr>
            <sz val="9"/>
            <color indexed="81"/>
            <rFont val="Tahoma"/>
            <family val="2"/>
          </rPr>
          <t>Source of 16-hour counts Tom Kahler DCPUD (Oct 2022)</t>
        </r>
      </text>
    </comment>
    <comment ref="F21" authorId="0" shapeId="0" xr:uid="{C324A5F2-8607-4B22-AA10-06E5B307759B}">
      <text>
        <r>
          <rPr>
            <sz val="9"/>
            <color indexed="81"/>
            <rFont val="Tahoma"/>
            <family val="2"/>
          </rPr>
          <t>Source of 16-hour counts Tom Kahler DCPUD (Oct 2022)</t>
        </r>
      </text>
    </comment>
    <comment ref="F22" authorId="0" shapeId="0" xr:uid="{EBD0E3E3-08B5-41DB-BEF1-625642FDA0DB}">
      <text>
        <r>
          <rPr>
            <sz val="9"/>
            <color indexed="81"/>
            <rFont val="Tahoma"/>
            <family val="2"/>
          </rPr>
          <t>Source of 16-hour counts Tom Kahler DCPUD (Oct 2022)</t>
        </r>
      </text>
    </comment>
    <comment ref="F23" authorId="0" shapeId="0" xr:uid="{E15E677E-FF15-4D97-BAA3-C316F15C6A24}">
      <text>
        <r>
          <rPr>
            <sz val="9"/>
            <color indexed="81"/>
            <rFont val="Tahoma"/>
            <family val="2"/>
          </rPr>
          <t>Source of 16-hour counts Tom Kahler DCPUD (Oct 2022)</t>
        </r>
      </text>
    </comment>
    <comment ref="F24" authorId="0" shapeId="0" xr:uid="{2A2FBD54-A1A6-4A1C-A054-9B83459A3319}">
      <text>
        <r>
          <rPr>
            <sz val="9"/>
            <color indexed="81"/>
            <rFont val="Tahoma"/>
            <family val="2"/>
          </rPr>
          <t>Source of 16-hour counts Tom Kahler DCPUD (Oct 2022)</t>
        </r>
      </text>
    </comment>
    <comment ref="F25" authorId="0" shapeId="0" xr:uid="{0691610B-F2D8-48BA-A68A-AEAEF5759358}">
      <text>
        <r>
          <rPr>
            <sz val="9"/>
            <color indexed="81"/>
            <rFont val="Tahoma"/>
            <family val="2"/>
          </rPr>
          <t>Source of 16-hour counts Tom Kahler DCPUD (Oct 2022)</t>
        </r>
      </text>
    </comment>
    <comment ref="F26" authorId="0" shapeId="0" xr:uid="{A65A5A3E-13F2-44C5-8EC1-D87C8894F416}">
      <text>
        <r>
          <rPr>
            <sz val="9"/>
            <color indexed="81"/>
            <rFont val="Tahoma"/>
            <family val="2"/>
          </rPr>
          <t>Source of 16-hour counts Tom Kahler DCPUD (Oct 2022)</t>
        </r>
      </text>
    </comment>
    <comment ref="F27" authorId="0" shapeId="0" xr:uid="{1F130311-7AB7-49AF-ACE9-637D8C26E2ED}">
      <text>
        <r>
          <rPr>
            <sz val="9"/>
            <color indexed="81"/>
            <rFont val="Tahoma"/>
            <family val="2"/>
          </rPr>
          <t>Source of 16-hour counts Tom Kahler DCPUD (Oct 2022)</t>
        </r>
      </text>
    </comment>
    <comment ref="F28" authorId="0" shapeId="0" xr:uid="{7F5DE7FD-97F3-4212-815C-0C92F343C37A}">
      <text>
        <r>
          <rPr>
            <sz val="9"/>
            <color indexed="81"/>
            <rFont val="Tahoma"/>
            <family val="2"/>
          </rPr>
          <t>Source of 16-hour counts Tom Kahler DCPUD (Oct 2022)</t>
        </r>
      </text>
    </comment>
    <comment ref="F29" authorId="0" shapeId="0" xr:uid="{525B5044-CE7A-412A-9AF5-78A9C09C6B7C}">
      <text>
        <r>
          <rPr>
            <sz val="9"/>
            <color indexed="81"/>
            <rFont val="Tahoma"/>
            <family val="2"/>
          </rPr>
          <t>Source of 16-hour counts Tom Kahler DCPUD (Oct 2022)</t>
        </r>
      </text>
    </comment>
    <comment ref="F30" authorId="0" shapeId="0" xr:uid="{B100C01C-8644-4E87-B08F-1A3EFBD8B5BF}">
      <text>
        <r>
          <rPr>
            <sz val="9"/>
            <color indexed="81"/>
            <rFont val="Tahoma"/>
            <family val="2"/>
          </rPr>
          <t>Source of 16-hour counts Tom Kahler DCPUD (Oct 2022)</t>
        </r>
      </text>
    </comment>
    <comment ref="F31" authorId="0" shapeId="0" xr:uid="{D6A17456-8DE3-42B9-8D13-4D6DBC847C44}">
      <text>
        <r>
          <rPr>
            <sz val="9"/>
            <color indexed="81"/>
            <rFont val="Tahoma"/>
            <family val="2"/>
          </rPr>
          <t>Source of 16-hour counts Tom Kahler DCPUD (Oct 2022)</t>
        </r>
      </text>
    </comment>
    <comment ref="F32" authorId="0" shapeId="0" xr:uid="{A623F4A8-9B9D-4ABF-AABB-1E483AA345F5}">
      <text>
        <r>
          <rPr>
            <sz val="9"/>
            <color indexed="81"/>
            <rFont val="Tahoma"/>
            <family val="2"/>
          </rPr>
          <t>Source of 16-hour counts Tom Kahler DCPUD (Oct 2022)</t>
        </r>
      </text>
    </comment>
    <comment ref="F33" authorId="0" shapeId="0" xr:uid="{9533EE34-91B6-4F19-ADE0-7AE6A523E13D}">
      <text>
        <r>
          <rPr>
            <sz val="9"/>
            <color indexed="81"/>
            <rFont val="Tahoma"/>
            <family val="2"/>
          </rPr>
          <t>Source of 16-hour counts Tom Kahler DCPUD (Oct 2022)</t>
        </r>
      </text>
    </comment>
    <comment ref="F34" authorId="0" shapeId="0" xr:uid="{70F58395-BD7E-408D-8FA4-666EB5EB4219}">
      <text>
        <r>
          <rPr>
            <sz val="9"/>
            <color indexed="81"/>
            <rFont val="Tahoma"/>
            <family val="2"/>
          </rPr>
          <t>Source of 16-hour counts Tom Kahler DCPUD (Oct 2022)</t>
        </r>
      </text>
    </comment>
    <comment ref="F35" authorId="0" shapeId="0" xr:uid="{AB4F0A16-8307-4E56-8749-84733298F6E7}">
      <text>
        <r>
          <rPr>
            <sz val="9"/>
            <color indexed="81"/>
            <rFont val="Tahoma"/>
            <family val="2"/>
          </rPr>
          <t>Source of 16-hour counts Tom Kahler DCPUD (Oct 2022)</t>
        </r>
      </text>
    </comment>
    <comment ref="F36" authorId="0" shapeId="0" xr:uid="{F96A51D9-0808-4E4A-BF3D-BBDD532514E5}">
      <text>
        <r>
          <rPr>
            <sz val="9"/>
            <color indexed="81"/>
            <rFont val="Tahoma"/>
            <family val="2"/>
          </rPr>
          <t>Source of 16-hour counts Tom Kahler DCPUD (Oct 2022)</t>
        </r>
      </text>
    </comment>
    <comment ref="F37" authorId="0" shapeId="0" xr:uid="{A2EFE412-5975-4CCB-A523-F80D21B4D5E1}">
      <text>
        <r>
          <rPr>
            <sz val="9"/>
            <color indexed="81"/>
            <rFont val="Tahoma"/>
            <family val="2"/>
          </rPr>
          <t>Source of 16-hour counts Tom Kahler DCPUD (Oct 2022)</t>
        </r>
      </text>
    </comment>
    <comment ref="F38" authorId="0" shapeId="0" xr:uid="{CE12A7C5-0EB6-4817-976D-5A1194D4A974}">
      <text>
        <r>
          <rPr>
            <sz val="9"/>
            <color indexed="81"/>
            <rFont val="Tahoma"/>
            <family val="2"/>
          </rPr>
          <t>Source of 16-hour counts Tom Kahler DCPUD (Oct 2022)</t>
        </r>
      </text>
    </comment>
    <comment ref="F39" authorId="0" shapeId="0" xr:uid="{CD55B620-D5F5-4B52-87EB-AA7322EA7353}">
      <text>
        <r>
          <rPr>
            <sz val="9"/>
            <color indexed="81"/>
            <rFont val="Tahoma"/>
            <family val="2"/>
          </rPr>
          <t>Source of 16-hour counts Tom Kahler DCPUD (Oct 2022)</t>
        </r>
      </text>
    </comment>
    <comment ref="F40" authorId="0" shapeId="0" xr:uid="{42679EFC-091D-473C-ADA1-A73D73473492}">
      <text>
        <r>
          <rPr>
            <sz val="9"/>
            <color indexed="81"/>
            <rFont val="Tahoma"/>
            <family val="2"/>
          </rPr>
          <t>Source of 16-hour counts Tom Kahler DCPUD (Oct 2022)</t>
        </r>
      </text>
    </comment>
    <comment ref="F41" authorId="0" shapeId="0" xr:uid="{27CC082D-052A-48CB-8A66-58A495C8B7CE}">
      <text>
        <r>
          <rPr>
            <sz val="9"/>
            <color indexed="81"/>
            <rFont val="Tahoma"/>
            <family val="2"/>
          </rPr>
          <t>Source of 16-hour counts Tom Kahler DCPUD (Oct 2022)</t>
        </r>
      </text>
    </comment>
    <comment ref="F42" authorId="0" shapeId="0" xr:uid="{7C03C55D-28F5-4D78-89F6-2FA0D7081F9D}">
      <text>
        <r>
          <rPr>
            <sz val="9"/>
            <color indexed="81"/>
            <rFont val="Tahoma"/>
            <family val="2"/>
          </rPr>
          <t>Source of 16-hour counts Tom Kahler DCPUD (Oct 2022)</t>
        </r>
      </text>
    </comment>
    <comment ref="F43" authorId="0" shapeId="0" xr:uid="{0C199B9F-17EF-4238-9AE8-ED45AA0711CB}">
      <text>
        <r>
          <rPr>
            <sz val="9"/>
            <color indexed="81"/>
            <rFont val="Tahoma"/>
            <family val="2"/>
          </rPr>
          <t>Source of 16-hour counts Tom Kahler DCPUD (Oct 2022)</t>
        </r>
      </text>
    </comment>
    <comment ref="A44" authorId="1" shapeId="0" xr:uid="{5789CE7A-7468-4B34-8477-89C188D1BC86}">
      <text>
        <r>
          <rPr>
            <b/>
            <sz val="9"/>
            <color indexed="81"/>
            <rFont val="Tahoma"/>
            <family val="2"/>
          </rPr>
          <t>Preliminary</t>
        </r>
      </text>
    </comment>
    <comment ref="B44" authorId="1" shapeId="0" xr:uid="{66C6880C-9B10-4E2A-8786-D2315C7C6B3E}">
      <text>
        <r>
          <rPr>
            <sz val="9"/>
            <color indexed="81"/>
            <rFont val="Tahoma"/>
            <family val="2"/>
          </rPr>
          <t>No harvest data in Zones 1-6 available yet (2022-10-30)</t>
        </r>
      </text>
    </comment>
    <comment ref="F44" authorId="0" shapeId="0" xr:uid="{33C0CA6A-02D5-49C5-918A-A81FD177E6E0}">
      <text>
        <r>
          <rPr>
            <sz val="9"/>
            <color indexed="81"/>
            <rFont val="Tahoma"/>
            <family val="2"/>
          </rPr>
          <t>Source of 16-hour counts Tom Kahler DCPUD (Oct 2022)</t>
        </r>
      </text>
    </comment>
  </commentList>
</comments>
</file>

<file path=xl/sharedStrings.xml><?xml version="1.0" encoding="utf-8"?>
<sst xmlns="http://schemas.openxmlformats.org/spreadsheetml/2006/main" count="1724" uniqueCount="522">
  <si>
    <t>Smolt Migration Year</t>
  </si>
  <si>
    <t>Age 1</t>
  </si>
  <si>
    <t>Age 2</t>
  </si>
  <si>
    <t>Total</t>
  </si>
  <si>
    <t>Start Date</t>
  </si>
  <si>
    <t>1st Quartile (25%)</t>
  </si>
  <si>
    <t>Median (TT50%) or Peak</t>
  </si>
  <si>
    <t>3st Quartile (75%)</t>
  </si>
  <si>
    <t>End Date</t>
  </si>
  <si>
    <t>General Comments</t>
  </si>
  <si>
    <t>Environmental Conditions of Note</t>
  </si>
  <si>
    <t>Adult Return Year</t>
  </si>
  <si>
    <t>Other</t>
  </si>
  <si>
    <t>Weighted Mean</t>
  </si>
  <si>
    <r>
      <t>Smolt Migration Timing</t>
    </r>
    <r>
      <rPr>
        <sz val="11"/>
        <color rgb="FF0070C0"/>
        <rFont val="Calibri"/>
        <family val="2"/>
        <scheme val="minor"/>
      </rPr>
      <t xml:space="preserve"> (m/d/y)</t>
    </r>
  </si>
  <si>
    <t>CU Name</t>
  </si>
  <si>
    <t>CU Index</t>
  </si>
  <si>
    <r>
      <t>Adult Migration Timing</t>
    </r>
    <r>
      <rPr>
        <sz val="11"/>
        <color theme="1"/>
        <rFont val="Calibri"/>
        <family val="2"/>
        <scheme val="minor"/>
      </rPr>
      <t xml:space="preserve"> </t>
    </r>
    <r>
      <rPr>
        <sz val="11"/>
        <color rgb="FF0070C0"/>
        <rFont val="Calibri"/>
        <family val="2"/>
        <scheme val="minor"/>
      </rPr>
      <t>(m/d/y)</t>
    </r>
  </si>
  <si>
    <t>Adult Data</t>
  </si>
  <si>
    <t>Contact Info</t>
  </si>
  <si>
    <t>Here are some notes, and some problems</t>
  </si>
  <si>
    <t>Median (TT50%) or Peak Date</t>
  </si>
  <si>
    <t>Spring drought</t>
  </si>
  <si>
    <r>
      <t>1.1 (3</t>
    </r>
    <r>
      <rPr>
        <vertAlign val="subscript"/>
        <sz val="11"/>
        <color theme="1"/>
        <rFont val="Calibri"/>
        <family val="2"/>
        <scheme val="minor"/>
      </rPr>
      <t>2</t>
    </r>
    <r>
      <rPr>
        <sz val="11"/>
        <color theme="1"/>
        <rFont val="Calibri"/>
        <family val="2"/>
        <scheme val="minor"/>
      </rPr>
      <t>)</t>
    </r>
  </si>
  <si>
    <r>
      <t>1.2 (4</t>
    </r>
    <r>
      <rPr>
        <vertAlign val="subscript"/>
        <sz val="11"/>
        <color theme="1"/>
        <rFont val="Calibri"/>
        <family val="2"/>
        <scheme val="minor"/>
      </rPr>
      <t>2</t>
    </r>
    <r>
      <rPr>
        <sz val="11"/>
        <color theme="1"/>
        <rFont val="Calibri"/>
        <family val="2"/>
        <scheme val="minor"/>
      </rPr>
      <t>)</t>
    </r>
  </si>
  <si>
    <r>
      <t>2.1 (4</t>
    </r>
    <r>
      <rPr>
        <vertAlign val="subscript"/>
        <sz val="11"/>
        <color theme="1"/>
        <rFont val="Calibri"/>
        <family val="2"/>
        <scheme val="minor"/>
      </rPr>
      <t>3</t>
    </r>
    <r>
      <rPr>
        <sz val="11"/>
        <color theme="1"/>
        <rFont val="Calibri"/>
        <family val="2"/>
        <scheme val="minor"/>
      </rPr>
      <t>)</t>
    </r>
  </si>
  <si>
    <r>
      <t>1.3 (5</t>
    </r>
    <r>
      <rPr>
        <vertAlign val="subscript"/>
        <sz val="11"/>
        <color theme="1"/>
        <rFont val="Calibri"/>
        <family val="2"/>
        <scheme val="minor"/>
      </rPr>
      <t>2</t>
    </r>
    <r>
      <rPr>
        <sz val="11"/>
        <color theme="1"/>
        <rFont val="Calibri"/>
        <family val="2"/>
        <scheme val="minor"/>
      </rPr>
      <t>)</t>
    </r>
  </si>
  <si>
    <r>
      <t>2.2 (5</t>
    </r>
    <r>
      <rPr>
        <vertAlign val="subscript"/>
        <sz val="11"/>
        <color theme="1"/>
        <rFont val="Calibri"/>
        <family val="2"/>
        <scheme val="minor"/>
      </rPr>
      <t>3</t>
    </r>
    <r>
      <rPr>
        <sz val="11"/>
        <color theme="1"/>
        <rFont val="Calibri"/>
        <family val="2"/>
        <scheme val="minor"/>
      </rPr>
      <t>)</t>
    </r>
  </si>
  <si>
    <r>
      <t>2.3 (6</t>
    </r>
    <r>
      <rPr>
        <vertAlign val="subscript"/>
        <sz val="11"/>
        <color theme="1"/>
        <rFont val="Calibri"/>
        <family val="2"/>
        <scheme val="minor"/>
      </rPr>
      <t>3</t>
    </r>
    <r>
      <rPr>
        <sz val="11"/>
        <color theme="1"/>
        <rFont val="Calibri"/>
        <family val="2"/>
        <scheme val="minor"/>
      </rPr>
      <t>)</t>
    </r>
  </si>
  <si>
    <t>Worksheet</t>
  </si>
  <si>
    <t>Instructions</t>
  </si>
  <si>
    <t>Age 2's estimated - not encountered in sampling</t>
  </si>
  <si>
    <t>Age 2's not sampled - multi-year mean used</t>
  </si>
  <si>
    <t>Age 2's not sampled - weight estimated from length-weight regression</t>
  </si>
  <si>
    <t>Age 0</t>
  </si>
  <si>
    <r>
      <t xml:space="preserve">Smolt Migrant Abundance </t>
    </r>
    <r>
      <rPr>
        <sz val="11"/>
        <color rgb="FF0070C0"/>
        <rFont val="Calibri"/>
        <family val="2"/>
        <scheme val="minor"/>
      </rPr>
      <t>(#fish)</t>
    </r>
  </si>
  <si>
    <t>Pre-Smolt (Fry) Data</t>
  </si>
  <si>
    <r>
      <t xml:space="preserve">Abundance </t>
    </r>
    <r>
      <rPr>
        <sz val="11"/>
        <color rgb="FF0070C0"/>
        <rFont val="Calibri"/>
        <family val="2"/>
        <scheme val="minor"/>
      </rPr>
      <t>(#fish)</t>
    </r>
  </si>
  <si>
    <r>
      <t>Weight</t>
    </r>
    <r>
      <rPr>
        <sz val="11"/>
        <color rgb="FF0070C0"/>
        <rFont val="Calibri"/>
        <family val="2"/>
        <scheme val="minor"/>
      </rPr>
      <t xml:space="preserve"> (g)</t>
    </r>
  </si>
  <si>
    <r>
      <t>Mean Fork Length</t>
    </r>
    <r>
      <rPr>
        <sz val="11"/>
        <color rgb="FF0070C0"/>
        <rFont val="Calibri"/>
        <family val="2"/>
        <scheme val="minor"/>
      </rPr>
      <t xml:space="preserve"> (mm)</t>
    </r>
  </si>
  <si>
    <t>Fresh weights only</t>
  </si>
  <si>
    <t>Fake Lake</t>
  </si>
  <si>
    <t>FAK-00-00</t>
  </si>
  <si>
    <t>Std'ized from EtOH preservative</t>
  </si>
  <si>
    <t>Methods Notes</t>
  </si>
  <si>
    <t>Std'ized from Formaldehyde preservative</t>
  </si>
  <si>
    <t xml:space="preserve"> </t>
  </si>
  <si>
    <r>
      <t>Smolt Fork Length</t>
    </r>
    <r>
      <rPr>
        <b/>
        <sz val="11"/>
        <color rgb="FF0070C0"/>
        <rFont val="Calibri"/>
        <family val="2"/>
        <scheme val="minor"/>
      </rPr>
      <t xml:space="preserve"> </t>
    </r>
    <r>
      <rPr>
        <sz val="11"/>
        <color rgb="FF0070C0"/>
        <rFont val="Calibri"/>
        <family val="2"/>
        <scheme val="minor"/>
      </rPr>
      <t>(mm)</t>
    </r>
  </si>
  <si>
    <r>
      <t>Smolt Std Weight</t>
    </r>
    <r>
      <rPr>
        <sz val="11"/>
        <color rgb="FF0070C0"/>
        <rFont val="Calibri"/>
        <family val="2"/>
        <scheme val="minor"/>
      </rPr>
      <t xml:space="preserve"> (g)</t>
    </r>
  </si>
  <si>
    <r>
      <rPr>
        <b/>
        <sz val="11"/>
        <color theme="1"/>
        <rFont val="Calibri"/>
        <family val="2"/>
        <scheme val="minor"/>
      </rPr>
      <t>Smolt Sample Size</t>
    </r>
    <r>
      <rPr>
        <sz val="11"/>
        <color rgb="FF0070C0"/>
        <rFont val="Calibri"/>
        <family val="2"/>
        <scheme val="minor"/>
      </rPr>
      <t xml:space="preserve"> (#fish)</t>
    </r>
  </si>
  <si>
    <t>Field crew N/A due to COVID precautions; Peak date est'd</t>
  </si>
  <si>
    <t>Spring flood - early April - no Start Date counts</t>
  </si>
  <si>
    <t>Fyke net</t>
  </si>
  <si>
    <t>Fence</t>
  </si>
  <si>
    <t>RST</t>
  </si>
  <si>
    <t>Age 1 (%)</t>
  </si>
  <si>
    <r>
      <t xml:space="preserve">Total Returns (C+H+E+M) </t>
    </r>
    <r>
      <rPr>
        <sz val="11"/>
        <color rgb="FF0070C0"/>
        <rFont val="Calibri"/>
        <family val="2"/>
        <scheme val="minor"/>
      </rPr>
      <t>(#fish)</t>
    </r>
  </si>
  <si>
    <t>ATS late winter</t>
  </si>
  <si>
    <t>ATS late fall (Oct)</t>
  </si>
  <si>
    <t>No ATS - estimated from multi-year fry:smolt abund. relationship</t>
  </si>
  <si>
    <t>Mean of Jan/Feb surveys</t>
  </si>
  <si>
    <r>
      <t>1.1 (3</t>
    </r>
    <r>
      <rPr>
        <vertAlign val="subscript"/>
        <sz val="11"/>
        <color theme="1"/>
        <rFont val="Calibri"/>
        <family val="2"/>
        <scheme val="minor"/>
      </rPr>
      <t>2</t>
    </r>
    <r>
      <rPr>
        <sz val="11"/>
        <color theme="1"/>
        <rFont val="Calibri"/>
        <family val="2"/>
        <scheme val="minor"/>
      </rPr>
      <t>)</t>
    </r>
  </si>
  <si>
    <r>
      <t>1.2 (4</t>
    </r>
    <r>
      <rPr>
        <vertAlign val="subscript"/>
        <sz val="11"/>
        <color theme="1"/>
        <rFont val="Calibri"/>
        <family val="2"/>
        <scheme val="minor"/>
      </rPr>
      <t>2</t>
    </r>
    <r>
      <rPr>
        <sz val="11"/>
        <color theme="1"/>
        <rFont val="Calibri"/>
        <family val="2"/>
        <scheme val="minor"/>
      </rPr>
      <t>)</t>
    </r>
  </si>
  <si>
    <r>
      <t>2.1 (4</t>
    </r>
    <r>
      <rPr>
        <vertAlign val="subscript"/>
        <sz val="11"/>
        <color theme="1"/>
        <rFont val="Calibri"/>
        <family val="2"/>
        <scheme val="minor"/>
      </rPr>
      <t>3</t>
    </r>
    <r>
      <rPr>
        <sz val="11"/>
        <color theme="1"/>
        <rFont val="Calibri"/>
        <family val="2"/>
        <scheme val="minor"/>
      </rPr>
      <t>)</t>
    </r>
  </si>
  <si>
    <r>
      <t>1.3 (5</t>
    </r>
    <r>
      <rPr>
        <vertAlign val="subscript"/>
        <sz val="11"/>
        <color theme="1"/>
        <rFont val="Calibri"/>
        <family val="2"/>
        <scheme val="minor"/>
      </rPr>
      <t>2</t>
    </r>
    <r>
      <rPr>
        <sz val="11"/>
        <color theme="1"/>
        <rFont val="Calibri"/>
        <family val="2"/>
        <scheme val="minor"/>
      </rPr>
      <t>)</t>
    </r>
  </si>
  <si>
    <r>
      <t>2.2 (5</t>
    </r>
    <r>
      <rPr>
        <vertAlign val="subscript"/>
        <sz val="11"/>
        <color theme="1"/>
        <rFont val="Calibri"/>
        <family val="2"/>
        <scheme val="minor"/>
      </rPr>
      <t>3</t>
    </r>
    <r>
      <rPr>
        <sz val="11"/>
        <color theme="1"/>
        <rFont val="Calibri"/>
        <family val="2"/>
        <scheme val="minor"/>
      </rPr>
      <t>)</t>
    </r>
  </si>
  <si>
    <r>
      <t>2.3 (6</t>
    </r>
    <r>
      <rPr>
        <vertAlign val="subscript"/>
        <sz val="11"/>
        <color theme="1"/>
        <rFont val="Calibri"/>
        <family val="2"/>
        <scheme val="minor"/>
      </rPr>
      <t>3</t>
    </r>
    <r>
      <rPr>
        <sz val="11"/>
        <color theme="1"/>
        <rFont val="Calibri"/>
        <family val="2"/>
        <scheme val="minor"/>
      </rPr>
      <t>)</t>
    </r>
  </si>
  <si>
    <r>
      <t>Mean Fresh Weight</t>
    </r>
    <r>
      <rPr>
        <b/>
        <sz val="11"/>
        <color rgb="FF0070C0"/>
        <rFont val="Calibri"/>
        <family val="2"/>
        <scheme val="minor"/>
      </rPr>
      <t xml:space="preserve"> </t>
    </r>
    <r>
      <rPr>
        <sz val="11"/>
        <color rgb="FF0070C0"/>
        <rFont val="Calibri"/>
        <family val="2"/>
        <scheme val="minor"/>
      </rPr>
      <t>(kg)</t>
    </r>
  </si>
  <si>
    <t>converted from PO-HYP</t>
  </si>
  <si>
    <t>Mean of prev. summer/fall surveys only</t>
  </si>
  <si>
    <t>FL</t>
  </si>
  <si>
    <t>Wt</t>
  </si>
  <si>
    <t>N</t>
  </si>
  <si>
    <t>Weighted Mean Length</t>
  </si>
  <si>
    <t>Total N</t>
  </si>
  <si>
    <t>Weighted Mean Weight</t>
  </si>
  <si>
    <r>
      <t>Biosample Size</t>
    </r>
    <r>
      <rPr>
        <sz val="11"/>
        <color rgb="FF0070C0"/>
        <rFont val="Calibri"/>
        <family val="2"/>
        <scheme val="minor"/>
      </rPr>
      <t xml:space="preserve"> (#fish)</t>
    </r>
  </si>
  <si>
    <t>1.1 (32)</t>
  </si>
  <si>
    <t>1.2 (42)</t>
  </si>
  <si>
    <t>2.1 (43)</t>
  </si>
  <si>
    <t>1.3 (52)</t>
  </si>
  <si>
    <t>2.2 (53)</t>
  </si>
  <si>
    <t>2.3 (63)</t>
  </si>
  <si>
    <t>One age 7 fish</t>
  </si>
  <si>
    <t>Environmental Conditions</t>
  </si>
  <si>
    <t>MHW along coast</t>
  </si>
  <si>
    <t>High freshwater temps!</t>
  </si>
  <si>
    <t>Methods</t>
  </si>
  <si>
    <r>
      <t>Length</t>
    </r>
    <r>
      <rPr>
        <sz val="11"/>
        <color rgb="FF0070C0"/>
        <rFont val="Calibri"/>
        <family val="2"/>
        <scheme val="minor"/>
      </rPr>
      <t xml:space="preserve"> (mm)</t>
    </r>
  </si>
  <si>
    <t>Methods &amp; Notes</t>
  </si>
  <si>
    <t>Biosample Summary</t>
  </si>
  <si>
    <t>Returns Data</t>
  </si>
  <si>
    <t>Migration Timing</t>
  </si>
  <si>
    <t>Section</t>
  </si>
  <si>
    <t>Stock</t>
  </si>
  <si>
    <t>Year</t>
  </si>
  <si>
    <t>Survival</t>
  </si>
  <si>
    <t>Smolt-to-Adult Survival</t>
  </si>
  <si>
    <r>
      <rPr>
        <b/>
        <sz val="11"/>
        <color theme="1"/>
        <rFont val="Calibri"/>
        <family val="2"/>
        <scheme val="minor"/>
      </rPr>
      <t>Total Adult Returns</t>
    </r>
    <r>
      <rPr>
        <sz val="11"/>
        <color theme="1"/>
        <rFont val="Calibri"/>
        <family val="2"/>
        <scheme val="minor"/>
      </rPr>
      <t xml:space="preserve"> - this is a formula summing returns at age.  NOTE: If total returns only are available (i.e., no returns at age), please enter the Totals estimate in the Total (over-writing the formula) after unprotecting the datasheet (see below).</t>
    </r>
  </si>
  <si>
    <r>
      <rPr>
        <b/>
        <sz val="11"/>
        <color theme="1"/>
        <rFont val="Calibri"/>
        <family val="2"/>
        <scheme val="minor"/>
      </rPr>
      <t>Methods &amp; Notes</t>
    </r>
    <r>
      <rPr>
        <sz val="11"/>
        <color theme="1"/>
        <rFont val="Calibri"/>
        <family val="2"/>
        <scheme val="minor"/>
      </rPr>
      <t xml:space="preserve"> - include notes on age composition estimation methods employed, data issues, or data changes.</t>
    </r>
  </si>
  <si>
    <r>
      <rPr>
        <b/>
        <sz val="11"/>
        <color theme="1"/>
        <rFont val="Calibri"/>
        <family val="2"/>
        <scheme val="minor"/>
      </rPr>
      <t>Biosample Summary</t>
    </r>
    <r>
      <rPr>
        <sz val="11"/>
        <color theme="1"/>
        <rFont val="Calibri"/>
        <family val="2"/>
        <scheme val="minor"/>
      </rPr>
      <t xml:space="preserve"> - these summarize the biosample data and provide mean length and weight estimates, weighted by the biosample age frequency.</t>
    </r>
  </si>
  <si>
    <r>
      <rPr>
        <b/>
        <sz val="11"/>
        <color theme="1"/>
        <rFont val="Calibri"/>
        <family val="2"/>
        <scheme val="minor"/>
      </rPr>
      <t>Methods &amp; Notes</t>
    </r>
    <r>
      <rPr>
        <sz val="11"/>
        <color theme="1"/>
        <rFont val="Calibri"/>
        <family val="2"/>
        <scheme val="minor"/>
      </rPr>
      <t xml:space="preserve"> - include notes on biosampling methods employed, data issues, or data changes.</t>
    </r>
  </si>
  <si>
    <r>
      <rPr>
        <b/>
        <sz val="11"/>
        <color theme="1"/>
        <rFont val="Calibri"/>
        <family val="2"/>
        <scheme val="minor"/>
      </rPr>
      <t>Migration Timing</t>
    </r>
    <r>
      <rPr>
        <sz val="11"/>
        <color theme="1"/>
        <rFont val="Calibri"/>
        <family val="2"/>
        <scheme val="minor"/>
      </rPr>
      <t xml:space="preserve"> - Enter Start, Peak, and End Migration Dates in dd-mmm-yyyy format.</t>
    </r>
  </si>
  <si>
    <r>
      <rPr>
        <b/>
        <sz val="11"/>
        <color theme="1"/>
        <rFont val="Calibri"/>
        <family val="2"/>
        <scheme val="minor"/>
      </rPr>
      <t>Methods &amp; Notes</t>
    </r>
    <r>
      <rPr>
        <sz val="11"/>
        <color theme="1"/>
        <rFont val="Calibri"/>
        <family val="2"/>
        <scheme val="minor"/>
      </rPr>
      <t xml:space="preserve"> regarding migration timing estimates, data issues, or data changes.</t>
    </r>
  </si>
  <si>
    <t>Juvenile Data</t>
  </si>
  <si>
    <r>
      <rPr>
        <b/>
        <sz val="11"/>
        <color theme="1"/>
        <rFont val="Calibri"/>
        <family val="2"/>
        <scheme val="minor"/>
      </rPr>
      <t>Methods &amp; Notes</t>
    </r>
    <r>
      <rPr>
        <sz val="11"/>
        <color theme="1"/>
        <rFont val="Calibri"/>
        <family val="2"/>
        <scheme val="minor"/>
      </rPr>
      <t xml:space="preserve"> - Document source of abundance estimates. Indicate whether pre-smolts were measured fresh or preserved. If preserved, indicate preservative and length of time between preservation and measurement. This information is used to standardize length and weight.</t>
    </r>
  </si>
  <si>
    <r>
      <rPr>
        <b/>
        <sz val="11"/>
        <color theme="1"/>
        <rFont val="Calibri"/>
        <family val="2"/>
        <scheme val="minor"/>
      </rPr>
      <t xml:space="preserve">Smolt Abundance - </t>
    </r>
    <r>
      <rPr>
        <sz val="11"/>
        <color theme="1"/>
        <rFont val="Calibri"/>
        <family val="2"/>
        <scheme val="minor"/>
      </rPr>
      <t>Enter abundance</t>
    </r>
    <r>
      <rPr>
        <b/>
        <sz val="11"/>
        <color theme="1"/>
        <rFont val="Calibri"/>
        <family val="2"/>
        <scheme val="minor"/>
      </rPr>
      <t xml:space="preserve"> </t>
    </r>
    <r>
      <rPr>
        <sz val="11"/>
        <color theme="1"/>
        <rFont val="Calibri"/>
        <family val="2"/>
        <scheme val="minor"/>
      </rPr>
      <t>estimates (#fish) by age for current Smolt Migration Year. Document data sources in Methods &amp; Notes.</t>
    </r>
  </si>
  <si>
    <r>
      <rPr>
        <b/>
        <sz val="11"/>
        <color theme="1"/>
        <rFont val="Calibri"/>
        <family val="2"/>
        <scheme val="minor"/>
      </rPr>
      <t>Total Smolts</t>
    </r>
    <r>
      <rPr>
        <sz val="11"/>
        <color theme="1"/>
        <rFont val="Calibri"/>
        <family val="2"/>
        <scheme val="minor"/>
      </rPr>
      <t xml:space="preserve"> - This is a formula summing smolt abundance across ages.  NOTE: If total smolts only are available (i.e., no age-specific abundance estimates), please enter the Totals estimate in the Total (over-writing the formula) after unprotecting the datasheet (see below).</t>
    </r>
  </si>
  <si>
    <r>
      <rPr>
        <b/>
        <sz val="11"/>
        <color theme="1"/>
        <rFont val="Calibri"/>
        <family val="2"/>
        <scheme val="minor"/>
      </rPr>
      <t>Methods &amp; Notes</t>
    </r>
    <r>
      <rPr>
        <sz val="11"/>
        <color theme="1"/>
        <rFont val="Calibri"/>
        <family val="2"/>
        <scheme val="minor"/>
      </rPr>
      <t xml:space="preserve"> - Document source of abundance estimates. Note any data issues or data changes.</t>
    </r>
  </si>
  <si>
    <t>Smolt Abundance</t>
  </si>
  <si>
    <t>Smolt Biosampling</t>
  </si>
  <si>
    <t>Notes</t>
  </si>
  <si>
    <r>
      <rPr>
        <b/>
        <sz val="11"/>
        <color theme="1"/>
        <rFont val="Calibri"/>
        <family val="2"/>
        <scheme val="minor"/>
      </rPr>
      <t>Environmental Conditions</t>
    </r>
    <r>
      <rPr>
        <sz val="11"/>
        <color theme="1"/>
        <rFont val="Calibri"/>
        <family val="2"/>
        <scheme val="minor"/>
      </rPr>
      <t xml:space="preserve"> - Comment on environmental conditions or events potentially impacting fish, rearing locations, migration routes, or monitoring of same (e.g. floods, droughts, ice, temperature anomalies, fish mortalities, fish conditions, etc.)</t>
    </r>
  </si>
  <si>
    <t>Biosampling</t>
  </si>
  <si>
    <r>
      <rPr>
        <b/>
        <sz val="11"/>
        <color theme="1"/>
        <rFont val="Calibri"/>
        <family val="2"/>
        <scheme val="minor"/>
      </rPr>
      <t>Total Smolt Abundance</t>
    </r>
    <r>
      <rPr>
        <sz val="11"/>
        <color theme="1"/>
        <rFont val="Calibri"/>
        <family val="2"/>
        <scheme val="minor"/>
      </rPr>
      <t xml:space="preserve"> - Summarize smolt production (#fish) across all ages (i.e. Age0 + Age1 + Age2) by year of outmigration.</t>
    </r>
  </si>
  <si>
    <t>Smolts</t>
  </si>
  <si>
    <t>Adults</t>
  </si>
  <si>
    <t>Methods and Notes</t>
  </si>
  <si>
    <t>Environ- mental Conditions</t>
  </si>
  <si>
    <r>
      <rPr>
        <b/>
        <sz val="11"/>
        <color theme="1"/>
        <rFont val="Calibri"/>
        <family val="2"/>
        <scheme val="minor"/>
      </rPr>
      <t>Environmental Conditions</t>
    </r>
    <r>
      <rPr>
        <sz val="11"/>
        <color theme="1"/>
        <rFont val="Calibri"/>
        <family val="2"/>
        <scheme val="minor"/>
      </rPr>
      <t xml:space="preserve"> - Comment on environmental conditions or events potentially impacting adult fish, migration routes, spawning locations, or monitoring of same (e.g. floods, droughts, temperature anomalies, fish mortalities, fish conditions, etc.)</t>
    </r>
  </si>
  <si>
    <r>
      <rPr>
        <b/>
        <sz val="11"/>
        <color rgb="FFFF0000"/>
        <rFont val="Calibri"/>
        <family val="2"/>
        <scheme val="minor"/>
      </rPr>
      <t>Smolt Migration Year</t>
    </r>
    <r>
      <rPr>
        <sz val="11"/>
        <color theme="1"/>
        <rFont val="Calibri"/>
        <family val="2"/>
        <scheme val="minor"/>
      </rPr>
      <t xml:space="preserve"> - Identify the year of smolt out-migration (ocean-entry year).</t>
    </r>
  </si>
  <si>
    <r>
      <rPr>
        <b/>
        <sz val="11"/>
        <color rgb="FFFF0000"/>
        <rFont val="Calibri"/>
        <family val="2"/>
        <scheme val="minor"/>
      </rPr>
      <t>Adult Return Year</t>
    </r>
    <r>
      <rPr>
        <sz val="11"/>
        <color theme="1"/>
        <rFont val="Calibri"/>
        <family val="2"/>
        <scheme val="minor"/>
      </rPr>
      <t xml:space="preserve"> - Identify the year of adult return migration.</t>
    </r>
  </si>
  <si>
    <t>Additional Comments</t>
  </si>
  <si>
    <t>Smolt Data Notes</t>
  </si>
  <si>
    <t>Adult Data Notes</t>
  </si>
  <si>
    <r>
      <t xml:space="preserve">Contact Info - </t>
    </r>
    <r>
      <rPr>
        <sz val="11"/>
        <color theme="1"/>
        <rFont val="Calibri"/>
        <family val="2"/>
        <scheme val="minor"/>
      </rPr>
      <t>Contact information for this year's juvenile data. Example: initials, email, phone, date.</t>
    </r>
  </si>
  <si>
    <r>
      <t xml:space="preserve">Contact Info - </t>
    </r>
    <r>
      <rPr>
        <sz val="11"/>
        <color theme="1"/>
        <rFont val="Calibri"/>
        <family val="2"/>
        <scheme val="minor"/>
      </rPr>
      <t>Contact information for this year's adult data. Example: initials, email, phone, date.</t>
    </r>
  </si>
  <si>
    <r>
      <t>Contact Info</t>
    </r>
    <r>
      <rPr>
        <sz val="11"/>
        <color theme="1"/>
        <rFont val="Calibri"/>
        <family val="2"/>
        <scheme val="minor"/>
      </rPr>
      <t xml:space="preserve"> - Contact information for this year's data. Example: initials, email, phone, date</t>
    </r>
  </si>
  <si>
    <r>
      <rPr>
        <b/>
        <sz val="11"/>
        <color theme="1"/>
        <rFont val="Calibri"/>
        <family val="2"/>
        <scheme val="minor"/>
      </rPr>
      <t>Additional Comments</t>
    </r>
    <r>
      <rPr>
        <sz val="11"/>
        <color theme="1"/>
        <rFont val="Calibri"/>
        <family val="2"/>
        <scheme val="minor"/>
      </rPr>
      <t xml:space="preserve"> - This is the only "unprotected" column on this worksheet, and can be used for any additional remarks not captured by other columns.</t>
    </r>
  </si>
  <si>
    <r>
      <rPr>
        <b/>
        <sz val="12"/>
        <rFont val="Calibri"/>
        <family val="2"/>
        <scheme val="minor"/>
      </rPr>
      <t>MANUAL:</t>
    </r>
    <r>
      <rPr>
        <sz val="12"/>
        <color rgb="FFFF0000"/>
        <rFont val="Calibri"/>
        <family val="2"/>
        <scheme val="minor"/>
      </rPr>
      <t xml:space="preserve"> For manual data entry</t>
    </r>
    <r>
      <rPr>
        <u/>
        <sz val="12"/>
        <color rgb="FFFF0000"/>
        <rFont val="Calibri"/>
        <family val="2"/>
        <scheme val="minor"/>
      </rPr>
      <t xml:space="preserve">, </t>
    </r>
    <r>
      <rPr>
        <sz val="12"/>
        <color rgb="FFFF0000"/>
        <rFont val="Calibri"/>
        <family val="2"/>
        <scheme val="minor"/>
      </rPr>
      <t xml:space="preserve">the </t>
    </r>
    <r>
      <rPr>
        <b/>
        <sz val="12"/>
        <color rgb="FFFF0000"/>
        <rFont val="Calibri"/>
        <family val="2"/>
        <scheme val="minor"/>
      </rPr>
      <t xml:space="preserve">Smolt to Adult Survival </t>
    </r>
    <r>
      <rPr>
        <sz val="12"/>
        <color rgb="FFFF0000"/>
        <rFont val="Calibri"/>
        <family val="2"/>
        <scheme val="minor"/>
      </rPr>
      <t>worksheet must be first unprotected</t>
    </r>
    <r>
      <rPr>
        <vertAlign val="superscript"/>
        <sz val="12"/>
        <color rgb="FFFF0000"/>
        <rFont val="Calibri"/>
        <family val="2"/>
        <scheme val="minor"/>
      </rPr>
      <t>1</t>
    </r>
    <r>
      <rPr>
        <sz val="12"/>
        <color rgb="FFFF0000"/>
        <rFont val="Calibri"/>
        <family val="2"/>
        <scheme val="minor"/>
      </rPr>
      <t xml:space="preserve"> and then annual total Smolt and Adult abundance data may be keypunched into the respective </t>
    </r>
    <r>
      <rPr>
        <i/>
        <sz val="12"/>
        <color rgb="FFFF0000"/>
        <rFont val="Calibri"/>
        <family val="2"/>
        <scheme val="minor"/>
      </rPr>
      <t>Totals</t>
    </r>
    <r>
      <rPr>
        <sz val="12"/>
        <color rgb="FFFF0000"/>
        <rFont val="Calibri"/>
        <family val="2"/>
        <scheme val="minor"/>
      </rPr>
      <t xml:space="preserve"> columns for any given year. Note, however, that the Survival worksheet is organized by </t>
    </r>
    <r>
      <rPr>
        <b/>
        <i/>
        <sz val="12"/>
        <color rgb="FFFF0000"/>
        <rFont val="Calibri"/>
        <family val="2"/>
        <scheme val="minor"/>
      </rPr>
      <t>Smolt Migration Year</t>
    </r>
    <r>
      <rPr>
        <sz val="12"/>
        <color rgb="FFFF0000"/>
        <rFont val="Calibri"/>
        <family val="2"/>
        <scheme val="minor"/>
      </rPr>
      <t xml:space="preserve">, thus </t>
    </r>
    <r>
      <rPr>
        <i/>
        <sz val="12"/>
        <color rgb="FFFF0000"/>
        <rFont val="Calibri"/>
        <family val="2"/>
        <scheme val="minor"/>
      </rPr>
      <t>adult returns at age must be summarized across ages by year of ocean entry</t>
    </r>
    <r>
      <rPr>
        <sz val="12"/>
        <color rgb="FFFF0000"/>
        <rFont val="Calibri"/>
        <family val="2"/>
        <scheme val="minor"/>
      </rPr>
      <t xml:space="preserve">. (This is done automatically if the abundance at age is provided in the </t>
    </r>
    <r>
      <rPr>
        <b/>
        <sz val="12"/>
        <color rgb="FFC00000"/>
        <rFont val="Calibri"/>
        <family val="2"/>
        <scheme val="minor"/>
      </rPr>
      <t>Adult Returns Data</t>
    </r>
    <r>
      <rPr>
        <sz val="12"/>
        <color rgb="FFFF0000"/>
        <rFont val="Calibri"/>
        <family val="2"/>
        <scheme val="minor"/>
      </rPr>
      <t xml:space="preserve"> worksheet.)</t>
    </r>
  </si>
  <si>
    <r>
      <rPr>
        <b/>
        <sz val="11"/>
        <color theme="1"/>
        <rFont val="Calibri"/>
        <family val="2"/>
        <scheme val="minor"/>
      </rPr>
      <t>Total Adult Returns</t>
    </r>
    <r>
      <rPr>
        <sz val="11"/>
        <color theme="1"/>
        <rFont val="Calibri"/>
        <family val="2"/>
        <scheme val="minor"/>
      </rPr>
      <t xml:space="preserve"> - Summarize adult returns (C+H+E+M)</t>
    </r>
    <r>
      <rPr>
        <vertAlign val="superscript"/>
        <sz val="11"/>
        <color theme="1"/>
        <rFont val="Calibri"/>
        <family val="2"/>
        <scheme val="minor"/>
      </rPr>
      <t>2</t>
    </r>
    <r>
      <rPr>
        <sz val="11"/>
        <color theme="1"/>
        <rFont val="Calibri"/>
        <family val="2"/>
        <scheme val="minor"/>
      </rPr>
      <t xml:space="preserve"> across all ages by Smolt Migration Year, i.e. (3</t>
    </r>
    <r>
      <rPr>
        <vertAlign val="subscript"/>
        <sz val="11"/>
        <color theme="1"/>
        <rFont val="Calibri"/>
        <family val="2"/>
        <scheme val="minor"/>
      </rPr>
      <t>2</t>
    </r>
    <r>
      <rPr>
        <sz val="11"/>
        <color theme="1"/>
        <rFont val="Calibri"/>
        <family val="2"/>
        <scheme val="minor"/>
      </rPr>
      <t xml:space="preserve"> in BroodYear+2) + (4</t>
    </r>
    <r>
      <rPr>
        <vertAlign val="subscript"/>
        <sz val="11"/>
        <color theme="1"/>
        <rFont val="Calibri"/>
        <family val="2"/>
        <scheme val="minor"/>
      </rPr>
      <t>2</t>
    </r>
    <r>
      <rPr>
        <sz val="11"/>
        <color theme="1"/>
        <rFont val="Calibri"/>
        <family val="2"/>
        <scheme val="minor"/>
      </rPr>
      <t xml:space="preserve"> in BY+2) + (5</t>
    </r>
    <r>
      <rPr>
        <vertAlign val="subscript"/>
        <sz val="11"/>
        <color theme="1"/>
        <rFont val="Calibri"/>
        <family val="2"/>
        <scheme val="minor"/>
      </rPr>
      <t>2</t>
    </r>
    <r>
      <rPr>
        <sz val="11"/>
        <color theme="1"/>
        <rFont val="Calibri"/>
        <family val="2"/>
        <scheme val="minor"/>
      </rPr>
      <t xml:space="preserve"> in BY+2) + (5</t>
    </r>
    <r>
      <rPr>
        <vertAlign val="subscript"/>
        <sz val="11"/>
        <color theme="1"/>
        <rFont val="Calibri"/>
        <family val="2"/>
        <scheme val="minor"/>
      </rPr>
      <t>3</t>
    </r>
    <r>
      <rPr>
        <sz val="11"/>
        <color theme="1"/>
        <rFont val="Calibri"/>
        <family val="2"/>
        <scheme val="minor"/>
      </rPr>
      <t xml:space="preserve"> in BY+3) + ...).</t>
    </r>
  </si>
  <si>
    <r>
      <rPr>
        <i/>
        <vertAlign val="superscript"/>
        <sz val="11"/>
        <rFont val="Calibri"/>
        <family val="2"/>
        <scheme val="minor"/>
      </rPr>
      <t>1</t>
    </r>
    <r>
      <rPr>
        <i/>
        <sz val="11"/>
        <rFont val="Calibri"/>
        <family val="2"/>
        <scheme val="minor"/>
      </rPr>
      <t xml:space="preserve"> To UNPROTECT any worksheet, right-click on the worksheet tab, and select </t>
    </r>
    <r>
      <rPr>
        <b/>
        <sz val="11"/>
        <rFont val="Calibri"/>
        <family val="2"/>
        <scheme val="minor"/>
      </rPr>
      <t>Unprotect Sheet...</t>
    </r>
    <r>
      <rPr>
        <i/>
        <sz val="11"/>
        <rFont val="Calibri"/>
        <family val="2"/>
        <scheme val="minor"/>
      </rPr>
      <t xml:space="preserve"> from the pop-up menu. No password required.</t>
    </r>
  </si>
  <si>
    <r>
      <rPr>
        <i/>
        <vertAlign val="superscript"/>
        <sz val="11"/>
        <rFont val="Calibri"/>
        <family val="2"/>
        <scheme val="minor"/>
      </rPr>
      <t>2</t>
    </r>
    <r>
      <rPr>
        <i/>
        <sz val="11"/>
        <rFont val="Calibri"/>
        <family val="2"/>
        <scheme val="minor"/>
      </rPr>
      <t xml:space="preserve"> C+H+E+M : Catch, Hatchery (removals), Escapement, Mortality (natural)</t>
    </r>
  </si>
  <si>
    <r>
      <rPr>
        <b/>
        <sz val="12"/>
        <rFont val="Calibri"/>
        <family val="2"/>
        <scheme val="minor"/>
      </rPr>
      <t>Note:</t>
    </r>
    <r>
      <rPr>
        <sz val="12"/>
        <color rgb="FFFF0000"/>
        <rFont val="Calibri"/>
        <family val="2"/>
        <scheme val="minor"/>
      </rPr>
      <t xml:space="preserve"> The </t>
    </r>
    <r>
      <rPr>
        <b/>
        <sz val="12"/>
        <color rgb="FFFF0000"/>
        <rFont val="Calibri"/>
        <family val="2"/>
        <scheme val="minor"/>
      </rPr>
      <t>Smolt-to-Adult Survival worksheet</t>
    </r>
    <r>
      <rPr>
        <sz val="12"/>
        <color rgb="FFFF0000"/>
        <rFont val="Calibri"/>
        <family val="2"/>
        <scheme val="minor"/>
      </rPr>
      <t xml:space="preserve"> lists summary data only, i.e. </t>
    </r>
    <r>
      <rPr>
        <b/>
        <sz val="12"/>
        <color rgb="FFFF0000"/>
        <rFont val="Calibri"/>
        <family val="2"/>
        <scheme val="minor"/>
      </rPr>
      <t>Total Smolt Abundance</t>
    </r>
    <r>
      <rPr>
        <sz val="12"/>
        <color rgb="FFFF0000"/>
        <rFont val="Calibri"/>
        <family val="2"/>
        <scheme val="minor"/>
      </rPr>
      <t xml:space="preserve"> (all ages); and </t>
    </r>
    <r>
      <rPr>
        <b/>
        <sz val="12"/>
        <color rgb="FFFF0000"/>
        <rFont val="Calibri"/>
        <family val="2"/>
        <scheme val="minor"/>
      </rPr>
      <t>Total Adult Returns</t>
    </r>
    <r>
      <rPr>
        <sz val="12"/>
        <color rgb="FFFF0000"/>
        <rFont val="Calibri"/>
        <family val="2"/>
        <scheme val="minor"/>
      </rPr>
      <t xml:space="preserve"> (all ages), </t>
    </r>
    <r>
      <rPr>
        <i/>
        <sz val="12"/>
        <color rgb="FFFF0000"/>
        <rFont val="Calibri"/>
        <family val="2"/>
        <scheme val="minor"/>
      </rPr>
      <t>by smolt migration year</t>
    </r>
    <r>
      <rPr>
        <sz val="12"/>
        <color rgb="FFFF0000"/>
        <rFont val="Calibri"/>
        <family val="2"/>
        <scheme val="minor"/>
      </rPr>
      <t xml:space="preserve">. The </t>
    </r>
    <r>
      <rPr>
        <b/>
        <sz val="12"/>
        <color rgb="FFFF0000"/>
        <rFont val="Calibri"/>
        <family val="2"/>
        <scheme val="minor"/>
      </rPr>
      <t>worksheet is filled in AUTOMATICALLY</t>
    </r>
    <r>
      <rPr>
        <sz val="12"/>
        <color rgb="FFFF0000"/>
        <rFont val="Calibri"/>
        <family val="2"/>
        <scheme val="minor"/>
      </rPr>
      <t xml:space="preserve"> with annual abundance totals from the </t>
    </r>
    <r>
      <rPr>
        <b/>
        <sz val="12"/>
        <color theme="4" tint="-0.249977111117893"/>
        <rFont val="Calibri"/>
        <family val="2"/>
        <scheme val="minor"/>
      </rPr>
      <t>Juvenile</t>
    </r>
    <r>
      <rPr>
        <sz val="12"/>
        <color rgb="FFFF0000"/>
        <rFont val="Calibri"/>
        <family val="2"/>
        <scheme val="minor"/>
      </rPr>
      <t xml:space="preserve"> and </t>
    </r>
    <r>
      <rPr>
        <b/>
        <sz val="12"/>
        <color rgb="FFC00000"/>
        <rFont val="Calibri"/>
        <family val="2"/>
        <scheme val="minor"/>
      </rPr>
      <t>Adult Returns</t>
    </r>
    <r>
      <rPr>
        <sz val="12"/>
        <color rgb="FFFF0000"/>
        <rFont val="Calibri"/>
        <family val="2"/>
        <scheme val="minor"/>
      </rPr>
      <t xml:space="preserve"> worksheets (accounting for age structure; see </t>
    </r>
    <r>
      <rPr>
        <b/>
        <sz val="12"/>
        <rFont val="Calibri"/>
        <family val="2"/>
        <scheme val="minor"/>
      </rPr>
      <t>AUTO</t>
    </r>
    <r>
      <rPr>
        <sz val="12"/>
        <color rgb="FFFF0000"/>
        <rFont val="Calibri"/>
        <family val="2"/>
        <scheme val="minor"/>
      </rPr>
      <t xml:space="preserve"> instructions</t>
    </r>
    <r>
      <rPr>
        <b/>
        <sz val="12"/>
        <rFont val="Calibri"/>
        <family val="2"/>
        <scheme val="minor"/>
      </rPr>
      <t>,</t>
    </r>
    <r>
      <rPr>
        <sz val="12"/>
        <color rgb="FFFF0000"/>
        <rFont val="Calibri"/>
        <family val="2"/>
        <scheme val="minor"/>
      </rPr>
      <t xml:space="preserve"> below).  Alternatively, the The Smolt-to-Adult Survival worksheet may be manually updated with abundance totals (if, for example, age data are not available; see </t>
    </r>
    <r>
      <rPr>
        <b/>
        <sz val="12"/>
        <rFont val="Calibri"/>
        <family val="2"/>
        <scheme val="minor"/>
      </rPr>
      <t>MANUAL</t>
    </r>
    <r>
      <rPr>
        <sz val="12"/>
        <color rgb="FFFF0000"/>
        <rFont val="Calibri"/>
        <family val="2"/>
        <scheme val="minor"/>
      </rPr>
      <t xml:space="preserve"> instructions</t>
    </r>
    <r>
      <rPr>
        <b/>
        <sz val="12"/>
        <rFont val="Calibri"/>
        <family val="2"/>
        <scheme val="minor"/>
      </rPr>
      <t>,</t>
    </r>
    <r>
      <rPr>
        <sz val="12"/>
        <color rgb="FFFF0000"/>
        <rFont val="Calibri"/>
        <family val="2"/>
        <scheme val="minor"/>
      </rPr>
      <t xml:space="preserve"> below).</t>
    </r>
  </si>
  <si>
    <r>
      <rPr>
        <b/>
        <sz val="12"/>
        <rFont val="Calibri"/>
        <family val="2"/>
        <scheme val="minor"/>
      </rPr>
      <t>AUTO:</t>
    </r>
    <r>
      <rPr>
        <sz val="12"/>
        <color rgb="FFFF0000"/>
        <rFont val="Calibri"/>
        <family val="2"/>
        <scheme val="minor"/>
      </rPr>
      <t xml:space="preserve"> Enter </t>
    </r>
    <r>
      <rPr>
        <i/>
        <sz val="12"/>
        <color rgb="FFFF0000"/>
        <rFont val="Calibri"/>
        <family val="2"/>
        <scheme val="minor"/>
      </rPr>
      <t>smolt abundance at age</t>
    </r>
    <r>
      <rPr>
        <sz val="12"/>
        <color rgb="FFFF0000"/>
        <rFont val="Calibri"/>
        <family val="2"/>
        <scheme val="minor"/>
      </rPr>
      <t xml:space="preserve"> </t>
    </r>
    <r>
      <rPr>
        <i/>
        <sz val="12"/>
        <color rgb="FFFF0000"/>
        <rFont val="Calibri"/>
        <family val="2"/>
        <scheme val="minor"/>
      </rPr>
      <t>by smolt migration year</t>
    </r>
    <r>
      <rPr>
        <sz val="12"/>
        <color rgb="FFFF0000"/>
        <rFont val="Calibri"/>
        <family val="2"/>
        <scheme val="minor"/>
      </rPr>
      <t xml:space="preserve"> in the </t>
    </r>
    <r>
      <rPr>
        <b/>
        <sz val="12"/>
        <color theme="4" tint="-0.249977111117893"/>
        <rFont val="Calibri"/>
        <family val="2"/>
        <scheme val="minor"/>
      </rPr>
      <t>Juvenile Data</t>
    </r>
    <r>
      <rPr>
        <sz val="12"/>
        <color rgb="FFFF0000"/>
        <rFont val="Calibri"/>
        <family val="2"/>
        <scheme val="minor"/>
      </rPr>
      <t xml:space="preserve"> worksheet, and </t>
    </r>
    <r>
      <rPr>
        <i/>
        <sz val="12"/>
        <color rgb="FFFF0000"/>
        <rFont val="Calibri"/>
        <family val="2"/>
        <scheme val="minor"/>
      </rPr>
      <t>adult returns at age by return year</t>
    </r>
    <r>
      <rPr>
        <sz val="12"/>
        <color rgb="FFFF0000"/>
        <rFont val="Calibri"/>
        <family val="2"/>
        <scheme val="minor"/>
      </rPr>
      <t xml:space="preserve"> in the </t>
    </r>
    <r>
      <rPr>
        <b/>
        <sz val="12"/>
        <color rgb="FFC00000"/>
        <rFont val="Calibri"/>
        <family val="2"/>
        <scheme val="minor"/>
      </rPr>
      <t>Adult Returns</t>
    </r>
    <r>
      <rPr>
        <sz val="12"/>
        <color rgb="FFFF0000"/>
        <rFont val="Calibri"/>
        <family val="2"/>
        <scheme val="minor"/>
      </rPr>
      <t xml:space="preserve"> worksheet, and </t>
    </r>
    <r>
      <rPr>
        <b/>
        <sz val="12"/>
        <color rgb="FFFF0000"/>
        <rFont val="Calibri"/>
        <family val="2"/>
        <scheme val="minor"/>
      </rPr>
      <t>Total Smolt Abundance</t>
    </r>
    <r>
      <rPr>
        <sz val="12"/>
        <color rgb="FFFF0000"/>
        <rFont val="Calibri"/>
        <family val="2"/>
        <scheme val="minor"/>
      </rPr>
      <t xml:space="preserve"> and </t>
    </r>
    <r>
      <rPr>
        <b/>
        <sz val="12"/>
        <color rgb="FFFF0000"/>
        <rFont val="Calibri"/>
        <family val="2"/>
        <scheme val="minor"/>
      </rPr>
      <t>Total Adult Returns</t>
    </r>
    <r>
      <rPr>
        <sz val="12"/>
        <color rgb="FFFF0000"/>
        <rFont val="Calibri"/>
        <family val="2"/>
        <scheme val="minor"/>
      </rPr>
      <t xml:space="preserve"> by smolt migration year are automatically updated in the </t>
    </r>
    <r>
      <rPr>
        <b/>
        <sz val="12"/>
        <color rgb="FFFF0000"/>
        <rFont val="Calibri"/>
        <family val="2"/>
        <scheme val="minor"/>
      </rPr>
      <t>Smolt to Adult Survival</t>
    </r>
    <r>
      <rPr>
        <sz val="12"/>
        <color rgb="FFFF0000"/>
        <rFont val="Calibri"/>
        <family val="2"/>
        <scheme val="minor"/>
      </rPr>
      <t xml:space="preserve"> worksheet. Annual marine survival is then estimated from the ratio of these totals.</t>
    </r>
  </si>
  <si>
    <r>
      <t xml:space="preserve">General Comments - </t>
    </r>
    <r>
      <rPr>
        <sz val="11"/>
        <color theme="1"/>
        <rFont val="Calibri"/>
        <family val="2"/>
        <scheme val="minor"/>
      </rPr>
      <t>Include any notes and considerations for adult data. Indicate if any changes have been made to this year's data relative to previous submissions, and why.</t>
    </r>
  </si>
  <si>
    <r>
      <rPr>
        <b/>
        <sz val="11"/>
        <color theme="1"/>
        <rFont val="Calibri"/>
        <family val="2"/>
        <scheme val="minor"/>
      </rPr>
      <t>Smolt Data Notes</t>
    </r>
    <r>
      <rPr>
        <sz val="11"/>
        <color theme="1"/>
        <rFont val="Calibri"/>
        <family val="2"/>
        <scheme val="minor"/>
      </rPr>
      <t xml:space="preserve"> - Meta-data copied from Juvenile worksheet regarding smolt sampling methods, estimation methods, data issues, and source documents where available.</t>
    </r>
  </si>
  <si>
    <r>
      <rPr>
        <b/>
        <sz val="11"/>
        <color theme="1"/>
        <rFont val="Calibri"/>
        <family val="2"/>
        <scheme val="minor"/>
      </rPr>
      <t>Adult Data Notes</t>
    </r>
    <r>
      <rPr>
        <sz val="11"/>
        <color theme="1"/>
        <rFont val="Calibri"/>
        <family val="2"/>
        <scheme val="minor"/>
      </rPr>
      <t xml:space="preserve"> - Meta-data copied from Adult Returns worksheet regarding abundance estimates, sampling methods, data issues, and source documents where available.
</t>
    </r>
  </si>
  <si>
    <r>
      <rPr>
        <b/>
        <sz val="11"/>
        <color theme="1"/>
        <rFont val="Calibri"/>
        <family val="2"/>
        <scheme val="minor"/>
      </rPr>
      <t>Environmental Conditions</t>
    </r>
    <r>
      <rPr>
        <sz val="11"/>
        <color theme="1"/>
        <rFont val="Calibri"/>
        <family val="2"/>
        <scheme val="minor"/>
      </rPr>
      <t xml:space="preserve"> - Notes copied from environmental columns about conditions or events potentially impacting juvenile or adult fish, rearing lakes, migration routes, spawning locations, or monitoring of same (e.g. floods, droughts, temperature anomalies, fish mortalities, fish conditions, etc.)</t>
    </r>
  </si>
  <si>
    <r>
      <t xml:space="preserve">General Comments - </t>
    </r>
    <r>
      <rPr>
        <sz val="11"/>
        <color theme="1"/>
        <rFont val="Calibri"/>
        <family val="2"/>
        <scheme val="minor"/>
      </rPr>
      <t>General Notes and considerations for this year's data, copied from Juvenile and Adult worksheets. Should indicate if any changes have been made to this year's data relative to previous submissions, and why.</t>
    </r>
  </si>
  <si>
    <r>
      <rPr>
        <b/>
        <sz val="11"/>
        <rFont val="Calibri"/>
        <family val="2"/>
        <scheme val="minor"/>
      </rPr>
      <t>Marine Survival</t>
    </r>
    <r>
      <rPr>
        <sz val="11"/>
        <rFont val="Calibri"/>
        <family val="2"/>
        <scheme val="minor"/>
      </rPr>
      <t xml:space="preserve"> - a formula based on the ratio of Total Adult Returns to Total Smolt Abundance, by year of ocean entry</t>
    </r>
  </si>
  <si>
    <t>References</t>
  </si>
  <si>
    <t>Len</t>
  </si>
  <si>
    <t>TL</t>
  </si>
  <si>
    <t>Length Types</t>
  </si>
  <si>
    <t>SL</t>
  </si>
  <si>
    <t>Standard Length</t>
  </si>
  <si>
    <t>Fork Length</t>
  </si>
  <si>
    <t>Total Length</t>
  </si>
  <si>
    <t>PO</t>
  </si>
  <si>
    <t>Post-Orbital Hypural Length</t>
  </si>
  <si>
    <r>
      <t xml:space="preserve">Please fill in the </t>
    </r>
    <r>
      <rPr>
        <b/>
        <sz val="12"/>
        <color rgb="FFFF0000"/>
        <rFont val="Calibri"/>
        <family val="2"/>
        <scheme val="minor"/>
      </rPr>
      <t>age-structured</t>
    </r>
    <r>
      <rPr>
        <sz val="12"/>
        <color rgb="FFFF0000"/>
        <rFont val="Calibri"/>
        <family val="2"/>
        <scheme val="minor"/>
      </rPr>
      <t xml:space="preserve"> </t>
    </r>
    <r>
      <rPr>
        <b/>
        <sz val="12"/>
        <color theme="4" tint="-0.249977111117893"/>
        <rFont val="Calibri"/>
        <family val="2"/>
        <scheme val="minor"/>
      </rPr>
      <t>JUVENILE</t>
    </r>
    <r>
      <rPr>
        <b/>
        <sz val="12"/>
        <color rgb="FFFF0000"/>
        <rFont val="Calibri"/>
        <family val="2"/>
        <scheme val="minor"/>
      </rPr>
      <t xml:space="preserve"> and </t>
    </r>
    <r>
      <rPr>
        <b/>
        <sz val="12"/>
        <color rgb="FFC00000"/>
        <rFont val="Calibri"/>
        <family val="2"/>
        <scheme val="minor"/>
      </rPr>
      <t>ADULT</t>
    </r>
    <r>
      <rPr>
        <sz val="12"/>
        <color rgb="FFFF0000"/>
        <rFont val="Calibri"/>
        <family val="2"/>
        <scheme val="minor"/>
      </rPr>
      <t xml:space="preserve"> worksheets if time and data permit, or use the simpler </t>
    </r>
    <r>
      <rPr>
        <b/>
        <sz val="12"/>
        <color rgb="FFFF0000"/>
        <rFont val="Calibri"/>
        <family val="2"/>
        <scheme val="minor"/>
      </rPr>
      <t xml:space="preserve">SMOLT to ADULT SURVIVAL </t>
    </r>
    <r>
      <rPr>
        <sz val="12"/>
        <color rgb="FFFF0000"/>
        <rFont val="Calibri"/>
        <family val="2"/>
        <scheme val="minor"/>
      </rPr>
      <t xml:space="preserve">worksheet if time is limited and/or component age structure data are not readily available. </t>
    </r>
    <r>
      <rPr>
        <b/>
        <sz val="12"/>
        <color rgb="FFFF0000"/>
        <rFont val="Calibri"/>
        <family val="2"/>
        <scheme val="minor"/>
      </rPr>
      <t>NOTE:</t>
    </r>
    <r>
      <rPr>
        <sz val="12"/>
        <color rgb="FFFF0000"/>
        <rFont val="Calibri"/>
        <family val="2"/>
        <scheme val="minor"/>
      </rPr>
      <t xml:space="preserve"> The </t>
    </r>
    <r>
      <rPr>
        <b/>
        <sz val="12"/>
        <color rgb="FFFF0000"/>
        <rFont val="Calibri"/>
        <family val="2"/>
        <scheme val="minor"/>
      </rPr>
      <t xml:space="preserve">SMOLT to ADULT SURVIVAL </t>
    </r>
    <r>
      <rPr>
        <sz val="12"/>
        <color rgb="FFFF0000"/>
        <rFont val="Calibri"/>
        <family val="2"/>
        <scheme val="minor"/>
      </rPr>
      <t xml:space="preserve">worksheet is filled automatically as </t>
    </r>
    <r>
      <rPr>
        <b/>
        <sz val="12"/>
        <color theme="4" tint="-0.249977111117893"/>
        <rFont val="Calibri"/>
        <family val="2"/>
        <scheme val="minor"/>
      </rPr>
      <t>JUVENILE</t>
    </r>
    <r>
      <rPr>
        <sz val="12"/>
        <color rgb="FFFF0000"/>
        <rFont val="Calibri"/>
        <family val="2"/>
        <scheme val="minor"/>
      </rPr>
      <t xml:space="preserve"> and </t>
    </r>
    <r>
      <rPr>
        <b/>
        <sz val="12"/>
        <color rgb="FFC00000"/>
        <rFont val="Calibri"/>
        <family val="2"/>
        <scheme val="minor"/>
      </rPr>
      <t>ADULT</t>
    </r>
    <r>
      <rPr>
        <sz val="12"/>
        <color rgb="FFFF0000"/>
        <rFont val="Calibri"/>
        <family val="2"/>
        <scheme val="minor"/>
      </rPr>
      <t xml:space="preserve"> worksheets are filled in.</t>
    </r>
  </si>
  <si>
    <r>
      <t xml:space="preserve">Added </t>
    </r>
    <r>
      <rPr>
        <b/>
        <i/>
        <sz val="11"/>
        <rFont val="Calibri"/>
        <family val="2"/>
        <scheme val="minor"/>
      </rPr>
      <t>age 6</t>
    </r>
    <r>
      <rPr>
        <b/>
        <i/>
        <vertAlign val="subscript"/>
        <sz val="11"/>
        <rFont val="Calibri"/>
        <family val="2"/>
        <scheme val="minor"/>
      </rPr>
      <t>2</t>
    </r>
    <r>
      <rPr>
        <i/>
        <sz val="11"/>
        <rFont val="Calibri"/>
        <family val="2"/>
        <scheme val="minor"/>
      </rPr>
      <t xml:space="preserve"> in adult size and returns; updated ADULT RETURNS summary formula in Smolt-to-Adult Survival sheet</t>
    </r>
  </si>
  <si>
    <t>Source Data Files</t>
  </si>
  <si>
    <t>Data Files</t>
  </si>
  <si>
    <r>
      <t xml:space="preserve">   To PROTECT an unprotected worksheet, right-click on the worksheet tab, and select </t>
    </r>
    <r>
      <rPr>
        <b/>
        <sz val="11"/>
        <rFont val="Calibri"/>
        <family val="2"/>
        <scheme val="minor"/>
      </rPr>
      <t xml:space="preserve">Protect Sheet… </t>
    </r>
    <r>
      <rPr>
        <i/>
        <sz val="11"/>
        <rFont val="Calibri"/>
        <family val="2"/>
        <scheme val="minor"/>
      </rPr>
      <t>from the pop-up menu. Provide no password (recommended). All formulaic cells will be protected from accidental data entry.</t>
    </r>
  </si>
  <si>
    <t>Footnotes:</t>
  </si>
  <si>
    <t>Workbook Updates:</t>
  </si>
  <si>
    <r>
      <t xml:space="preserve">  --&gt;  </t>
    </r>
    <r>
      <rPr>
        <b/>
        <i/>
        <sz val="11"/>
        <rFont val="Calibri"/>
        <family val="2"/>
        <scheme val="minor"/>
      </rPr>
      <t xml:space="preserve">Fix: </t>
    </r>
    <r>
      <rPr>
        <i/>
        <sz val="11"/>
        <rFont val="Calibri"/>
        <family val="2"/>
        <scheme val="minor"/>
      </rPr>
      <t>Used VLOOKUP anchored on SmoltYear to find correct Adult Return Year(s) age abundances to summarize.</t>
    </r>
  </si>
  <si>
    <r>
      <t xml:space="preserve">Changed </t>
    </r>
    <r>
      <rPr>
        <b/>
        <i/>
        <sz val="11"/>
        <rFont val="Calibri"/>
        <family val="2"/>
        <scheme val="minor"/>
      </rPr>
      <t>Fork Length</t>
    </r>
    <r>
      <rPr>
        <i/>
        <sz val="11"/>
        <rFont val="Calibri"/>
        <family val="2"/>
        <scheme val="minor"/>
      </rPr>
      <t xml:space="preserve"> heading to </t>
    </r>
    <r>
      <rPr>
        <b/>
        <i/>
        <sz val="11"/>
        <rFont val="Calibri"/>
        <family val="2"/>
        <scheme val="minor"/>
      </rPr>
      <t xml:space="preserve">Length </t>
    </r>
    <r>
      <rPr>
        <i/>
        <sz val="11"/>
        <rFont val="Calibri"/>
        <family val="2"/>
        <scheme val="minor"/>
      </rPr>
      <t xml:space="preserve">in ADULT RETURNS. Fork Length not always available! (E.g. </t>
    </r>
    <r>
      <rPr>
        <b/>
        <i/>
        <sz val="11"/>
        <rFont val="Calibri"/>
        <family val="2"/>
        <scheme val="minor"/>
      </rPr>
      <t>Total Length</t>
    </r>
    <r>
      <rPr>
        <i/>
        <sz val="11"/>
        <rFont val="Calibri"/>
        <family val="2"/>
        <scheme val="minor"/>
      </rPr>
      <t xml:space="preserve"> used in Somass stocks!)</t>
    </r>
  </si>
  <si>
    <r>
      <t xml:space="preserve">   --&gt; Added a </t>
    </r>
    <r>
      <rPr>
        <b/>
        <i/>
        <sz val="11"/>
        <rFont val="Calibri"/>
        <family val="2"/>
        <scheme val="minor"/>
      </rPr>
      <t>Length Type</t>
    </r>
    <r>
      <rPr>
        <i/>
        <sz val="11"/>
        <rFont val="Calibri"/>
        <family val="2"/>
        <scheme val="minor"/>
      </rPr>
      <t xml:space="preserve"> column in ADULT RETURNS sheet to record length measurement method: </t>
    </r>
  </si>
  <si>
    <t xml:space="preserve">   --&gt;  Standard Length = SL; Fork Length = FL; Total Length = TL; Post-Orbital Hypural Length = PO. Dropbox selection.</t>
  </si>
  <si>
    <r>
      <t xml:space="preserve">Added separate tab for listing of </t>
    </r>
    <r>
      <rPr>
        <b/>
        <i/>
        <sz val="11"/>
        <rFont val="Calibri"/>
        <family val="2"/>
        <scheme val="minor"/>
      </rPr>
      <t>References</t>
    </r>
    <r>
      <rPr>
        <i/>
        <sz val="11"/>
        <rFont val="Calibri"/>
        <family val="2"/>
        <scheme val="minor"/>
      </rPr>
      <t xml:space="preserve"> (and Data Sources).</t>
    </r>
  </si>
  <si>
    <r>
      <rPr>
        <b/>
        <i/>
        <sz val="11"/>
        <rFont val="Calibri"/>
        <family val="2"/>
        <scheme val="minor"/>
      </rPr>
      <t>Smolt to Adult Survival:</t>
    </r>
    <r>
      <rPr>
        <i/>
        <sz val="11"/>
        <rFont val="Calibri"/>
        <family val="2"/>
        <scheme val="minor"/>
      </rPr>
      <t xml:space="preserve"> Calculation error in situations where smolt and adult time-series don't start at same year!  </t>
    </r>
  </si>
  <si>
    <t>Survey Date</t>
  </si>
  <si>
    <t>Include any literature cited (optional)</t>
  </si>
  <si>
    <t>Include names and locations of any source datafiles (optional)</t>
  </si>
  <si>
    <t xml:space="preserve">Use this sheet to (optionally) record any reports and source data file names and locations for easy future reference. </t>
  </si>
  <si>
    <t>SHORT REFERENCE</t>
  </si>
  <si>
    <t>FULL REFERENCE</t>
  </si>
  <si>
    <t>FILENAME and LOCATION</t>
  </si>
  <si>
    <r>
      <rPr>
        <b/>
        <sz val="11"/>
        <color theme="1"/>
        <rFont val="Calibri"/>
        <family val="2"/>
        <scheme val="minor"/>
      </rPr>
      <t>Length</t>
    </r>
    <r>
      <rPr>
        <sz val="11"/>
        <color theme="1"/>
        <rFont val="Calibri"/>
        <family val="2"/>
        <scheme val="minor"/>
      </rPr>
      <t xml:space="preserve"> and </t>
    </r>
    <r>
      <rPr>
        <b/>
        <sz val="11"/>
        <color theme="1"/>
        <rFont val="Calibri"/>
        <family val="2"/>
        <scheme val="minor"/>
      </rPr>
      <t>Weight</t>
    </r>
    <r>
      <rPr>
        <sz val="11"/>
        <color theme="1"/>
        <rFont val="Calibri"/>
        <family val="2"/>
        <scheme val="minor"/>
      </rPr>
      <t xml:space="preserve"> - Enter mean length (mm), and mean weight (g). Indicate code for type of length measurement via drop-down box (SL = standard length, TL = total length, FL = fork length, PO = post-orbital hypural length). Indicate whether weights are measured or estimated in Methods &amp; Notes column.</t>
    </r>
  </si>
  <si>
    <r>
      <rPr>
        <b/>
        <sz val="11"/>
        <color theme="1"/>
        <rFont val="Calibri"/>
        <family val="2"/>
        <scheme val="minor"/>
      </rPr>
      <t>Methods &amp; Notes</t>
    </r>
    <r>
      <rPr>
        <sz val="11"/>
        <color theme="1"/>
        <rFont val="Calibri"/>
        <family val="2"/>
        <scheme val="minor"/>
      </rPr>
      <t xml:space="preserve"> - Document whether smolts were measured fresh or preserved. If preserved, indicate preservative and length of time between preservation and measurement. This information is used to standardize length and weight. Note any sampling or data issues, or changes to previously entered data.</t>
    </r>
  </si>
  <si>
    <r>
      <rPr>
        <b/>
        <sz val="11"/>
        <color theme="1"/>
        <rFont val="Calibri"/>
        <family val="2"/>
        <scheme val="minor"/>
      </rPr>
      <t>Migration Timing</t>
    </r>
    <r>
      <rPr>
        <sz val="11"/>
        <color theme="1"/>
        <rFont val="Calibri"/>
        <family val="2"/>
        <scheme val="minor"/>
      </rPr>
      <t xml:space="preserve"> - Enter Start, Peak, and End Migration Dates of out-migration in </t>
    </r>
    <r>
      <rPr>
        <b/>
        <sz val="11"/>
        <color theme="1"/>
        <rFont val="Calibri"/>
        <family val="2"/>
        <scheme val="minor"/>
      </rPr>
      <t>dd-mmm-yyyy</t>
    </r>
    <r>
      <rPr>
        <sz val="11"/>
        <color theme="1"/>
        <rFont val="Calibri"/>
        <family val="2"/>
        <scheme val="minor"/>
      </rPr>
      <t xml:space="preserve"> format (or yy-mm-dd format).</t>
    </r>
  </si>
  <si>
    <r>
      <rPr>
        <b/>
        <sz val="11"/>
        <color theme="1"/>
        <rFont val="Calibri"/>
        <family val="2"/>
        <scheme val="minor"/>
      </rPr>
      <t>Methods &amp; Notes</t>
    </r>
    <r>
      <rPr>
        <sz val="11"/>
        <color theme="1"/>
        <rFont val="Calibri"/>
        <family val="2"/>
        <scheme val="minor"/>
      </rPr>
      <t xml:space="preserve"> - Include any details regarding migration timing estimates, data issues, or data changes.</t>
    </r>
  </si>
  <si>
    <t>Version 21.11.04</t>
  </si>
  <si>
    <t>Version 21.11.08</t>
  </si>
  <si>
    <t>Biosample Data</t>
  </si>
  <si>
    <t>Length Type</t>
  </si>
  <si>
    <r>
      <t xml:space="preserve">Length Type </t>
    </r>
    <r>
      <rPr>
        <sz val="11"/>
        <color theme="1"/>
        <rFont val="Calibri"/>
        <family val="2"/>
        <scheme val="minor"/>
      </rPr>
      <t>(SL, TL, FL, PO)</t>
    </r>
  </si>
  <si>
    <r>
      <t xml:space="preserve">Total Smolt Abundance </t>
    </r>
    <r>
      <rPr>
        <sz val="11"/>
        <color theme="1"/>
        <rFont val="Calibri"/>
        <family val="2"/>
        <scheme val="minor"/>
      </rPr>
      <t>(#fish)</t>
    </r>
  </si>
  <si>
    <r>
      <t xml:space="preserve">Total Adult Returns </t>
    </r>
    <r>
      <rPr>
        <sz val="11"/>
        <color theme="1"/>
        <rFont val="Calibri"/>
        <family val="2"/>
        <scheme val="minor"/>
      </rPr>
      <t>(#fish)</t>
    </r>
  </si>
  <si>
    <r>
      <t xml:space="preserve">Marine Survival </t>
    </r>
    <r>
      <rPr>
        <sz val="11"/>
        <color theme="1"/>
        <rFont val="Calibri"/>
        <family val="2"/>
        <scheme val="minor"/>
      </rPr>
      <t>(%)</t>
    </r>
  </si>
  <si>
    <r>
      <t>Length Type</t>
    </r>
    <r>
      <rPr>
        <sz val="11"/>
        <color theme="1"/>
        <rFont val="Calibri"/>
        <family val="2"/>
        <scheme val="minor"/>
      </rPr>
      <t xml:space="preserve"> (SL, TL, FL, PO)</t>
    </r>
  </si>
  <si>
    <r>
      <t>Abundance</t>
    </r>
    <r>
      <rPr>
        <sz val="11"/>
        <color theme="1"/>
        <rFont val="Calibri"/>
        <family val="2"/>
        <scheme val="minor"/>
      </rPr>
      <t xml:space="preserve"> (#fish)</t>
    </r>
  </si>
  <si>
    <r>
      <t>Length</t>
    </r>
    <r>
      <rPr>
        <sz val="11"/>
        <color theme="1"/>
        <rFont val="Calibri"/>
        <family val="2"/>
        <scheme val="minor"/>
      </rPr>
      <t xml:space="preserve"> (mm)</t>
    </r>
  </si>
  <si>
    <r>
      <t xml:space="preserve">Weight </t>
    </r>
    <r>
      <rPr>
        <sz val="11"/>
        <color theme="1"/>
        <rFont val="Calibri"/>
        <family val="2"/>
        <scheme val="minor"/>
      </rPr>
      <t>(g)</t>
    </r>
  </si>
  <si>
    <t>Conservation Unit Name</t>
  </si>
  <si>
    <r>
      <rPr>
        <b/>
        <sz val="11"/>
        <color theme="1"/>
        <rFont val="Calibri"/>
        <family val="2"/>
        <scheme val="minor"/>
      </rPr>
      <t>Conservation Unit Name</t>
    </r>
    <r>
      <rPr>
        <sz val="11"/>
        <color theme="1"/>
        <rFont val="Calibri"/>
        <family val="2"/>
        <scheme val="minor"/>
      </rPr>
      <t xml:space="preserve"> - Identify the Sockeye Conservation Unit or stock name or rearing lake name.</t>
    </r>
  </si>
  <si>
    <t>Repositioned Pre-Smolt columns. Updated Smolt-to-Adult Survival formulas accordingly.</t>
  </si>
  <si>
    <r>
      <rPr>
        <b/>
        <sz val="11"/>
        <color theme="1"/>
        <rFont val="Calibri"/>
        <family val="2"/>
        <scheme val="minor"/>
      </rPr>
      <t xml:space="preserve">Fry (Pre-Smolt) Abundance </t>
    </r>
    <r>
      <rPr>
        <sz val="11"/>
        <color theme="1"/>
        <rFont val="Calibri"/>
        <family val="2"/>
        <scheme val="minor"/>
      </rPr>
      <t xml:space="preserve">estimates are generally based on best in-lake estimates from fall/winter </t>
    </r>
    <r>
      <rPr>
        <i/>
        <sz val="11"/>
        <color theme="1"/>
        <rFont val="Calibri"/>
        <family val="2"/>
        <scheme val="minor"/>
      </rPr>
      <t>previous</t>
    </r>
    <r>
      <rPr>
        <sz val="11"/>
        <color theme="1"/>
        <rFont val="Calibri"/>
        <family val="2"/>
        <scheme val="minor"/>
      </rPr>
      <t xml:space="preserve"> to the Smolt Migration Year</t>
    </r>
  </si>
  <si>
    <t>Incorporated weighted mean size formulas for Smolts.</t>
  </si>
  <si>
    <r>
      <t>Total Returns</t>
    </r>
    <r>
      <rPr>
        <sz val="11"/>
        <color theme="1"/>
        <rFont val="Calibri"/>
        <family val="2"/>
        <scheme val="minor"/>
      </rPr>
      <t xml:space="preserve"> (#fish)</t>
    </r>
  </si>
  <si>
    <r>
      <t xml:space="preserve">Biosample Data - Mean Length </t>
    </r>
    <r>
      <rPr>
        <sz val="11"/>
        <color theme="1"/>
        <rFont val="Calibri"/>
        <family val="2"/>
        <scheme val="minor"/>
      </rPr>
      <t>(mm)</t>
    </r>
    <r>
      <rPr>
        <b/>
        <sz val="11"/>
        <color theme="1"/>
        <rFont val="Calibri"/>
        <family val="2"/>
        <scheme val="minor"/>
      </rPr>
      <t xml:space="preserve"> and Weight</t>
    </r>
    <r>
      <rPr>
        <sz val="11"/>
        <color theme="1"/>
        <rFont val="Calibri"/>
        <family val="2"/>
        <scheme val="minor"/>
      </rPr>
      <t xml:space="preserve"> (kg)</t>
    </r>
  </si>
  <si>
    <r>
      <t xml:space="preserve">Adult Migration Timing </t>
    </r>
    <r>
      <rPr>
        <sz val="11"/>
        <color theme="1"/>
        <rFont val="Calibri"/>
        <family val="2"/>
        <scheme val="minor"/>
      </rPr>
      <t>(m/d/y)</t>
    </r>
  </si>
  <si>
    <r>
      <t xml:space="preserve">General Comments - </t>
    </r>
    <r>
      <rPr>
        <sz val="11"/>
        <color theme="1"/>
        <rFont val="Calibri"/>
        <family val="2"/>
        <scheme val="minor"/>
      </rPr>
      <t>Include any notes and considerations for annual data. Indicate if any changes have been made to this year's data relative to previous submissions, &amp; why.</t>
    </r>
  </si>
  <si>
    <r>
      <t>Smolt Abundance</t>
    </r>
    <r>
      <rPr>
        <sz val="11"/>
        <color theme="1"/>
        <rFont val="Calibri"/>
        <family val="2"/>
        <scheme val="minor"/>
      </rPr>
      <t xml:space="preserve"> (#fish)</t>
    </r>
  </si>
  <si>
    <r>
      <t xml:space="preserve">Smolt Biosample Data - Length </t>
    </r>
    <r>
      <rPr>
        <sz val="11"/>
        <color theme="1"/>
        <rFont val="Calibri"/>
        <family val="2"/>
        <scheme val="minor"/>
      </rPr>
      <t>(mm)</t>
    </r>
    <r>
      <rPr>
        <b/>
        <sz val="11"/>
        <color theme="1"/>
        <rFont val="Calibri"/>
        <family val="2"/>
        <scheme val="minor"/>
      </rPr>
      <t xml:space="preserve"> &amp; Std Weight </t>
    </r>
    <r>
      <rPr>
        <sz val="11"/>
        <color theme="1"/>
        <rFont val="Calibri"/>
        <family val="2"/>
        <scheme val="minor"/>
      </rPr>
      <t>(g)</t>
    </r>
  </si>
  <si>
    <r>
      <t xml:space="preserve">Smolt Migration Timing </t>
    </r>
    <r>
      <rPr>
        <sz val="11"/>
        <color theme="1"/>
        <rFont val="Calibri"/>
        <family val="2"/>
        <scheme val="minor"/>
      </rPr>
      <t>(m/d/y)</t>
    </r>
  </si>
  <si>
    <r>
      <t xml:space="preserve">1.1 </t>
    </r>
    <r>
      <rPr>
        <sz val="11"/>
        <color theme="1"/>
        <rFont val="Calibri"/>
        <family val="2"/>
        <scheme val="minor"/>
      </rPr>
      <t>(3</t>
    </r>
    <r>
      <rPr>
        <vertAlign val="subscript"/>
        <sz val="11"/>
        <color theme="1"/>
        <rFont val="Calibri"/>
        <family val="2"/>
        <scheme val="minor"/>
      </rPr>
      <t>2</t>
    </r>
    <r>
      <rPr>
        <sz val="11"/>
        <color theme="1"/>
        <rFont val="Calibri"/>
        <family val="2"/>
        <scheme val="minor"/>
      </rPr>
      <t>)</t>
    </r>
  </si>
  <si>
    <r>
      <t xml:space="preserve">1.2 </t>
    </r>
    <r>
      <rPr>
        <sz val="11"/>
        <color theme="1"/>
        <rFont val="Calibri"/>
        <family val="2"/>
        <scheme val="minor"/>
      </rPr>
      <t>(4</t>
    </r>
    <r>
      <rPr>
        <vertAlign val="subscript"/>
        <sz val="11"/>
        <color theme="1"/>
        <rFont val="Calibri"/>
        <family val="2"/>
        <scheme val="minor"/>
      </rPr>
      <t>2</t>
    </r>
    <r>
      <rPr>
        <sz val="11"/>
        <color theme="1"/>
        <rFont val="Calibri"/>
        <family val="2"/>
        <scheme val="minor"/>
      </rPr>
      <t>)</t>
    </r>
  </si>
  <si>
    <r>
      <t>2.1</t>
    </r>
    <r>
      <rPr>
        <sz val="11"/>
        <color theme="1"/>
        <rFont val="Calibri"/>
        <family val="2"/>
        <scheme val="minor"/>
      </rPr>
      <t xml:space="preserve"> (4</t>
    </r>
    <r>
      <rPr>
        <vertAlign val="subscript"/>
        <sz val="11"/>
        <color theme="1"/>
        <rFont val="Calibri"/>
        <family val="2"/>
        <scheme val="minor"/>
      </rPr>
      <t>3</t>
    </r>
    <r>
      <rPr>
        <sz val="11"/>
        <color theme="1"/>
        <rFont val="Calibri"/>
        <family val="2"/>
        <scheme val="minor"/>
      </rPr>
      <t>)</t>
    </r>
  </si>
  <si>
    <r>
      <t>1.3</t>
    </r>
    <r>
      <rPr>
        <sz val="11"/>
        <color theme="1"/>
        <rFont val="Calibri"/>
        <family val="2"/>
        <scheme val="minor"/>
      </rPr>
      <t xml:space="preserve"> (5</t>
    </r>
    <r>
      <rPr>
        <vertAlign val="subscript"/>
        <sz val="11"/>
        <color theme="1"/>
        <rFont val="Calibri"/>
        <family val="2"/>
        <scheme val="minor"/>
      </rPr>
      <t>2</t>
    </r>
    <r>
      <rPr>
        <sz val="11"/>
        <color theme="1"/>
        <rFont val="Calibri"/>
        <family val="2"/>
        <scheme val="minor"/>
      </rPr>
      <t>)</t>
    </r>
  </si>
  <si>
    <r>
      <t>2.2</t>
    </r>
    <r>
      <rPr>
        <sz val="11"/>
        <color theme="1"/>
        <rFont val="Calibri"/>
        <family val="2"/>
        <scheme val="minor"/>
      </rPr>
      <t xml:space="preserve"> (5</t>
    </r>
    <r>
      <rPr>
        <vertAlign val="subscript"/>
        <sz val="11"/>
        <color theme="1"/>
        <rFont val="Calibri"/>
        <family val="2"/>
        <scheme val="minor"/>
      </rPr>
      <t>3</t>
    </r>
    <r>
      <rPr>
        <sz val="11"/>
        <color theme="1"/>
        <rFont val="Calibri"/>
        <family val="2"/>
        <scheme val="minor"/>
      </rPr>
      <t>)</t>
    </r>
  </si>
  <si>
    <r>
      <t>1.4</t>
    </r>
    <r>
      <rPr>
        <sz val="11"/>
        <color theme="1"/>
        <rFont val="Calibri"/>
        <family val="2"/>
        <scheme val="minor"/>
      </rPr>
      <t xml:space="preserve"> (6</t>
    </r>
    <r>
      <rPr>
        <vertAlign val="subscript"/>
        <sz val="11"/>
        <color theme="1"/>
        <rFont val="Calibri"/>
        <family val="2"/>
        <scheme val="minor"/>
      </rPr>
      <t>2</t>
    </r>
    <r>
      <rPr>
        <sz val="11"/>
        <color theme="1"/>
        <rFont val="Calibri"/>
        <family val="2"/>
        <scheme val="minor"/>
      </rPr>
      <t>)</t>
    </r>
  </si>
  <si>
    <r>
      <t xml:space="preserve">2.3 </t>
    </r>
    <r>
      <rPr>
        <sz val="11"/>
        <color theme="1"/>
        <rFont val="Calibri"/>
        <family val="2"/>
        <scheme val="minor"/>
      </rPr>
      <t>(6</t>
    </r>
    <r>
      <rPr>
        <vertAlign val="subscript"/>
        <sz val="11"/>
        <color theme="1"/>
        <rFont val="Calibri"/>
        <family val="2"/>
        <scheme val="minor"/>
      </rPr>
      <t>3</t>
    </r>
    <r>
      <rPr>
        <sz val="11"/>
        <color theme="1"/>
        <rFont val="Calibri"/>
        <family val="2"/>
        <scheme val="minor"/>
      </rPr>
      <t>)</t>
    </r>
  </si>
  <si>
    <r>
      <t>1.2</t>
    </r>
    <r>
      <rPr>
        <sz val="11"/>
        <color theme="1"/>
        <rFont val="Calibri"/>
        <family val="2"/>
        <scheme val="minor"/>
      </rPr>
      <t xml:space="preserve"> (4</t>
    </r>
    <r>
      <rPr>
        <vertAlign val="subscript"/>
        <sz val="11"/>
        <color theme="1"/>
        <rFont val="Calibri"/>
        <family val="2"/>
        <scheme val="minor"/>
      </rPr>
      <t>2</t>
    </r>
    <r>
      <rPr>
        <sz val="11"/>
        <color theme="1"/>
        <rFont val="Calibri"/>
        <family val="2"/>
        <scheme val="minor"/>
      </rPr>
      <t>)</t>
    </r>
  </si>
  <si>
    <r>
      <t xml:space="preserve">2.1 </t>
    </r>
    <r>
      <rPr>
        <sz val="11"/>
        <color theme="1"/>
        <rFont val="Calibri"/>
        <family val="2"/>
        <scheme val="minor"/>
      </rPr>
      <t>(4</t>
    </r>
    <r>
      <rPr>
        <vertAlign val="subscript"/>
        <sz val="11"/>
        <color theme="1"/>
        <rFont val="Calibri"/>
        <family val="2"/>
        <scheme val="minor"/>
      </rPr>
      <t>3</t>
    </r>
    <r>
      <rPr>
        <sz val="11"/>
        <color theme="1"/>
        <rFont val="Calibri"/>
        <family val="2"/>
        <scheme val="minor"/>
      </rPr>
      <t>)</t>
    </r>
  </si>
  <si>
    <r>
      <t xml:space="preserve">1.4 </t>
    </r>
    <r>
      <rPr>
        <sz val="11"/>
        <color theme="1"/>
        <rFont val="Calibri"/>
        <family val="2"/>
        <scheme val="minor"/>
      </rPr>
      <t>(6</t>
    </r>
    <r>
      <rPr>
        <vertAlign val="subscript"/>
        <sz val="11"/>
        <color theme="1"/>
        <rFont val="Calibri"/>
        <family val="2"/>
        <scheme val="minor"/>
      </rPr>
      <t>2</t>
    </r>
    <r>
      <rPr>
        <sz val="11"/>
        <color theme="1"/>
        <rFont val="Calibri"/>
        <family val="2"/>
        <scheme val="minor"/>
      </rPr>
      <t>)</t>
    </r>
  </si>
  <si>
    <r>
      <t>2.3</t>
    </r>
    <r>
      <rPr>
        <sz val="11"/>
        <color theme="1"/>
        <rFont val="Calibri"/>
        <family val="2"/>
        <scheme val="minor"/>
      </rPr>
      <t xml:space="preserve"> (6</t>
    </r>
    <r>
      <rPr>
        <vertAlign val="subscript"/>
        <sz val="11"/>
        <color theme="1"/>
        <rFont val="Calibri"/>
        <family val="2"/>
        <scheme val="minor"/>
      </rPr>
      <t>3</t>
    </r>
    <r>
      <rPr>
        <sz val="11"/>
        <color theme="1"/>
        <rFont val="Calibri"/>
        <family val="2"/>
        <scheme val="minor"/>
      </rPr>
      <t>)</t>
    </r>
  </si>
  <si>
    <r>
      <rPr>
        <b/>
        <sz val="11"/>
        <color theme="1"/>
        <rFont val="Calibri"/>
        <family val="2"/>
        <scheme val="minor"/>
      </rPr>
      <t>Biosample Data</t>
    </r>
    <r>
      <rPr>
        <sz val="11"/>
        <color theme="1"/>
        <rFont val="Calibri"/>
        <family val="2"/>
        <scheme val="minor"/>
      </rPr>
      <t xml:space="preserve"> - Enter mean length (mm), and mean weight (g) by age. Indicate code for type of length measurement via drop-down box (SL = standard length, TL = total length, FL = fork length, PO = post-orbital hypural length). Indicate whether weights are measured or estimated in Methods &amp; Notes column. Add an uncommon age by replacing OTHER in column AH header with additional age in X.Y format.</t>
    </r>
  </si>
  <si>
    <t>Age</t>
  </si>
  <si>
    <r>
      <rPr>
        <b/>
        <sz val="11"/>
        <color theme="1"/>
        <rFont val="Calibri"/>
        <family val="2"/>
        <scheme val="minor"/>
      </rPr>
      <t>Adult Returns At Age</t>
    </r>
    <r>
      <rPr>
        <sz val="11"/>
        <color theme="1"/>
        <rFont val="Calibri"/>
        <family val="2"/>
        <scheme val="minor"/>
      </rPr>
      <t xml:space="preserve"> - Total adult returns consist of C (total catch, all sectors) + E (escapement) + M (natural enroute/in-river mortality) + H (hatchery broodstock removals), apportioned to age. Enter abundance estimates (#fish) by age for current Return Year. Specify a missing age for this stock in the Age 0.0 column - replacing 0.0 in the column heading with the age in European age format.  For additional ages, please indicate Age and Abundance in Methods &amp; Notes column.</t>
    </r>
  </si>
  <si>
    <t>Adult returns 'additional age' column - now handled in Smolt-to-Adult Survival worksheet formulas.</t>
  </si>
  <si>
    <t>Minor changes to headings, References tab, README tab text and column references.</t>
  </si>
  <si>
    <t>3rd Quantile (TT99%)</t>
  </si>
  <si>
    <t>1st Quantile (TT01%)</t>
  </si>
  <si>
    <t>Peak or Median (TT50%)</t>
  </si>
  <si>
    <t>Version 21.12.01</t>
  </si>
  <si>
    <t>Modified 'hidden' column AQ and AS on Adult Returns tab to represent 1st and 99th percentiles for adult run timing.</t>
  </si>
  <si>
    <t>Version 21.12.07</t>
  </si>
  <si>
    <t>Minor fixes to Smolt to Adult Survival formulas for YEAR and ADULT RETURNS to handle no data situation.</t>
  </si>
  <si>
    <r>
      <t xml:space="preserve">Survival tab: Adult Data Notes column is flagged red and displays </t>
    </r>
    <r>
      <rPr>
        <i/>
        <sz val="11"/>
        <color rgb="FFFF0000"/>
        <rFont val="Calibri"/>
        <family val="2"/>
        <scheme val="minor"/>
      </rPr>
      <t>"Adult Returns Incomplete!"</t>
    </r>
    <r>
      <rPr>
        <i/>
        <sz val="11"/>
        <rFont val="Calibri"/>
        <family val="2"/>
        <scheme val="minor"/>
      </rPr>
      <t xml:space="preserve"> if major ages missing from total returns calculation.</t>
    </r>
  </si>
  <si>
    <t>Version 22.01.10</t>
  </si>
  <si>
    <t>Version 22.01.14</t>
  </si>
  <si>
    <r>
      <t xml:space="preserve">Minor bug in Smolt to Adult Survival tab, </t>
    </r>
    <r>
      <rPr>
        <b/>
        <i/>
        <sz val="11"/>
        <rFont val="Calibri"/>
        <family val="2"/>
        <scheme val="minor"/>
      </rPr>
      <t>Total Adult Returns</t>
    </r>
    <r>
      <rPr>
        <i/>
        <sz val="11"/>
        <rFont val="Calibri"/>
        <family val="2"/>
        <scheme val="minor"/>
      </rPr>
      <t xml:space="preserve"> column: VLOOKUP returning last return-at-age abundance value when referencing cells with no years (i.e. &gt; 2020)</t>
    </r>
  </si>
  <si>
    <r>
      <t xml:space="preserve">Text edit in Smolt to Adult Survival tab, </t>
    </r>
    <r>
      <rPr>
        <b/>
        <i/>
        <sz val="11"/>
        <rFont val="Calibri"/>
        <family val="2"/>
        <scheme val="minor"/>
      </rPr>
      <t>Adult Data Notes</t>
    </r>
    <r>
      <rPr>
        <i/>
        <sz val="11"/>
        <rFont val="Calibri"/>
        <family val="2"/>
        <scheme val="minor"/>
      </rPr>
      <t xml:space="preserve"> column: refined text regarding incomplete age-structured data for end of time-series.</t>
    </r>
  </si>
  <si>
    <t>Minor text edits - &lt;not recorded&gt;</t>
  </si>
  <si>
    <t/>
  </si>
  <si>
    <t>Version 22.02.08</t>
  </si>
  <si>
    <t>Smolt-to-Adult Survival tab - blank out Year column where years &gt; Year(Now())</t>
  </si>
  <si>
    <t>Age 3</t>
  </si>
  <si>
    <t>Okanagan-Osoyoos</t>
  </si>
  <si>
    <t>Okanagan - Osoyoos</t>
  </si>
  <si>
    <t>Hyatt &amp; Rankin 1999</t>
  </si>
  <si>
    <t>JUVENILE DATA</t>
  </si>
  <si>
    <t>ADULT DATA</t>
  </si>
  <si>
    <t>OR/WA Joint CR Mgmt Reports for SK stock composition</t>
  </si>
  <si>
    <t>e.g. p. 17 in https://wdfw.wa.gov/sites/default/files/2022-02/2022 OR_WASpring Joint Staff Report.pdf</t>
  </si>
  <si>
    <r>
      <rPr>
        <b/>
        <sz val="11"/>
        <color theme="1"/>
        <rFont val="Calibri"/>
        <family val="2"/>
        <scheme val="minor"/>
      </rPr>
      <t>Smolt production</t>
    </r>
    <r>
      <rPr>
        <sz val="11"/>
        <color theme="1"/>
        <rFont val="Calibri"/>
        <family val="2"/>
        <scheme val="minor"/>
      </rPr>
      <t>: Total annual pre-smolts from CNAT_nuOkanagan_Juveniles 21.12.10.xlsx</t>
    </r>
  </si>
  <si>
    <t>MARINE SURVIVAL</t>
  </si>
  <si>
    <r>
      <rPr>
        <b/>
        <sz val="12"/>
        <rFont val="Calibri"/>
        <family val="2"/>
        <scheme val="minor"/>
      </rPr>
      <t>See also</t>
    </r>
    <r>
      <rPr>
        <sz val="12"/>
        <rFont val="Calibri"/>
        <family val="2"/>
        <scheme val="minor"/>
      </rPr>
      <t>: Bonneville Dam Fish Passage Center Sockeye Counts 1938-2021 21.03.07.xlsx ! Surv &amp; Exposure</t>
    </r>
  </si>
  <si>
    <t>Rankin et al. 1998</t>
  </si>
  <si>
    <t>Hyatt et al. 2018</t>
  </si>
  <si>
    <t>howard.stiff@dfo-mpo.gc.ca</t>
  </si>
  <si>
    <t>Hyatt et al. 2017</t>
  </si>
  <si>
    <r>
      <rPr>
        <b/>
        <sz val="11"/>
        <color rgb="FFFF0000"/>
        <rFont val="Calibri"/>
        <family val="2"/>
        <scheme val="minor"/>
      </rPr>
      <t>NOTE: This worksheet is updated automatically from the</t>
    </r>
    <r>
      <rPr>
        <b/>
        <sz val="11"/>
        <color rgb="FFC00000"/>
        <rFont val="Calibri"/>
        <family val="2"/>
        <scheme val="minor"/>
      </rPr>
      <t xml:space="preserve"> </t>
    </r>
    <r>
      <rPr>
        <b/>
        <u/>
        <sz val="11"/>
        <color theme="4" tint="-0.249977111117893"/>
        <rFont val="Calibri"/>
        <family val="2"/>
        <scheme val="minor"/>
      </rPr>
      <t>Juvenile</t>
    </r>
    <r>
      <rPr>
        <b/>
        <sz val="11"/>
        <color rgb="FFC00000"/>
        <rFont val="Calibri"/>
        <family val="2"/>
        <scheme val="minor"/>
      </rPr>
      <t xml:space="preserve"> </t>
    </r>
    <r>
      <rPr>
        <b/>
        <sz val="11"/>
        <color rgb="FFFF0000"/>
        <rFont val="Calibri"/>
        <family val="2"/>
        <scheme val="minor"/>
      </rPr>
      <t>and</t>
    </r>
    <r>
      <rPr>
        <b/>
        <sz val="11"/>
        <color rgb="FFC00000"/>
        <rFont val="Calibri"/>
        <family val="2"/>
        <scheme val="minor"/>
      </rPr>
      <t xml:space="preserve"> </t>
    </r>
    <r>
      <rPr>
        <b/>
        <u/>
        <sz val="11"/>
        <color rgb="FFC00000"/>
        <rFont val="Calibri"/>
        <family val="2"/>
        <scheme val="minor"/>
      </rPr>
      <t>Adult Returns Data</t>
    </r>
    <r>
      <rPr>
        <b/>
        <sz val="11"/>
        <color rgb="FFC00000"/>
        <rFont val="Calibri"/>
        <family val="2"/>
        <scheme val="minor"/>
      </rPr>
      <t xml:space="preserve"> </t>
    </r>
    <r>
      <rPr>
        <b/>
        <sz val="11"/>
        <color rgb="FFFF0000"/>
        <rFont val="Calibri"/>
        <family val="2"/>
        <scheme val="minor"/>
      </rPr>
      <t>worksheets, except for the</t>
    </r>
    <r>
      <rPr>
        <b/>
        <sz val="11"/>
        <color rgb="FFC00000"/>
        <rFont val="Calibri"/>
        <family val="2"/>
        <scheme val="minor"/>
      </rPr>
      <t xml:space="preserve"> </t>
    </r>
    <r>
      <rPr>
        <b/>
        <sz val="11"/>
        <rFont val="Calibri"/>
        <family val="2"/>
        <scheme val="minor"/>
      </rPr>
      <t>Additional Comments</t>
    </r>
    <r>
      <rPr>
        <b/>
        <sz val="11"/>
        <color rgb="FFC00000"/>
        <rFont val="Calibri"/>
        <family val="2"/>
        <scheme val="minor"/>
      </rPr>
      <t xml:space="preserve"> </t>
    </r>
    <r>
      <rPr>
        <b/>
        <sz val="11"/>
        <color rgb="FFFF0000"/>
        <rFont val="Calibri"/>
        <family val="2"/>
        <scheme val="minor"/>
      </rPr>
      <t>column.</t>
    </r>
  </si>
  <si>
    <t>Missing age is a true zero for age 52 in 1999 [hs 2022-05-04]</t>
  </si>
  <si>
    <t>Missing age is a true zero for age 52 in 2004 [hs 2022-05-04]</t>
  </si>
  <si>
    <t>howard.stiff@shaw.ca</t>
  </si>
  <si>
    <t>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t>
  </si>
  <si>
    <t>1st Quartile (10%)</t>
  </si>
  <si>
    <t>3st Quartile (90%)</t>
  </si>
  <si>
    <t>PIT tagged juvenile (wild+hatch?) survival (FPC Memo to JF (21.12.28): Table 4. Migration timing of PIT-tagged Okanogan River Basin sockeye smolts (i.e., release aggregate) detected at  Bonneville (BON) dam)</t>
  </si>
  <si>
    <t>N/A</t>
  </si>
  <si>
    <t>SY</t>
  </si>
  <si>
    <t>TOTAL</t>
  </si>
  <si>
    <r>
      <t xml:space="preserve">Select </t>
    </r>
    <r>
      <rPr>
        <b/>
        <sz val="11"/>
        <color theme="1"/>
        <rFont val="Calibri"/>
        <family val="2"/>
        <scheme val="minor"/>
      </rPr>
      <t>Smolt Year</t>
    </r>
    <r>
      <rPr>
        <sz val="11"/>
        <color theme="1"/>
        <rFont val="Calibri"/>
        <family val="2"/>
        <scheme val="minor"/>
      </rPr>
      <t xml:space="preserve"> (SY) :</t>
    </r>
  </si>
  <si>
    <r>
      <t xml:space="preserve">to list associated </t>
    </r>
    <r>
      <rPr>
        <b/>
        <sz val="11"/>
        <color theme="1"/>
        <rFont val="Calibri"/>
        <family val="2"/>
        <scheme val="minor"/>
      </rPr>
      <t>Return Year</t>
    </r>
    <r>
      <rPr>
        <sz val="11"/>
        <color theme="1"/>
        <rFont val="Calibri"/>
        <family val="2"/>
        <scheme val="minor"/>
      </rPr>
      <t xml:space="preserve"> and </t>
    </r>
    <r>
      <rPr>
        <b/>
        <sz val="11"/>
        <color theme="1"/>
        <rFont val="Calibri"/>
        <family val="2"/>
        <scheme val="minor"/>
      </rPr>
      <t>Adult Return at Age</t>
    </r>
    <r>
      <rPr>
        <sz val="11"/>
        <color theme="1"/>
        <rFont val="Calibri"/>
        <family val="2"/>
        <scheme val="minor"/>
      </rPr>
      <t xml:space="preserve"> in that year</t>
    </r>
  </si>
  <si>
    <t>Version 22.05.14</t>
  </si>
  <si>
    <t>Smolt-to-Adult Survival tab - added a method to check which adult returns at age are included for a given smolt year.</t>
  </si>
  <si>
    <t>Age composition preliminary (JF 2022-05-06]]</t>
  </si>
  <si>
    <t>Adult abundance, stock comp, and age comp: Total OK Sox abundance based on BON SK dam count + Zone1-6 harvest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t>
  </si>
  <si>
    <t>Note: Adult Returns totals in this spreadsheet are based on Sockeye estimates returning to the mouth of the CR (i.e., accounting for harvests), apportioned to Okanagan stock based on annual Wells:Rock dam count ratios.</t>
  </si>
  <si>
    <t>Version 22.06.14</t>
  </si>
  <si>
    <r>
      <t xml:space="preserve">Total adult returns updated! Now based on </t>
    </r>
    <r>
      <rPr>
        <b/>
        <i/>
        <sz val="11"/>
        <rFont val="Calibri"/>
        <family val="2"/>
        <scheme val="minor"/>
      </rPr>
      <t>Bonn counts + downstream catch (Columbia Harvest Zones 1-5)</t>
    </r>
    <r>
      <rPr>
        <i/>
        <sz val="11"/>
        <rFont val="Calibri"/>
        <family val="2"/>
        <scheme val="minor"/>
      </rPr>
      <t xml:space="preserve"> apportioned to stock (based on annual Wells:Rock dam count ratios - which might be slightly improved using PIT stock comp data), to get best estimate of Ok Sox adult returns. Resulted in small changes to total returns (and marine survival) for many return years, and more significant changes for late 1980s and 2012, when there were significant comm. fisheries in the mouth of the Columbia (Zones 1-5). Adult age comp still based on spawning grounds (deadpitch) where available, otherwise JF (CRITFC) PIT age data, or in some years, multiyear averages.</t>
    </r>
  </si>
  <si>
    <t>OFW/WDFW 2022 Joint Staff Report</t>
  </si>
  <si>
    <r>
      <rPr>
        <b/>
        <sz val="11"/>
        <color theme="1"/>
        <rFont val="Calibri"/>
        <family val="2"/>
        <scheme val="minor"/>
      </rPr>
      <t>Age Composition</t>
    </r>
    <r>
      <rPr>
        <sz val="11"/>
        <color theme="1"/>
        <rFont val="Calibri"/>
        <family val="2"/>
        <scheme val="minor"/>
      </rPr>
      <t>: OkSox Total Rtns to Wells RY_OEY_BY (HS) 2022.06.14</t>
    </r>
  </si>
  <si>
    <r>
      <rPr>
        <b/>
        <sz val="11"/>
        <color theme="1"/>
        <rFont val="Calibri"/>
        <family val="2"/>
        <scheme val="minor"/>
      </rPr>
      <t>Total Returns (dam counts) by return year and smolt year</t>
    </r>
    <r>
      <rPr>
        <sz val="11"/>
        <color theme="1"/>
        <rFont val="Calibri"/>
        <family val="2"/>
        <scheme val="minor"/>
      </rPr>
      <t>: OkSox Total Rtns to Wells RY_OEY_BY (HS) 2022.06.14</t>
    </r>
  </si>
  <si>
    <r>
      <rPr>
        <b/>
        <sz val="11"/>
        <color theme="1"/>
        <rFont val="Calibri"/>
        <family val="2"/>
        <scheme val="minor"/>
      </rPr>
      <t>Stock Composition</t>
    </r>
    <r>
      <rPr>
        <sz val="11"/>
        <color theme="1"/>
        <rFont val="Calibri"/>
        <family val="2"/>
        <scheme val="minor"/>
      </rPr>
      <t>: OkSox Total Rtns to Wells RY_OEY_BY (HS) 2022.06.14</t>
    </r>
  </si>
  <si>
    <t>M/S likely approximate, since 2-ocean returns (42s, 53s and 64s) from SY 2020 returning in 2022 are preliminary [2022-07-22].</t>
  </si>
  <si>
    <t>Version 22.07.22</t>
  </si>
  <si>
    <t>Added a very preliminary total adult returns estimate for 2022 plus age composition, allowing update of marine survival calculations to 2019.</t>
  </si>
  <si>
    <t>Version 22.07.29</t>
  </si>
  <si>
    <t>Total adult returns updated yet again - reconciled with ODF/WDFW 2022 Joint Staff Report Table 15.</t>
  </si>
  <si>
    <t>Mean</t>
  </si>
  <si>
    <t>Pre-FWMT</t>
  </si>
  <si>
    <t>FWMT</t>
  </si>
  <si>
    <t>Percent Improvement:</t>
  </si>
  <si>
    <t>Years</t>
  </si>
  <si>
    <t>SD</t>
  </si>
  <si>
    <t>Min</t>
  </si>
  <si>
    <t>Max</t>
  </si>
  <si>
    <t>JuvMigYear</t>
  </si>
  <si>
    <t>McNarySmolts</t>
  </si>
  <si>
    <t>BonnSox</t>
  </si>
  <si>
    <t>SAR</t>
  </si>
  <si>
    <t>Williams et al 2014</t>
  </si>
  <si>
    <t>It should be possible to use TT50% at McNary Dam from the FPC or CBR-DART website (which would include Wen &amp; Ok smolts), as long as years demonstrating a bi-modal peak were treated differently. Wenatchee tends to migrate before Ok Sockeye (Williams et al. 2014), so it would be necessary to exclude the first mode to get Ok Sox migration timing. (hs 2022-09-28)</t>
  </si>
  <si>
    <t>Version 22.10.10</t>
  </si>
  <si>
    <t>Minor updates to 2022 adult returns based on recently revised dam count estimates at FPC.org.</t>
  </si>
  <si>
    <r>
      <t xml:space="preserve">Marine Survival </t>
    </r>
    <r>
      <rPr>
        <sz val="11"/>
        <color theme="1"/>
        <rFont val="Calibri"/>
        <family val="2"/>
        <scheme val="minor"/>
      </rPr>
      <t>(old)</t>
    </r>
  </si>
  <si>
    <r>
      <t xml:space="preserve">Total Adult Returns </t>
    </r>
    <r>
      <rPr>
        <sz val="11"/>
        <color theme="1"/>
        <rFont val="Calibri"/>
        <family val="2"/>
        <scheme val="minor"/>
      </rPr>
      <t>(old)</t>
    </r>
  </si>
  <si>
    <t>Name</t>
  </si>
  <si>
    <t>HS 2022-10-18</t>
  </si>
  <si>
    <t>Version 22.10.17</t>
  </si>
  <si>
    <r>
      <t xml:space="preserve">Minor updates to adult returns time-series due to adjustment required for Wells Dam counts being only 16-hr per day pre-1998, which affected current method of estimation of stock composition, which is based on the Wells:RockIsland Dam count ratio (RockIsland is (effectively) 24-hr counts for all years, since in years of 16-hr counts, the gates were closed for 8 hr, preventing fish passage till next day; Catherine Willard, WDFW or Chelan PUD). </t>
    </r>
    <r>
      <rPr>
        <b/>
        <i/>
        <sz val="11"/>
        <rFont val="Calibri"/>
        <family val="2"/>
        <scheme val="minor"/>
      </rPr>
      <t>Result: Wells Dam counts (1980-1997) boosted 1.132x (13.2%)</t>
    </r>
    <r>
      <rPr>
        <i/>
        <sz val="11"/>
        <rFont val="Calibri"/>
        <family val="2"/>
        <scheme val="minor"/>
      </rPr>
      <t xml:space="preserve"> based on comparison of 16- vs 24-hr counts from 1998-present (pers. comm., Tom Kahler, DCPUD, Oct 2022).</t>
    </r>
  </si>
  <si>
    <t>Ok adults at mouth of Columbia (based on Wells counts (adj. 24-hr counts) + [[downstream harvest (Zones 1-6) + nat morts apportioned to stock (based on annual Wells:Rock dam ratios)]]. [hs 2022-10-30]</t>
  </si>
  <si>
    <r>
      <t xml:space="preserve">Age comp missing: Best winter lake fry abundance copied from Pre-Smolt section into Age 1 column as an index of Smolt production. See </t>
    </r>
    <r>
      <rPr>
        <b/>
        <sz val="11"/>
        <rFont val="Calibri"/>
        <family val="2"/>
        <scheme val="minor"/>
      </rPr>
      <t>General Comments</t>
    </r>
    <r>
      <rPr>
        <sz val="11"/>
        <rFont val="Calibri"/>
        <family val="2"/>
        <scheme val="minor"/>
      </rPr>
      <t>. [hs 2022-10-31]</t>
    </r>
  </si>
  <si>
    <t>Age comp missing: Best winter lake fry abundance copied from Pre-Smolt section into Age 1 column as an index of Smolt production. See General Comments. [hs 2022-10-31]</t>
  </si>
  <si>
    <t>From fall-winter ATS survey(s) in previous year. Length &amp; Weight weighted by trawl sample sizes.</t>
  </si>
  <si>
    <t>Version 22.11.01</t>
  </si>
  <si>
    <t>Version 22.10.30</t>
  </si>
  <si>
    <t>Return Year</t>
  </si>
  <si>
    <r>
      <t xml:space="preserve">Total Sox (Mouth) </t>
    </r>
    <r>
      <rPr>
        <sz val="10"/>
        <color theme="1"/>
        <rFont val="Tahoma"/>
        <family val="2"/>
      </rPr>
      <t xml:space="preserve"> [16-hour]</t>
    </r>
  </si>
  <si>
    <r>
      <t>Total Sox (Bonn)</t>
    </r>
    <r>
      <rPr>
        <sz val="10"/>
        <color theme="1"/>
        <rFont val="Tahoma"/>
        <family val="2"/>
      </rPr>
      <t xml:space="preserve">  [16-hour]</t>
    </r>
  </si>
  <si>
    <r>
      <t xml:space="preserve">Total Sox (Rock) </t>
    </r>
    <r>
      <rPr>
        <sz val="10"/>
        <color rgb="FF0066FF"/>
        <rFont val="Tahoma"/>
        <family val="2"/>
      </rPr>
      <t xml:space="preserve"> [24-hour]</t>
    </r>
  </si>
  <si>
    <r>
      <t>Total Sox (Wells)</t>
    </r>
    <r>
      <rPr>
        <sz val="10"/>
        <color theme="0" tint="-0.34998626667073579"/>
        <rFont val="Tahoma"/>
        <family val="2"/>
      </rPr>
      <t xml:space="preserve"> [orig]</t>
    </r>
  </si>
  <si>
    <r>
      <t>Total Sox (Wells)</t>
    </r>
    <r>
      <rPr>
        <sz val="10"/>
        <color theme="0" tint="-0.34998626667073579"/>
        <rFont val="Tahoma"/>
        <family val="2"/>
      </rPr>
      <t xml:space="preserve"> [16-hour]</t>
    </r>
  </si>
  <si>
    <r>
      <t>Total Sox (Wells)</t>
    </r>
    <r>
      <rPr>
        <sz val="10"/>
        <color rgb="FF0066FF"/>
        <rFont val="Tahoma"/>
        <family val="2"/>
      </rPr>
      <t xml:space="preserve"> [24-hour]</t>
    </r>
  </si>
  <si>
    <r>
      <t>Ok Stock Composition</t>
    </r>
    <r>
      <rPr>
        <sz val="10"/>
        <color theme="0" tint="-0.34998626667073579"/>
        <rFont val="Tahoma"/>
        <family val="2"/>
      </rPr>
      <t xml:space="preserve"> (Wells:Rock [orig])</t>
    </r>
  </si>
  <si>
    <r>
      <t>Ok Stock Composition</t>
    </r>
    <r>
      <rPr>
        <sz val="10"/>
        <color theme="9" tint="-0.249977111117893"/>
        <rFont val="Tahoma"/>
        <family val="2"/>
      </rPr>
      <t xml:space="preserve"> (Wells:Rock [adj])</t>
    </r>
  </si>
  <si>
    <r>
      <t xml:space="preserve">OK Sox at Mouth </t>
    </r>
    <r>
      <rPr>
        <sz val="10"/>
        <color theme="0" tint="-0.34998626667073579"/>
        <rFont val="Tahoma"/>
        <family val="2"/>
      </rPr>
      <t>(Wells:Rock [obsolete])</t>
    </r>
  </si>
  <si>
    <r>
      <t xml:space="preserve">OK Sox at Mouth </t>
    </r>
    <r>
      <rPr>
        <sz val="10"/>
        <color theme="9" tint="-0.249977111117893"/>
        <rFont val="Tahoma"/>
        <family val="2"/>
      </rPr>
      <t>(Wells:Rock [adj])</t>
    </r>
  </si>
  <si>
    <r>
      <t xml:space="preserve">Ok Stock Composition </t>
    </r>
    <r>
      <rPr>
        <sz val="10"/>
        <color theme="4" tint="-0.249977111117893"/>
        <rFont val="Tahoma"/>
        <family val="2"/>
      </rPr>
      <t>(PIT&amp;DNA)</t>
    </r>
  </si>
  <si>
    <r>
      <t xml:space="preserve">OK Sox at Bonn </t>
    </r>
    <r>
      <rPr>
        <sz val="10"/>
        <color theme="4" tint="-0.249977111117893"/>
        <rFont val="Tahoma"/>
        <family val="2"/>
      </rPr>
      <t>(PIT&amp;DNA)</t>
    </r>
  </si>
  <si>
    <r>
      <t>OK Sox at Mouth</t>
    </r>
    <r>
      <rPr>
        <b/>
        <sz val="10"/>
        <color rgb="FFFF0000"/>
        <rFont val="Tahoma"/>
        <family val="2"/>
      </rPr>
      <t xml:space="preserve"> (A)</t>
    </r>
  </si>
  <si>
    <t>Total Harvest Below Bonn</t>
  </si>
  <si>
    <t>Total Harvest Bonn to Wells</t>
  </si>
  <si>
    <t>Total Harvest Below Wells</t>
  </si>
  <si>
    <r>
      <t>OK Sox Harvest Below Wells</t>
    </r>
    <r>
      <rPr>
        <sz val="10"/>
        <color rgb="FF7030A0"/>
        <rFont val="Tahoma"/>
        <family val="2"/>
      </rPr>
      <t xml:space="preserve"> (</t>
    </r>
    <r>
      <rPr>
        <i/>
        <sz val="10"/>
        <color rgb="FF7030A0"/>
        <rFont val="Tahoma"/>
        <family val="2"/>
      </rPr>
      <t>F</t>
    </r>
    <r>
      <rPr>
        <sz val="10"/>
        <color rgb="FF7030A0"/>
        <rFont val="Tahoma"/>
        <family val="2"/>
      </rPr>
      <t>)</t>
    </r>
  </si>
  <si>
    <t>Ok Harvest Rate (below Wells)</t>
  </si>
  <si>
    <r>
      <rPr>
        <b/>
        <sz val="10"/>
        <rFont val="Tahoma"/>
        <family val="2"/>
      </rPr>
      <t>Ok Sox Nat Mort Rate</t>
    </r>
    <r>
      <rPr>
        <sz val="11"/>
        <color theme="1"/>
        <rFont val="Calibri"/>
        <family val="2"/>
        <scheme val="minor"/>
      </rPr>
      <t xml:space="preserve"> Bonn-Wells (%)</t>
    </r>
  </si>
  <si>
    <r>
      <rPr>
        <b/>
        <sz val="10"/>
        <rFont val="Tahoma"/>
        <family val="2"/>
      </rPr>
      <t>Ok Sox Nat Morts</t>
    </r>
    <r>
      <rPr>
        <sz val="11"/>
        <color theme="1"/>
        <rFont val="Calibri"/>
        <family val="2"/>
        <scheme val="minor"/>
      </rPr>
      <t xml:space="preserve"> (#fish) Bonn-Wells (</t>
    </r>
    <r>
      <rPr>
        <i/>
        <sz val="10"/>
        <rFont val="Tahoma"/>
        <family val="2"/>
      </rPr>
      <t>M</t>
    </r>
    <r>
      <rPr>
        <sz val="11"/>
        <color theme="1"/>
        <rFont val="Calibri"/>
        <family val="2"/>
        <scheme val="minor"/>
      </rPr>
      <t>)</t>
    </r>
  </si>
  <si>
    <t>Mainstem Ok Natural Mortality? (A-B)</t>
  </si>
  <si>
    <t>Mouth to Wells %Mort</t>
  </si>
  <si>
    <t>Mouth to Wells Survival (CR)</t>
  </si>
  <si>
    <t>Bonn to Wells Survival (CR)</t>
  </si>
  <si>
    <t>Alternative OkSox Total (Wells + d/s Harvest + d/s NatMort (G+R+U))</t>
  </si>
  <si>
    <t>Same as OkSox at Mouth calc?</t>
  </si>
  <si>
    <t>Preliminary [2022-10-30]</t>
  </si>
  <si>
    <t>Decade</t>
  </si>
  <si>
    <t>Brood Year</t>
  </si>
  <si>
    <t>Smolt Year</t>
  </si>
  <si>
    <t>OK Sox at Mouth</t>
  </si>
  <si>
    <t>OK Stock 1 (Bonn)</t>
  </si>
  <si>
    <t>Ok Stock Comp 2 (Bonn)</t>
  </si>
  <si>
    <t>OK Stock 2 (Bonn)</t>
  </si>
  <si>
    <t>Bon to Wells (CR)</t>
  </si>
  <si>
    <t>OKSox Harvest Below Wells</t>
  </si>
  <si>
    <t>Harvest Below Wells (%)</t>
  </si>
  <si>
    <t>Total B4 Harvest (Wells)</t>
  </si>
  <si>
    <t>Bon to Wells (Adj CR)</t>
  </si>
  <si>
    <t>Total Age (Years)</t>
  </si>
  <si>
    <t>FW Years</t>
  </si>
  <si>
    <t>Age Comp (Fryer)</t>
  </si>
  <si>
    <t>Returns at Age (Bonn)</t>
  </si>
  <si>
    <t>Age Comp (SIRE)</t>
  </si>
  <si>
    <t>Ok Returns at Mouth (Best)</t>
  </si>
  <si>
    <t>OK Returns at Age (Bonn)</t>
  </si>
  <si>
    <t>OK Returns at Age 2 (Bonn)</t>
  </si>
  <si>
    <t>OK Returns at Age 3 (Bonn)</t>
  </si>
  <si>
    <t>OK Returns at Age BEST (Bonn)</t>
  </si>
  <si>
    <t>Returns at Age (Wells)</t>
  </si>
  <si>
    <t>Returns at Age (Wells b4 Harvest)</t>
  </si>
  <si>
    <t>Bon To Wells (Adj)</t>
  </si>
  <si>
    <t xml:space="preserve">Comments - final abund at age based on year-specific age comp, in the following order, where available: 1. Spawning Ground (biosample or deadpitch) (SIRE); 2. SPA/DNA/PIT analyses (Fryer); 3. Wells Dam biosample; 4. Fryer (thesis; pre-PIT); 5. SIRE multi-year avg </t>
  </si>
  <si>
    <t>Okanagan Sockeye</t>
  </si>
  <si>
    <t>Use SIRE default age comp</t>
  </si>
  <si>
    <t>Fryer thesis: freshwater aged, marine ages based on length</t>
  </si>
  <si>
    <t>no age comp data - multi-year mean applied</t>
  </si>
  <si>
    <t>Fryer pers. data; Schwartzberg and Fryer 1989</t>
  </si>
  <si>
    <t>Fryer pers. data; Schwartzberg and Fryer 1991</t>
  </si>
  <si>
    <t>Fryer pers. data; Schwartzberg and Fryer 1993</t>
  </si>
  <si>
    <t>Fryer pers. data; Schwartzberg and Fryer 1990</t>
  </si>
  <si>
    <t>Fryer pers. data; Schwartzberg and Fryer 1992</t>
  </si>
  <si>
    <t>Fryer pers. data: Fryer and Schwartzberg 1990</t>
  </si>
  <si>
    <t>Fryer pers. data: Fryer and Schwartzberg 1991</t>
  </si>
  <si>
    <t>Fryer pers data; Fryer et al 1992</t>
  </si>
  <si>
    <t>Fryer personal data; Fryer and Schwartzberg 1993</t>
  </si>
  <si>
    <t>Jeff Fryer, pers.data &amp; Fryer &amp; Schwartzberg 1994</t>
  </si>
  <si>
    <t>Fryer: pers data (Wells Dam)) used for SIRE age comps</t>
  </si>
  <si>
    <t>SIRE = Fryer &amp; Kelsey 2001 (CRITFC 01-2), but FRYER may be Sp/Grd? [hs 10/21/2020]</t>
  </si>
  <si>
    <t>SIRE = Fryer &amp; Kelsey 2001 (CRITFC 01-2) (Wells Dam, Table 3)</t>
  </si>
  <si>
    <t>SIRE = spawning grounds; Wells = 0.031 CRITFC 02_02 Table 3</t>
  </si>
  <si>
    <t>spawning grounds; Wells = 0.940</t>
  </si>
  <si>
    <t>spawning grounds; Wells = 0.020</t>
  </si>
  <si>
    <t>spawning grounds; Wells = 0.006</t>
  </si>
  <si>
    <t>spawning grounds; Wells = 0.003</t>
  </si>
  <si>
    <t>Use Fryer; SIRE = spawning grounds no 53s; Wells = 0.015</t>
  </si>
  <si>
    <t>Use Fryer; SIRE = spawning grounds no 53s; Wells = 0.441</t>
  </si>
  <si>
    <t>Use Fryer; SIRE = spawning grounds no 53s; Wells = 0.160</t>
  </si>
  <si>
    <t>Use Fryer; SIRE = spawning grounds no 53s; Wells = 0.236</t>
  </si>
  <si>
    <t>SIRE = Broodstock (hatchery highgrading?), use Fryer</t>
  </si>
  <si>
    <t>Fryer age 1.3 comp (0.4%) is quite low relative to spawning ground data; Fryer age comp only adds up to 98.5%, so adding 1.5% to age 1.3 composition [2022-10-30]</t>
  </si>
  <si>
    <t>check age comp for 2003 with Jeff? DONE [10/21/2020]</t>
  </si>
  <si>
    <t>a lot of older fish</t>
  </si>
  <si>
    <t>SIRE = broodstock?  Wells = 0.016, Use Fryer</t>
  </si>
  <si>
    <t>broodstock; Wells = 0.951</t>
  </si>
  <si>
    <t>broodstock; Wells = na</t>
  </si>
  <si>
    <t>broodstock; Wells = 0.001</t>
  </si>
  <si>
    <t>broodstock; Wells = 0.017</t>
  </si>
  <si>
    <t>broodstock: Wells = 0.015</t>
  </si>
  <si>
    <t>broodstock; Wells = 0.887</t>
  </si>
  <si>
    <t>broodstock; Wells = 0.039</t>
  </si>
  <si>
    <t>broodstock; Wells = 0.023</t>
  </si>
  <si>
    <t>CNAT - deadpitch ages &lt;-- use</t>
  </si>
  <si>
    <t>CNAT - deadpitch ages</t>
  </si>
  <si>
    <t>Using Fryer, since SIRE age comp does not add up to 100%</t>
  </si>
  <si>
    <t>NB: 2015 was DEATH year for Columbia sox because of high temps</t>
  </si>
  <si>
    <t>mortalities between BON and Wells unknown</t>
  </si>
  <si>
    <t>~10% of Ok Sox returned to spawning grounds</t>
  </si>
  <si>
    <t>* sample sizes for ages extremely small - use Fryer age comp</t>
  </si>
  <si>
    <t>presuming SIRE age comp from Sp Grds in 2016</t>
  </si>
  <si>
    <t>presuming SIRE age comp from Sp Grds in 2017</t>
  </si>
  <si>
    <t>based on deadpitch of natural spawners in "2018 Deadpiitch Adult Sockeye BioData.xlsx 10/21/2020</t>
  </si>
  <si>
    <t>based on deadpitch of natural spawners in "2018 Deadpiitch Adult Sockeye BioData.xlsx 10/21/2021</t>
  </si>
  <si>
    <t>based on deadpitch of natural spawners in "2018 Deadpiitch Adult Sockeye BioData.xlsx 10/21/2022</t>
  </si>
  <si>
    <t>based on deadpitch of natural spawners in "2018 Deadpiitch Adult Sockeye BioData.xlsx 10/21/2023</t>
  </si>
  <si>
    <t>based on deadpitch of natural spawners in "2018 Deadpiitch Adult Sockeye BioData.xlsx 10/21/2024</t>
  </si>
  <si>
    <t>Mean %OK = 85.7% from CNAT_Escapement Units _2020.xlsx!%Okanagan - avg of Wells/RIS &amp; RRH/RIS estimates [HS July 2020]</t>
  </si>
  <si>
    <t>Fryer's sampling at BON -- 85% OK; 11% Wenatchee; 4% other [prelim. 14/09/2020]</t>
  </si>
  <si>
    <t>Ages for 2019 Return year are from Fryer's sampling at BON [prelim, report not finalized, 14/09/2020]</t>
  </si>
  <si>
    <t>Ages for 2019 now from deadpitch [11/3/2020]</t>
  </si>
  <si>
    <t>Age comp not yet available from ONA?  Use JF's biosampling estimates from Bonneville</t>
  </si>
  <si>
    <t>Age comp not yet available from ONA?  Use JF's estimates</t>
  </si>
  <si>
    <r>
      <t xml:space="preserve">Okanagan Sockeye Returns estimates at the Columbia River Mouth (based on Wells counts + harvest Zones 1-6 + natural mortality below Wells) - </t>
    </r>
    <r>
      <rPr>
        <sz val="10"/>
        <color rgb="FF0066FF"/>
        <rFont val="Tahoma"/>
        <family val="2"/>
      </rPr>
      <t>from column Z in "Data at Age" tab</t>
    </r>
  </si>
  <si>
    <r>
      <rPr>
        <b/>
        <sz val="10"/>
        <rFont val="Tahoma"/>
        <family val="2"/>
      </rPr>
      <t>Total</t>
    </r>
    <r>
      <rPr>
        <sz val="11"/>
        <color theme="1"/>
        <rFont val="Calibri"/>
        <family val="2"/>
        <scheme val="minor"/>
      </rPr>
      <t xml:space="preserve"> column should equal annual sum of </t>
    </r>
    <r>
      <rPr>
        <b/>
        <sz val="10"/>
        <rFont val="Tahoma"/>
        <family val="2"/>
      </rPr>
      <t>Ok Returns at Mouth (Best)</t>
    </r>
    <r>
      <rPr>
        <sz val="11"/>
        <color theme="1"/>
        <rFont val="Calibri"/>
        <family val="2"/>
        <scheme val="minor"/>
      </rPr>
      <t xml:space="preserve"> [column Z] in tab "</t>
    </r>
    <r>
      <rPr>
        <sz val="10"/>
        <color rgb="FFFF0000"/>
        <rFont val="Tahoma"/>
        <family val="2"/>
      </rPr>
      <t>Data at Age</t>
    </r>
    <r>
      <rPr>
        <sz val="11"/>
        <color theme="1"/>
        <rFont val="Calibri"/>
        <family val="2"/>
        <scheme val="minor"/>
      </rPr>
      <t>"</t>
    </r>
  </si>
  <si>
    <r>
      <t>but may not exactly equal annual total (column W) in tab "</t>
    </r>
    <r>
      <rPr>
        <sz val="10"/>
        <color rgb="FFFF0000"/>
        <rFont val="Tahoma"/>
        <family val="2"/>
      </rPr>
      <t>Sockeye Returns Data</t>
    </r>
    <r>
      <rPr>
        <sz val="11"/>
        <color theme="1"/>
        <rFont val="Calibri"/>
        <family val="2"/>
        <scheme val="minor"/>
      </rPr>
      <t>" due to round-off, and age composition in "</t>
    </r>
    <r>
      <rPr>
        <sz val="10"/>
        <color rgb="FFFF0000"/>
        <rFont val="Tahoma"/>
        <family val="2"/>
      </rPr>
      <t>Data at Age</t>
    </r>
    <r>
      <rPr>
        <sz val="11"/>
        <color theme="1"/>
        <rFont val="Calibri"/>
        <family val="2"/>
        <scheme val="minor"/>
      </rPr>
      <t>" not always adding up to exactly 100%</t>
    </r>
  </si>
  <si>
    <t>Ok Returns (Best)</t>
  </si>
  <si>
    <t>Data Check</t>
  </si>
  <si>
    <t>Annual Total</t>
  </si>
  <si>
    <t>Diff (%)</t>
  </si>
  <si>
    <t>%Diff shows minimal (&lt;1%) difference between annual estimates and sum of estimates across ages within each year</t>
  </si>
  <si>
    <r>
      <t xml:space="preserve">Okanagan Sockeye Returns estimates by Smolt Year at the Columbia River Mouth (based on Wells counts + harvest Zones 1-6 + natural mortality below Wells) - </t>
    </r>
    <r>
      <rPr>
        <sz val="10"/>
        <color rgb="FF0066FF"/>
        <rFont val="Tahoma"/>
        <family val="2"/>
      </rPr>
      <t>from column Z in "Data at Age" tab</t>
    </r>
  </si>
  <si>
    <r>
      <t xml:space="preserve">Blue data (returns at age) get copied into Adult Returns Data tab.   </t>
    </r>
    <r>
      <rPr>
        <sz val="10"/>
        <color rgb="FFFF0000"/>
        <rFont val="Tahoma"/>
        <family val="2"/>
      </rPr>
      <t>[Done - 2022-11-01]</t>
    </r>
  </si>
  <si>
    <r>
      <t xml:space="preserve">Revised Okanagan Sockeye annual adult returns estimates </t>
    </r>
    <r>
      <rPr>
        <sz val="11"/>
        <color rgb="FF0070C0"/>
        <rFont val="Calibri"/>
        <family val="2"/>
        <scheme val="minor"/>
      </rPr>
      <t>(i.e., recruitment to the 'mouth of the Columbia River' of aggregated NO (Osoyoos) and HO (Skaha) stocks)</t>
    </r>
    <r>
      <rPr>
        <i/>
        <sz val="11"/>
        <color rgb="FF0070C0"/>
        <rFont val="Calibri"/>
        <family val="2"/>
        <scheme val="minor"/>
      </rPr>
      <t xml:space="preserve"> to be based on: </t>
    </r>
    <r>
      <rPr>
        <b/>
        <i/>
        <sz val="11"/>
        <color rgb="FF0070C0"/>
        <rFont val="Calibri"/>
        <family val="2"/>
        <scheme val="minor"/>
      </rPr>
      <t>(1) Wells dam counts</t>
    </r>
    <r>
      <rPr>
        <i/>
        <sz val="11"/>
        <color rgb="FF0070C0"/>
        <rFont val="Calibri"/>
        <family val="2"/>
        <scheme val="minor"/>
      </rPr>
      <t xml:space="preserve"> (adjusted to 24-hr counts where necessary - i.e., pre-1998) + </t>
    </r>
    <r>
      <rPr>
        <b/>
        <i/>
        <sz val="11"/>
        <color rgb="FF0070C0"/>
        <rFont val="Calibri"/>
        <family val="2"/>
        <scheme val="minor"/>
      </rPr>
      <t xml:space="preserve"> (2) downstream Harvest</t>
    </r>
    <r>
      <rPr>
        <i/>
        <sz val="11"/>
        <color rgb="FF0070C0"/>
        <rFont val="Calibri"/>
        <family val="2"/>
        <scheme val="minor"/>
      </rPr>
      <t xml:space="preserve"> (apportioned to stock based on Wells : RockIsland dam count ratios) + (3) </t>
    </r>
    <r>
      <rPr>
        <b/>
        <i/>
        <sz val="11"/>
        <color rgb="FF0070C0"/>
        <rFont val="Calibri"/>
        <family val="2"/>
        <scheme val="minor"/>
      </rPr>
      <t>d/s Natural Mortality</t>
    </r>
    <r>
      <rPr>
        <i/>
        <sz val="11"/>
        <color rgb="FF0070C0"/>
        <rFont val="Calibri"/>
        <family val="2"/>
        <scheme val="minor"/>
      </rPr>
      <t xml:space="preserve"> (between Bonn and Wells dams - using 16-hr counts only).  See note above for Version 22.06.14 for methodology for previous Okanagan-bound Sockeye recruits estimates.</t>
    </r>
  </si>
  <si>
    <r>
      <t>Green cells should match up closely with "</t>
    </r>
    <r>
      <rPr>
        <b/>
        <sz val="11"/>
        <color rgb="FF006100"/>
        <rFont val="Calibri"/>
        <family val="2"/>
        <scheme val="minor"/>
      </rPr>
      <t>Total Adult Returns</t>
    </r>
    <r>
      <rPr>
        <sz val="11"/>
        <color rgb="FF006100"/>
        <rFont val="Calibri"/>
        <family val="2"/>
        <scheme val="minor"/>
      </rPr>
      <t>" column in tab "</t>
    </r>
    <r>
      <rPr>
        <sz val="11"/>
        <color rgb="FFFF0000"/>
        <rFont val="Calibri"/>
        <family val="2"/>
        <scheme val="minor"/>
      </rPr>
      <t>Smolt to Adult Survival</t>
    </r>
    <r>
      <rPr>
        <sz val="11"/>
        <color rgb="FF006100"/>
        <rFont val="Calibri"/>
        <family val="2"/>
        <scheme val="minor"/>
      </rPr>
      <t>"</t>
    </r>
  </si>
  <si>
    <t>Next steps…</t>
  </si>
  <si>
    <r>
      <t xml:space="preserve">Incorporated worksheets </t>
    </r>
    <r>
      <rPr>
        <sz val="11"/>
        <color rgb="FF0070C0"/>
        <rFont val="Calibri"/>
        <family val="2"/>
        <scheme val="minor"/>
      </rPr>
      <t>(from OkSox Total Rtns to Wells RY_OEY_BY (HS) 2022.10.30.xlsx)</t>
    </r>
    <r>
      <rPr>
        <i/>
        <sz val="11"/>
        <color rgb="FF0070C0"/>
        <rFont val="Calibri"/>
        <family val="2"/>
        <scheme val="minor"/>
      </rPr>
      <t xml:space="preserve"> which are the source data for the </t>
    </r>
    <r>
      <rPr>
        <b/>
        <i/>
        <sz val="11"/>
        <color rgb="FF0070C0"/>
        <rFont val="Calibri"/>
        <family val="2"/>
        <scheme val="minor"/>
      </rPr>
      <t>revised Okanagan-bound Sockeye estimates</t>
    </r>
    <r>
      <rPr>
        <i/>
        <sz val="11"/>
        <color rgb="FF0070C0"/>
        <rFont val="Calibri"/>
        <family val="2"/>
        <scheme val="minor"/>
      </rPr>
      <t xml:space="preserve"> in the </t>
    </r>
    <r>
      <rPr>
        <b/>
        <i/>
        <sz val="11"/>
        <color rgb="FF0070C0"/>
        <rFont val="Calibri"/>
        <family val="2"/>
        <scheme val="minor"/>
      </rPr>
      <t>Adult Returns Data</t>
    </r>
    <r>
      <rPr>
        <i/>
        <sz val="11"/>
        <color rgb="FF0070C0"/>
        <rFont val="Calibri"/>
        <family val="2"/>
        <scheme val="minor"/>
      </rPr>
      <t xml:space="preserve"> tab. Tab </t>
    </r>
    <r>
      <rPr>
        <b/>
        <i/>
        <sz val="11"/>
        <color rgb="FF0070C0"/>
        <rFont val="Calibri"/>
        <family val="2"/>
        <scheme val="minor"/>
      </rPr>
      <t>Sockeye Returns Data</t>
    </r>
    <r>
      <rPr>
        <i/>
        <sz val="11"/>
        <color rgb="FF0070C0"/>
        <rFont val="Calibri"/>
        <family val="2"/>
        <scheme val="minor"/>
      </rPr>
      <t xml:space="preserve"> contains Columbia dam counts at Bonneville, Rock Island, and Wells dams + estimates of harvest and nat. mortality below Wells, which are combined to give best estimate of Okanagan adult returning to the mouth of the Columbia River. Also contains some years of PIT tag data - not used at present - which may provide better stock composition estimation (for allocation of harvest to stock) than the current method (Wells : RockIsland count ratio).  </t>
    </r>
    <r>
      <rPr>
        <b/>
        <i/>
        <sz val="11"/>
        <color rgb="FF0070C0"/>
        <rFont val="Calibri"/>
        <family val="2"/>
        <scheme val="minor"/>
      </rPr>
      <t>Data at Age</t>
    </r>
    <r>
      <rPr>
        <i/>
        <sz val="11"/>
        <color rgb="FF0070C0"/>
        <rFont val="Calibri"/>
        <family val="2"/>
        <scheme val="minor"/>
      </rPr>
      <t xml:space="preserve"> tab takes annual total from the </t>
    </r>
    <r>
      <rPr>
        <b/>
        <i/>
        <sz val="11"/>
        <color rgb="FF0070C0"/>
        <rFont val="Calibri"/>
        <family val="2"/>
        <scheme val="minor"/>
      </rPr>
      <t>Sockeye Returns Data</t>
    </r>
    <r>
      <rPr>
        <i/>
        <sz val="11"/>
        <color rgb="FF0070C0"/>
        <rFont val="Calibri"/>
        <family val="2"/>
        <scheme val="minor"/>
      </rPr>
      <t xml:space="preserve"> tab, and applies annual age composition estimates to get returns at age. The </t>
    </r>
    <r>
      <rPr>
        <b/>
        <i/>
        <sz val="11"/>
        <color rgb="FF0070C0"/>
        <rFont val="Calibri"/>
        <family val="2"/>
        <scheme val="minor"/>
      </rPr>
      <t>Annual Ok Sox Returns by Return Year</t>
    </r>
    <r>
      <rPr>
        <i/>
        <sz val="11"/>
        <color rgb="FF0070C0"/>
        <rFont val="Calibri"/>
        <family val="2"/>
        <scheme val="minor"/>
      </rPr>
      <t xml:space="preserve"> tab is a simple Pivot Table that outputs the data in a format that can be copied into Adult Returns Data tab. The </t>
    </r>
    <r>
      <rPr>
        <b/>
        <i/>
        <sz val="11"/>
        <color rgb="FF0070C0"/>
        <rFont val="Calibri"/>
        <family val="2"/>
        <scheme val="minor"/>
      </rPr>
      <t>Annual Ok Sox Returns by Smolt Year</t>
    </r>
    <r>
      <rPr>
        <i/>
        <sz val="11"/>
        <color rgb="FF0070C0"/>
        <rFont val="Calibri"/>
        <family val="2"/>
        <scheme val="minor"/>
      </rPr>
      <t xml:space="preserve"> tab pivots the data into a format that can be copied into Adults column in </t>
    </r>
    <r>
      <rPr>
        <b/>
        <i/>
        <sz val="11"/>
        <color rgb="FF0070C0"/>
        <rFont val="Calibri"/>
        <family val="2"/>
        <scheme val="minor"/>
      </rPr>
      <t>Smolt to Annual Survival</t>
    </r>
    <r>
      <rPr>
        <i/>
        <sz val="11"/>
        <color rgb="FF0070C0"/>
        <rFont val="Calibri"/>
        <family val="2"/>
        <scheme val="minor"/>
      </rPr>
      <t xml:space="preserve"> tab.</t>
    </r>
  </si>
  <si>
    <r>
      <t xml:space="preserve">Incorporated pre-smolt abundance and size data, 1998-present, into </t>
    </r>
    <r>
      <rPr>
        <b/>
        <i/>
        <sz val="11"/>
        <rFont val="Calibri"/>
        <family val="2"/>
        <scheme val="minor"/>
      </rPr>
      <t xml:space="preserve">Juvenile Data </t>
    </r>
    <r>
      <rPr>
        <i/>
        <sz val="11"/>
        <rFont val="Calibri"/>
        <family val="2"/>
        <scheme val="minor"/>
      </rPr>
      <t>tab. Pre-smolt abundances - derived from assessment or averaging of (usually multiple) fall-winter Acoustic Trawl Surveys (ATS) from Oct-Feb starting in the year before smolt migration - are used as best estimates of smolt production.</t>
    </r>
  </si>
  <si>
    <r>
      <t>Ok Sox @Wells</t>
    </r>
    <r>
      <rPr>
        <sz val="10"/>
        <color theme="1"/>
        <rFont val="Tahoma"/>
        <family val="2"/>
      </rPr>
      <t xml:space="preserve"> (incl. Harvest) </t>
    </r>
  </si>
  <si>
    <r>
      <t xml:space="preserve">Ok Sox @ Mouth </t>
    </r>
    <r>
      <rPr>
        <sz val="10"/>
        <color theme="1"/>
        <rFont val="Tahoma"/>
        <family val="2"/>
      </rPr>
      <t>(Wells+</t>
    </r>
    <r>
      <rPr>
        <i/>
        <sz val="10"/>
        <color theme="1"/>
        <rFont val="Tahoma"/>
        <family val="2"/>
      </rPr>
      <t>F</t>
    </r>
    <r>
      <rPr>
        <sz val="10"/>
        <color theme="1"/>
        <rFont val="Tahoma"/>
        <family val="2"/>
      </rPr>
      <t>+</t>
    </r>
    <r>
      <rPr>
        <i/>
        <sz val="10"/>
        <color theme="1"/>
        <rFont val="Tahoma"/>
        <family val="2"/>
      </rPr>
      <t>M</t>
    </r>
    <r>
      <rPr>
        <sz val="10"/>
        <color theme="1"/>
        <rFont val="Tahoma"/>
        <family val="2"/>
      </rPr>
      <t>)</t>
    </r>
  </si>
  <si>
    <t>Workbook Updates</t>
  </si>
  <si>
    <t>SmoltYear</t>
  </si>
  <si>
    <t>PreSmolts</t>
  </si>
  <si>
    <t>Sockeye are observed clipped and unclipped across the Columbia Basin. In the specific case of juvenile sockeye observed during the year 2000 migration, clipped fish are almost always of hatchery origin, and unclipped fish are almost always of wild origin.</t>
  </si>
  <si>
    <t>Standard Error</t>
  </si>
  <si>
    <t>Median</t>
  </si>
  <si>
    <t>Standard Deviation</t>
  </si>
  <si>
    <t>Sample Variance</t>
  </si>
  <si>
    <t>Kurtosis</t>
  </si>
  <si>
    <t>Skewness</t>
  </si>
  <si>
    <t>Range</t>
  </si>
  <si>
    <t>Minimum</t>
  </si>
  <si>
    <t>Maximum</t>
  </si>
  <si>
    <t>Sum</t>
  </si>
  <si>
    <t>Count</t>
  </si>
  <si>
    <t>Confidence Level(95.0%)</t>
  </si>
  <si>
    <t>CV</t>
  </si>
  <si>
    <t>Marine Survival</t>
  </si>
  <si>
    <t>Hot, dry summer in 2003; no rain in Oliver Jul/Aug 2003</t>
  </si>
  <si>
    <t>Judson et al. 2023</t>
  </si>
  <si>
    <t>Abund based on mean of Sep 03 Mar 04 ATS surveys (Judson et al. 2023); Len Wt estimates from weighted mean of select fall-winter ATS survey(s) in previous year (see Presmolt_Sizes_tidy_22.11.16.xlsx); Data Source:  Osoyoos_trawl_November'97.xlsx, CNAT_nuOkanagan_Juveniles 22.10.27.xlsx</t>
  </si>
  <si>
    <r>
      <t xml:space="preserve">Abund based on mean of Nov 04 Feb 05 ATS surveys (Judson et al. 2023); </t>
    </r>
    <r>
      <rPr>
        <sz val="11"/>
        <color rgb="FFFF0000"/>
        <rFont val="Calibri"/>
        <family val="2"/>
      </rPr>
      <t>Size data missing for Feb 05 survey</t>
    </r>
    <r>
      <rPr>
        <sz val="11"/>
        <color theme="1"/>
        <rFont val="Calibri"/>
        <family val="2"/>
      </rPr>
      <t>. Len Wt estimates from weighted mean of select fall-winter ATS survey(s) in previous year (see Presmolt_Sizes_tidy_22.11.16.xlsx); Data Source:  Osoyoos_trawl_November'97.xlsx, CNAT_nuOkanagan_Juveniles 22.10.27.xlsx</t>
    </r>
  </si>
  <si>
    <t>Abund based on mean of Nov Jan ATS surveys (Judson et al. 2023); Len Wt estimates from weighted mean of select fall-winter ATS survey(s) in previous year (see Presmolt_Sizes_tidy_22.11.16.xlsx); Data Source:  Osoyoos_trawl_November'97.xlsx, CNAT_nuOkanagan_Juveniles 22.10.27.xlsx</t>
  </si>
  <si>
    <t>Abund based on mean of Oct Nov Dec Mar ATS surveys (Judson et al. 2023); Len Wt estimates from weighted mean of select fall-winter ATS survey(s) in previous year (see Presmolt_Sizes_tidy_22.11.16.xlsx); Data Source:  Osoyoos_trawl_November'97.xlsx, CNAT_nuOkanagan_Juveniles 22.10.27.xlsx</t>
  </si>
  <si>
    <t>Abund based on mean of Oct Nov Jan ATS surveys (Judson et al. 2023); Len Wt estimates from weighted mean of select fall-winter ATS survey(s) in previous year (see Presmolt_Sizes_tidy_22.11.16.xlsx); Data Source:  Osoyoos_trawl_November'97.xlsx, CNAT_nuOkanagan_Juveniles 22.10.27.xlsx</t>
  </si>
  <si>
    <t>Abund based on mean of Nov Feb ATS surveys (Judson et al. 2023); Len Wt estimates from weighted mean of select fall-winter ATS survey(s) in previous year (see Presmolt_Sizes_tidy_22.11.16.xlsx); Data Source:  Osoyoos_trawl_November'97.xlsx, CNAT_nuOkanagan_Juveniles 22.10.27.xlsx</t>
  </si>
  <si>
    <t>Abund based on mean of Oct Nov Mar ATS surveys (Judson et al. 2023); Len Wt estimates from weighted mean of select fall-winter ATS survey(s) in previous year (see Presmolt_Sizes_tidy_22.11.16.xlsx); Data Source:  Osoyoos_trawl_November'97.xlsx, CNAT_nuOkanagan_Juveniles 22.10.27.xlsx</t>
  </si>
  <si>
    <t>Testalinden Slide: 2010-06-13</t>
  </si>
  <si>
    <t>Abund based on mean of Oct Nov Feb ATS surveys (Judson et al. 2023); Len Wt estimates from weighted mean of select fall-winter ATS survey(s) in previous year (see Presmolt_Sizes_tidy_22.11.16.xlsx); Data Source:  Osoyoos_trawl_November'97.xlsx, CNAT_nuOkanagan_Juveniles 22.10.27.xlsx</t>
  </si>
  <si>
    <t>Abund based on mean of Oct Feb ATS surveys (Judson et al. 2023); Len Wt estimates from weighted mean of select fall-winter ATS survey(s) in previous year (see Presmolt_Sizes_tidy_22.11.16.xlsx); Data Source:  Osoyoos_trawl_November'97.xlsx, CNAT_nuOkanagan_Juveniles 22.10.27.xlsx</t>
  </si>
  <si>
    <t>Abund based on mean of Oct Nov Feb Mar ATS surveys (Judson et al. 2023 Missing size data Feb 3, 2016.  Len Wt estimates from weighted mean of select fall-winter ATS survey(s) in previous year (see Presmolt_Sizes_tidy_22.11.16.xlsx);Data Source: NEW OSOYOOS fish metadata 2005-2021 2021.10.14_SAM_WIP 2021.10.16.xlsx</t>
  </si>
  <si>
    <t>Possible Temp-Oxy squeeze impact in late summer 2015. Fry abund dropped from &gt;12M in July to &lt;9.5M in Aug</t>
  </si>
  <si>
    <t>Abund based on mean of Oct Mar ATS surveys (Judson et al. 2023); Len Wt estimates from weighted mean of select fall-winter ATS survey(s) in previous year (see Presmolt_Sizes_tidy_22.11.16.xlsx); Data Source:  Osoyoos_trawl_November'97.xlsx, CNAT_nuOkanagan_Juveniles 22.10.27.xlsx</t>
  </si>
  <si>
    <t>Lakes frozen over, no winter estimates</t>
  </si>
  <si>
    <r>
      <rPr>
        <sz val="11"/>
        <color rgb="FFFF0000"/>
        <rFont val="Calibri"/>
        <family val="2"/>
      </rPr>
      <t>Abund based on mean of Jul Sep Nov 97 ATS surveys</t>
    </r>
    <r>
      <rPr>
        <sz val="11"/>
        <rFont val="Calibri"/>
        <family val="2"/>
      </rPr>
      <t xml:space="preserve"> (Judson et al. 2023); Len Wt estimates from weighted mean of select fall-winter ATS survey(s) in previous year (see Presmolt_Sizes_tidy_22.11.16.xlsx); Data Source:  Osoyoos_trawl_November'97.xlsx, CNAT_nuOkanagan_Juveniles 22.10.27.xlsx</t>
    </r>
  </si>
  <si>
    <r>
      <rPr>
        <sz val="11"/>
        <color rgb="FFFF0000"/>
        <rFont val="Calibri"/>
        <family val="2"/>
      </rPr>
      <t>Abund based on mean of May Jul Oct 98 ATS surveys</t>
    </r>
    <r>
      <rPr>
        <sz val="11"/>
        <rFont val="Calibri"/>
        <family val="2"/>
      </rPr>
      <t xml:space="preserve"> (Judson et al. 2023); Len Wt estimates from weighted mean of select fall-winter ATS survey(s) in previous year (see Presmolt_Sizes_tidy_22.11.16.xlsx); Data Source:  Osoyoos_trawl_November'97.xlsx, CNAT_nuOkanagan_Juveniles 22.10.27.xlsx</t>
    </r>
  </si>
  <si>
    <r>
      <rPr>
        <sz val="11"/>
        <color rgb="FFFF0000"/>
        <rFont val="Calibri"/>
        <family val="2"/>
      </rPr>
      <t>Abund based on mean of May Aug Sep 99 ATS surveys</t>
    </r>
    <r>
      <rPr>
        <sz val="11"/>
        <rFont val="Calibri"/>
        <family val="2"/>
      </rPr>
      <t xml:space="preserve"> (Judson et al. 2023); Len Wt estimates from weighted mean of select fall-winter ATS survey(s) in previous year (see Presmolt_Sizes_tidy_22.11.16.xlsx); Data Source:  Osoyoos_trawl_November'97.xlsx, CNAT_nuOkanagan_Juveniles 22.10.27.xlsx</t>
    </r>
  </si>
  <si>
    <r>
      <rPr>
        <sz val="11"/>
        <color rgb="FFFF0000"/>
        <rFont val="Calibri"/>
        <family val="2"/>
      </rPr>
      <t>Abund based on mean of Jul Sep 2000 ATS surveys</t>
    </r>
    <r>
      <rPr>
        <sz val="11"/>
        <rFont val="Calibri"/>
        <family val="2"/>
      </rPr>
      <t xml:space="preserve"> (Judson et al. 2023); Len Wt estimates from weighted mean of select fall-winter ATS survey(s) in previous year (see Presmolt_Sizes_tidy_22.11.16.xlsx); Data Source:  Osoyoos_trawl_November'97.xlsx, CNAT_nuOkanagan_Juveniles 22.10.27.xlsx</t>
    </r>
  </si>
  <si>
    <r>
      <rPr>
        <sz val="11"/>
        <color rgb="FFFF0000"/>
        <rFont val="Calibri"/>
        <family val="2"/>
      </rPr>
      <t>Abund based on mean of Nov 2001 ATS surveys</t>
    </r>
    <r>
      <rPr>
        <sz val="11"/>
        <rFont val="Calibri"/>
        <family val="2"/>
      </rPr>
      <t xml:space="preserve"> (Judson et al. 2023); Len Wt estimates from weighted mean of select fall-winter ATS survey(s) in previous year (see Presmolt_Sizes_tidy_22.11.16.xlsx); Data Source:  Osoyoos_trawl_November'97.xlsx, CNAT_nuOkanagan_Juveniles 22.10.27.xlsx</t>
    </r>
  </si>
  <si>
    <r>
      <rPr>
        <sz val="11"/>
        <color rgb="FFFF0000"/>
        <rFont val="Calibri"/>
        <family val="2"/>
      </rPr>
      <t>Abund based on mean of Oct Nov 2002 ATS surveys</t>
    </r>
    <r>
      <rPr>
        <sz val="11"/>
        <rFont val="Calibri"/>
        <family val="2"/>
      </rPr>
      <t xml:space="preserve"> (Judson et al. 2023); Len Wt estimates from weighted mean of select fall-winter ATS survey(s) in previous year (see Presmolt_Sizes_tidy_22.11.16.xlsx); Data Source:  Osoyoos_trawl_November'97.xlsx, CNAT_nuOkanagan_Juveniles 22.10.27.xlsx</t>
    </r>
  </si>
  <si>
    <r>
      <rPr>
        <sz val="11"/>
        <color rgb="FFFF0000"/>
        <rFont val="Calibri"/>
        <family val="2"/>
      </rPr>
      <t>Abund based on mean of Nov ATS surveys</t>
    </r>
    <r>
      <rPr>
        <sz val="11"/>
        <rFont val="Calibri"/>
        <family val="2"/>
      </rPr>
      <t xml:space="preserve"> (Judson et al. 2023); Len Wt estimates from weighted mean of select fall-winter ATS survey(s) in previous year (see Presmolt_Sizes_tidy_22.11.16.xlsx); Data Source:  Osoyoos_trawl_November'97.xlsx, CNAT_nuOkanagan_Juveniles 22.10.27.xlsx</t>
    </r>
  </si>
  <si>
    <r>
      <rPr>
        <sz val="11"/>
        <color rgb="FFFF0000"/>
        <rFont val="Calibri"/>
        <family val="2"/>
      </rPr>
      <t>Abund based on mean of Oct ATS survey only</t>
    </r>
    <r>
      <rPr>
        <sz val="11"/>
        <rFont val="Calibri"/>
        <family val="2"/>
      </rPr>
      <t xml:space="preserve"> (Judson et al. 2023); Len Wt estimates from weighted mean of select fall-winter ATS survey(s) in previous year (see Presmolt_Sizes_tidy_22.11.16.xlsx); Data Source:  Osoyoos_trawl_November'97.xlsx, CNAT_nuOkanagan_Juveniles 22.10.27.xlsx</t>
    </r>
  </si>
  <si>
    <t>Winter estimate from AO's CNAT file [22.08.17]</t>
  </si>
  <si>
    <t>FWMT Source Documents</t>
  </si>
  <si>
    <t>Hyatt &amp; Rankin 2008</t>
  </si>
  <si>
    <t>Hyatt &amp; Rankin 2007</t>
  </si>
  <si>
    <t>Hyatt et al. 2007</t>
  </si>
  <si>
    <r>
      <t xml:space="preserve">Hyatt, K. D., D. P. Rankin. 2008. </t>
    </r>
    <r>
      <rPr>
        <b/>
        <sz val="11"/>
        <rFont val="Calibri"/>
        <family val="2"/>
        <scheme val="minor"/>
      </rPr>
      <t>Fish and Water Management Tools (FWMT) Project Assessments: Osoyoos Lake Juvenile Sockeye Salmon (</t>
    </r>
    <r>
      <rPr>
        <b/>
        <i/>
        <sz val="11"/>
        <rFont val="Calibri"/>
        <family val="2"/>
        <scheme val="minor"/>
      </rPr>
      <t>Oncorhynchus nerka</t>
    </r>
    <r>
      <rPr>
        <b/>
        <sz val="11"/>
        <rFont val="Calibri"/>
        <family val="2"/>
        <scheme val="minor"/>
      </rPr>
      <t>) Production Associated With 2001-2006 Brood Year Returns of Adults to the Okanagan River, B.C.</t>
    </r>
    <r>
      <rPr>
        <sz val="11"/>
        <rFont val="Calibri"/>
        <family val="2"/>
        <scheme val="minor"/>
      </rPr>
      <t xml:space="preserve"> Report to file: JSIDS-SRe 3-2008. Salmon in Regional Ecosystems Program, Fisheries and Oceans Canada, Nanaimo, BC V9T 6N7. </t>
    </r>
  </si>
  <si>
    <r>
      <t xml:space="preserve">Hyatt, K. D., D. P. Rankin. 2007. </t>
    </r>
    <r>
      <rPr>
        <b/>
        <sz val="11"/>
        <rFont val="Calibri"/>
        <family val="2"/>
        <scheme val="minor"/>
      </rPr>
      <t>Fish and Water Management Tools (FWMT) Project Assessments: Osoyoos Lake Juvenile Sockeye Salmon (</t>
    </r>
    <r>
      <rPr>
        <b/>
        <i/>
        <sz val="11"/>
        <rFont val="Calibri"/>
        <family val="2"/>
        <scheme val="minor"/>
      </rPr>
      <t>Oncorhynchus nerka</t>
    </r>
    <r>
      <rPr>
        <b/>
        <sz val="11"/>
        <rFont val="Calibri"/>
        <family val="2"/>
        <scheme val="minor"/>
      </rPr>
      <t>) Production Associated With 2001-2005 Brood Year Returns of Adults to the Okanagan River, B.C.</t>
    </r>
    <r>
      <rPr>
        <sz val="11"/>
        <rFont val="Calibri"/>
        <family val="2"/>
        <scheme val="minor"/>
      </rPr>
      <t xml:space="preserve"> Report to file: JSIDS-SRe 3-05. Salmon in Regional Ecosystems Program, Fisheries and Oceans Canada, Nanaimo, BC V9T 6N7. 22 p.</t>
    </r>
  </si>
  <si>
    <r>
      <t xml:space="preserve">Hyatt, K. D., M. M. Stockwell, and D. P. Rankin. 2007. </t>
    </r>
    <r>
      <rPr>
        <b/>
        <sz val="11"/>
        <rFont val="Calibri"/>
        <family val="2"/>
        <scheme val="minor"/>
      </rPr>
      <t>Fish and Water Management Tools Assessments: Miscellaneous Observations of Okanagan Sockeye Salmon (</t>
    </r>
    <r>
      <rPr>
        <b/>
        <i/>
        <sz val="11"/>
        <rFont val="Calibri"/>
        <family val="2"/>
        <scheme val="minor"/>
      </rPr>
      <t>Oncorhynchus nerka</t>
    </r>
    <r>
      <rPr>
        <b/>
        <sz val="11"/>
        <rFont val="Calibri"/>
        <family val="2"/>
        <scheme val="minor"/>
      </rPr>
      <t>) Smolt Abundance, Size, Migratory Timing and Associated Environmental Conditions Between 1957 and 2006</t>
    </r>
    <r>
      <rPr>
        <sz val="11"/>
        <rFont val="Calibri"/>
        <family val="2"/>
        <scheme val="minor"/>
      </rPr>
      <t>. Report to file: JSIDS-SRe 4-06. Salmon in Regional Ecosystems Program, Fisheries and Oceans Canada, Nanaimo, BC V9T 6N7. 24 p.</t>
    </r>
  </si>
  <si>
    <r>
      <rPr>
        <b/>
        <sz val="11"/>
        <color theme="1"/>
        <rFont val="Calibri"/>
        <family val="2"/>
        <scheme val="minor"/>
      </rPr>
      <t>Estimated Sockeye returning to Columbia River Mouth</t>
    </r>
    <r>
      <rPr>
        <sz val="11"/>
        <color theme="1"/>
        <rFont val="Calibri"/>
        <family val="2"/>
        <scheme val="minor"/>
      </rPr>
      <t xml:space="preserve"> (all stocks)  [June 2022]
From: Table 15 p.78
https://www.dfw.state.or.us/fish/OSCRP/CRM/reports/22_reports/2022%20OR_WA%20Spring%20Joint%20Staff%20Report.pdf </t>
    </r>
  </si>
  <si>
    <r>
      <t xml:space="preserve">John G. Williams,Steven G. Smith,Jeffrey K. Fryer,Mark D. Scheuerell,William D. Muir,Tom A. Flagg,Richard W. Zabel,John W. Ferguson,Edmundo Casillas. 2014. </t>
    </r>
    <r>
      <rPr>
        <b/>
        <sz val="11"/>
        <color theme="1"/>
        <rFont val="Calibri"/>
        <family val="2"/>
        <scheme val="minor"/>
      </rPr>
      <t>Influence of ocean and freshwater conditions on Columbia River sockeye salmon Oncorhynchus nerka adult return rates</t>
    </r>
    <r>
      <rPr>
        <sz val="11"/>
        <color theme="1"/>
        <rFont val="Calibri"/>
        <family val="2"/>
        <scheme val="minor"/>
      </rPr>
      <t>. Fish. Oceanogr. 23: 210-224. https://onlinelibrary.wiley.com/doi/10.1111/fog.12056</t>
    </r>
  </si>
  <si>
    <r>
      <t xml:space="preserve">Hyatt, K.D., McQueen, D.J., Rankin, D.P., Stockwell, M.M., Wright, H., Lawrence, S., Stevens, A., Mathieu, C., and Weins, L. 2017. </t>
    </r>
    <r>
      <rPr>
        <b/>
        <sz val="11"/>
        <color theme="1"/>
        <rFont val="Calibri"/>
        <family val="2"/>
        <scheme val="minor"/>
      </rPr>
      <t>Methods and summary data for limnology and food web structure in Osoyoos Lake, B.C.</t>
    </r>
    <r>
      <rPr>
        <sz val="11"/>
        <color theme="1"/>
        <rFont val="Calibri"/>
        <family val="2"/>
        <scheme val="minor"/>
      </rPr>
      <t xml:space="preserve"> (2005-2013); Revised. Can. Data Rep. Fish. Aquat. Sci. 1274: vii + 73 p. https://waves-vagues.dfo-mpo.gc.ca/Library/40599577.pdf</t>
    </r>
  </si>
  <si>
    <r>
      <t xml:space="preserve">Rankin, D. P., B. Hanslit and K. D. Hyatt. 1998. </t>
    </r>
    <r>
      <rPr>
        <b/>
        <sz val="11"/>
        <color theme="1"/>
        <rFont val="Calibri"/>
        <family val="2"/>
        <scheme val="minor"/>
      </rPr>
      <t>Acoustic and Trawl Surveys of Lake Osoyoos</t>
    </r>
    <r>
      <rPr>
        <sz val="11"/>
        <color theme="1"/>
        <rFont val="Calibri"/>
        <family val="2"/>
        <scheme val="minor"/>
      </rPr>
      <t xml:space="preserve">, 
1 997. Report to file: JSIDS - SRe nn-98. </t>
    </r>
  </si>
  <si>
    <r>
      <t xml:space="preserve">Hyatt, K. D., D. J. McQueen, and A. D. Ogden. 2018. </t>
    </r>
    <r>
      <rPr>
        <b/>
        <sz val="11"/>
        <color theme="1"/>
        <rFont val="Calibri"/>
        <family val="2"/>
        <scheme val="minor"/>
      </rPr>
      <t>Have invasive mysids (Mysis diluviana) altered the capacity of Osoyoos Lake, British Columbia to produce Sockeye Salmon</t>
    </r>
    <r>
      <rPr>
        <sz val="11"/>
        <color theme="1"/>
        <rFont val="Calibri"/>
        <family val="2"/>
        <scheme val="minor"/>
      </rPr>
      <t xml:space="preserve"> (Oncorhynchus nerka)? Open Fish Science Journal [online serial] 11:1874401X01811010001.</t>
    </r>
  </si>
  <si>
    <r>
      <t xml:space="preserve">Hyatt, K. D. and D. P. Rankin. 1999. </t>
    </r>
    <r>
      <rPr>
        <b/>
        <sz val="11"/>
        <color theme="1"/>
        <rFont val="Calibri"/>
        <family val="2"/>
        <scheme val="minor"/>
      </rPr>
      <t>A Habitat Based Evaluation of Okanagan Sockeye Salmon Escapement Objectives</t>
    </r>
    <r>
      <rPr>
        <sz val="11"/>
        <color theme="1"/>
        <rFont val="Calibri"/>
        <family val="2"/>
        <scheme val="minor"/>
      </rPr>
      <t>. CSAS 99/01 https://waves-vagues.dfo-mpo.gc.ca/Library/244185.pdf</t>
    </r>
  </si>
  <si>
    <r>
      <t xml:space="preserve">Sockeye Index Stocks - </t>
    </r>
    <r>
      <rPr>
        <b/>
        <sz val="11"/>
        <color theme="1"/>
        <rFont val="Calibri"/>
        <family val="2"/>
        <scheme val="minor"/>
      </rPr>
      <t>Marine Survival Data</t>
    </r>
    <r>
      <rPr>
        <sz val="11"/>
        <color theme="1"/>
        <rFont val="Calibri"/>
        <family val="2"/>
        <scheme val="minor"/>
      </rPr>
      <t xml:space="preserve"> - 22.04.04.xlsx</t>
    </r>
  </si>
  <si>
    <r>
      <rPr>
        <b/>
        <sz val="11"/>
        <color theme="1"/>
        <rFont val="Calibri"/>
        <family val="2"/>
        <scheme val="minor"/>
      </rPr>
      <t>Smolt timing (at BON</t>
    </r>
    <r>
      <rPr>
        <sz val="11"/>
        <color theme="1"/>
        <rFont val="Calibri"/>
        <family val="2"/>
        <scheme val="minor"/>
      </rPr>
      <t>): FPC Memo to JF (21.12.28) Table 3.</t>
    </r>
  </si>
  <si>
    <r>
      <t xml:space="preserve">Judson et al. 2023. </t>
    </r>
    <r>
      <rPr>
        <b/>
        <sz val="11"/>
        <color theme="1"/>
        <rFont val="Calibri"/>
        <family val="2"/>
        <scheme val="minor"/>
      </rPr>
      <t>Methods and summary data for limnology and food web structure in Osoyoos Lake, B.C. (199x-2021</t>
    </r>
    <r>
      <rPr>
        <sz val="11"/>
        <color theme="1"/>
        <rFont val="Calibri"/>
        <family val="2"/>
        <scheme val="minor"/>
      </rPr>
      <t>). Can. Data Rep. Fish. Aquat. Sci. XXXX: vii + zz pp.</t>
    </r>
  </si>
  <si>
    <t>Hottest summer</t>
  </si>
  <si>
    <t>Version 22.11.17</t>
  </si>
  <si>
    <t>athena.ogden@dfo-mpo.gc.ca</t>
  </si>
  <si>
    <t>Preliminary</t>
  </si>
  <si>
    <r>
      <t>"Smolt" abundances (</t>
    </r>
    <r>
      <rPr>
        <sz val="11"/>
        <color theme="4" tint="-0.249977111117893"/>
        <rFont val="Calibri"/>
        <family val="2"/>
        <scheme val="minor"/>
      </rPr>
      <t>blue section</t>
    </r>
    <r>
      <rPr>
        <sz val="11"/>
        <color theme="1"/>
        <rFont val="Calibri"/>
        <family val="2"/>
        <scheme val="minor"/>
      </rPr>
      <t>)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t>
    </r>
  </si>
  <si>
    <r>
      <rPr>
        <b/>
        <sz val="11"/>
        <color rgb="FFFF0000"/>
        <rFont val="Calibri"/>
        <family val="2"/>
      </rPr>
      <t>BY2009 hatchery fry stocked in Osoyoos in 2010 (Date: 10-06-02; Density: 463/ha; Wt: 1.1g --&gt; 11.03.11; 88/ha; 6g)</t>
    </r>
    <r>
      <rPr>
        <sz val="11"/>
        <color rgb="FFFF0000"/>
        <rFont val="Calibri"/>
        <family val="2"/>
      </rPr>
      <t xml:space="preserve">. </t>
    </r>
    <r>
      <rPr>
        <sz val="11"/>
        <rFont val="Calibri"/>
        <family val="2"/>
      </rPr>
      <t>Abund based on mean of Oct Nov Mar ATS surveys (Judson et al. 2023); Len Wt estimates from weighted mean of select fall-winter ATS survey(s) in previous year (see Presmolt_Sizes_tidy_22.11.16.xlsx); Data Source:  Osoyoos_trawl_November'97.xlsx, CNAT_nuOkanagan_Juveniles 22.10.27.xlsx</t>
    </r>
  </si>
  <si>
    <r>
      <rPr>
        <b/>
        <sz val="11"/>
        <color rgb="FFFF0000"/>
        <rFont val="Calibri"/>
        <family val="2"/>
      </rPr>
      <t>BY2012 hatchery fry stocked in Osoyoos in 2013 (Date: 2013-06-05; Density: 895/ha; Wt: 0.98g --&gt; 2014.03.18; 82/ha; 76 mm; 4.6g)</t>
    </r>
    <r>
      <rPr>
        <sz val="11"/>
        <color rgb="FFFF0000"/>
        <rFont val="Calibri"/>
        <family val="2"/>
      </rPr>
      <t xml:space="preserve">. </t>
    </r>
    <r>
      <rPr>
        <sz val="11"/>
        <rFont val="Calibri"/>
        <family val="2"/>
      </rPr>
      <t>Abund based on mean of Oct Nov Mar ATS surveys (Judson et al. 2023); Len Wt estimates from weighted mean of select fall-winter ATS survey(s) in previous year (see Presmolt_Sizes_tidy_22.11.16.xlsx); Data Source:  Osoyoos_trawl_November'97.xlsx, CNAT_nuOkanagan_Juveniles 22.10.27.xlsx</t>
    </r>
  </si>
  <si>
    <r>
      <rPr>
        <b/>
        <sz val="11"/>
        <color rgb="FFFF0000"/>
        <rFont val="Calibri"/>
        <family val="2"/>
      </rPr>
      <t>BY2011 hatchery fry stocked in Osoyoos in 2012 (Date: 2012-05-12; Density: 898/ha; Wt: 0.8g --&gt; 2013-02-13; 317/ha; 81 mm; 5g)</t>
    </r>
    <r>
      <rPr>
        <sz val="11"/>
        <color rgb="FFFF0000"/>
        <rFont val="Calibri"/>
        <family val="2"/>
      </rPr>
      <t xml:space="preserve">. </t>
    </r>
    <r>
      <rPr>
        <sz val="11"/>
        <rFont val="Calibri"/>
        <family val="2"/>
      </rPr>
      <t>Abund based on mean of Oct Nov Mar ATS surveys (Judson et al. 2023); Len Wt estimates from weighted mean of select fall-winter ATS survey(s) in previous year (see Presmolt_Sizes_tidy_22.11.16.xlsx); Data Source:  Osoyoos_trawl_November'97.xlsx, CNAT_nuOkanagan_Juveniles 22.10.27.xlsx</t>
    </r>
  </si>
  <si>
    <t>Hot summer, high Columbia/Okanogan water temps == mass mortality of adults ~95%.  Possible Temp-Oxy squeeze impact in late summer 2015.</t>
  </si>
  <si>
    <t xml:space="preserve">Hot summer, high Columbia/Okanogan water temps.  </t>
  </si>
  <si>
    <t>Based on 663,253 Sox at Bonneville as of 11.Oct.22 (harvest not included). Stock composition (84%) (~537,299 SK) and age composition preliminary (JF 2022-07-29]]</t>
  </si>
  <si>
    <r>
      <t xml:space="preserve">Assessment of the best </t>
    </r>
    <r>
      <rPr>
        <b/>
        <i/>
        <sz val="11"/>
        <color rgb="FFFF0000"/>
        <rFont val="Calibri"/>
        <family val="2"/>
        <scheme val="minor"/>
      </rPr>
      <t>method of stock composition</t>
    </r>
    <r>
      <rPr>
        <i/>
        <sz val="11"/>
        <color rgb="FFFF0000"/>
        <rFont val="Calibri"/>
        <family val="2"/>
        <scheme val="minor"/>
      </rPr>
      <t xml:space="preserve"> (currently Wells:RockIsland dam ratios which are consistently available for all years, but for some years PIT tag and/or DNA data exist, which are sometimes quite different from dam count ratios) </t>
    </r>
    <r>
      <rPr>
        <b/>
        <i/>
        <sz val="11"/>
        <color rgb="FFFF0000"/>
        <rFont val="Calibri"/>
        <family val="2"/>
        <scheme val="minor"/>
      </rPr>
      <t>and age composition</t>
    </r>
    <r>
      <rPr>
        <i/>
        <sz val="11"/>
        <color rgb="FFFF0000"/>
        <rFont val="Calibri"/>
        <family val="2"/>
        <scheme val="minor"/>
      </rPr>
      <t xml:space="preserve"> (source data vary between years, from spawning ground biosamples, dead-pitch, and/or PIT tag data) are still required.</t>
    </r>
  </si>
  <si>
    <t>Skaha Adult returns (Pen Chan)</t>
  </si>
  <si>
    <t>% Hatchery Dead Pitch (Pen Chan - adults from Brood Year)</t>
  </si>
  <si>
    <t>skaha hatchery returns to pen channel</t>
  </si>
  <si>
    <t>Wells dam counts</t>
  </si>
  <si>
    <t>% of returns of Wells</t>
  </si>
  <si>
    <t>probably not brood year - 2019 brood not back yet!</t>
  </si>
  <si>
    <t>Not sure where these WELLS counts come from - not in FPC</t>
  </si>
  <si>
    <t>Account for hatchery releases into Osoyoos Lake (deduct from pre-smolt estimates) and Skaha and hatchery fish returns (deduct from Wells Dam counts).</t>
  </si>
  <si>
    <r>
      <t xml:space="preserve">Fixed Pre-Smolt section </t>
    </r>
    <r>
      <rPr>
        <b/>
        <i/>
        <sz val="11"/>
        <color rgb="FF0070C0"/>
        <rFont val="Calibri"/>
        <family val="2"/>
        <scheme val="minor"/>
      </rPr>
      <t>Length Type field</t>
    </r>
    <r>
      <rPr>
        <i/>
        <sz val="11"/>
        <color rgb="FF0070C0"/>
        <rFont val="Calibri"/>
        <family val="2"/>
        <scheme val="minor"/>
      </rPr>
      <t xml:space="preserve"> (was a drop-down selection box, but not allowing input, so changed to regular text field). Updated pre-smolt size data with </t>
    </r>
    <r>
      <rPr>
        <b/>
        <i/>
        <sz val="11"/>
        <color rgb="FF0070C0"/>
        <rFont val="Calibri"/>
        <family val="2"/>
        <scheme val="minor"/>
      </rPr>
      <t>weighted mean lengths and weights</t>
    </r>
    <r>
      <rPr>
        <i/>
        <sz val="11"/>
        <color rgb="FF0070C0"/>
        <rFont val="Calibri"/>
        <family val="2"/>
        <scheme val="minor"/>
      </rPr>
      <t xml:space="preserve"> (where based on multiple surveys with different sample sizes). Inserted </t>
    </r>
    <r>
      <rPr>
        <b/>
        <i/>
        <sz val="11"/>
        <color rgb="FF0070C0"/>
        <rFont val="Calibri"/>
        <family val="2"/>
        <scheme val="minor"/>
      </rPr>
      <t>last date of fall-winter ATS survey</t>
    </r>
    <r>
      <rPr>
        <i/>
        <sz val="11"/>
        <color rgb="FF0070C0"/>
        <rFont val="Calibri"/>
        <family val="2"/>
        <scheme val="minor"/>
      </rPr>
      <t xml:space="preserve"> into  'annual' pre-smolt date field, and noted months of surveys used to arrive at multi-survey mean abundance and size estimates in Notes field. </t>
    </r>
    <r>
      <rPr>
        <b/>
        <i/>
        <sz val="11"/>
        <color rgb="FF0070C0"/>
        <rFont val="Calibri"/>
        <family val="2"/>
        <scheme val="minor"/>
      </rPr>
      <t>Updated pre-smolt meta-data</t>
    </r>
    <r>
      <rPr>
        <i/>
        <sz val="11"/>
        <color rgb="FF0070C0"/>
        <rFont val="Calibri"/>
        <family val="2"/>
        <scheme val="minor"/>
      </rPr>
      <t xml:space="preserve"> with known </t>
    </r>
    <r>
      <rPr>
        <b/>
        <i/>
        <sz val="11"/>
        <color rgb="FF0070C0"/>
        <rFont val="Calibri"/>
        <family val="2"/>
        <scheme val="minor"/>
      </rPr>
      <t>hatchery release information for SY2010, 2012, 2013</t>
    </r>
    <r>
      <rPr>
        <i/>
        <sz val="11"/>
        <color rgb="FF0070C0"/>
        <rFont val="Calibri"/>
        <family val="2"/>
        <scheme val="minor"/>
      </rPr>
      <t xml:space="preserve"> - but </t>
    </r>
    <r>
      <rPr>
        <i/>
        <u/>
        <sz val="11"/>
        <color rgb="FF0070C0"/>
        <rFont val="Calibri"/>
        <family val="2"/>
        <scheme val="minor"/>
      </rPr>
      <t>need to figure out how to adjust/reduce pre-smolt index to account for these additions</t>
    </r>
    <r>
      <rPr>
        <i/>
        <sz val="11"/>
        <color rgb="FF0070C0"/>
        <rFont val="Calibri"/>
        <family val="2"/>
        <scheme val="minor"/>
      </rPr>
      <t xml:space="preserve">. Also </t>
    </r>
    <r>
      <rPr>
        <i/>
        <u/>
        <sz val="11"/>
        <color rgb="FF0070C0"/>
        <rFont val="Calibri"/>
        <family val="2"/>
        <scheme val="minor"/>
      </rPr>
      <t xml:space="preserve">need to get best </t>
    </r>
    <r>
      <rPr>
        <b/>
        <i/>
        <u/>
        <sz val="11"/>
        <color rgb="FF0070C0"/>
        <rFont val="Calibri"/>
        <family val="2"/>
        <scheme val="minor"/>
      </rPr>
      <t>estimate of H-O returns</t>
    </r>
    <r>
      <rPr>
        <i/>
        <u/>
        <sz val="11"/>
        <color rgb="FF0070C0"/>
        <rFont val="Calibri"/>
        <family val="2"/>
        <scheme val="minor"/>
      </rPr>
      <t>, and adjust Wells counts down to de-bias N-O returns</t>
    </r>
    <r>
      <rPr>
        <i/>
        <sz val="11"/>
        <color rgb="FF0070C0"/>
        <rFont val="Calibri"/>
        <family val="2"/>
        <scheme val="minor"/>
      </rPr>
      <t>. See Kari Alex hatchery data chart (though year and wells counts seem wrong.)</t>
    </r>
  </si>
  <si>
    <t>M/S likely approximate, since 3-ocean returns (41s, 52s and 63s) from SY 2019 returning in 2022 may be preliminary [2022-07-22].</t>
  </si>
  <si>
    <t>Grand Total</t>
  </si>
  <si>
    <t>FW Age (Years)</t>
  </si>
  <si>
    <t>Returns to the Mouth of the Columbia River</t>
  </si>
  <si>
    <t>Total (%)</t>
  </si>
  <si>
    <t>(%)</t>
  </si>
  <si>
    <t>Total At Age</t>
  </si>
  <si>
    <t>At Age</t>
  </si>
  <si>
    <t>Brood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</si>
</sst>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_(* #,##0_);_(* \(#,##0\);_(* &quot;-&quot;_);_(@_)"/>
    <numFmt numFmtId="165" formatCode="_(* #,##0.00_);_(* \(#,##0.00\);_(* &quot;-&quot;??_);_(@_)"/>
    <numFmt numFmtId="166" formatCode="[$-409]d\-mmm\-yy;@"/>
    <numFmt numFmtId="167" formatCode="0.0"/>
    <numFmt numFmtId="168" formatCode="#,##0.0"/>
    <numFmt numFmtId="169" formatCode="_(* #,##0.0_);_(* \(#,##0.0\);_(* &quot;-&quot;??_);_(@_)"/>
    <numFmt numFmtId="170" formatCode="_(* #,##0_);_(* \(#,##0\);_(* &quot;-&quot;??_);_(@_)"/>
    <numFmt numFmtId="171" formatCode="[$-409]d/mmm/yy;@"/>
    <numFmt numFmtId="172" formatCode="#,##0_ ;\-#,##0\ "/>
    <numFmt numFmtId="173" formatCode="[$-1009]d/mmm/yy;@"/>
    <numFmt numFmtId="174" formatCode="_-* #,##0_-;\-* #,##0_-;_-* &quot;-&quot;??_-;_-@_-"/>
    <numFmt numFmtId="175" formatCode="0.000%"/>
    <numFmt numFmtId="176" formatCode="0.000"/>
    <numFmt numFmtId="177" formatCode="0.0%"/>
    <numFmt numFmtId="178" formatCode="[$-1009]d\-mmm\-yy;@"/>
  </numFmts>
  <fonts count="118" x14ac:knownFonts="1">
    <font>
      <sz val="11"/>
      <color theme="1"/>
      <name val="Calibri"/>
      <family val="2"/>
      <scheme val="minor"/>
    </font>
    <font>
      <sz val="11"/>
      <color theme="1"/>
      <name val="Calibri"/>
      <family val="2"/>
      <scheme val="minor"/>
    </font>
    <font>
      <b/>
      <sz val="11"/>
      <color theme="3"/>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rgb="FF0070C0"/>
      <name val="Calibri"/>
      <family val="2"/>
      <scheme val="minor"/>
    </font>
    <font>
      <sz val="11"/>
      <color rgb="FF0070C0"/>
      <name val="Calibri"/>
      <family val="2"/>
      <scheme val="minor"/>
    </font>
    <font>
      <sz val="9"/>
      <color indexed="81"/>
      <name val="Tahoma"/>
      <family val="2"/>
    </font>
    <font>
      <b/>
      <sz val="9"/>
      <color indexed="81"/>
      <name val="Tahoma"/>
      <family val="2"/>
    </font>
    <font>
      <vertAlign val="subscript"/>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b/>
      <sz val="14"/>
      <color theme="3"/>
      <name val="Calibri"/>
      <family val="2"/>
      <scheme val="minor"/>
    </font>
    <font>
      <sz val="12"/>
      <color rgb="FFFF0000"/>
      <name val="Calibri"/>
      <family val="2"/>
      <scheme val="minor"/>
    </font>
    <font>
      <b/>
      <sz val="12"/>
      <color rgb="FFFF0000"/>
      <name val="Calibri"/>
      <family val="2"/>
      <scheme val="minor"/>
    </font>
    <font>
      <b/>
      <sz val="16"/>
      <color theme="1"/>
      <name val="Calibri"/>
      <family val="2"/>
      <scheme val="minor"/>
    </font>
    <font>
      <b/>
      <sz val="12"/>
      <color theme="1"/>
      <name val="Calibri"/>
      <family val="2"/>
      <scheme val="minor"/>
    </font>
    <font>
      <b/>
      <sz val="16"/>
      <name val="Calibri"/>
      <family val="2"/>
      <scheme val="minor"/>
    </font>
    <font>
      <i/>
      <sz val="12"/>
      <color rgb="FFFF0000"/>
      <name val="Calibri"/>
      <family val="2"/>
      <scheme val="minor"/>
    </font>
    <font>
      <b/>
      <i/>
      <sz val="12"/>
      <color rgb="FFFF0000"/>
      <name val="Calibri"/>
      <family val="2"/>
      <scheme val="minor"/>
    </font>
    <font>
      <u/>
      <sz val="12"/>
      <color rgb="FFFF0000"/>
      <name val="Calibri"/>
      <family val="2"/>
      <scheme val="minor"/>
    </font>
    <font>
      <b/>
      <sz val="12"/>
      <color theme="4" tint="-0.249977111117893"/>
      <name val="Calibri"/>
      <family val="2"/>
      <scheme val="minor"/>
    </font>
    <font>
      <b/>
      <sz val="12"/>
      <color rgb="FFC00000"/>
      <name val="Calibri"/>
      <family val="2"/>
      <scheme val="minor"/>
    </font>
    <font>
      <b/>
      <sz val="12"/>
      <name val="Calibri"/>
      <family val="2"/>
      <scheme val="minor"/>
    </font>
    <font>
      <b/>
      <sz val="11"/>
      <color rgb="FFC00000"/>
      <name val="Calibri"/>
      <family val="2"/>
      <scheme val="minor"/>
    </font>
    <font>
      <vertAlign val="superscript"/>
      <sz val="12"/>
      <color rgb="FFFF0000"/>
      <name val="Calibri"/>
      <family val="2"/>
      <scheme val="minor"/>
    </font>
    <font>
      <vertAlign val="superscript"/>
      <sz val="11"/>
      <color theme="1"/>
      <name val="Calibri"/>
      <family val="2"/>
      <scheme val="minor"/>
    </font>
    <font>
      <i/>
      <sz val="11"/>
      <name val="Calibri"/>
      <family val="2"/>
      <scheme val="minor"/>
    </font>
    <font>
      <i/>
      <vertAlign val="superscript"/>
      <sz val="11"/>
      <name val="Calibri"/>
      <family val="2"/>
      <scheme val="minor"/>
    </font>
    <font>
      <b/>
      <i/>
      <sz val="14"/>
      <name val="Calibri"/>
      <family val="2"/>
      <scheme val="minor"/>
    </font>
    <font>
      <b/>
      <i/>
      <sz val="11"/>
      <name val="Calibri"/>
      <family val="2"/>
      <scheme val="minor"/>
    </font>
    <font>
      <b/>
      <i/>
      <vertAlign val="subscript"/>
      <sz val="11"/>
      <name val="Calibri"/>
      <family val="2"/>
      <scheme val="minor"/>
    </font>
    <font>
      <b/>
      <sz val="16"/>
      <color theme="0"/>
      <name val="Calibri"/>
      <family val="2"/>
      <scheme val="minor"/>
    </font>
    <font>
      <b/>
      <sz val="14"/>
      <color theme="0"/>
      <name val="Calibri"/>
      <family val="2"/>
      <scheme val="minor"/>
    </font>
    <font>
      <sz val="11"/>
      <color rgb="FF9C6500"/>
      <name val="Calibri"/>
      <family val="2"/>
      <scheme val="minor"/>
    </font>
    <font>
      <sz val="14"/>
      <color theme="1"/>
      <name val="Calibri"/>
      <family val="2"/>
      <scheme val="minor"/>
    </font>
    <font>
      <b/>
      <sz val="11"/>
      <color theme="0"/>
      <name val="Calibri"/>
      <family val="2"/>
      <scheme val="minor"/>
    </font>
    <font>
      <b/>
      <sz val="11"/>
      <color rgb="FF9C6500"/>
      <name val="Calibri"/>
      <family val="2"/>
      <scheme val="minor"/>
    </font>
    <font>
      <i/>
      <sz val="11"/>
      <color theme="1"/>
      <name val="Calibri"/>
      <family val="2"/>
      <scheme val="minor"/>
    </font>
    <font>
      <b/>
      <sz val="10"/>
      <color theme="1"/>
      <name val="Calibri"/>
      <family val="2"/>
      <scheme val="minor"/>
    </font>
    <font>
      <i/>
      <sz val="11"/>
      <color rgb="FFFF0000"/>
      <name val="Calibri"/>
      <family val="2"/>
      <scheme val="minor"/>
    </font>
    <font>
      <sz val="11"/>
      <color rgb="FF000000"/>
      <name val="Calibri"/>
      <family val="2"/>
    </font>
    <font>
      <sz val="11"/>
      <color theme="1"/>
      <name val="Calibri"/>
      <family val="2"/>
    </font>
    <font>
      <sz val="11"/>
      <name val="Calibri"/>
      <family val="2"/>
    </font>
    <font>
      <sz val="11"/>
      <color rgb="FFFF0000"/>
      <name val="Calibri"/>
      <family val="2"/>
    </font>
    <font>
      <b/>
      <sz val="11"/>
      <color rgb="FF000000"/>
      <name val="Calibri"/>
      <family val="2"/>
    </font>
    <font>
      <b/>
      <sz val="11"/>
      <color rgb="FFFF0000"/>
      <name val="Calibri"/>
      <family val="2"/>
    </font>
    <font>
      <sz val="10"/>
      <color rgb="FFBCBCBC"/>
      <name val="Lucida Console"/>
      <family val="3"/>
    </font>
    <font>
      <b/>
      <sz val="10"/>
      <color indexed="81"/>
      <name val="Tahoma"/>
      <family val="2"/>
    </font>
    <font>
      <sz val="12"/>
      <name val="Calibri"/>
      <family val="2"/>
      <scheme val="minor"/>
    </font>
    <font>
      <u/>
      <sz val="11"/>
      <color theme="10"/>
      <name val="Calibri"/>
      <family val="2"/>
      <scheme val="minor"/>
    </font>
    <font>
      <b/>
      <sz val="11"/>
      <color rgb="FFC00000"/>
      <name val="Calibri"/>
      <family val="2"/>
    </font>
    <font>
      <b/>
      <u/>
      <sz val="11"/>
      <color theme="4" tint="-0.249977111117893"/>
      <name val="Calibri"/>
      <family val="2"/>
      <scheme val="minor"/>
    </font>
    <font>
      <b/>
      <u/>
      <sz val="11"/>
      <color rgb="FFC00000"/>
      <name val="Calibri"/>
      <family val="2"/>
      <scheme val="minor"/>
    </font>
    <font>
      <sz val="11"/>
      <color rgb="FFC00000"/>
      <name val="Calibri"/>
      <family val="2"/>
      <scheme val="minor"/>
    </font>
    <font>
      <sz val="8"/>
      <name val="Calibri"/>
      <family val="2"/>
      <scheme val="minor"/>
    </font>
    <font>
      <sz val="11"/>
      <color rgb="FF006100"/>
      <name val="Calibri"/>
      <family val="2"/>
      <scheme val="minor"/>
    </font>
    <font>
      <sz val="11"/>
      <color rgb="FF9C0006"/>
      <name val="Calibri"/>
      <family val="2"/>
      <scheme val="minor"/>
    </font>
    <font>
      <b/>
      <sz val="11"/>
      <color rgb="FF9C0006"/>
      <name val="Calibri"/>
      <family val="2"/>
      <scheme val="minor"/>
    </font>
    <font>
      <b/>
      <sz val="11"/>
      <color rgb="FF006100"/>
      <name val="Calibri"/>
      <family val="2"/>
      <scheme val="minor"/>
    </font>
    <font>
      <sz val="12"/>
      <color theme="1"/>
      <name val="Calibri"/>
      <family val="2"/>
      <scheme val="minor"/>
    </font>
    <font>
      <sz val="12"/>
      <color rgb="FF000000"/>
      <name val="Open Sans"/>
      <family val="2"/>
    </font>
    <font>
      <i/>
      <sz val="9"/>
      <color indexed="81"/>
      <name val="Tahoma"/>
      <family val="2"/>
    </font>
    <font>
      <b/>
      <i/>
      <sz val="9"/>
      <color indexed="81"/>
      <name val="Tahoma"/>
      <family val="2"/>
    </font>
    <font>
      <sz val="11"/>
      <color theme="0" tint="-0.34998626667073579"/>
      <name val="Calibri"/>
      <family val="2"/>
    </font>
    <font>
      <b/>
      <sz val="10"/>
      <color theme="1"/>
      <name val="Tahoma"/>
      <family val="2"/>
    </font>
    <font>
      <sz val="10"/>
      <color theme="1"/>
      <name val="Tahoma"/>
      <family val="2"/>
    </font>
    <font>
      <b/>
      <sz val="10"/>
      <color rgb="FF0066FF"/>
      <name val="Tahoma"/>
      <family val="2"/>
    </font>
    <font>
      <sz val="10"/>
      <color rgb="FF0066FF"/>
      <name val="Tahoma"/>
      <family val="2"/>
    </font>
    <font>
      <b/>
      <sz val="10"/>
      <color theme="0" tint="-0.34998626667073579"/>
      <name val="Tahoma"/>
      <family val="2"/>
    </font>
    <font>
      <sz val="10"/>
      <color theme="0" tint="-0.34998626667073579"/>
      <name val="Tahoma"/>
      <family val="2"/>
    </font>
    <font>
      <b/>
      <sz val="10"/>
      <color theme="9" tint="-0.249977111117893"/>
      <name val="Tahoma"/>
      <family val="2"/>
    </font>
    <font>
      <sz val="10"/>
      <color theme="9" tint="-0.249977111117893"/>
      <name val="Tahoma"/>
      <family val="2"/>
    </font>
    <font>
      <b/>
      <sz val="10"/>
      <color theme="4" tint="-0.249977111117893"/>
      <name val="Tahoma"/>
      <family val="2"/>
    </font>
    <font>
      <sz val="10"/>
      <color theme="4" tint="-0.249977111117893"/>
      <name val="Tahoma"/>
      <family val="2"/>
    </font>
    <font>
      <b/>
      <sz val="10"/>
      <color rgb="FFFF0000"/>
      <name val="Tahoma"/>
      <family val="2"/>
    </font>
    <font>
      <sz val="10"/>
      <color rgb="FF7030A0"/>
      <name val="Tahoma"/>
      <family val="2"/>
    </font>
    <font>
      <b/>
      <sz val="10"/>
      <color rgb="FF7030A0"/>
      <name val="Tahoma"/>
      <family val="2"/>
    </font>
    <font>
      <i/>
      <sz val="10"/>
      <color rgb="FF7030A0"/>
      <name val="Tahoma"/>
      <family val="2"/>
    </font>
    <font>
      <sz val="10"/>
      <color rgb="FFC00000"/>
      <name val="Tahoma"/>
      <family val="2"/>
    </font>
    <font>
      <b/>
      <sz val="10"/>
      <name val="Tahoma"/>
      <family val="2"/>
    </font>
    <font>
      <i/>
      <sz val="10"/>
      <name val="Tahoma"/>
      <family val="2"/>
    </font>
    <font>
      <i/>
      <sz val="10"/>
      <color theme="1"/>
      <name val="Tahoma"/>
      <family val="2"/>
    </font>
    <font>
      <b/>
      <sz val="11"/>
      <color rgb="FF0000FF"/>
      <name val="Calibri"/>
      <family val="2"/>
      <scheme val="minor"/>
    </font>
    <font>
      <sz val="10"/>
      <name val="Tahoma"/>
      <family val="2"/>
    </font>
    <font>
      <u/>
      <sz val="9"/>
      <color indexed="81"/>
      <name val="Tahoma"/>
      <family val="2"/>
    </font>
    <font>
      <sz val="10"/>
      <color rgb="FFFF0000"/>
      <name val="Tahoma"/>
      <family val="2"/>
    </font>
    <font>
      <b/>
      <sz val="10"/>
      <color rgb="FF006100"/>
      <name val="Tahoma"/>
      <family val="2"/>
    </font>
    <font>
      <b/>
      <sz val="10"/>
      <color theme="0"/>
      <name val="Tahoma"/>
      <family val="2"/>
    </font>
    <font>
      <b/>
      <sz val="10"/>
      <color rgb="FFFFFF00"/>
      <name val="Tahoma"/>
      <family val="2"/>
    </font>
    <font>
      <sz val="10"/>
      <color indexed="10"/>
      <name val="Tahoma"/>
      <family val="2"/>
    </font>
    <font>
      <sz val="10"/>
      <color rgb="FFFF00FF"/>
      <name val="Tahoma"/>
      <family val="2"/>
    </font>
    <font>
      <sz val="10"/>
      <color theme="6" tint="-0.249977111117893"/>
      <name val="Tahoma"/>
      <family val="2"/>
    </font>
    <font>
      <sz val="10"/>
      <color indexed="8"/>
      <name val="Arial"/>
      <family val="2"/>
    </font>
    <font>
      <sz val="10"/>
      <color rgb="FFFF0000"/>
      <name val="Arial"/>
      <family val="2"/>
    </font>
    <font>
      <sz val="10"/>
      <color rgb="FF00B050"/>
      <name val="Tahoma"/>
      <family val="2"/>
    </font>
    <font>
      <sz val="10"/>
      <color indexed="23"/>
      <name val="Tahoma"/>
      <family val="2"/>
    </font>
    <font>
      <b/>
      <sz val="10"/>
      <color indexed="10"/>
      <name val="Tahoma"/>
      <family val="2"/>
    </font>
    <font>
      <sz val="10"/>
      <color theme="5" tint="-0.249977111117893"/>
      <name val="Tahoma"/>
      <family val="2"/>
    </font>
    <font>
      <sz val="10"/>
      <color theme="5"/>
      <name val="Tahoma"/>
      <family val="2"/>
    </font>
    <font>
      <sz val="10"/>
      <color rgb="FF0000FF"/>
      <name val="Tahoma"/>
      <family val="2"/>
    </font>
    <font>
      <strike/>
      <sz val="10"/>
      <color rgb="FFFF0000"/>
      <name val="Tahoma"/>
      <family val="2"/>
    </font>
    <font>
      <sz val="10"/>
      <color theme="0"/>
      <name val="Tahoma"/>
      <family val="2"/>
    </font>
    <font>
      <sz val="10"/>
      <color rgb="FF0033CC"/>
      <name val="Tahoma"/>
      <family val="2"/>
    </font>
    <font>
      <sz val="11"/>
      <color rgb="FF0033CC"/>
      <name val="Calibri"/>
      <family val="2"/>
      <scheme val="minor"/>
    </font>
    <font>
      <i/>
      <sz val="11"/>
      <color rgb="FF0070C0"/>
      <name val="Calibri"/>
      <family val="2"/>
      <scheme val="minor"/>
    </font>
    <font>
      <b/>
      <i/>
      <sz val="11"/>
      <color rgb="FF0070C0"/>
      <name val="Calibri"/>
      <family val="2"/>
      <scheme val="minor"/>
    </font>
    <font>
      <b/>
      <i/>
      <sz val="11"/>
      <color rgb="FFFF0000"/>
      <name val="Calibri"/>
      <family val="2"/>
      <scheme val="minor"/>
    </font>
    <font>
      <sz val="11"/>
      <color theme="1" tint="0.499984740745262"/>
      <name val="Calibri"/>
      <family val="2"/>
      <scheme val="minor"/>
    </font>
    <font>
      <sz val="8"/>
      <color rgb="FF003366"/>
      <name val="Arial"/>
      <family val="2"/>
    </font>
    <font>
      <b/>
      <sz val="11"/>
      <color rgb="FFFA7D00"/>
      <name val="Calibri"/>
      <family val="2"/>
      <scheme val="minor"/>
    </font>
    <font>
      <b/>
      <sz val="10"/>
      <name val="Arial"/>
      <family val="2"/>
    </font>
    <font>
      <b/>
      <u/>
      <sz val="11"/>
      <name val="Calibri"/>
      <family val="2"/>
      <scheme val="minor"/>
    </font>
    <font>
      <sz val="11"/>
      <color theme="4" tint="-0.249977111117893"/>
      <name val="Calibri"/>
      <family val="2"/>
      <scheme val="minor"/>
    </font>
    <font>
      <i/>
      <u/>
      <sz val="11"/>
      <color rgb="FF0070C0"/>
      <name val="Calibri"/>
      <family val="2"/>
      <scheme val="minor"/>
    </font>
    <font>
      <b/>
      <i/>
      <u/>
      <sz val="11"/>
      <color rgb="FF0070C0"/>
      <name val="Calibri"/>
      <family val="2"/>
      <scheme val="minor"/>
    </font>
  </fonts>
  <fills count="50">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9" tint="0.59999389629810485"/>
        <bgColor indexed="65"/>
      </patternFill>
    </fill>
    <fill>
      <patternFill patternType="solid">
        <fgColor theme="5" tint="0.39997558519241921"/>
        <bgColor indexed="65"/>
      </patternFill>
    </fill>
    <fill>
      <patternFill patternType="solid">
        <fgColor theme="9" tint="0.79998168889431442"/>
        <bgColor indexed="65"/>
      </patternFill>
    </fill>
    <fill>
      <patternFill patternType="solid">
        <fgColor rgb="FFFFFF00"/>
        <bgColor indexed="64"/>
      </patternFill>
    </fill>
    <fill>
      <patternFill patternType="solid">
        <fgColor theme="7" tint="0.79998168889431442"/>
        <bgColor indexed="65"/>
      </patternFill>
    </fill>
    <fill>
      <patternFill patternType="solid">
        <fgColor theme="5" tint="0.79998168889431442"/>
        <bgColor indexed="64"/>
      </patternFill>
    </fill>
    <fill>
      <patternFill patternType="solid">
        <fgColor theme="8"/>
      </patternFill>
    </fill>
    <fill>
      <patternFill patternType="solid">
        <fgColor theme="0" tint="-4.9989318521683403E-2"/>
        <bgColor indexed="64"/>
      </patternFill>
    </fill>
    <fill>
      <patternFill patternType="solid">
        <fgColor them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9999"/>
        <bgColor indexed="64"/>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FFEB9C"/>
      </patternFill>
    </fill>
    <fill>
      <patternFill patternType="solid">
        <fgColor theme="8" tint="0.79998168889431442"/>
        <bgColor indexed="65"/>
      </patternFill>
    </fill>
    <fill>
      <patternFill patternType="solid">
        <fgColor theme="8" tint="0.59999389629810485"/>
        <bgColor indexed="65"/>
      </patternFill>
    </fill>
    <fill>
      <patternFill patternType="solid">
        <fgColor rgb="FFEDEDED"/>
        <bgColor rgb="FFFFFFFF"/>
      </patternFill>
    </fill>
    <fill>
      <patternFill patternType="solid">
        <fgColor rgb="FFDDEBF7"/>
        <bgColor rgb="FFFFFFFF"/>
      </patternFill>
    </fill>
    <fill>
      <patternFill patternType="solid">
        <fgColor rgb="FFFCE4D6"/>
        <bgColor rgb="FFFFFFFF"/>
      </patternFill>
    </fill>
    <fill>
      <patternFill patternType="solid">
        <fgColor rgb="FFF8CBAD"/>
        <bgColor rgb="FFFFFFFF"/>
      </patternFill>
    </fill>
    <fill>
      <patternFill patternType="solid">
        <fgColor rgb="FFFCE4D6"/>
        <bgColor rgb="FF000000"/>
      </patternFill>
    </fill>
    <fill>
      <patternFill patternType="solid">
        <fgColor rgb="FFFFF2CC"/>
        <bgColor rgb="FFFFFFFF"/>
      </patternFill>
    </fill>
    <fill>
      <patternFill patternType="solid">
        <fgColor rgb="FFE2EFDA"/>
        <bgColor rgb="FFFFFFFF"/>
      </patternFill>
    </fill>
    <fill>
      <patternFill patternType="solid">
        <fgColor rgb="FF161616"/>
        <bgColor indexed="64"/>
      </patternFill>
    </fill>
    <fill>
      <patternFill patternType="solid">
        <fgColor rgb="FFC6EFCE"/>
      </patternFill>
    </fill>
    <fill>
      <patternFill patternType="solid">
        <fgColor rgb="FFFFC7CE"/>
      </patternFill>
    </fill>
    <fill>
      <patternFill patternType="solid">
        <fgColor rgb="FFFFFFFF"/>
        <bgColor indexed="64"/>
      </patternFill>
    </fill>
    <fill>
      <patternFill patternType="solid">
        <fgColor theme="9"/>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indexed="45"/>
        <bgColor indexed="64"/>
      </patternFill>
    </fill>
    <fill>
      <patternFill patternType="solid">
        <fgColor theme="9"/>
        <bgColor indexed="64"/>
      </patternFill>
    </fill>
    <fill>
      <patternFill patternType="solid">
        <fgColor rgb="FFFFFF99"/>
        <bgColor indexed="64"/>
      </patternFill>
    </fill>
    <fill>
      <patternFill patternType="solid">
        <fgColor rgb="FFF2F2F2"/>
      </patternFill>
    </fill>
    <fill>
      <patternFill patternType="solid">
        <fgColor theme="2" tint="-9.9978637043366805E-2"/>
        <bgColor indexed="64"/>
      </patternFill>
    </fill>
  </fills>
  <borders count="9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medium">
        <color indexed="64"/>
      </right>
      <top/>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thin">
        <color rgb="FFB2B2B2"/>
      </left>
      <right style="medium">
        <color indexed="64"/>
      </right>
      <top style="medium">
        <color indexed="64"/>
      </top>
      <bottom/>
      <diagonal/>
    </border>
    <border>
      <left/>
      <right style="thin">
        <color rgb="FFB2B2B2"/>
      </right>
      <top style="medium">
        <color indexed="64"/>
      </top>
      <bottom/>
      <diagonal/>
    </border>
    <border>
      <left style="thin">
        <color indexed="64"/>
      </left>
      <right/>
      <top style="medium">
        <color indexed="64"/>
      </top>
      <bottom style="medium">
        <color indexed="64"/>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theme="0" tint="-0.14999847407452621"/>
      </right>
      <top style="medium">
        <color indexed="64"/>
      </top>
      <bottom/>
      <diagonal/>
    </border>
    <border>
      <left style="thin">
        <color theme="0" tint="-0.14999847407452621"/>
      </left>
      <right style="thin">
        <color theme="0" tint="-0.14999847407452621"/>
      </right>
      <top style="medium">
        <color indexed="64"/>
      </top>
      <bottom style="thin">
        <color theme="0" tint="-0.14999847407452621"/>
      </bottom>
      <diagonal/>
    </border>
    <border>
      <left style="medium">
        <color indexed="64"/>
      </left>
      <right style="thin">
        <color theme="0" tint="-0.14999847407452621"/>
      </right>
      <top/>
      <bottom style="medium">
        <color indexed="64"/>
      </bottom>
      <diagonal/>
    </border>
    <border>
      <left style="thin">
        <color theme="0" tint="-0.14999847407452621"/>
      </left>
      <right style="thin">
        <color theme="0" tint="-0.14999847407452621"/>
      </right>
      <top style="thin">
        <color theme="0" tint="-0.14999847407452621"/>
      </top>
      <bottom style="medium">
        <color indexed="64"/>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right/>
      <top style="thin">
        <color indexed="64"/>
      </top>
      <bottom/>
      <diagonal/>
    </border>
    <border>
      <left style="medium">
        <color indexed="64"/>
      </left>
      <right/>
      <top/>
      <bottom style="thin">
        <color indexed="64"/>
      </bottom>
      <diagonal/>
    </border>
    <border>
      <left style="thin">
        <color indexed="64"/>
      </left>
      <right/>
      <top style="thin">
        <color indexed="64"/>
      </top>
      <bottom/>
      <diagonal/>
    </border>
    <border>
      <left style="medium">
        <color rgb="FF9E9E9E"/>
      </left>
      <right/>
      <top style="medium">
        <color rgb="FF9E9E9E"/>
      </top>
      <bottom/>
      <diagonal/>
    </border>
    <border>
      <left/>
      <right/>
      <top style="medium">
        <color rgb="FF9E9E9E"/>
      </top>
      <bottom/>
      <diagonal/>
    </border>
    <border>
      <left/>
      <right style="medium">
        <color rgb="FF9E9E9E"/>
      </right>
      <top style="medium">
        <color rgb="FF9E9E9E"/>
      </top>
      <bottom/>
      <diagonal/>
    </border>
    <border>
      <left style="medium">
        <color rgb="FF9E9E9E"/>
      </left>
      <right/>
      <top/>
      <bottom/>
      <diagonal/>
    </border>
    <border>
      <left/>
      <right style="medium">
        <color rgb="FF9E9E9E"/>
      </right>
      <top/>
      <bottom/>
      <diagonal/>
    </border>
    <border>
      <left style="medium">
        <color rgb="FF9E9E9E"/>
      </left>
      <right/>
      <top/>
      <bottom style="medium">
        <color rgb="FF9E9E9E"/>
      </bottom>
      <diagonal/>
    </border>
    <border>
      <left/>
      <right/>
      <top/>
      <bottom style="medium">
        <color rgb="FF9E9E9E"/>
      </bottom>
      <diagonal/>
    </border>
    <border>
      <left/>
      <right style="medium">
        <color rgb="FF9E9E9E"/>
      </right>
      <top/>
      <bottom style="medium">
        <color rgb="FF9E9E9E"/>
      </bottom>
      <diagonal/>
    </border>
    <border>
      <left style="medium">
        <color indexed="64"/>
      </left>
      <right style="medium">
        <color indexed="64"/>
      </right>
      <top style="thin">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s>
  <cellStyleXfs count="31">
    <xf numFmtId="0" fontId="0" fillId="0" borderId="0"/>
    <xf numFmtId="165" fontId="1" fillId="0" borderId="0" applyFont="0" applyFill="0" applyBorder="0" applyAlignment="0" applyProtection="0"/>
    <xf numFmtId="0" fontId="2" fillId="0" borderId="0" applyNumberFormat="0" applyFill="0" applyBorder="0" applyAlignment="0" applyProtection="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1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1" fillId="16" borderId="0" applyNumberFormat="0" applyBorder="0" applyAlignment="0" applyProtection="0"/>
    <xf numFmtId="0" fontId="36"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52" fillId="0" borderId="0" applyNumberFormat="0" applyFill="0" applyBorder="0" applyAlignment="0" applyProtection="0"/>
    <xf numFmtId="0" fontId="58" fillId="38" borderId="0" applyNumberFormat="0" applyBorder="0" applyAlignment="0" applyProtection="0"/>
    <xf numFmtId="0" fontId="59" fillId="39" borderId="0" applyNumberFormat="0" applyBorder="0" applyAlignment="0" applyProtection="0"/>
    <xf numFmtId="0" fontId="11" fillId="41" borderId="0" applyNumberFormat="0" applyBorder="0" applyAlignment="0" applyProtection="0"/>
    <xf numFmtId="0" fontId="1" fillId="42" borderId="0" applyNumberFormat="0" applyBorder="0" applyAlignment="0" applyProtection="0"/>
    <xf numFmtId="0" fontId="1" fillId="0" borderId="0"/>
    <xf numFmtId="9" fontId="86" fillId="0" borderId="0" applyFont="0" applyFill="0" applyBorder="0" applyAlignment="0" applyProtection="0"/>
    <xf numFmtId="0" fontId="86" fillId="0" borderId="0"/>
    <xf numFmtId="43" fontId="86" fillId="0" borderId="0" applyFont="0" applyFill="0" applyBorder="0" applyAlignment="0" applyProtection="0"/>
    <xf numFmtId="0" fontId="112" fillId="48" borderId="95" applyNumberFormat="0" applyAlignment="0" applyProtection="0"/>
  </cellStyleXfs>
  <cellXfs count="1152">
    <xf numFmtId="0" fontId="0" fillId="0" borderId="0" xfId="0"/>
    <xf numFmtId="0" fontId="0" fillId="0" borderId="0" xfId="0" applyAlignment="1">
      <alignment horizontal="center" wrapText="1"/>
    </xf>
    <xf numFmtId="0" fontId="0" fillId="0" borderId="0" xfId="0" applyAlignment="1">
      <alignment vertical="center"/>
    </xf>
    <xf numFmtId="0" fontId="1" fillId="3" borderId="9" xfId="4" applyBorder="1" applyAlignment="1">
      <alignment horizontal="center" wrapText="1"/>
    </xf>
    <xf numFmtId="0" fontId="1" fillId="3" borderId="10" xfId="4" applyBorder="1" applyAlignment="1">
      <alignment horizontal="center" wrapText="1"/>
    </xf>
    <xf numFmtId="0" fontId="1" fillId="5" borderId="9" xfId="6" applyBorder="1" applyAlignment="1">
      <alignment horizontal="center" wrapText="1"/>
    </xf>
    <xf numFmtId="0" fontId="1" fillId="6" borderId="9" xfId="7" applyBorder="1" applyAlignment="1">
      <alignment horizontal="center" wrapText="1"/>
    </xf>
    <xf numFmtId="0" fontId="1" fillId="9" borderId="9" xfId="10" applyBorder="1" applyAlignment="1">
      <alignment horizontal="center" wrapText="1"/>
    </xf>
    <xf numFmtId="0" fontId="1" fillId="9" borderId="18" xfId="10" applyBorder="1" applyAlignment="1">
      <alignment horizontal="center" wrapText="1"/>
    </xf>
    <xf numFmtId="0" fontId="1" fillId="9" borderId="10" xfId="10" applyBorder="1" applyAlignment="1">
      <alignment horizontal="center" wrapText="1"/>
    </xf>
    <xf numFmtId="0" fontId="1" fillId="9" borderId="16" xfId="10" applyBorder="1"/>
    <xf numFmtId="0" fontId="1" fillId="9" borderId="7" xfId="10" applyBorder="1"/>
    <xf numFmtId="0" fontId="1" fillId="9" borderId="10" xfId="10" applyBorder="1"/>
    <xf numFmtId="0" fontId="1" fillId="10" borderId="23" xfId="11" applyBorder="1"/>
    <xf numFmtId="0" fontId="1" fillId="10" borderId="24" xfId="11" applyBorder="1"/>
    <xf numFmtId="0" fontId="1" fillId="10" borderId="22" xfId="11" applyBorder="1"/>
    <xf numFmtId="0" fontId="1" fillId="8" borderId="23" xfId="9" applyBorder="1"/>
    <xf numFmtId="0" fontId="1" fillId="8" borderId="24" xfId="9" applyBorder="1"/>
    <xf numFmtId="0" fontId="1" fillId="8" borderId="22" xfId="9" applyBorder="1"/>
    <xf numFmtId="166" fontId="1" fillId="9" borderId="15" xfId="10" applyNumberFormat="1" applyBorder="1"/>
    <xf numFmtId="166" fontId="1" fillId="9" borderId="19" xfId="10" applyNumberFormat="1" applyBorder="1"/>
    <xf numFmtId="166" fontId="1" fillId="9" borderId="2" xfId="10" applyNumberFormat="1" applyBorder="1"/>
    <xf numFmtId="166" fontId="1" fillId="9" borderId="20" xfId="10" applyNumberFormat="1" applyBorder="1"/>
    <xf numFmtId="166" fontId="1" fillId="9" borderId="9" xfId="10" applyNumberFormat="1" applyBorder="1"/>
    <xf numFmtId="166" fontId="1" fillId="9" borderId="18" xfId="10" applyNumberFormat="1" applyBorder="1"/>
    <xf numFmtId="166" fontId="0" fillId="9" borderId="2" xfId="10" applyNumberFormat="1" applyFont="1" applyBorder="1"/>
    <xf numFmtId="0" fontId="1" fillId="3" borderId="16" xfId="4" applyBorder="1" applyProtection="1">
      <protection locked="0"/>
    </xf>
    <xf numFmtId="0" fontId="1" fillId="3" borderId="7" xfId="4" applyBorder="1" applyProtection="1">
      <protection locked="0"/>
    </xf>
    <xf numFmtId="0" fontId="1" fillId="3" borderId="10" xfId="4" applyBorder="1" applyProtection="1">
      <protection locked="0"/>
    </xf>
    <xf numFmtId="0" fontId="0" fillId="3" borderId="7" xfId="4" applyFont="1" applyBorder="1" applyProtection="1">
      <protection locked="0"/>
    </xf>
    <xf numFmtId="166" fontId="1" fillId="9" borderId="14" xfId="10" applyNumberFormat="1" applyBorder="1" applyProtection="1">
      <protection locked="0"/>
    </xf>
    <xf numFmtId="166" fontId="1" fillId="9" borderId="15" xfId="10" applyNumberFormat="1" applyBorder="1" applyProtection="1">
      <protection locked="0"/>
    </xf>
    <xf numFmtId="166" fontId="1" fillId="9" borderId="19" xfId="10" applyNumberFormat="1" applyBorder="1" applyProtection="1">
      <protection locked="0"/>
    </xf>
    <xf numFmtId="0" fontId="1" fillId="9" borderId="16" xfId="10" applyBorder="1" applyProtection="1">
      <protection locked="0"/>
    </xf>
    <xf numFmtId="0" fontId="1" fillId="10" borderId="23" xfId="11" applyBorder="1" applyProtection="1">
      <protection locked="0"/>
    </xf>
    <xf numFmtId="0" fontId="1" fillId="8" borderId="23" xfId="9" applyBorder="1" applyProtection="1">
      <protection locked="0"/>
    </xf>
    <xf numFmtId="0" fontId="1" fillId="6" borderId="7" xfId="7" applyBorder="1" applyProtection="1">
      <protection locked="0"/>
    </xf>
    <xf numFmtId="166" fontId="1" fillId="9" borderId="6" xfId="10" applyNumberFormat="1" applyBorder="1" applyProtection="1">
      <protection locked="0"/>
    </xf>
    <xf numFmtId="166" fontId="0" fillId="9" borderId="2" xfId="10" applyNumberFormat="1" applyFont="1" applyBorder="1" applyProtection="1">
      <protection locked="0"/>
    </xf>
    <xf numFmtId="166" fontId="1" fillId="9" borderId="2" xfId="10" applyNumberFormat="1" applyBorder="1" applyProtection="1">
      <protection locked="0"/>
    </xf>
    <xf numFmtId="166" fontId="1" fillId="9" borderId="20" xfId="10" applyNumberFormat="1" applyBorder="1" applyProtection="1">
      <protection locked="0"/>
    </xf>
    <xf numFmtId="0" fontId="1" fillId="9" borderId="7" xfId="10" applyBorder="1" applyProtection="1">
      <protection locked="0"/>
    </xf>
    <xf numFmtId="0" fontId="1" fillId="10" borderId="24" xfId="11" applyBorder="1" applyProtection="1">
      <protection locked="0"/>
    </xf>
    <xf numFmtId="0" fontId="1" fillId="8" borderId="24" xfId="9" applyBorder="1" applyProtection="1">
      <protection locked="0"/>
    </xf>
    <xf numFmtId="0" fontId="1" fillId="6" borderId="10" xfId="7" applyBorder="1" applyProtection="1">
      <protection locked="0"/>
    </xf>
    <xf numFmtId="166" fontId="1" fillId="9" borderId="8" xfId="10" applyNumberFormat="1" applyBorder="1" applyProtection="1">
      <protection locked="0"/>
    </xf>
    <xf numFmtId="166" fontId="1" fillId="9" borderId="9" xfId="10" applyNumberFormat="1" applyBorder="1" applyProtection="1">
      <protection locked="0"/>
    </xf>
    <xf numFmtId="166" fontId="1" fillId="9" borderId="18" xfId="10" applyNumberFormat="1" applyBorder="1" applyProtection="1">
      <protection locked="0"/>
    </xf>
    <xf numFmtId="0" fontId="1" fillId="9" borderId="10" xfId="10" applyBorder="1" applyProtection="1">
      <protection locked="0"/>
    </xf>
    <xf numFmtId="0" fontId="1" fillId="10" borderId="22" xfId="11" applyBorder="1" applyProtection="1">
      <protection locked="0"/>
    </xf>
    <xf numFmtId="0" fontId="1" fillId="8" borderId="22" xfId="9" applyBorder="1" applyProtection="1">
      <protection locked="0"/>
    </xf>
    <xf numFmtId="3" fontId="1" fillId="5" borderId="15" xfId="6" applyNumberFormat="1" applyBorder="1" applyProtection="1">
      <protection locked="0"/>
    </xf>
    <xf numFmtId="3" fontId="1" fillId="5" borderId="6" xfId="6" applyNumberFormat="1" applyBorder="1" applyProtection="1">
      <protection locked="0"/>
    </xf>
    <xf numFmtId="3" fontId="1" fillId="5" borderId="2" xfId="6" applyNumberFormat="1" applyBorder="1" applyProtection="1">
      <protection locked="0"/>
    </xf>
    <xf numFmtId="3" fontId="1" fillId="5" borderId="8" xfId="6" applyNumberFormat="1" applyBorder="1" applyProtection="1">
      <protection locked="0"/>
    </xf>
    <xf numFmtId="3" fontId="1" fillId="5" borderId="9" xfId="6" applyNumberFormat="1" applyBorder="1" applyProtection="1">
      <protection locked="0"/>
    </xf>
    <xf numFmtId="0" fontId="1" fillId="7" borderId="6" xfId="8" applyBorder="1" applyProtection="1">
      <protection locked="0"/>
    </xf>
    <xf numFmtId="0" fontId="1" fillId="7" borderId="2" xfId="8" applyBorder="1" applyProtection="1">
      <protection locked="0"/>
    </xf>
    <xf numFmtId="0" fontId="1" fillId="7" borderId="8" xfId="8" applyBorder="1" applyProtection="1">
      <protection locked="0"/>
    </xf>
    <xf numFmtId="0" fontId="1" fillId="7" borderId="9" xfId="8" applyBorder="1" applyProtection="1">
      <protection locked="0"/>
    </xf>
    <xf numFmtId="0" fontId="1" fillId="7" borderId="19" xfId="8" applyBorder="1" applyAlignment="1" applyProtection="1">
      <alignment horizontal="center"/>
      <protection locked="0"/>
    </xf>
    <xf numFmtId="0" fontId="1" fillId="7" borderId="20" xfId="8" applyBorder="1" applyAlignment="1" applyProtection="1">
      <alignment horizontal="center"/>
      <protection locked="0"/>
    </xf>
    <xf numFmtId="0" fontId="1" fillId="7" borderId="18" xfId="8" applyBorder="1" applyAlignment="1" applyProtection="1">
      <alignment horizontal="center"/>
      <protection locked="0"/>
    </xf>
    <xf numFmtId="3" fontId="1" fillId="3" borderId="14" xfId="1" applyNumberFormat="1" applyFill="1" applyBorder="1" applyProtection="1">
      <protection locked="0"/>
    </xf>
    <xf numFmtId="3" fontId="1" fillId="3" borderId="6" xfId="1" applyNumberFormat="1" applyFill="1" applyBorder="1" applyProtection="1">
      <protection locked="0"/>
    </xf>
    <xf numFmtId="3" fontId="1" fillId="3" borderId="2" xfId="1" applyNumberFormat="1" applyFill="1" applyBorder="1" applyProtection="1">
      <protection locked="0"/>
    </xf>
    <xf numFmtId="3" fontId="1" fillId="3" borderId="8" xfId="1" applyNumberFormat="1" applyFill="1" applyBorder="1" applyProtection="1">
      <protection locked="0"/>
    </xf>
    <xf numFmtId="3" fontId="1" fillId="3" borderId="9" xfId="1" applyNumberFormat="1" applyFill="1" applyBorder="1" applyProtection="1">
      <protection locked="0"/>
    </xf>
    <xf numFmtId="3" fontId="1" fillId="3" borderId="18" xfId="1" applyNumberFormat="1" applyFill="1" applyBorder="1" applyProtection="1">
      <protection locked="0"/>
    </xf>
    <xf numFmtId="3" fontId="1" fillId="3" borderId="15" xfId="1" applyNumberFormat="1" applyFill="1" applyBorder="1" applyProtection="1">
      <protection locked="0"/>
    </xf>
    <xf numFmtId="0" fontId="0" fillId="3" borderId="9" xfId="4" applyFont="1" applyBorder="1" applyAlignment="1">
      <alignment horizontal="center" wrapText="1"/>
    </xf>
    <xf numFmtId="168" fontId="1" fillId="6" borderId="14" xfId="7" applyNumberFormat="1" applyBorder="1" applyProtection="1">
      <protection locked="0"/>
    </xf>
    <xf numFmtId="168" fontId="1" fillId="6" borderId="2" xfId="7" applyNumberFormat="1" applyBorder="1" applyProtection="1">
      <protection locked="0"/>
    </xf>
    <xf numFmtId="168" fontId="1" fillId="6" borderId="9" xfId="7" applyNumberFormat="1" applyBorder="1" applyProtection="1">
      <protection locked="0"/>
    </xf>
    <xf numFmtId="0" fontId="1" fillId="5" borderId="19" xfId="6" applyBorder="1" applyProtection="1">
      <protection locked="0"/>
    </xf>
    <xf numFmtId="0" fontId="1" fillId="5" borderId="18" xfId="6" applyBorder="1" applyAlignment="1">
      <alignment horizontal="center" wrapText="1"/>
    </xf>
    <xf numFmtId="0" fontId="1" fillId="9" borderId="13" xfId="10" applyBorder="1" applyAlignment="1">
      <alignment horizontal="center" wrapText="1"/>
    </xf>
    <xf numFmtId="0" fontId="1" fillId="6" borderId="36" xfId="7" applyBorder="1" applyAlignment="1">
      <alignment horizontal="center" wrapText="1"/>
    </xf>
    <xf numFmtId="0" fontId="1" fillId="6" borderId="37" xfId="7" applyBorder="1" applyAlignment="1">
      <alignment horizontal="center" wrapText="1"/>
    </xf>
    <xf numFmtId="0" fontId="1" fillId="5" borderId="20" xfId="6" applyBorder="1" applyProtection="1">
      <protection locked="0"/>
    </xf>
    <xf numFmtId="0" fontId="1" fillId="5" borderId="18" xfId="6" applyBorder="1" applyProtection="1">
      <protection locked="0"/>
    </xf>
    <xf numFmtId="0" fontId="0" fillId="7" borderId="6" xfId="8" applyFont="1" applyBorder="1" applyAlignment="1" applyProtection="1">
      <alignment vertical="center"/>
      <protection locked="0"/>
    </xf>
    <xf numFmtId="0" fontId="0" fillId="7" borderId="2" xfId="8" applyFont="1" applyBorder="1" applyAlignment="1" applyProtection="1">
      <alignment vertical="center"/>
      <protection locked="0"/>
    </xf>
    <xf numFmtId="3" fontId="1" fillId="3" borderId="15" xfId="4" applyNumberFormat="1" applyBorder="1" applyAlignment="1" applyProtection="1">
      <alignment vertical="center"/>
      <protection locked="0"/>
    </xf>
    <xf numFmtId="0" fontId="1" fillId="7" borderId="6" xfId="8" applyBorder="1" applyAlignment="1" applyProtection="1">
      <alignment vertical="center"/>
      <protection locked="0"/>
    </xf>
    <xf numFmtId="0" fontId="1" fillId="7" borderId="2" xfId="8" applyBorder="1" applyAlignment="1" applyProtection="1">
      <alignment vertical="center"/>
      <protection locked="0"/>
    </xf>
    <xf numFmtId="3" fontId="1" fillId="3" borderId="2" xfId="4" applyNumberFormat="1" applyBorder="1" applyAlignment="1" applyProtection="1">
      <alignment vertical="center"/>
      <protection locked="0"/>
    </xf>
    <xf numFmtId="0" fontId="1" fillId="7" borderId="8" xfId="8" applyBorder="1" applyAlignment="1" applyProtection="1">
      <alignment vertical="center"/>
      <protection locked="0"/>
    </xf>
    <xf numFmtId="0" fontId="1" fillId="7" borderId="9" xfId="8" applyBorder="1" applyAlignment="1" applyProtection="1">
      <alignment vertical="center"/>
      <protection locked="0"/>
    </xf>
    <xf numFmtId="3" fontId="1" fillId="3" borderId="9" xfId="4" applyNumberFormat="1" applyBorder="1" applyAlignment="1" applyProtection="1">
      <alignment vertical="center"/>
      <protection locked="0"/>
    </xf>
    <xf numFmtId="0" fontId="0" fillId="9" borderId="9" xfId="10" applyFont="1" applyBorder="1" applyAlignment="1">
      <alignment horizontal="center" wrapText="1"/>
    </xf>
    <xf numFmtId="0" fontId="0" fillId="10" borderId="24" xfId="11" applyFont="1" applyBorder="1" applyProtection="1">
      <protection locked="0"/>
    </xf>
    <xf numFmtId="0" fontId="1" fillId="4" borderId="9" xfId="5" applyBorder="1" applyAlignment="1" applyProtection="1">
      <alignment horizontal="center" wrapText="1"/>
      <protection locked="0"/>
    </xf>
    <xf numFmtId="0" fontId="0" fillId="3" borderId="8" xfId="4" applyFont="1" applyBorder="1" applyAlignment="1">
      <alignment horizontal="center" wrapText="1"/>
    </xf>
    <xf numFmtId="3" fontId="3" fillId="5" borderId="2" xfId="6" applyNumberFormat="1" applyFont="1" applyBorder="1" applyProtection="1">
      <protection locked="0"/>
    </xf>
    <xf numFmtId="0" fontId="0" fillId="5" borderId="20" xfId="6" applyFont="1" applyBorder="1" applyProtection="1">
      <protection locked="0"/>
    </xf>
    <xf numFmtId="3" fontId="3" fillId="3" borderId="15" xfId="4" applyNumberFormat="1" applyFont="1" applyBorder="1" applyAlignment="1" applyProtection="1">
      <alignment vertical="center"/>
      <protection locked="0"/>
    </xf>
    <xf numFmtId="168" fontId="3" fillId="6" borderId="2" xfId="7" applyNumberFormat="1" applyFont="1" applyBorder="1" applyProtection="1">
      <protection locked="0"/>
    </xf>
    <xf numFmtId="0" fontId="1" fillId="3" borderId="13" xfId="4" applyBorder="1" applyAlignment="1">
      <alignment horizontal="center" wrapText="1"/>
    </xf>
    <xf numFmtId="3" fontId="1" fillId="3" borderId="28" xfId="4" applyNumberFormat="1" applyBorder="1" applyAlignment="1" applyProtection="1">
      <alignment horizontal="right" vertical="center"/>
      <protection locked="0"/>
    </xf>
    <xf numFmtId="3" fontId="1" fillId="3" borderId="12" xfId="4" applyNumberFormat="1" applyBorder="1" applyAlignment="1" applyProtection="1">
      <alignment vertical="center"/>
      <protection locked="0"/>
    </xf>
    <xf numFmtId="3" fontId="1" fillId="3" borderId="13" xfId="4" applyNumberFormat="1" applyBorder="1" applyAlignment="1" applyProtection="1">
      <alignment vertical="center"/>
      <protection locked="0"/>
    </xf>
    <xf numFmtId="0" fontId="0" fillId="3" borderId="13" xfId="4" applyFont="1" applyBorder="1" applyAlignment="1">
      <alignment horizontal="center" wrapText="1"/>
    </xf>
    <xf numFmtId="0" fontId="1" fillId="7" borderId="19" xfId="8" applyBorder="1" applyAlignment="1" applyProtection="1">
      <alignment horizontal="center" vertical="center"/>
      <protection locked="0"/>
    </xf>
    <xf numFmtId="0" fontId="1" fillId="7" borderId="20" xfId="8" applyBorder="1" applyAlignment="1" applyProtection="1">
      <alignment horizontal="center" vertical="center"/>
      <protection locked="0"/>
    </xf>
    <xf numFmtId="0" fontId="1" fillId="7" borderId="18" xfId="8" applyBorder="1" applyAlignment="1" applyProtection="1">
      <alignment horizontal="center" vertical="center"/>
      <protection locked="0"/>
    </xf>
    <xf numFmtId="0" fontId="1" fillId="12" borderId="6" xfId="15" applyBorder="1" applyAlignment="1" applyProtection="1">
      <alignment horizontal="center" vertical="center"/>
      <protection locked="0"/>
    </xf>
    <xf numFmtId="0" fontId="1" fillId="12" borderId="2" xfId="15" applyBorder="1" applyAlignment="1" applyProtection="1">
      <alignment horizontal="center" vertical="center"/>
      <protection locked="0"/>
    </xf>
    <xf numFmtId="0" fontId="1" fillId="12" borderId="8" xfId="15" applyBorder="1" applyAlignment="1" applyProtection="1">
      <alignment horizontal="center" vertical="center"/>
      <protection locked="0"/>
    </xf>
    <xf numFmtId="0" fontId="1" fillId="12" borderId="9" xfId="15" applyBorder="1" applyAlignment="1" applyProtection="1">
      <alignment horizontal="center" vertical="center"/>
      <protection locked="0"/>
    </xf>
    <xf numFmtId="0" fontId="0" fillId="12" borderId="8" xfId="15" applyFont="1" applyBorder="1" applyAlignment="1">
      <alignment horizontal="center" wrapText="1"/>
    </xf>
    <xf numFmtId="0" fontId="0" fillId="12" borderId="9" xfId="15" applyFont="1" applyBorder="1" applyAlignment="1">
      <alignment horizontal="center" wrapText="1"/>
    </xf>
    <xf numFmtId="0" fontId="0" fillId="12" borderId="10" xfId="15" applyFont="1" applyBorder="1" applyAlignment="1">
      <alignment horizontal="center" wrapText="1"/>
    </xf>
    <xf numFmtId="164" fontId="1" fillId="12" borderId="6" xfId="15" applyNumberFormat="1" applyBorder="1" applyAlignment="1" applyProtection="1">
      <alignment horizontal="center" vertical="center"/>
      <protection locked="0"/>
    </xf>
    <xf numFmtId="168" fontId="3" fillId="6" borderId="14" xfId="7" applyNumberFormat="1" applyFont="1" applyBorder="1" applyProtection="1">
      <protection locked="0"/>
    </xf>
    <xf numFmtId="168" fontId="3" fillId="6" borderId="15" xfId="7" applyNumberFormat="1" applyFont="1" applyBorder="1" applyProtection="1">
      <protection locked="0"/>
    </xf>
    <xf numFmtId="0" fontId="0" fillId="6" borderId="16" xfId="7" applyFont="1" applyBorder="1" applyProtection="1">
      <protection locked="0"/>
    </xf>
    <xf numFmtId="168" fontId="7" fillId="6" borderId="14" xfId="7" applyNumberFormat="1" applyFont="1" applyBorder="1" applyProtection="1">
      <protection locked="0"/>
    </xf>
    <xf numFmtId="168" fontId="7" fillId="6" borderId="2" xfId="7" applyNumberFormat="1" applyFont="1" applyBorder="1" applyProtection="1">
      <protection locked="0"/>
    </xf>
    <xf numFmtId="0" fontId="7" fillId="6" borderId="7" xfId="7" applyFont="1" applyBorder="1" applyProtection="1">
      <protection locked="0"/>
    </xf>
    <xf numFmtId="0" fontId="1" fillId="12" borderId="20" xfId="15" applyBorder="1" applyAlignment="1" applyProtection="1">
      <alignment horizontal="center" vertical="center"/>
      <protection locked="0"/>
    </xf>
    <xf numFmtId="0" fontId="1" fillId="12" borderId="18" xfId="15" applyBorder="1" applyAlignment="1" applyProtection="1">
      <alignment horizontal="center" vertical="center"/>
      <protection locked="0"/>
    </xf>
    <xf numFmtId="164" fontId="1" fillId="12" borderId="14" xfId="12" applyFill="1" applyBorder="1" applyAlignment="1" applyProtection="1">
      <alignment horizontal="center" vertical="center"/>
      <protection locked="0"/>
    </xf>
    <xf numFmtId="0" fontId="1" fillId="12" borderId="15" xfId="15" applyBorder="1" applyAlignment="1" applyProtection="1">
      <alignment horizontal="center" vertical="center"/>
      <protection locked="0"/>
    </xf>
    <xf numFmtId="0" fontId="1" fillId="12" borderId="19" xfId="15" applyBorder="1" applyAlignment="1" applyProtection="1">
      <alignment horizontal="center" vertical="center"/>
      <protection locked="0"/>
    </xf>
    <xf numFmtId="0" fontId="1" fillId="5" borderId="13" xfId="6" applyBorder="1" applyAlignment="1">
      <alignment horizontal="center" wrapText="1"/>
    </xf>
    <xf numFmtId="3" fontId="1" fillId="5" borderId="28" xfId="6" applyNumberFormat="1" applyBorder="1" applyProtection="1">
      <protection locked="0"/>
    </xf>
    <xf numFmtId="3" fontId="1" fillId="5" borderId="12" xfId="6" applyNumberFormat="1" applyBorder="1" applyProtection="1">
      <protection locked="0"/>
    </xf>
    <xf numFmtId="3" fontId="1" fillId="5" borderId="13" xfId="6" applyNumberFormat="1" applyBorder="1" applyProtection="1">
      <protection locked="0"/>
    </xf>
    <xf numFmtId="0" fontId="0" fillId="5" borderId="8" xfId="6" applyFont="1" applyBorder="1" applyAlignment="1">
      <alignment horizontal="center" wrapText="1"/>
    </xf>
    <xf numFmtId="3" fontId="0" fillId="5" borderId="14" xfId="6" applyNumberFormat="1" applyFont="1" applyBorder="1" applyProtection="1">
      <protection locked="0"/>
    </xf>
    <xf numFmtId="0" fontId="1" fillId="6" borderId="43" xfId="7" applyBorder="1" applyAlignment="1">
      <alignment horizontal="center" wrapText="1"/>
    </xf>
    <xf numFmtId="168" fontId="3" fillId="6" borderId="28" xfId="7" applyNumberFormat="1" applyFont="1" applyBorder="1" applyProtection="1">
      <protection locked="0"/>
    </xf>
    <xf numFmtId="168" fontId="7" fillId="6" borderId="28" xfId="7" applyNumberFormat="1" applyFont="1" applyBorder="1" applyProtection="1">
      <protection locked="0"/>
    </xf>
    <xf numFmtId="168" fontId="1" fillId="6" borderId="28" xfId="7" applyNumberFormat="1" applyBorder="1" applyProtection="1">
      <protection locked="0"/>
    </xf>
    <xf numFmtId="0" fontId="0" fillId="6" borderId="35" xfId="7" applyFont="1" applyBorder="1" applyAlignment="1">
      <alignment horizontal="center" wrapText="1"/>
    </xf>
    <xf numFmtId="0" fontId="0" fillId="3" borderId="7" xfId="4" applyFont="1" applyBorder="1" applyAlignment="1" applyProtection="1">
      <protection locked="0"/>
    </xf>
    <xf numFmtId="168" fontId="1" fillId="6" borderId="39" xfId="7" applyNumberFormat="1" applyBorder="1" applyProtection="1">
      <protection locked="0"/>
    </xf>
    <xf numFmtId="168" fontId="1" fillId="6" borderId="44" xfId="7" applyNumberFormat="1" applyBorder="1" applyProtection="1">
      <protection locked="0"/>
    </xf>
    <xf numFmtId="0" fontId="1" fillId="11" borderId="35" xfId="14" applyFont="1" applyBorder="1" applyAlignment="1">
      <alignment horizontal="center" wrapText="1"/>
    </xf>
    <xf numFmtId="0" fontId="1" fillId="11" borderId="43" xfId="14" applyFont="1" applyBorder="1" applyAlignment="1">
      <alignment horizontal="center" wrapText="1"/>
    </xf>
    <xf numFmtId="0" fontId="1" fillId="11" borderId="36" xfId="14" applyFont="1" applyBorder="1" applyAlignment="1">
      <alignment horizontal="center" wrapText="1"/>
    </xf>
    <xf numFmtId="0" fontId="1" fillId="11" borderId="37" xfId="14" applyFont="1" applyBorder="1" applyAlignment="1">
      <alignment horizontal="center" wrapText="1"/>
    </xf>
    <xf numFmtId="0" fontId="1" fillId="11" borderId="16" xfId="14" applyFont="1" applyBorder="1" applyProtection="1">
      <protection locked="0"/>
    </xf>
    <xf numFmtId="168" fontId="1" fillId="11" borderId="2" xfId="14" applyNumberFormat="1" applyFont="1" applyBorder="1" applyProtection="1">
      <protection locked="0"/>
    </xf>
    <xf numFmtId="0" fontId="1" fillId="11" borderId="7" xfId="14" applyFont="1" applyBorder="1" applyProtection="1">
      <protection locked="0"/>
    </xf>
    <xf numFmtId="168" fontId="1" fillId="11" borderId="6" xfId="14" applyNumberFormat="1" applyFont="1" applyBorder="1" applyProtection="1">
      <protection locked="0"/>
    </xf>
    <xf numFmtId="168" fontId="1" fillId="11" borderId="12" xfId="14" applyNumberFormat="1" applyFont="1" applyBorder="1" applyProtection="1">
      <protection locked="0"/>
    </xf>
    <xf numFmtId="168" fontId="1" fillId="11" borderId="8" xfId="14" applyNumberFormat="1" applyFont="1" applyBorder="1" applyProtection="1">
      <protection locked="0"/>
    </xf>
    <xf numFmtId="168" fontId="1" fillId="11" borderId="13" xfId="14" applyNumberFormat="1" applyFont="1" applyBorder="1" applyProtection="1">
      <protection locked="0"/>
    </xf>
    <xf numFmtId="168" fontId="1" fillId="11" borderId="9" xfId="14" applyNumberFormat="1" applyFont="1" applyBorder="1" applyProtection="1">
      <protection locked="0"/>
    </xf>
    <xf numFmtId="0" fontId="1" fillId="11" borderId="10" xfId="14" applyFont="1" applyBorder="1" applyProtection="1">
      <protection locked="0"/>
    </xf>
    <xf numFmtId="164" fontId="1" fillId="11" borderId="28" xfId="12" applyFont="1" applyFill="1" applyBorder="1" applyProtection="1">
      <protection locked="0"/>
    </xf>
    <xf numFmtId="164" fontId="0" fillId="11" borderId="14" xfId="12" applyFont="1" applyFill="1" applyBorder="1" applyProtection="1">
      <protection locked="0"/>
    </xf>
    <xf numFmtId="0" fontId="0" fillId="9" borderId="7" xfId="10" applyFont="1" applyBorder="1" applyProtection="1">
      <protection locked="0"/>
    </xf>
    <xf numFmtId="0" fontId="0" fillId="11" borderId="16" xfId="14" applyFont="1" applyBorder="1" applyProtection="1">
      <protection locked="0"/>
    </xf>
    <xf numFmtId="0" fontId="0" fillId="11" borderId="7" xfId="14" applyFont="1" applyBorder="1" applyProtection="1">
      <protection locked="0"/>
    </xf>
    <xf numFmtId="3" fontId="1" fillId="4" borderId="15" xfId="5" applyNumberFormat="1" applyBorder="1" applyAlignment="1" applyProtection="1">
      <alignment vertical="center"/>
      <protection locked="0"/>
    </xf>
    <xf numFmtId="3" fontId="1" fillId="4" borderId="2" xfId="5" applyNumberFormat="1" applyBorder="1" applyAlignment="1" applyProtection="1">
      <alignment vertical="center"/>
      <protection locked="0"/>
    </xf>
    <xf numFmtId="3" fontId="1" fillId="4" borderId="9" xfId="5" applyNumberFormat="1" applyBorder="1" applyAlignment="1" applyProtection="1">
      <alignment vertical="center"/>
      <protection locked="0"/>
    </xf>
    <xf numFmtId="0" fontId="0" fillId="4" borderId="18" xfId="5" applyFont="1" applyBorder="1" applyAlignment="1" applyProtection="1">
      <alignment horizontal="center" wrapText="1"/>
      <protection locked="0"/>
    </xf>
    <xf numFmtId="9" fontId="1" fillId="4" borderId="19" xfId="13" applyFill="1" applyBorder="1" applyAlignment="1" applyProtection="1">
      <alignment vertical="center"/>
      <protection locked="0"/>
    </xf>
    <xf numFmtId="9" fontId="1" fillId="4" borderId="20" xfId="5" applyNumberFormat="1" applyBorder="1" applyAlignment="1" applyProtection="1">
      <alignment vertical="center"/>
      <protection locked="0"/>
    </xf>
    <xf numFmtId="9" fontId="1" fillId="4" borderId="18" xfId="5" applyNumberFormat="1" applyBorder="1" applyAlignment="1" applyProtection="1">
      <alignment vertical="center"/>
      <protection locked="0"/>
    </xf>
    <xf numFmtId="0" fontId="0" fillId="12" borderId="16" xfId="15" applyFont="1" applyBorder="1" applyAlignment="1" applyProtection="1">
      <alignment horizontal="left" vertical="center"/>
      <protection locked="0"/>
    </xf>
    <xf numFmtId="0" fontId="1" fillId="12" borderId="7" xfId="15" applyBorder="1" applyAlignment="1" applyProtection="1">
      <alignment horizontal="left" vertical="center"/>
      <protection locked="0"/>
    </xf>
    <xf numFmtId="0" fontId="1" fillId="12" borderId="10" xfId="15" applyBorder="1" applyAlignment="1" applyProtection="1">
      <alignment horizontal="left" vertical="center"/>
      <protection locked="0"/>
    </xf>
    <xf numFmtId="0" fontId="0" fillId="12" borderId="7" xfId="15" applyFont="1" applyBorder="1" applyAlignment="1" applyProtection="1">
      <alignment horizontal="left" vertical="center"/>
      <protection locked="0"/>
    </xf>
    <xf numFmtId="164" fontId="3" fillId="12" borderId="6" xfId="15" applyNumberFormat="1" applyFont="1" applyBorder="1" applyAlignment="1" applyProtection="1">
      <alignment horizontal="center" vertical="center"/>
      <protection locked="0"/>
    </xf>
    <xf numFmtId="0" fontId="3" fillId="12" borderId="7" xfId="15" applyFont="1" applyBorder="1" applyAlignment="1" applyProtection="1">
      <alignment horizontal="left" vertical="center"/>
      <protection locked="0"/>
    </xf>
    <xf numFmtId="0" fontId="1" fillId="4" borderId="9" xfId="5" applyBorder="1" applyAlignment="1">
      <alignment horizontal="center" wrapText="1"/>
    </xf>
    <xf numFmtId="3" fontId="1" fillId="4" borderId="15" xfId="5" applyNumberFormat="1" applyBorder="1"/>
    <xf numFmtId="3" fontId="1" fillId="4" borderId="2" xfId="5" applyNumberFormat="1" applyBorder="1"/>
    <xf numFmtId="3" fontId="1" fillId="4" borderId="18" xfId="5" applyNumberFormat="1" applyBorder="1"/>
    <xf numFmtId="0" fontId="0" fillId="5" borderId="9" xfId="6" applyFont="1" applyBorder="1" applyAlignment="1">
      <alignment horizontal="center" wrapText="1"/>
    </xf>
    <xf numFmtId="0" fontId="0" fillId="6" borderId="8" xfId="7" applyFont="1" applyBorder="1" applyAlignment="1">
      <alignment horizontal="center" wrapText="1"/>
    </xf>
    <xf numFmtId="0" fontId="0" fillId="6" borderId="13" xfId="7" applyFont="1" applyBorder="1" applyAlignment="1">
      <alignment horizontal="center" wrapText="1"/>
    </xf>
    <xf numFmtId="0" fontId="1" fillId="5" borderId="28" xfId="6" applyNumberFormat="1" applyBorder="1" applyProtection="1">
      <protection locked="0"/>
    </xf>
    <xf numFmtId="0" fontId="1" fillId="5" borderId="12" xfId="6" applyNumberFormat="1" applyBorder="1" applyProtection="1">
      <protection locked="0"/>
    </xf>
    <xf numFmtId="0" fontId="1" fillId="5" borderId="6" xfId="6" applyNumberFormat="1" applyBorder="1" applyProtection="1">
      <protection locked="0"/>
    </xf>
    <xf numFmtId="0" fontId="1" fillId="5" borderId="2" xfId="6" applyNumberFormat="1" applyBorder="1" applyProtection="1">
      <protection locked="0"/>
    </xf>
    <xf numFmtId="0" fontId="1" fillId="5" borderId="8" xfId="6" applyNumberFormat="1" applyBorder="1" applyProtection="1">
      <protection locked="0"/>
    </xf>
    <xf numFmtId="0" fontId="1" fillId="5" borderId="13" xfId="6" applyNumberFormat="1" applyBorder="1" applyProtection="1">
      <protection locked="0"/>
    </xf>
    <xf numFmtId="0" fontId="1" fillId="5" borderId="9" xfId="6" applyNumberFormat="1" applyBorder="1" applyProtection="1">
      <protection locked="0"/>
    </xf>
    <xf numFmtId="169" fontId="1" fillId="6" borderId="28" xfId="1" applyNumberFormat="1" applyFill="1" applyBorder="1" applyProtection="1">
      <protection locked="0"/>
    </xf>
    <xf numFmtId="169" fontId="1" fillId="6" borderId="12" xfId="1" applyNumberFormat="1" applyFill="1" applyBorder="1" applyProtection="1">
      <protection locked="0"/>
    </xf>
    <xf numFmtId="169" fontId="1" fillId="6" borderId="13" xfId="1" applyNumberFormat="1" applyFill="1" applyBorder="1" applyProtection="1">
      <protection locked="0"/>
    </xf>
    <xf numFmtId="167" fontId="1" fillId="6" borderId="15" xfId="7" applyNumberFormat="1" applyBorder="1"/>
    <xf numFmtId="167" fontId="1" fillId="6" borderId="9" xfId="7" applyNumberFormat="1" applyBorder="1"/>
    <xf numFmtId="169" fontId="1" fillId="6" borderId="2" xfId="1" applyNumberFormat="1" applyFill="1" applyBorder="1" applyProtection="1">
      <protection locked="0"/>
    </xf>
    <xf numFmtId="169" fontId="1" fillId="6" borderId="15" xfId="1" applyNumberFormat="1" applyFill="1" applyBorder="1" applyProtection="1">
      <protection locked="0"/>
    </xf>
    <xf numFmtId="169" fontId="1" fillId="6" borderId="14" xfId="1" applyNumberFormat="1" applyFill="1" applyBorder="1" applyProtection="1">
      <protection locked="0"/>
    </xf>
    <xf numFmtId="169" fontId="1" fillId="6" borderId="6" xfId="1" applyNumberFormat="1" applyFill="1" applyBorder="1" applyProtection="1">
      <protection locked="0"/>
    </xf>
    <xf numFmtId="169" fontId="1" fillId="6" borderId="8" xfId="1" applyNumberFormat="1" applyFill="1" applyBorder="1" applyProtection="1">
      <protection locked="0"/>
    </xf>
    <xf numFmtId="169" fontId="1" fillId="6" borderId="9" xfId="1" applyNumberFormat="1" applyFill="1" applyBorder="1" applyProtection="1">
      <protection locked="0"/>
    </xf>
    <xf numFmtId="0" fontId="12" fillId="11" borderId="9" xfId="14" applyFont="1" applyBorder="1" applyAlignment="1">
      <alignment horizontal="center" wrapText="1"/>
    </xf>
    <xf numFmtId="169" fontId="12" fillId="11" borderId="15" xfId="14" applyNumberFormat="1" applyFont="1" applyBorder="1"/>
    <xf numFmtId="169" fontId="12" fillId="11" borderId="2" xfId="14" applyNumberFormat="1" applyFont="1" applyBorder="1"/>
    <xf numFmtId="169" fontId="12" fillId="11" borderId="9" xfId="14" applyNumberFormat="1" applyFont="1" applyBorder="1"/>
    <xf numFmtId="0" fontId="1" fillId="5" borderId="28" xfId="6" applyBorder="1" applyProtection="1">
      <protection locked="0"/>
    </xf>
    <xf numFmtId="0" fontId="3" fillId="5" borderId="28" xfId="6" applyFont="1" applyBorder="1" applyProtection="1">
      <protection locked="0"/>
    </xf>
    <xf numFmtId="3" fontId="0" fillId="3" borderId="2" xfId="1" applyNumberFormat="1" applyFont="1" applyFill="1" applyBorder="1" applyProtection="1">
      <protection locked="0"/>
    </xf>
    <xf numFmtId="0" fontId="0" fillId="5" borderId="18" xfId="6" applyFont="1" applyBorder="1" applyAlignment="1">
      <alignment horizontal="center" wrapText="1"/>
    </xf>
    <xf numFmtId="0" fontId="3" fillId="5" borderId="20" xfId="6" applyFont="1" applyBorder="1" applyProtection="1">
      <protection locked="0"/>
    </xf>
    <xf numFmtId="0" fontId="1" fillId="5" borderId="9" xfId="6" applyBorder="1" applyAlignment="1">
      <alignment horizontal="center" vertical="center" textRotation="180" wrapText="1"/>
    </xf>
    <xf numFmtId="0" fontId="0" fillId="3" borderId="9" xfId="4" applyFont="1" applyBorder="1" applyAlignment="1">
      <alignment horizontal="center" vertical="center" textRotation="180" wrapText="1"/>
    </xf>
    <xf numFmtId="0" fontId="1" fillId="6" borderId="9" xfId="7" applyBorder="1" applyAlignment="1">
      <alignment horizontal="center" vertical="center" textRotation="180" wrapText="1"/>
    </xf>
    <xf numFmtId="0" fontId="1" fillId="14" borderId="9" xfId="16" applyBorder="1" applyAlignment="1">
      <alignment horizontal="center" vertical="center" textRotation="180" wrapText="1"/>
    </xf>
    <xf numFmtId="0" fontId="1" fillId="14" borderId="9" xfId="16" applyBorder="1" applyAlignment="1">
      <alignment horizontal="center" wrapText="1"/>
    </xf>
    <xf numFmtId="0" fontId="1" fillId="14" borderId="10" xfId="16" applyBorder="1" applyAlignment="1">
      <alignment horizontal="center" wrapText="1"/>
    </xf>
    <xf numFmtId="0" fontId="1" fillId="14" borderId="14" xfId="16" applyBorder="1" applyProtection="1">
      <protection locked="0"/>
    </xf>
    <xf numFmtId="169" fontId="1" fillId="14" borderId="15" xfId="16" applyNumberFormat="1" applyBorder="1" applyProtection="1">
      <protection locked="0"/>
    </xf>
    <xf numFmtId="170" fontId="1" fillId="14" borderId="15" xfId="16" applyNumberFormat="1" applyBorder="1"/>
    <xf numFmtId="169" fontId="1" fillId="14" borderId="2" xfId="16" applyNumberFormat="1" applyBorder="1" applyProtection="1">
      <protection locked="0"/>
    </xf>
    <xf numFmtId="169" fontId="1" fillId="14" borderId="9" xfId="16" applyNumberFormat="1" applyBorder="1" applyProtection="1">
      <protection locked="0"/>
    </xf>
    <xf numFmtId="0" fontId="1" fillId="6" borderId="18" xfId="7" applyBorder="1" applyAlignment="1">
      <alignment horizontal="center" wrapText="1"/>
    </xf>
    <xf numFmtId="0" fontId="1" fillId="6" borderId="49" xfId="7" applyBorder="1" applyProtection="1">
      <protection locked="0"/>
    </xf>
    <xf numFmtId="0" fontId="1" fillId="6" borderId="50" xfId="7" applyBorder="1" applyProtection="1">
      <protection locked="0"/>
    </xf>
    <xf numFmtId="0" fontId="1" fillId="6" borderId="48" xfId="7" applyBorder="1" applyProtection="1">
      <protection locked="0"/>
    </xf>
    <xf numFmtId="166" fontId="1" fillId="9" borderId="28" xfId="10" applyNumberFormat="1" applyBorder="1"/>
    <xf numFmtId="166" fontId="1" fillId="9" borderId="12" xfId="10" applyNumberFormat="1" applyBorder="1"/>
    <xf numFmtId="166" fontId="1" fillId="9" borderId="13" xfId="10" applyNumberFormat="1" applyBorder="1"/>
    <xf numFmtId="0" fontId="1" fillId="14" borderId="2" xfId="16" applyBorder="1" applyProtection="1">
      <protection locked="0"/>
    </xf>
    <xf numFmtId="170" fontId="1" fillId="14" borderId="2" xfId="16" applyNumberFormat="1" applyBorder="1"/>
    <xf numFmtId="0" fontId="1" fillId="14" borderId="6" xfId="16" applyBorder="1" applyProtection="1">
      <protection locked="0"/>
    </xf>
    <xf numFmtId="0" fontId="1" fillId="14" borderId="7" xfId="16" applyBorder="1" applyProtection="1">
      <protection locked="0"/>
    </xf>
    <xf numFmtId="0" fontId="0" fillId="14" borderId="7" xfId="16" applyFont="1" applyBorder="1" applyProtection="1">
      <protection locked="0"/>
    </xf>
    <xf numFmtId="169" fontId="1" fillId="14" borderId="6" xfId="16" applyNumberFormat="1" applyBorder="1" applyProtection="1">
      <protection locked="0"/>
    </xf>
    <xf numFmtId="169" fontId="1" fillId="14" borderId="8" xfId="16" applyNumberFormat="1" applyBorder="1" applyProtection="1">
      <protection locked="0"/>
    </xf>
    <xf numFmtId="170" fontId="1" fillId="14" borderId="9" xfId="16" applyNumberFormat="1" applyBorder="1"/>
    <xf numFmtId="0" fontId="1" fillId="14" borderId="10" xfId="16" applyBorder="1" applyProtection="1">
      <protection locked="0"/>
    </xf>
    <xf numFmtId="0" fontId="1" fillId="14" borderId="15" xfId="16" applyBorder="1" applyProtection="1">
      <protection locked="0"/>
    </xf>
    <xf numFmtId="0" fontId="1" fillId="14" borderId="16" xfId="16" applyBorder="1" applyProtection="1">
      <protection locked="0"/>
    </xf>
    <xf numFmtId="0" fontId="1" fillId="14" borderId="8" xfId="16" applyBorder="1" applyAlignment="1">
      <alignment horizontal="center" wrapText="1"/>
    </xf>
    <xf numFmtId="0" fontId="1" fillId="5" borderId="2" xfId="6" applyBorder="1" applyProtection="1">
      <protection locked="0"/>
    </xf>
    <xf numFmtId="169" fontId="1" fillId="5" borderId="2" xfId="6" applyNumberFormat="1" applyBorder="1" applyProtection="1">
      <protection locked="0"/>
    </xf>
    <xf numFmtId="169" fontId="3" fillId="5" borderId="2" xfId="6" applyNumberFormat="1" applyFont="1" applyBorder="1" applyProtection="1">
      <protection locked="0"/>
    </xf>
    <xf numFmtId="0" fontId="1" fillId="5" borderId="15" xfId="6" applyBorder="1" applyProtection="1">
      <protection locked="0"/>
    </xf>
    <xf numFmtId="169" fontId="1" fillId="5" borderId="15" xfId="6" applyNumberFormat="1" applyBorder="1" applyProtection="1">
      <protection locked="0"/>
    </xf>
    <xf numFmtId="0" fontId="1" fillId="5" borderId="6" xfId="6" applyBorder="1" applyProtection="1">
      <protection locked="0"/>
    </xf>
    <xf numFmtId="0" fontId="1" fillId="6" borderId="28" xfId="7" applyBorder="1" applyAlignment="1" applyProtection="1">
      <alignment horizontal="center"/>
    </xf>
    <xf numFmtId="0" fontId="1" fillId="6" borderId="12" xfId="7" applyBorder="1" applyAlignment="1" applyProtection="1">
      <alignment horizontal="center"/>
    </xf>
    <xf numFmtId="167" fontId="1" fillId="6" borderId="2" xfId="7" applyNumberFormat="1" applyBorder="1" applyAlignment="1" applyProtection="1">
      <alignment horizontal="center"/>
    </xf>
    <xf numFmtId="0" fontId="11" fillId="16" borderId="62" xfId="17" applyBorder="1" applyAlignment="1">
      <alignment horizontal="center"/>
    </xf>
    <xf numFmtId="0" fontId="0" fillId="7" borderId="14" xfId="8" applyFont="1" applyBorder="1" applyAlignment="1" applyProtection="1">
      <alignment vertical="center"/>
      <protection locked="0"/>
    </xf>
    <xf numFmtId="0" fontId="14" fillId="13" borderId="60" xfId="2" applyFont="1" applyFill="1" applyBorder="1" applyAlignment="1">
      <alignment horizontal="center" vertical="center" wrapText="1"/>
    </xf>
    <xf numFmtId="0" fontId="0" fillId="0" borderId="0" xfId="0" applyAlignment="1">
      <alignment horizontal="left"/>
    </xf>
    <xf numFmtId="0" fontId="14" fillId="13" borderId="12" xfId="2" applyFont="1" applyFill="1" applyBorder="1" applyAlignment="1">
      <alignment horizontal="center" vertical="center" wrapText="1"/>
    </xf>
    <xf numFmtId="0" fontId="14" fillId="21" borderId="12" xfId="2" applyFont="1" applyFill="1" applyBorder="1" applyAlignment="1">
      <alignment horizontal="center" vertical="center" wrapText="1"/>
    </xf>
    <xf numFmtId="0" fontId="14" fillId="15" borderId="12" xfId="2" applyFont="1" applyFill="1" applyBorder="1" applyAlignment="1">
      <alignment horizontal="center" vertical="center" wrapText="1"/>
    </xf>
    <xf numFmtId="0" fontId="14" fillId="20" borderId="12" xfId="2" applyFont="1" applyFill="1" applyBorder="1" applyAlignment="1">
      <alignment horizontal="center" vertical="center" wrapText="1"/>
    </xf>
    <xf numFmtId="0" fontId="11" fillId="16" borderId="60" xfId="17" applyBorder="1" applyAlignment="1">
      <alignment horizontal="center"/>
    </xf>
    <xf numFmtId="0" fontId="11" fillId="16" borderId="37" xfId="17" applyBorder="1" applyAlignment="1"/>
    <xf numFmtId="0" fontId="0" fillId="18" borderId="5" xfId="0" applyFill="1" applyBorder="1" applyAlignment="1">
      <alignment horizontal="left" vertical="center" wrapText="1"/>
    </xf>
    <xf numFmtId="0" fontId="0" fillId="13" borderId="37" xfId="0" applyFill="1" applyBorder="1" applyAlignment="1">
      <alignment horizontal="left" vertical="center" wrapText="1"/>
    </xf>
    <xf numFmtId="0" fontId="0" fillId="19" borderId="5" xfId="0" applyFill="1" applyBorder="1" applyAlignment="1">
      <alignment horizontal="left" vertical="center" wrapText="1"/>
    </xf>
    <xf numFmtId="0" fontId="0" fillId="19" borderId="7" xfId="0" applyFill="1" applyBorder="1" applyAlignment="1">
      <alignment horizontal="left" vertical="center" wrapText="1"/>
    </xf>
    <xf numFmtId="0" fontId="0" fillId="19" borderId="10" xfId="0" applyFill="1" applyBorder="1" applyAlignment="1">
      <alignment horizontal="left" vertical="center" wrapText="1"/>
    </xf>
    <xf numFmtId="0" fontId="0" fillId="21" borderId="5" xfId="0" applyFill="1" applyBorder="1" applyAlignment="1">
      <alignment horizontal="left" vertical="center" wrapText="1"/>
    </xf>
    <xf numFmtId="0" fontId="0" fillId="21" borderId="7" xfId="0" applyFill="1" applyBorder="1" applyAlignment="1">
      <alignment horizontal="left" vertical="center" wrapText="1"/>
    </xf>
    <xf numFmtId="0" fontId="0" fillId="21" borderId="10" xfId="0" applyFill="1" applyBorder="1" applyAlignment="1">
      <alignment horizontal="left" vertical="center" wrapText="1"/>
    </xf>
    <xf numFmtId="0" fontId="0" fillId="15" borderId="5" xfId="0" applyFill="1" applyBorder="1" applyAlignment="1">
      <alignment horizontal="left" vertical="center" wrapText="1"/>
    </xf>
    <xf numFmtId="0" fontId="0" fillId="15" borderId="10" xfId="0" applyFill="1" applyBorder="1" applyAlignment="1">
      <alignment horizontal="left" vertical="center" wrapText="1"/>
    </xf>
    <xf numFmtId="0" fontId="0" fillId="22" borderId="5" xfId="0" applyFill="1" applyBorder="1" applyAlignment="1">
      <alignment horizontal="left" vertical="center" wrapText="1"/>
    </xf>
    <xf numFmtId="0" fontId="0" fillId="22" borderId="55" xfId="0" applyFill="1" applyBorder="1" applyAlignment="1">
      <alignment horizontal="left" vertical="center" wrapText="1"/>
    </xf>
    <xf numFmtId="0" fontId="0" fillId="20" borderId="5" xfId="0" applyFill="1" applyBorder="1" applyAlignment="1">
      <alignment horizontal="left" vertical="center" wrapText="1"/>
    </xf>
    <xf numFmtId="0" fontId="4" fillId="20" borderId="7" xfId="0" applyFont="1" applyFill="1" applyBorder="1" applyAlignment="1">
      <alignment horizontal="left" vertical="center" wrapText="1"/>
    </xf>
    <xf numFmtId="0" fontId="4" fillId="20" borderId="10" xfId="0" applyFont="1" applyFill="1" applyBorder="1" applyAlignment="1">
      <alignment horizontal="left" vertical="center" wrapText="1"/>
    </xf>
    <xf numFmtId="0" fontId="0" fillId="15" borderId="7" xfId="0" applyFill="1" applyBorder="1" applyAlignment="1">
      <alignment horizontal="left" vertical="center" wrapText="1"/>
    </xf>
    <xf numFmtId="0" fontId="0" fillId="22" borderId="10" xfId="0" applyFill="1" applyBorder="1" applyAlignment="1">
      <alignment horizontal="left" vertical="center" wrapText="1"/>
    </xf>
    <xf numFmtId="0" fontId="0" fillId="13" borderId="7" xfId="0" applyFill="1" applyBorder="1" applyAlignment="1">
      <alignment horizontal="left" vertical="center" wrapText="1"/>
    </xf>
    <xf numFmtId="0" fontId="12" fillId="20" borderId="7" xfId="0" applyFont="1" applyFill="1" applyBorder="1" applyAlignment="1">
      <alignment horizontal="left" vertical="center" wrapText="1"/>
    </xf>
    <xf numFmtId="0" fontId="0" fillId="25" borderId="7" xfId="0" applyFill="1" applyBorder="1" applyAlignment="1">
      <alignment horizontal="left" vertical="center" wrapText="1"/>
    </xf>
    <xf numFmtId="0" fontId="0" fillId="25" borderId="7" xfId="0" applyFill="1" applyBorder="1" applyAlignment="1">
      <alignment horizontal="left" vertical="top" wrapText="1"/>
    </xf>
    <xf numFmtId="0" fontId="4" fillId="25" borderId="7" xfId="0" applyFont="1" applyFill="1" applyBorder="1" applyAlignment="1">
      <alignment horizontal="left" vertical="center" wrapText="1"/>
    </xf>
    <xf numFmtId="0" fontId="4" fillId="25" borderId="55" xfId="0" applyFont="1" applyFill="1" applyBorder="1" applyAlignment="1">
      <alignment horizontal="left" vertical="center" wrapText="1"/>
    </xf>
    <xf numFmtId="0" fontId="12" fillId="5" borderId="7" xfId="6" applyFont="1" applyBorder="1" applyProtection="1">
      <protection locked="0"/>
    </xf>
    <xf numFmtId="0" fontId="0" fillId="0" borderId="0" xfId="0" applyAlignment="1"/>
    <xf numFmtId="0" fontId="0" fillId="5" borderId="14" xfId="6" applyFont="1" applyBorder="1" applyProtection="1">
      <protection locked="0"/>
    </xf>
    <xf numFmtId="167" fontId="1" fillId="6" borderId="19" xfId="7" applyNumberFormat="1" applyBorder="1" applyAlignment="1" applyProtection="1">
      <alignment horizontal="center"/>
    </xf>
    <xf numFmtId="167" fontId="1" fillId="6" borderId="20" xfId="7" applyNumberFormat="1" applyBorder="1" applyAlignment="1" applyProtection="1">
      <alignment horizontal="center"/>
    </xf>
    <xf numFmtId="0" fontId="1" fillId="5" borderId="7" xfId="6" applyBorder="1" applyProtection="1">
      <protection locked="0"/>
    </xf>
    <xf numFmtId="0" fontId="3" fillId="5" borderId="7" xfId="6" applyFont="1" applyBorder="1" applyProtection="1">
      <protection locked="0"/>
    </xf>
    <xf numFmtId="0" fontId="1" fillId="5" borderId="8" xfId="6" applyBorder="1" applyProtection="1">
      <protection locked="0"/>
    </xf>
    <xf numFmtId="0" fontId="1" fillId="5" borderId="9" xfId="6" applyBorder="1" applyProtection="1">
      <protection locked="0"/>
    </xf>
    <xf numFmtId="169" fontId="1" fillId="5" borderId="9" xfId="6" applyNumberFormat="1" applyBorder="1" applyProtection="1">
      <protection locked="0"/>
    </xf>
    <xf numFmtId="0" fontId="1" fillId="6" borderId="13" xfId="7" applyBorder="1" applyAlignment="1" applyProtection="1">
      <alignment horizontal="center"/>
    </xf>
    <xf numFmtId="167" fontId="1" fillId="6" borderId="9" xfId="7" applyNumberFormat="1" applyBorder="1" applyAlignment="1" applyProtection="1">
      <alignment horizontal="center"/>
    </xf>
    <xf numFmtId="167" fontId="1" fillId="6" borderId="18" xfId="7" applyNumberFormat="1" applyBorder="1" applyAlignment="1" applyProtection="1">
      <alignment horizontal="center"/>
    </xf>
    <xf numFmtId="0" fontId="1" fillId="5" borderId="10" xfId="6" applyBorder="1" applyProtection="1">
      <protection locked="0"/>
    </xf>
    <xf numFmtId="0" fontId="0" fillId="5" borderId="16" xfId="6" applyFont="1" applyBorder="1" applyProtection="1">
      <protection locked="0"/>
    </xf>
    <xf numFmtId="0" fontId="0" fillId="0" borderId="6" xfId="0" applyBorder="1"/>
    <xf numFmtId="0" fontId="0" fillId="0" borderId="7" xfId="0" applyBorder="1"/>
    <xf numFmtId="0" fontId="0" fillId="0" borderId="8" xfId="0" applyBorder="1"/>
    <xf numFmtId="0" fontId="0" fillId="0" borderId="10" xfId="0" applyBorder="1"/>
    <xf numFmtId="0" fontId="0" fillId="24" borderId="55" xfId="0" applyFill="1" applyBorder="1" applyAlignment="1">
      <alignment horizontal="left" vertical="center" wrapText="1"/>
    </xf>
    <xf numFmtId="0" fontId="35" fillId="26" borderId="73" xfId="0" applyFont="1" applyFill="1" applyBorder="1" applyAlignment="1">
      <alignment horizontal="center"/>
    </xf>
    <xf numFmtId="0" fontId="35" fillId="26" borderId="75" xfId="0" applyFont="1" applyFill="1" applyBorder="1" applyAlignment="1">
      <alignment horizontal="center"/>
    </xf>
    <xf numFmtId="0" fontId="0" fillId="0" borderId="2" xfId="0" applyBorder="1" applyAlignment="1" applyProtection="1">
      <alignment horizontal="left" vertical="top"/>
      <protection locked="0"/>
    </xf>
    <xf numFmtId="0" fontId="0" fillId="0" borderId="2" xfId="0" applyBorder="1" applyAlignment="1" applyProtection="1">
      <alignment horizontal="left" vertical="top" wrapText="1"/>
      <protection locked="0"/>
    </xf>
    <xf numFmtId="0" fontId="0" fillId="0" borderId="2" xfId="0" applyBorder="1" applyAlignment="1" applyProtection="1">
      <alignment vertical="top" wrapText="1"/>
      <protection locked="0"/>
    </xf>
    <xf numFmtId="0" fontId="0" fillId="0" borderId="2" xfId="0" applyBorder="1" applyProtection="1">
      <protection locked="0"/>
    </xf>
    <xf numFmtId="0" fontId="0" fillId="0" borderId="0" xfId="0" applyProtection="1">
      <protection locked="0"/>
    </xf>
    <xf numFmtId="0" fontId="29" fillId="2" borderId="0" xfId="3" applyFont="1" applyBorder="1" applyAlignment="1">
      <alignment vertical="center"/>
    </xf>
    <xf numFmtId="167" fontId="1" fillId="5" borderId="15" xfId="6" applyNumberFormat="1" applyBorder="1" applyAlignment="1" applyProtection="1">
      <alignment horizontal="center"/>
      <protection locked="0"/>
    </xf>
    <xf numFmtId="167" fontId="1" fillId="5" borderId="2" xfId="6" applyNumberFormat="1" applyBorder="1" applyAlignment="1" applyProtection="1">
      <alignment horizontal="center"/>
      <protection locked="0"/>
    </xf>
    <xf numFmtId="167" fontId="0" fillId="5" borderId="2" xfId="6" applyNumberFormat="1" applyFont="1" applyBorder="1" applyAlignment="1" applyProtection="1">
      <alignment horizontal="center"/>
      <protection locked="0"/>
    </xf>
    <xf numFmtId="167" fontId="1" fillId="5" borderId="9" xfId="6" applyNumberFormat="1" applyBorder="1" applyAlignment="1" applyProtection="1">
      <alignment horizontal="center"/>
      <protection locked="0"/>
    </xf>
    <xf numFmtId="0" fontId="14" fillId="18" borderId="63" xfId="2" applyFont="1" applyFill="1" applyBorder="1" applyAlignment="1">
      <alignment horizontal="center" vertical="center" wrapText="1"/>
    </xf>
    <xf numFmtId="0" fontId="12" fillId="5" borderId="10" xfId="6" applyFont="1" applyBorder="1" applyProtection="1">
      <protection locked="0"/>
    </xf>
    <xf numFmtId="3" fontId="13" fillId="3" borderId="14" xfId="4" applyNumberFormat="1" applyFont="1" applyBorder="1" applyAlignment="1" applyProtection="1">
      <alignment horizontal="right" vertical="center"/>
      <protection locked="0"/>
    </xf>
    <xf numFmtId="3" fontId="13" fillId="3" borderId="28" xfId="4" applyNumberFormat="1" applyFont="1" applyBorder="1" applyAlignment="1" applyProtection="1">
      <alignment horizontal="right" vertical="center"/>
      <protection locked="0"/>
    </xf>
    <xf numFmtId="3" fontId="13" fillId="3" borderId="15" xfId="4" applyNumberFormat="1" applyFont="1" applyBorder="1" applyAlignment="1" applyProtection="1">
      <alignment vertical="center"/>
      <protection locked="0"/>
    </xf>
    <xf numFmtId="3" fontId="13" fillId="4" borderId="2" xfId="5" applyNumberFormat="1" applyFont="1" applyBorder="1" applyAlignment="1" applyProtection="1">
      <alignment vertical="center"/>
    </xf>
    <xf numFmtId="3" fontId="5" fillId="4" borderId="2" xfId="5" applyNumberFormat="1" applyFont="1" applyBorder="1" applyAlignment="1" applyProtection="1">
      <alignment vertical="center"/>
    </xf>
    <xf numFmtId="3" fontId="13" fillId="3" borderId="39" xfId="4" applyNumberFormat="1" applyFont="1" applyBorder="1" applyAlignment="1" applyProtection="1">
      <alignment horizontal="right" vertical="center"/>
      <protection locked="0"/>
    </xf>
    <xf numFmtId="3" fontId="13" fillId="3" borderId="44" xfId="4" applyNumberFormat="1" applyFont="1" applyBorder="1" applyAlignment="1" applyProtection="1">
      <alignment horizontal="right" vertical="center"/>
      <protection locked="0"/>
    </xf>
    <xf numFmtId="3" fontId="13" fillId="3" borderId="38" xfId="4" applyNumberFormat="1" applyFont="1" applyBorder="1" applyAlignment="1" applyProtection="1">
      <alignment vertical="center"/>
      <protection locked="0"/>
    </xf>
    <xf numFmtId="3" fontId="13" fillId="4" borderId="9" xfId="5" applyNumberFormat="1" applyFont="1" applyBorder="1" applyAlignment="1" applyProtection="1">
      <alignment vertical="center"/>
    </xf>
    <xf numFmtId="0" fontId="4" fillId="0" borderId="0" xfId="0" applyFont="1"/>
    <xf numFmtId="0" fontId="0" fillId="0" borderId="0" xfId="0" applyAlignment="1" applyProtection="1">
      <alignment wrapText="1"/>
      <protection locked="0"/>
    </xf>
    <xf numFmtId="0" fontId="0" fillId="0" borderId="0" xfId="0" applyAlignment="1">
      <alignment wrapText="1"/>
    </xf>
    <xf numFmtId="0" fontId="39" fillId="27" borderId="2" xfId="18" applyFont="1" applyBorder="1" applyAlignment="1" applyProtection="1">
      <alignment horizontal="left" vertical="top"/>
      <protection locked="0"/>
    </xf>
    <xf numFmtId="0" fontId="39" fillId="27" borderId="2" xfId="18" applyFont="1" applyBorder="1" applyAlignment="1" applyProtection="1">
      <alignment horizontal="left" vertical="top" wrapText="1"/>
      <protection locked="0"/>
    </xf>
    <xf numFmtId="166" fontId="1" fillId="14" borderId="6" xfId="16" applyNumberFormat="1" applyBorder="1" applyProtection="1">
      <protection locked="0"/>
    </xf>
    <xf numFmtId="166" fontId="1" fillId="14" borderId="2" xfId="16" applyNumberFormat="1" applyBorder="1" applyProtection="1">
      <protection locked="0"/>
    </xf>
    <xf numFmtId="166" fontId="1" fillId="14" borderId="19" xfId="16" applyNumberFormat="1" applyBorder="1" applyProtection="1">
      <protection locked="0"/>
    </xf>
    <xf numFmtId="0" fontId="1" fillId="7" borderId="7" xfId="8" applyBorder="1" applyProtection="1">
      <protection locked="0"/>
    </xf>
    <xf numFmtId="0" fontId="1" fillId="7" borderId="16" xfId="8" applyBorder="1" applyProtection="1">
      <protection locked="0"/>
    </xf>
    <xf numFmtId="166" fontId="1" fillId="14" borderId="15" xfId="16" applyNumberFormat="1" applyBorder="1" applyProtection="1">
      <protection locked="0"/>
    </xf>
    <xf numFmtId="0" fontId="1" fillId="7" borderId="24" xfId="8" applyBorder="1" applyProtection="1">
      <protection locked="0"/>
    </xf>
    <xf numFmtId="0" fontId="4" fillId="6" borderId="8" xfId="7" applyFont="1" applyBorder="1" applyAlignment="1">
      <alignment horizontal="center" wrapText="1"/>
    </xf>
    <xf numFmtId="0" fontId="4" fillId="6" borderId="9" xfId="7" applyFont="1" applyBorder="1" applyAlignment="1">
      <alignment horizontal="center" wrapText="1"/>
    </xf>
    <xf numFmtId="0" fontId="4" fillId="6" borderId="13" xfId="7" applyFont="1" applyBorder="1" applyAlignment="1" applyProtection="1">
      <alignment horizontal="center" wrapText="1"/>
    </xf>
    <xf numFmtId="0" fontId="4" fillId="6" borderId="9" xfId="7" applyFont="1" applyBorder="1" applyAlignment="1" applyProtection="1">
      <alignment horizontal="center" wrapText="1"/>
    </xf>
    <xf numFmtId="0" fontId="4" fillId="6" borderId="18" xfId="7" applyFont="1" applyBorder="1" applyAlignment="1" applyProtection="1">
      <alignment horizontal="center" wrapText="1"/>
    </xf>
    <xf numFmtId="3" fontId="4" fillId="6" borderId="2" xfId="7" applyNumberFormat="1" applyFont="1" applyBorder="1" applyAlignment="1" applyProtection="1">
      <alignment vertical="center"/>
    </xf>
    <xf numFmtId="0" fontId="1" fillId="8" borderId="15" xfId="9" applyBorder="1" applyAlignment="1" applyProtection="1">
      <alignment horizontal="left" vertical="center" wrapText="1"/>
    </xf>
    <xf numFmtId="0" fontId="1" fillId="8" borderId="19" xfId="9" applyBorder="1" applyAlignment="1" applyProtection="1">
      <alignment horizontal="left" vertical="center" wrapText="1"/>
    </xf>
    <xf numFmtId="0" fontId="1" fillId="8" borderId="2" xfId="9" applyBorder="1" applyAlignment="1" applyProtection="1">
      <alignment horizontal="left" vertical="center" wrapText="1"/>
    </xf>
    <xf numFmtId="0" fontId="1" fillId="8" borderId="20" xfId="9" applyBorder="1" applyAlignment="1" applyProtection="1">
      <alignment horizontal="left" vertical="center" wrapText="1"/>
    </xf>
    <xf numFmtId="0" fontId="4" fillId="8" borderId="36" xfId="9" applyFont="1" applyBorder="1" applyAlignment="1" applyProtection="1">
      <alignment horizontal="center" vertical="center" wrapText="1"/>
    </xf>
    <xf numFmtId="0" fontId="4" fillId="8" borderId="67" xfId="9" applyFont="1" applyBorder="1" applyAlignment="1" applyProtection="1">
      <alignment horizontal="center" vertical="center" wrapText="1"/>
    </xf>
    <xf numFmtId="10" fontId="4" fillId="10" borderId="16" xfId="11" applyNumberFormat="1" applyFont="1" applyBorder="1" applyAlignment="1" applyProtection="1">
      <alignment vertical="center"/>
    </xf>
    <xf numFmtId="10" fontId="4" fillId="10" borderId="7" xfId="11" applyNumberFormat="1" applyFont="1" applyBorder="1" applyAlignment="1" applyProtection="1">
      <alignment vertical="center"/>
    </xf>
    <xf numFmtId="3" fontId="4" fillId="6" borderId="9" xfId="7" applyNumberFormat="1" applyFont="1" applyBorder="1" applyAlignment="1" applyProtection="1">
      <alignment vertical="center"/>
    </xf>
    <xf numFmtId="10" fontId="4" fillId="10" borderId="10" xfId="11" applyNumberFormat="1" applyFont="1" applyBorder="1" applyAlignment="1" applyProtection="1">
      <alignment vertical="center"/>
    </xf>
    <xf numFmtId="0" fontId="1" fillId="8" borderId="9" xfId="9" applyBorder="1" applyAlignment="1" applyProtection="1">
      <alignment horizontal="left" vertical="center" wrapText="1"/>
    </xf>
    <xf numFmtId="0" fontId="1" fillId="8" borderId="18" xfId="9" applyBorder="1" applyAlignment="1" applyProtection="1">
      <alignment horizontal="left" vertical="center" wrapText="1"/>
    </xf>
    <xf numFmtId="0" fontId="0" fillId="7" borderId="8" xfId="8" applyFont="1" applyBorder="1" applyAlignment="1" applyProtection="1">
      <alignment vertical="center"/>
      <protection locked="0"/>
    </xf>
    <xf numFmtId="166" fontId="1" fillId="14" borderId="9" xfId="16" applyNumberFormat="1" applyBorder="1" applyProtection="1">
      <protection locked="0"/>
    </xf>
    <xf numFmtId="166" fontId="1" fillId="14" borderId="41" xfId="16" applyNumberFormat="1" applyBorder="1" applyProtection="1">
      <protection locked="0"/>
    </xf>
    <xf numFmtId="0" fontId="1" fillId="7" borderId="22" xfId="8" applyBorder="1" applyProtection="1">
      <protection locked="0"/>
    </xf>
    <xf numFmtId="0" fontId="1" fillId="7" borderId="10" xfId="8" applyBorder="1" applyProtection="1">
      <protection locked="0"/>
    </xf>
    <xf numFmtId="166" fontId="1" fillId="14" borderId="8" xfId="16" applyNumberFormat="1" applyBorder="1" applyProtection="1">
      <protection locked="0"/>
    </xf>
    <xf numFmtId="0" fontId="4" fillId="10" borderId="9" xfId="11" applyFont="1" applyBorder="1" applyAlignment="1">
      <alignment horizontal="center" wrapText="1"/>
    </xf>
    <xf numFmtId="0" fontId="1" fillId="2" borderId="23" xfId="3" applyBorder="1" applyAlignment="1" applyProtection="1">
      <alignment horizontal="center" vertical="center"/>
      <protection locked="0"/>
    </xf>
    <xf numFmtId="0" fontId="1" fillId="2" borderId="24" xfId="3" applyBorder="1" applyAlignment="1" applyProtection="1">
      <alignment horizontal="center" vertical="center"/>
      <protection locked="0"/>
    </xf>
    <xf numFmtId="0" fontId="1" fillId="2" borderId="22" xfId="3" applyBorder="1" applyAlignment="1" applyProtection="1">
      <alignment horizontal="center" vertical="center"/>
      <protection locked="0"/>
    </xf>
    <xf numFmtId="0" fontId="38" fillId="26" borderId="73" xfId="0" applyFont="1" applyFill="1" applyBorder="1" applyAlignment="1">
      <alignment horizontal="left" vertical="center"/>
    </xf>
    <xf numFmtId="0" fontId="38" fillId="26" borderId="75" xfId="0" applyFont="1" applyFill="1" applyBorder="1" applyAlignment="1">
      <alignment horizontal="left" vertical="center"/>
    </xf>
    <xf numFmtId="0" fontId="4" fillId="6" borderId="41" xfId="7" applyFont="1" applyBorder="1" applyAlignment="1" applyProtection="1">
      <alignment horizontal="center" wrapText="1"/>
    </xf>
    <xf numFmtId="0" fontId="41" fillId="6" borderId="41" xfId="7" applyFont="1" applyBorder="1" applyAlignment="1" applyProtection="1">
      <alignment horizontal="center" wrapText="1"/>
    </xf>
    <xf numFmtId="164" fontId="1" fillId="6" borderId="2" xfId="7" applyNumberFormat="1" applyBorder="1" applyProtection="1"/>
    <xf numFmtId="164" fontId="1" fillId="6" borderId="20" xfId="7" applyNumberFormat="1" applyBorder="1" applyAlignment="1" applyProtection="1">
      <alignment horizontal="center"/>
    </xf>
    <xf numFmtId="164" fontId="1" fillId="6" borderId="18" xfId="7" applyNumberFormat="1" applyBorder="1" applyAlignment="1" applyProtection="1">
      <alignment horizontal="center"/>
    </xf>
    <xf numFmtId="3" fontId="4" fillId="6" borderId="2" xfId="7" applyNumberFormat="1" applyFont="1" applyBorder="1" applyAlignment="1" applyProtection="1">
      <alignment horizontal="center" vertical="center" wrapText="1"/>
    </xf>
    <xf numFmtId="3" fontId="4" fillId="6" borderId="15" xfId="7" applyNumberFormat="1" applyFont="1" applyBorder="1" applyAlignment="1" applyProtection="1">
      <alignment horizontal="center" vertical="center" wrapText="1"/>
    </xf>
    <xf numFmtId="0" fontId="12" fillId="3" borderId="7" xfId="4" applyFont="1" applyBorder="1" applyProtection="1">
      <protection locked="0"/>
    </xf>
    <xf numFmtId="0" fontId="12" fillId="3" borderId="10" xfId="4" applyFont="1" applyBorder="1" applyProtection="1">
      <protection locked="0"/>
    </xf>
    <xf numFmtId="0" fontId="1" fillId="3" borderId="7" xfId="4" applyFont="1" applyBorder="1" applyProtection="1">
      <protection locked="0"/>
    </xf>
    <xf numFmtId="0" fontId="1" fillId="3" borderId="10" xfId="4" applyFont="1" applyBorder="1" applyProtection="1">
      <protection locked="0"/>
    </xf>
    <xf numFmtId="0" fontId="1" fillId="8" borderId="15" xfId="9" applyFont="1" applyBorder="1" applyAlignment="1" applyProtection="1">
      <alignment vertical="center" wrapText="1"/>
    </xf>
    <xf numFmtId="0" fontId="1" fillId="8" borderId="2" xfId="9" applyFont="1" applyBorder="1" applyAlignment="1" applyProtection="1">
      <alignment vertical="center" wrapText="1"/>
    </xf>
    <xf numFmtId="0" fontId="0" fillId="12" borderId="24" xfId="15" applyFont="1" applyBorder="1" applyProtection="1">
      <protection locked="0"/>
    </xf>
    <xf numFmtId="0" fontId="0" fillId="7" borderId="2" xfId="8" applyFont="1" applyBorder="1" applyProtection="1">
      <protection locked="0"/>
    </xf>
    <xf numFmtId="0" fontId="1" fillId="7" borderId="24" xfId="8" applyBorder="1" applyAlignment="1" applyProtection="1">
      <alignment horizontal="left" vertical="center" wrapText="1"/>
      <protection locked="0"/>
    </xf>
    <xf numFmtId="0" fontId="1" fillId="7" borderId="22" xfId="8" applyBorder="1" applyAlignment="1" applyProtection="1">
      <alignment horizontal="left" vertical="center" wrapText="1"/>
      <protection locked="0"/>
    </xf>
    <xf numFmtId="10" fontId="4" fillId="10" borderId="16" xfId="11" applyNumberFormat="1" applyFont="1" applyBorder="1" applyAlignment="1" applyProtection="1">
      <alignment horizontal="center" vertical="center" wrapText="1"/>
    </xf>
    <xf numFmtId="10" fontId="4" fillId="10" borderId="7" xfId="11" applyNumberFormat="1" applyFont="1" applyBorder="1" applyAlignment="1" applyProtection="1">
      <alignment horizontal="center" vertical="center" wrapText="1"/>
    </xf>
    <xf numFmtId="0" fontId="4" fillId="7" borderId="62" xfId="8" applyFont="1" applyBorder="1" applyAlignment="1" applyProtection="1">
      <alignment horizontal="center" vertical="center" wrapText="1"/>
    </xf>
    <xf numFmtId="3" fontId="4" fillId="4" borderId="28" xfId="5" applyNumberFormat="1" applyFont="1" applyBorder="1" applyAlignment="1" applyProtection="1">
      <alignment horizontal="center" vertical="center" wrapText="1"/>
    </xf>
    <xf numFmtId="3" fontId="4" fillId="4" borderId="12" xfId="5" applyNumberFormat="1" applyFont="1" applyBorder="1" applyAlignment="1" applyProtection="1">
      <alignment horizontal="center" vertical="center" wrapText="1"/>
    </xf>
    <xf numFmtId="3" fontId="4" fillId="4" borderId="12" xfId="5" applyNumberFormat="1" applyFont="1" applyBorder="1" applyAlignment="1" applyProtection="1">
      <alignment vertical="center"/>
    </xf>
    <xf numFmtId="3" fontId="4" fillId="4" borderId="13" xfId="5" applyNumberFormat="1" applyFont="1" applyBorder="1" applyAlignment="1" applyProtection="1">
      <alignment vertical="center"/>
    </xf>
    <xf numFmtId="0" fontId="4" fillId="2" borderId="16" xfId="3" applyFont="1" applyBorder="1" applyAlignment="1" applyProtection="1">
      <alignment horizontal="center" vertical="center"/>
    </xf>
    <xf numFmtId="0" fontId="4" fillId="2" borderId="7" xfId="3" applyFont="1" applyBorder="1" applyAlignment="1" applyProtection="1">
      <alignment horizontal="center" vertical="center"/>
    </xf>
    <xf numFmtId="0" fontId="4" fillId="2" borderId="10" xfId="3" applyFont="1" applyBorder="1" applyAlignment="1" applyProtection="1">
      <alignment horizontal="center" vertical="center"/>
    </xf>
    <xf numFmtId="3" fontId="13" fillId="6" borderId="2" xfId="7" applyNumberFormat="1" applyFont="1" applyBorder="1" applyAlignment="1" applyProtection="1">
      <alignment vertical="center"/>
    </xf>
    <xf numFmtId="0" fontId="4" fillId="4" borderId="8" xfId="5" applyFont="1" applyBorder="1" applyAlignment="1">
      <alignment horizontal="center" wrapText="1"/>
    </xf>
    <xf numFmtId="0" fontId="4" fillId="4" borderId="9" xfId="5" applyFont="1" applyBorder="1" applyAlignment="1">
      <alignment horizontal="center" wrapText="1"/>
    </xf>
    <xf numFmtId="0" fontId="4" fillId="8" borderId="60" xfId="9" applyFont="1" applyBorder="1" applyAlignment="1" applyProtection="1">
      <alignment horizontal="center" vertical="center" wrapText="1"/>
    </xf>
    <xf numFmtId="0" fontId="1" fillId="8" borderId="80" xfId="9" applyFont="1" applyBorder="1" applyAlignment="1" applyProtection="1">
      <alignment vertical="center" wrapText="1"/>
    </xf>
    <xf numFmtId="0" fontId="1" fillId="8" borderId="31" xfId="9" applyFont="1" applyBorder="1" applyAlignment="1" applyProtection="1">
      <alignment vertical="center" wrapText="1"/>
    </xf>
    <xf numFmtId="0" fontId="1" fillId="8" borderId="80" xfId="9" applyBorder="1" applyAlignment="1" applyProtection="1">
      <alignment horizontal="left" vertical="center" wrapText="1"/>
    </xf>
    <xf numFmtId="0" fontId="1" fillId="8" borderId="31" xfId="9" applyBorder="1" applyAlignment="1" applyProtection="1">
      <alignment horizontal="left" vertical="center" wrapText="1"/>
    </xf>
    <xf numFmtId="0" fontId="1" fillId="8" borderId="30" xfId="9" applyBorder="1" applyAlignment="1" applyProtection="1">
      <alignment horizontal="left" vertical="center" wrapText="1"/>
    </xf>
    <xf numFmtId="0" fontId="4" fillId="8" borderId="43" xfId="9" applyFont="1" applyBorder="1" applyAlignment="1" applyProtection="1">
      <alignment horizontal="center" vertical="center" wrapText="1"/>
    </xf>
    <xf numFmtId="0" fontId="1" fillId="8" borderId="28" xfId="9" applyFont="1" applyBorder="1" applyAlignment="1" applyProtection="1">
      <alignment vertical="center" wrapText="1"/>
    </xf>
    <xf numFmtId="0" fontId="1" fillId="8" borderId="12" xfId="9" applyFont="1" applyBorder="1" applyAlignment="1" applyProtection="1">
      <alignment vertical="center" wrapText="1"/>
    </xf>
    <xf numFmtId="0" fontId="1" fillId="8" borderId="28" xfId="9" applyBorder="1" applyAlignment="1" applyProtection="1">
      <alignment horizontal="left" vertical="center" wrapText="1"/>
    </xf>
    <xf numFmtId="0" fontId="1" fillId="8" borderId="12" xfId="9" applyBorder="1" applyAlignment="1" applyProtection="1">
      <alignment horizontal="left" vertical="center" wrapText="1"/>
    </xf>
    <xf numFmtId="0" fontId="1" fillId="8" borderId="13" xfId="9" applyBorder="1" applyAlignment="1" applyProtection="1">
      <alignment horizontal="left" vertical="center" wrapText="1"/>
    </xf>
    <xf numFmtId="0" fontId="4" fillId="8" borderId="62" xfId="9" applyFont="1" applyBorder="1" applyAlignment="1" applyProtection="1">
      <alignment horizontal="center" vertical="center" wrapText="1"/>
    </xf>
    <xf numFmtId="0" fontId="1" fillId="8" borderId="24" xfId="9" applyBorder="1" applyAlignment="1" applyProtection="1">
      <alignment horizontal="left" vertical="center" wrapText="1"/>
    </xf>
    <xf numFmtId="0" fontId="1" fillId="8" borderId="22" xfId="9" applyBorder="1" applyAlignment="1" applyProtection="1">
      <alignment horizontal="left" vertical="center" wrapText="1"/>
    </xf>
    <xf numFmtId="0" fontId="0" fillId="12" borderId="23" xfId="15" applyFont="1" applyBorder="1" applyProtection="1">
      <protection locked="0"/>
    </xf>
    <xf numFmtId="0" fontId="0" fillId="14" borderId="16" xfId="16" applyFont="1" applyBorder="1" applyProtection="1">
      <protection locked="0"/>
    </xf>
    <xf numFmtId="0" fontId="0" fillId="12" borderId="27" xfId="15" applyFont="1" applyBorder="1" applyProtection="1">
      <protection locked="0"/>
    </xf>
    <xf numFmtId="0" fontId="44" fillId="30" borderId="8" xfId="8" applyFont="1" applyFill="1" applyBorder="1" applyAlignment="1" applyProtection="1">
      <alignment vertical="center"/>
      <protection locked="0"/>
    </xf>
    <xf numFmtId="0" fontId="45" fillId="31" borderId="7" xfId="4" applyFont="1" applyFill="1" applyBorder="1" applyProtection="1">
      <protection locked="0"/>
    </xf>
    <xf numFmtId="0" fontId="46" fillId="31" borderId="7" xfId="4" applyFont="1" applyFill="1" applyBorder="1" applyProtection="1">
      <protection locked="0"/>
    </xf>
    <xf numFmtId="3" fontId="45" fillId="32" borderId="6" xfId="6" applyNumberFormat="1" applyFont="1" applyFill="1" applyBorder="1" applyProtection="1">
      <protection locked="0"/>
    </xf>
    <xf numFmtId="3" fontId="45" fillId="32" borderId="2" xfId="6" applyNumberFormat="1" applyFont="1" applyFill="1" applyBorder="1" applyProtection="1">
      <protection locked="0"/>
    </xf>
    <xf numFmtId="168" fontId="45" fillId="32" borderId="2" xfId="6" applyNumberFormat="1" applyFont="1" applyFill="1" applyBorder="1" applyProtection="1">
      <protection locked="0"/>
    </xf>
    <xf numFmtId="172" fontId="45" fillId="32" borderId="2" xfId="6" applyNumberFormat="1" applyFont="1" applyFill="1" applyBorder="1" applyProtection="1">
      <protection locked="0"/>
    </xf>
    <xf numFmtId="168" fontId="45" fillId="34" borderId="2" xfId="7" applyNumberFormat="1" applyFont="1" applyFill="1" applyBorder="1" applyProtection="1">
      <protection locked="0"/>
    </xf>
    <xf numFmtId="167" fontId="44" fillId="32" borderId="15" xfId="6" applyNumberFormat="1" applyFont="1" applyFill="1" applyBorder="1" applyAlignment="1" applyProtection="1">
      <alignment horizontal="center"/>
      <protection locked="0"/>
    </xf>
    <xf numFmtId="172" fontId="46" fillId="32" borderId="2" xfId="6" applyNumberFormat="1" applyFont="1" applyFill="1" applyBorder="1" applyProtection="1">
      <protection locked="0"/>
    </xf>
    <xf numFmtId="168" fontId="46" fillId="32" borderId="2" xfId="6" applyNumberFormat="1" applyFont="1" applyFill="1" applyBorder="1" applyProtection="1">
      <protection locked="0"/>
    </xf>
    <xf numFmtId="168" fontId="46" fillId="34" borderId="2" xfId="7" applyNumberFormat="1" applyFont="1" applyFill="1" applyBorder="1" applyProtection="1">
      <protection locked="0"/>
    </xf>
    <xf numFmtId="168" fontId="43" fillId="32" borderId="2" xfId="6" applyNumberFormat="1" applyFont="1" applyFill="1" applyBorder="1" applyProtection="1">
      <protection locked="0"/>
    </xf>
    <xf numFmtId="168" fontId="43" fillId="34" borderId="2" xfId="7" applyNumberFormat="1" applyFont="1" applyFill="1" applyBorder="1" applyProtection="1">
      <protection locked="0"/>
    </xf>
    <xf numFmtId="167" fontId="44" fillId="32" borderId="2" xfId="6" applyNumberFormat="1" applyFont="1" applyFill="1" applyBorder="1" applyAlignment="1" applyProtection="1">
      <alignment horizontal="center"/>
      <protection locked="0"/>
    </xf>
    <xf numFmtId="167" fontId="43" fillId="32" borderId="2" xfId="6" applyNumberFormat="1" applyFont="1" applyFill="1" applyBorder="1" applyAlignment="1" applyProtection="1">
      <alignment horizontal="center"/>
      <protection locked="0"/>
    </xf>
    <xf numFmtId="3" fontId="45" fillId="32" borderId="8" xfId="6" applyNumberFormat="1" applyFont="1" applyFill="1" applyBorder="1" applyProtection="1">
      <protection locked="0"/>
    </xf>
    <xf numFmtId="3" fontId="45" fillId="32" borderId="9" xfId="6" applyNumberFormat="1" applyFont="1" applyFill="1" applyBorder="1" applyProtection="1">
      <protection locked="0"/>
    </xf>
    <xf numFmtId="168" fontId="45" fillId="32" borderId="9" xfId="6" applyNumberFormat="1" applyFont="1" applyFill="1" applyBorder="1" applyProtection="1">
      <protection locked="0"/>
    </xf>
    <xf numFmtId="172" fontId="45" fillId="32" borderId="9" xfId="6" applyNumberFormat="1" applyFont="1" applyFill="1" applyBorder="1" applyProtection="1">
      <protection locked="0"/>
    </xf>
    <xf numFmtId="168" fontId="45" fillId="34" borderId="9" xfId="7" applyNumberFormat="1" applyFont="1" applyFill="1" applyBorder="1" applyProtection="1">
      <protection locked="0"/>
    </xf>
    <xf numFmtId="167" fontId="43" fillId="32" borderId="9" xfId="6" applyNumberFormat="1" applyFont="1" applyFill="1" applyBorder="1" applyAlignment="1" applyProtection="1">
      <alignment horizontal="center"/>
      <protection locked="0"/>
    </xf>
    <xf numFmtId="3" fontId="43" fillId="33" borderId="20" xfId="7" applyNumberFormat="1" applyFont="1" applyFill="1" applyBorder="1" applyAlignment="1" applyProtection="1">
      <alignment horizontal="center"/>
    </xf>
    <xf numFmtId="0" fontId="45" fillId="32" borderId="7" xfId="6" applyFont="1" applyFill="1" applyBorder="1" applyProtection="1">
      <protection locked="0"/>
    </xf>
    <xf numFmtId="0" fontId="46" fillId="32" borderId="7" xfId="6" applyFont="1" applyFill="1" applyBorder="1" applyProtection="1">
      <protection locked="0"/>
    </xf>
    <xf numFmtId="173" fontId="43" fillId="35" borderId="6" xfId="16" applyNumberFormat="1" applyFont="1" applyFill="1" applyBorder="1" applyProtection="1">
      <protection locked="0"/>
    </xf>
    <xf numFmtId="166" fontId="43" fillId="35" borderId="2" xfId="16" applyNumberFormat="1" applyFont="1" applyFill="1" applyBorder="1" applyProtection="1">
      <protection locked="0"/>
    </xf>
    <xf numFmtId="166" fontId="43" fillId="35" borderId="19" xfId="16" applyNumberFormat="1" applyFont="1" applyFill="1" applyBorder="1" applyProtection="1">
      <protection locked="0"/>
    </xf>
    <xf numFmtId="0" fontId="44" fillId="35" borderId="7" xfId="16" applyFont="1" applyFill="1" applyBorder="1" applyProtection="1">
      <protection locked="0"/>
    </xf>
    <xf numFmtId="173" fontId="46" fillId="35" borderId="6" xfId="16" applyNumberFormat="1" applyFont="1" applyFill="1" applyBorder="1" applyProtection="1">
      <protection locked="0"/>
    </xf>
    <xf numFmtId="166" fontId="46" fillId="35" borderId="2" xfId="16" applyNumberFormat="1" applyFont="1" applyFill="1" applyBorder="1" applyProtection="1">
      <protection locked="0"/>
    </xf>
    <xf numFmtId="166" fontId="46" fillId="35" borderId="19" xfId="16" applyNumberFormat="1" applyFont="1" applyFill="1" applyBorder="1" applyProtection="1">
      <protection locked="0"/>
    </xf>
    <xf numFmtId="0" fontId="46" fillId="35" borderId="7" xfId="16" applyFont="1" applyFill="1" applyBorder="1" applyProtection="1">
      <protection locked="0"/>
    </xf>
    <xf numFmtId="166" fontId="46" fillId="35" borderId="6" xfId="16" applyNumberFormat="1" applyFont="1" applyFill="1" applyBorder="1" applyProtection="1">
      <protection locked="0"/>
    </xf>
    <xf numFmtId="166" fontId="43" fillId="35" borderId="6" xfId="16" applyNumberFormat="1" applyFont="1" applyFill="1" applyBorder="1" applyProtection="1">
      <protection locked="0"/>
    </xf>
    <xf numFmtId="164" fontId="45" fillId="36" borderId="28" xfId="15" applyNumberFormat="1" applyFont="1" applyFill="1" applyBorder="1" applyAlignment="1" applyProtection="1">
      <alignment horizontal="center" vertical="center"/>
      <protection locked="0"/>
    </xf>
    <xf numFmtId="171" fontId="45" fillId="36" borderId="15" xfId="15" applyNumberFormat="1" applyFont="1" applyFill="1" applyBorder="1" applyAlignment="1" applyProtection="1">
      <alignment horizontal="center" vertical="center"/>
      <protection locked="0"/>
    </xf>
    <xf numFmtId="164" fontId="45" fillId="36" borderId="15" xfId="15" applyNumberFormat="1" applyFont="1" applyFill="1" applyBorder="1" applyAlignment="1" applyProtection="1">
      <alignment horizontal="center" vertical="center"/>
      <protection locked="0"/>
    </xf>
    <xf numFmtId="1" fontId="45" fillId="36" borderId="15" xfId="15" applyNumberFormat="1" applyFont="1" applyFill="1" applyBorder="1" applyAlignment="1" applyProtection="1">
      <alignment horizontal="center" vertical="center"/>
      <protection locked="0"/>
    </xf>
    <xf numFmtId="167" fontId="45" fillId="36" borderId="19" xfId="15" applyNumberFormat="1" applyFont="1" applyFill="1" applyBorder="1" applyAlignment="1" applyProtection="1">
      <alignment horizontal="center" vertical="center"/>
      <protection locked="0"/>
    </xf>
    <xf numFmtId="0" fontId="45" fillId="36" borderId="16" xfId="15" applyFont="1" applyFill="1" applyBorder="1" applyAlignment="1" applyProtection="1">
      <alignment horizontal="left" vertical="center"/>
      <protection locked="0"/>
    </xf>
    <xf numFmtId="171" fontId="45" fillId="36" borderId="2" xfId="15" applyNumberFormat="1" applyFont="1" applyFill="1" applyBorder="1" applyAlignment="1" applyProtection="1">
      <alignment horizontal="center" vertical="center"/>
      <protection locked="0"/>
    </xf>
    <xf numFmtId="164" fontId="45" fillId="36" borderId="2" xfId="15" applyNumberFormat="1" applyFont="1" applyFill="1" applyBorder="1" applyAlignment="1" applyProtection="1">
      <alignment horizontal="center" vertical="center"/>
      <protection locked="0"/>
    </xf>
    <xf numFmtId="1" fontId="45" fillId="36" borderId="2" xfId="15" applyNumberFormat="1" applyFont="1" applyFill="1" applyBorder="1" applyAlignment="1" applyProtection="1">
      <alignment horizontal="center" vertical="center"/>
      <protection locked="0"/>
    </xf>
    <xf numFmtId="167" fontId="45" fillId="36" borderId="20" xfId="15" applyNumberFormat="1" applyFont="1" applyFill="1" applyBorder="1" applyAlignment="1" applyProtection="1">
      <alignment horizontal="center" vertical="center"/>
      <protection locked="0"/>
    </xf>
    <xf numFmtId="0" fontId="45" fillId="36" borderId="7" xfId="15" applyFont="1" applyFill="1" applyBorder="1" applyAlignment="1" applyProtection="1">
      <alignment horizontal="left" vertical="center"/>
      <protection locked="0"/>
    </xf>
    <xf numFmtId="164" fontId="45" fillId="36" borderId="12" xfId="15" applyNumberFormat="1" applyFont="1" applyFill="1" applyBorder="1" applyAlignment="1" applyProtection="1">
      <alignment horizontal="center" vertical="center"/>
      <protection locked="0"/>
    </xf>
    <xf numFmtId="0" fontId="46" fillId="36" borderId="7" xfId="15" applyFont="1" applyFill="1" applyBorder="1" applyAlignment="1" applyProtection="1">
      <alignment horizontal="left" vertical="center"/>
      <protection locked="0"/>
    </xf>
    <xf numFmtId="171" fontId="46" fillId="36" borderId="2" xfId="15" applyNumberFormat="1" applyFont="1" applyFill="1" applyBorder="1" applyAlignment="1" applyProtection="1">
      <alignment horizontal="center" vertical="center"/>
      <protection locked="0"/>
    </xf>
    <xf numFmtId="1" fontId="46" fillId="36" borderId="2" xfId="15" applyNumberFormat="1" applyFont="1" applyFill="1" applyBorder="1" applyAlignment="1" applyProtection="1">
      <alignment horizontal="center" vertical="center"/>
      <protection locked="0"/>
    </xf>
    <xf numFmtId="167" fontId="46" fillId="36" borderId="20" xfId="15" applyNumberFormat="1" applyFont="1" applyFill="1" applyBorder="1" applyAlignment="1" applyProtection="1">
      <alignment horizontal="center" vertical="center"/>
      <protection locked="0"/>
    </xf>
    <xf numFmtId="0" fontId="45" fillId="36" borderId="20" xfId="15" applyFont="1" applyFill="1" applyBorder="1" applyAlignment="1" applyProtection="1">
      <alignment horizontal="center" vertical="center"/>
      <protection locked="0"/>
    </xf>
    <xf numFmtId="164" fontId="45" fillId="36" borderId="13" xfId="15" applyNumberFormat="1" applyFont="1" applyFill="1" applyBorder="1" applyAlignment="1" applyProtection="1">
      <alignment horizontal="center" vertical="center"/>
      <protection locked="0"/>
    </xf>
    <xf numFmtId="171" fontId="45" fillId="36" borderId="9" xfId="15" applyNumberFormat="1" applyFont="1" applyFill="1" applyBorder="1" applyAlignment="1" applyProtection="1">
      <alignment horizontal="center" vertical="center"/>
      <protection locked="0"/>
    </xf>
    <xf numFmtId="164" fontId="45" fillId="36" borderId="9" xfId="15" applyNumberFormat="1" applyFont="1" applyFill="1" applyBorder="1" applyAlignment="1" applyProtection="1">
      <alignment horizontal="center" vertical="center"/>
      <protection locked="0"/>
    </xf>
    <xf numFmtId="1" fontId="45" fillId="36" borderId="9" xfId="15" applyNumberFormat="1" applyFont="1" applyFill="1" applyBorder="1" applyAlignment="1" applyProtection="1">
      <alignment horizontal="center" vertical="center"/>
      <protection locked="0"/>
    </xf>
    <xf numFmtId="0" fontId="45" fillId="36" borderId="18" xfId="15" applyFont="1" applyFill="1" applyBorder="1" applyAlignment="1" applyProtection="1">
      <alignment horizontal="center" vertical="center"/>
      <protection locked="0"/>
    </xf>
    <xf numFmtId="0" fontId="45" fillId="36" borderId="10" xfId="15" applyFont="1" applyFill="1" applyBorder="1" applyAlignment="1" applyProtection="1">
      <alignment horizontal="left" vertical="center"/>
      <protection locked="0"/>
    </xf>
    <xf numFmtId="0" fontId="44" fillId="30" borderId="6" xfId="8" applyFont="1" applyFill="1" applyBorder="1" applyAlignment="1" applyProtection="1">
      <alignment vertical="center"/>
      <protection locked="0"/>
    </xf>
    <xf numFmtId="0" fontId="43" fillId="35" borderId="19" xfId="16" applyFont="1" applyFill="1" applyBorder="1" applyAlignment="1" applyProtection="1">
      <alignment horizontal="center"/>
      <protection locked="0"/>
    </xf>
    <xf numFmtId="3" fontId="47" fillId="31" borderId="14" xfId="1" applyNumberFormat="1" applyFont="1" applyFill="1" applyBorder="1" applyProtection="1">
      <protection locked="0"/>
    </xf>
    <xf numFmtId="3" fontId="47" fillId="31" borderId="15" xfId="1" applyNumberFormat="1" applyFont="1" applyFill="1" applyBorder="1" applyProtection="1">
      <protection locked="0"/>
    </xf>
    <xf numFmtId="0" fontId="43" fillId="35" borderId="20" xfId="16" applyFont="1" applyFill="1" applyBorder="1" applyAlignment="1" applyProtection="1">
      <alignment horizontal="center"/>
      <protection locked="0"/>
    </xf>
    <xf numFmtId="3" fontId="47" fillId="31" borderId="6" xfId="1" applyNumberFormat="1" applyFont="1" applyFill="1" applyBorder="1" applyProtection="1">
      <protection locked="0"/>
    </xf>
    <xf numFmtId="3" fontId="47" fillId="31" borderId="2" xfId="1" applyNumberFormat="1" applyFont="1" applyFill="1" applyBorder="1" applyProtection="1">
      <protection locked="0"/>
    </xf>
    <xf numFmtId="0" fontId="43" fillId="35" borderId="18" xfId="16" applyFont="1" applyFill="1" applyBorder="1" applyAlignment="1" applyProtection="1">
      <alignment horizontal="center"/>
      <protection locked="0"/>
    </xf>
    <xf numFmtId="3" fontId="47" fillId="31" borderId="8" xfId="1" applyNumberFormat="1" applyFont="1" applyFill="1" applyBorder="1" applyProtection="1">
      <protection locked="0"/>
    </xf>
    <xf numFmtId="3" fontId="47" fillId="31" borderId="9" xfId="1" applyNumberFormat="1" applyFont="1" applyFill="1" applyBorder="1" applyProtection="1">
      <protection locked="0"/>
    </xf>
    <xf numFmtId="167" fontId="1" fillId="5" borderId="2" xfId="6" applyNumberFormat="1" applyBorder="1" applyProtection="1">
      <protection locked="0"/>
    </xf>
    <xf numFmtId="0" fontId="4" fillId="17" borderId="39" xfId="8" applyFont="1" applyFill="1" applyBorder="1" applyAlignment="1" applyProtection="1">
      <alignment vertical="center"/>
    </xf>
    <xf numFmtId="166" fontId="0" fillId="14" borderId="28" xfId="16" applyNumberFormat="1" applyFont="1" applyBorder="1" applyProtection="1">
      <protection locked="0"/>
    </xf>
    <xf numFmtId="0" fontId="5" fillId="5" borderId="6" xfId="6" applyFont="1" applyBorder="1" applyProtection="1">
      <protection locked="0"/>
    </xf>
    <xf numFmtId="167" fontId="5" fillId="5" borderId="2" xfId="6" applyNumberFormat="1" applyFont="1" applyBorder="1" applyProtection="1">
      <protection locked="0"/>
    </xf>
    <xf numFmtId="169" fontId="5" fillId="5" borderId="2" xfId="6" applyNumberFormat="1" applyFont="1" applyBorder="1" applyProtection="1">
      <protection locked="0"/>
    </xf>
    <xf numFmtId="0" fontId="5" fillId="5" borderId="2" xfId="6" applyFont="1" applyBorder="1" applyProtection="1">
      <protection locked="0"/>
    </xf>
    <xf numFmtId="0" fontId="5" fillId="6" borderId="12" xfId="7" applyFont="1" applyBorder="1" applyAlignment="1" applyProtection="1">
      <alignment horizontal="center"/>
    </xf>
    <xf numFmtId="167" fontId="5" fillId="6" borderId="20" xfId="7" applyNumberFormat="1" applyFont="1" applyBorder="1" applyAlignment="1" applyProtection="1">
      <alignment horizontal="center"/>
    </xf>
    <xf numFmtId="167" fontId="5" fillId="5" borderId="2" xfId="6" applyNumberFormat="1" applyFont="1" applyBorder="1" applyAlignment="1" applyProtection="1">
      <alignment horizontal="center"/>
      <protection locked="0"/>
    </xf>
    <xf numFmtId="0" fontId="0" fillId="5" borderId="7" xfId="6" applyFont="1" applyBorder="1" applyProtection="1">
      <protection locked="0"/>
    </xf>
    <xf numFmtId="0" fontId="49" fillId="0" borderId="0" xfId="0" applyFont="1" applyAlignment="1">
      <alignment vertical="center"/>
    </xf>
    <xf numFmtId="0" fontId="49" fillId="37" borderId="0" xfId="0" applyFont="1" applyFill="1" applyAlignment="1">
      <alignment vertical="center"/>
    </xf>
    <xf numFmtId="14" fontId="0" fillId="0" borderId="0" xfId="0" applyNumberFormat="1"/>
    <xf numFmtId="10" fontId="5" fillId="10" borderId="7" xfId="11" applyNumberFormat="1" applyFont="1" applyBorder="1" applyAlignment="1" applyProtection="1">
      <alignment vertical="center"/>
    </xf>
    <xf numFmtId="3" fontId="0" fillId="0" borderId="0" xfId="0" applyNumberFormat="1"/>
    <xf numFmtId="0" fontId="3" fillId="7" borderId="24" xfId="8" applyFont="1" applyBorder="1" applyAlignment="1" applyProtection="1">
      <alignment horizontal="left" vertical="center" wrapText="1"/>
      <protection locked="0"/>
    </xf>
    <xf numFmtId="167" fontId="4" fillId="28" borderId="9" xfId="19" applyNumberFormat="1" applyFont="1" applyBorder="1" applyAlignment="1" applyProtection="1">
      <alignment horizontal="center" wrapText="1"/>
      <protection locked="0"/>
    </xf>
    <xf numFmtId="3" fontId="4" fillId="4" borderId="12" xfId="5" applyNumberFormat="1" applyFont="1" applyBorder="1" applyAlignment="1" applyProtection="1">
      <alignment horizontal="right" vertical="center" wrapText="1"/>
    </xf>
    <xf numFmtId="3" fontId="13" fillId="6" borderId="2" xfId="7" applyNumberFormat="1" applyFont="1" applyBorder="1" applyAlignment="1" applyProtection="1">
      <alignment horizontal="right" vertical="center"/>
    </xf>
    <xf numFmtId="10" fontId="4" fillId="10" borderId="7" xfId="11" applyNumberFormat="1" applyFont="1" applyBorder="1" applyAlignment="1" applyProtection="1">
      <alignment horizontal="right" vertical="center" wrapText="1"/>
    </xf>
    <xf numFmtId="0" fontId="0" fillId="17" borderId="6" xfId="8" applyFont="1" applyFill="1" applyBorder="1" applyAlignment="1" applyProtection="1">
      <alignment horizontal="center" vertical="center" wrapText="1"/>
    </xf>
    <xf numFmtId="3" fontId="4" fillId="4" borderId="28" xfId="5" applyNumberFormat="1" applyFont="1" applyBorder="1"/>
    <xf numFmtId="3" fontId="4" fillId="4" borderId="44" xfId="5" applyNumberFormat="1" applyFont="1" applyBorder="1"/>
    <xf numFmtId="3" fontId="47" fillId="31" borderId="3" xfId="1" applyNumberFormat="1" applyFont="1" applyFill="1" applyBorder="1" applyProtection="1">
      <protection locked="0"/>
    </xf>
    <xf numFmtId="3" fontId="47" fillId="31" borderId="4" xfId="1" applyNumberFormat="1" applyFont="1" applyFill="1" applyBorder="1" applyProtection="1">
      <protection locked="0"/>
    </xf>
    <xf numFmtId="3" fontId="47" fillId="31" borderId="5" xfId="1" applyNumberFormat="1" applyFont="1" applyFill="1" applyBorder="1" applyProtection="1">
      <protection locked="0"/>
    </xf>
    <xf numFmtId="3" fontId="47" fillId="31" borderId="16" xfId="1" applyNumberFormat="1" applyFont="1" applyFill="1" applyBorder="1" applyProtection="1">
      <protection locked="0"/>
    </xf>
    <xf numFmtId="3" fontId="47" fillId="31" borderId="10" xfId="1" applyNumberFormat="1" applyFont="1" applyFill="1" applyBorder="1" applyProtection="1">
      <protection locked="0"/>
    </xf>
    <xf numFmtId="0" fontId="0" fillId="0" borderId="2" xfId="0" applyFont="1" applyBorder="1" applyAlignment="1" applyProtection="1">
      <alignment vertical="top" wrapText="1"/>
      <protection locked="0"/>
    </xf>
    <xf numFmtId="0" fontId="52" fillId="7" borderId="7" xfId="21" applyFill="1" applyBorder="1" applyProtection="1">
      <protection locked="0"/>
    </xf>
    <xf numFmtId="0" fontId="51" fillId="0" borderId="2" xfId="0" applyFont="1" applyBorder="1" applyAlignment="1" applyProtection="1">
      <alignment wrapText="1"/>
      <protection locked="0"/>
    </xf>
    <xf numFmtId="3" fontId="53" fillId="31" borderId="2" xfId="1" applyNumberFormat="1" applyFont="1" applyFill="1" applyBorder="1" applyProtection="1">
      <protection locked="0"/>
    </xf>
    <xf numFmtId="3" fontId="53" fillId="31" borderId="6" xfId="1" applyNumberFormat="1" applyFont="1" applyFill="1" applyBorder="1" applyProtection="1">
      <protection locked="0"/>
    </xf>
    <xf numFmtId="3" fontId="53" fillId="31" borderId="15" xfId="1" applyNumberFormat="1" applyFont="1" applyFill="1" applyBorder="1" applyProtection="1">
      <protection locked="0"/>
    </xf>
    <xf numFmtId="3" fontId="53" fillId="31" borderId="16" xfId="1" applyNumberFormat="1" applyFont="1" applyFill="1" applyBorder="1" applyProtection="1">
      <protection locked="0"/>
    </xf>
    <xf numFmtId="0" fontId="56" fillId="3" borderId="7" xfId="4" applyFont="1" applyBorder="1" applyProtection="1">
      <protection locked="0"/>
    </xf>
    <xf numFmtId="0" fontId="56" fillId="7" borderId="24" xfId="8" applyFont="1" applyBorder="1" applyAlignment="1" applyProtection="1">
      <alignment horizontal="left" vertical="center" wrapText="1"/>
      <protection locked="0"/>
    </xf>
    <xf numFmtId="166" fontId="46" fillId="35" borderId="31" xfId="16" applyNumberFormat="1" applyFont="1" applyFill="1" applyBorder="1" applyProtection="1">
      <protection locked="0"/>
    </xf>
    <xf numFmtId="166" fontId="44" fillId="35" borderId="31" xfId="16" applyNumberFormat="1" applyFont="1" applyFill="1" applyBorder="1" applyProtection="1">
      <protection locked="0"/>
    </xf>
    <xf numFmtId="166" fontId="43" fillId="35" borderId="31" xfId="16" applyNumberFormat="1" applyFont="1" applyFill="1" applyBorder="1" applyProtection="1">
      <protection locked="0"/>
    </xf>
    <xf numFmtId="0" fontId="5" fillId="0" borderId="2" xfId="0" applyFont="1" applyBorder="1" applyAlignment="1">
      <alignment horizontal="center" vertical="center"/>
    </xf>
    <xf numFmtId="1" fontId="7" fillId="13" borderId="2" xfId="0" applyNumberFormat="1" applyFont="1" applyFill="1" applyBorder="1" applyAlignment="1">
      <alignment horizontal="center" vertical="center"/>
    </xf>
    <xf numFmtId="3" fontId="7" fillId="13" borderId="2" xfId="0" applyNumberFormat="1" applyFont="1" applyFill="1" applyBorder="1" applyAlignment="1">
      <alignment horizontal="center" vertical="center"/>
    </xf>
    <xf numFmtId="0" fontId="7" fillId="13" borderId="2" xfId="0" applyFont="1" applyFill="1" applyBorder="1" applyAlignment="1">
      <alignment horizontal="center" vertical="center"/>
    </xf>
    <xf numFmtId="0" fontId="0" fillId="0" borderId="2" xfId="0" applyBorder="1" applyAlignment="1">
      <alignment horizontal="center" vertical="center"/>
    </xf>
    <xf numFmtId="3" fontId="0" fillId="0" borderId="2" xfId="0" applyNumberFormat="1" applyBorder="1" applyAlignment="1">
      <alignment horizontal="center" vertical="center"/>
    </xf>
    <xf numFmtId="3" fontId="5" fillId="0" borderId="2" xfId="0" applyNumberFormat="1" applyFont="1" applyBorder="1" applyAlignment="1">
      <alignment horizontal="center" vertical="center"/>
    </xf>
    <xf numFmtId="0" fontId="38" fillId="0" borderId="0" xfId="0" applyFont="1" applyAlignment="1">
      <alignment horizontal="right" vertical="center"/>
    </xf>
    <xf numFmtId="0" fontId="5" fillId="13" borderId="2" xfId="0" applyFont="1" applyFill="1" applyBorder="1" applyAlignment="1" applyProtection="1">
      <alignment horizontal="center" vertical="center"/>
      <protection locked="0"/>
    </xf>
    <xf numFmtId="174" fontId="56" fillId="3" borderId="7" xfId="4" applyNumberFormat="1" applyFont="1" applyBorder="1" applyAlignment="1" applyProtection="1">
      <protection locked="0"/>
    </xf>
    <xf numFmtId="0" fontId="29" fillId="2" borderId="2" xfId="3" applyFont="1" applyBorder="1" applyAlignment="1">
      <alignment vertical="center" wrapText="1"/>
    </xf>
    <xf numFmtId="0" fontId="29" fillId="2" borderId="2" xfId="3" quotePrefix="1" applyFont="1" applyBorder="1" applyAlignment="1">
      <alignment vertical="top" wrapText="1"/>
    </xf>
    <xf numFmtId="0" fontId="29" fillId="2" borderId="2" xfId="3" applyFont="1" applyBorder="1" applyAlignment="1">
      <alignment vertical="center"/>
    </xf>
    <xf numFmtId="0" fontId="29" fillId="2" borderId="2" xfId="3" applyFont="1" applyBorder="1" applyAlignment="1">
      <alignment horizontal="left" vertical="center"/>
    </xf>
    <xf numFmtId="0" fontId="29" fillId="2" borderId="2" xfId="3" applyFont="1" applyBorder="1" applyAlignment="1">
      <alignment vertical="top"/>
    </xf>
    <xf numFmtId="0" fontId="29" fillId="2" borderId="2" xfId="3" quotePrefix="1" applyFont="1" applyBorder="1" applyAlignment="1">
      <alignment vertical="center" wrapText="1"/>
    </xf>
    <xf numFmtId="0" fontId="29" fillId="2" borderId="2" xfId="3" quotePrefix="1" applyFont="1" applyBorder="1" applyAlignment="1">
      <alignment vertical="center"/>
    </xf>
    <xf numFmtId="0" fontId="5" fillId="0" borderId="2" xfId="0" applyFont="1" applyBorder="1" applyAlignment="1" applyProtection="1">
      <alignment wrapText="1"/>
      <protection locked="0"/>
    </xf>
    <xf numFmtId="0" fontId="5" fillId="0" borderId="2" xfId="0" applyFont="1" applyBorder="1" applyAlignment="1" applyProtection="1">
      <alignment horizontal="left" wrapText="1"/>
      <protection locked="0"/>
    </xf>
    <xf numFmtId="175" fontId="4" fillId="10" borderId="7" xfId="11" applyNumberFormat="1" applyFont="1" applyBorder="1" applyAlignment="1" applyProtection="1">
      <alignment vertical="center"/>
    </xf>
    <xf numFmtId="3" fontId="48" fillId="31" borderId="2" xfId="1" applyNumberFormat="1" applyFont="1" applyFill="1" applyBorder="1" applyProtection="1">
      <protection locked="0"/>
    </xf>
    <xf numFmtId="3" fontId="48" fillId="31" borderId="6" xfId="1" applyNumberFormat="1" applyFont="1" applyFill="1" applyBorder="1" applyProtection="1">
      <protection locked="0"/>
    </xf>
    <xf numFmtId="3" fontId="48" fillId="31" borderId="15" xfId="1" applyNumberFormat="1" applyFont="1" applyFill="1" applyBorder="1" applyProtection="1">
      <protection locked="0"/>
    </xf>
    <xf numFmtId="3" fontId="48" fillId="31" borderId="16" xfId="1" applyNumberFormat="1" applyFont="1" applyFill="1" applyBorder="1" applyProtection="1">
      <protection locked="0"/>
    </xf>
    <xf numFmtId="3" fontId="5" fillId="4" borderId="28" xfId="5" applyNumberFormat="1" applyFont="1" applyBorder="1"/>
    <xf numFmtId="176" fontId="1" fillId="5" borderId="15" xfId="6" applyNumberFormat="1" applyBorder="1" applyProtection="1">
      <protection locked="0"/>
    </xf>
    <xf numFmtId="176" fontId="1" fillId="5" borderId="2" xfId="6" applyNumberFormat="1" applyBorder="1" applyProtection="1">
      <protection locked="0"/>
    </xf>
    <xf numFmtId="176" fontId="5" fillId="5" borderId="2" xfId="6" applyNumberFormat="1" applyFont="1" applyBorder="1" applyProtection="1">
      <protection locked="0"/>
    </xf>
    <xf numFmtId="176" fontId="12" fillId="5" borderId="2" xfId="6" applyNumberFormat="1" applyFont="1" applyBorder="1" applyProtection="1">
      <protection locked="0"/>
    </xf>
    <xf numFmtId="177" fontId="1" fillId="6" borderId="15" xfId="13" applyNumberFormat="1" applyFill="1" applyBorder="1" applyAlignment="1" applyProtection="1">
      <alignment horizontal="center"/>
    </xf>
    <xf numFmtId="177" fontId="1" fillId="6" borderId="2" xfId="7" applyNumberFormat="1" applyBorder="1" applyAlignment="1" applyProtection="1">
      <alignment horizontal="center"/>
    </xf>
    <xf numFmtId="177" fontId="5" fillId="6" borderId="2" xfId="7" applyNumberFormat="1" applyFont="1" applyBorder="1" applyAlignment="1" applyProtection="1">
      <alignment horizontal="center"/>
    </xf>
    <xf numFmtId="10" fontId="0" fillId="0" borderId="0" xfId="13" applyNumberFormat="1" applyFont="1"/>
    <xf numFmtId="0" fontId="0" fillId="0" borderId="28" xfId="0" applyBorder="1" applyAlignment="1">
      <alignment horizontal="center"/>
    </xf>
    <xf numFmtId="0" fontId="0" fillId="0" borderId="20" xfId="0" quotePrefix="1" applyBorder="1"/>
    <xf numFmtId="3" fontId="0" fillId="0" borderId="7" xfId="0" applyNumberFormat="1" applyBorder="1"/>
    <xf numFmtId="0" fontId="0" fillId="13" borderId="8" xfId="0" applyFill="1" applyBorder="1" applyAlignment="1">
      <alignment horizontal="left"/>
    </xf>
    <xf numFmtId="0" fontId="0" fillId="13" borderId="10" xfId="0" applyFill="1" applyBorder="1"/>
    <xf numFmtId="0" fontId="60" fillId="39" borderId="6" xfId="23" applyFont="1" applyBorder="1"/>
    <xf numFmtId="177" fontId="0" fillId="0" borderId="7" xfId="13" applyNumberFormat="1" applyFont="1" applyBorder="1"/>
    <xf numFmtId="0" fontId="61" fillId="38" borderId="6" xfId="22" applyFont="1" applyBorder="1"/>
    <xf numFmtId="0" fontId="0" fillId="13" borderId="13" xfId="0" applyFill="1" applyBorder="1"/>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13" borderId="8" xfId="0" applyFill="1" applyBorder="1"/>
    <xf numFmtId="9" fontId="4" fillId="13" borderId="9" xfId="13" applyFont="1" applyFill="1" applyBorder="1"/>
    <xf numFmtId="0" fontId="0" fillId="0" borderId="19" xfId="0" applyBorder="1" applyAlignment="1">
      <alignment horizontal="center"/>
    </xf>
    <xf numFmtId="3" fontId="0" fillId="0" borderId="12" xfId="0" applyNumberFormat="1" applyBorder="1" applyAlignment="1">
      <alignment horizontal="center"/>
    </xf>
    <xf numFmtId="3" fontId="0" fillId="0" borderId="6" xfId="0" applyNumberFormat="1" applyBorder="1" applyAlignment="1">
      <alignment horizontal="center"/>
    </xf>
    <xf numFmtId="0" fontId="62" fillId="13" borderId="0" xfId="0" applyFont="1" applyFill="1" applyAlignment="1">
      <alignment horizontal="center"/>
    </xf>
    <xf numFmtId="0" fontId="63" fillId="40" borderId="82" xfId="0" applyFont="1" applyFill="1" applyBorder="1" applyAlignment="1">
      <alignment horizontal="left" vertical="top" wrapText="1" indent="1"/>
    </xf>
    <xf numFmtId="0" fontId="63" fillId="40" borderId="83" xfId="0" applyFont="1" applyFill="1" applyBorder="1" applyAlignment="1">
      <alignment horizontal="right" vertical="top" wrapText="1"/>
    </xf>
    <xf numFmtId="1" fontId="63" fillId="40" borderId="83" xfId="0" applyNumberFormat="1" applyFont="1" applyFill="1" applyBorder="1" applyAlignment="1">
      <alignment horizontal="right" vertical="top" wrapText="1"/>
    </xf>
    <xf numFmtId="0" fontId="63" fillId="40" borderId="84" xfId="0" applyFont="1" applyFill="1" applyBorder="1" applyAlignment="1">
      <alignment horizontal="right" vertical="top" wrapText="1"/>
    </xf>
    <xf numFmtId="0" fontId="63" fillId="40" borderId="85" xfId="0" applyFont="1" applyFill="1" applyBorder="1" applyAlignment="1">
      <alignment horizontal="left" vertical="top" wrapText="1" indent="1"/>
    </xf>
    <xf numFmtId="0" fontId="63" fillId="40" borderId="0" xfId="0" applyFont="1" applyFill="1" applyAlignment="1">
      <alignment horizontal="right" vertical="top" wrapText="1"/>
    </xf>
    <xf numFmtId="1" fontId="63" fillId="40" borderId="0" xfId="0" applyNumberFormat="1" applyFont="1" applyFill="1" applyAlignment="1">
      <alignment horizontal="right" vertical="top" wrapText="1"/>
    </xf>
    <xf numFmtId="0" fontId="63" fillId="40" borderId="86" xfId="0" applyFont="1" applyFill="1" applyBorder="1" applyAlignment="1">
      <alignment horizontal="right" vertical="top" wrapText="1"/>
    </xf>
    <xf numFmtId="167" fontId="63" fillId="40" borderId="86" xfId="0" applyNumberFormat="1" applyFont="1" applyFill="1" applyBorder="1" applyAlignment="1">
      <alignment horizontal="right" vertical="top" wrapText="1"/>
    </xf>
    <xf numFmtId="0" fontId="63" fillId="40" borderId="87" xfId="0" applyFont="1" applyFill="1" applyBorder="1" applyAlignment="1">
      <alignment horizontal="left" vertical="top" wrapText="1" indent="1"/>
    </xf>
    <xf numFmtId="0" fontId="63" fillId="40" borderId="88" xfId="0" applyFont="1" applyFill="1" applyBorder="1" applyAlignment="1">
      <alignment horizontal="right" vertical="top" wrapText="1"/>
    </xf>
    <xf numFmtId="1" fontId="63" fillId="40" borderId="88" xfId="0" applyNumberFormat="1" applyFont="1" applyFill="1" applyBorder="1" applyAlignment="1">
      <alignment horizontal="right" vertical="top" wrapText="1"/>
    </xf>
    <xf numFmtId="0" fontId="63" fillId="40" borderId="89" xfId="0" applyFont="1" applyFill="1" applyBorder="1" applyAlignment="1">
      <alignment horizontal="right" vertical="top" wrapText="1"/>
    </xf>
    <xf numFmtId="3" fontId="5" fillId="3" borderId="14" xfId="4" applyNumberFormat="1" applyFont="1" applyBorder="1" applyAlignment="1" applyProtection="1">
      <alignment horizontal="right" vertical="center"/>
      <protection locked="0"/>
    </xf>
    <xf numFmtId="0" fontId="3" fillId="14" borderId="7" xfId="16" applyFont="1" applyBorder="1" applyProtection="1">
      <protection locked="0"/>
    </xf>
    <xf numFmtId="9" fontId="4" fillId="4" borderId="28" xfId="13" applyFont="1" applyFill="1" applyBorder="1"/>
    <xf numFmtId="10" fontId="0" fillId="0" borderId="0" xfId="0" applyNumberFormat="1"/>
    <xf numFmtId="175" fontId="0" fillId="0" borderId="0" xfId="0" applyNumberFormat="1"/>
    <xf numFmtId="0" fontId="0" fillId="13" borderId="0" xfId="0" applyFill="1"/>
    <xf numFmtId="3" fontId="0" fillId="13" borderId="0" xfId="0" applyNumberFormat="1" applyFill="1"/>
    <xf numFmtId="10" fontId="0" fillId="13" borderId="0" xfId="0" applyNumberFormat="1" applyFill="1"/>
    <xf numFmtId="3" fontId="4" fillId="13" borderId="2" xfId="7" applyNumberFormat="1" applyFont="1" applyFill="1" applyBorder="1" applyAlignment="1" applyProtection="1">
      <alignment vertical="center"/>
    </xf>
    <xf numFmtId="10" fontId="4" fillId="13" borderId="7" xfId="11" applyNumberFormat="1" applyFont="1" applyFill="1" applyBorder="1" applyAlignment="1" applyProtection="1">
      <alignment vertical="center"/>
    </xf>
    <xf numFmtId="0" fontId="29" fillId="2" borderId="0" xfId="3" applyFont="1" applyBorder="1" applyAlignment="1">
      <alignment vertical="center" wrapText="1"/>
    </xf>
    <xf numFmtId="0" fontId="42" fillId="2" borderId="2" xfId="3" applyFont="1" applyBorder="1" applyAlignment="1">
      <alignment vertical="center"/>
    </xf>
    <xf numFmtId="0" fontId="42" fillId="2" borderId="2" xfId="3" applyFont="1" applyBorder="1" applyAlignment="1">
      <alignment vertical="center" wrapText="1"/>
    </xf>
    <xf numFmtId="3" fontId="59" fillId="39" borderId="2" xfId="23" applyNumberFormat="1" applyBorder="1"/>
    <xf numFmtId="3" fontId="59" fillId="39" borderId="12" xfId="23" applyNumberFormat="1" applyBorder="1"/>
    <xf numFmtId="3" fontId="59" fillId="39" borderId="20" xfId="23" applyNumberFormat="1" applyBorder="1"/>
    <xf numFmtId="3" fontId="58" fillId="38" borderId="2" xfId="22" applyNumberFormat="1" applyBorder="1"/>
    <xf numFmtId="3" fontId="58" fillId="38" borderId="12" xfId="22" applyNumberFormat="1" applyBorder="1"/>
    <xf numFmtId="3" fontId="58" fillId="38" borderId="20" xfId="22" applyNumberFormat="1" applyBorder="1"/>
    <xf numFmtId="177" fontId="59" fillId="39" borderId="12" xfId="13" applyNumberFormat="1" applyFont="1" applyFill="1" applyBorder="1"/>
    <xf numFmtId="177" fontId="58" fillId="38" borderId="20" xfId="13" applyNumberFormat="1" applyFont="1" applyFill="1" applyBorder="1"/>
    <xf numFmtId="171" fontId="66" fillId="36" borderId="2" xfId="15" applyNumberFormat="1" applyFont="1" applyFill="1" applyBorder="1" applyAlignment="1" applyProtection="1">
      <alignment horizontal="center" vertical="center"/>
      <protection locked="0"/>
    </xf>
    <xf numFmtId="164" fontId="66" fillId="36" borderId="2" xfId="15" applyNumberFormat="1" applyFont="1" applyFill="1" applyBorder="1" applyAlignment="1" applyProtection="1">
      <alignment horizontal="center" vertical="center"/>
      <protection locked="0"/>
    </xf>
    <xf numFmtId="1" fontId="48" fillId="36" borderId="2" xfId="15" applyNumberFormat="1" applyFont="1" applyFill="1" applyBorder="1" applyAlignment="1" applyProtection="1">
      <alignment horizontal="center" vertical="center"/>
      <protection locked="0"/>
    </xf>
    <xf numFmtId="167" fontId="48" fillId="36" borderId="20" xfId="15" applyNumberFormat="1" applyFont="1" applyFill="1" applyBorder="1" applyAlignment="1" applyProtection="1">
      <alignment horizontal="center" vertical="center"/>
      <protection locked="0"/>
    </xf>
    <xf numFmtId="0" fontId="67" fillId="43" borderId="62" xfId="26" applyFont="1" applyFill="1" applyBorder="1" applyAlignment="1">
      <alignment horizontal="center" wrapText="1"/>
    </xf>
    <xf numFmtId="0" fontId="67" fillId="43" borderId="43" xfId="26" applyFont="1" applyFill="1" applyBorder="1" applyAlignment="1">
      <alignment horizontal="center" wrapText="1"/>
    </xf>
    <xf numFmtId="0" fontId="69" fillId="43" borderId="37" xfId="26" applyFont="1" applyFill="1" applyBorder="1" applyAlignment="1">
      <alignment horizontal="center" wrapText="1"/>
    </xf>
    <xf numFmtId="0" fontId="71" fillId="43" borderId="43" xfId="26" applyFont="1" applyFill="1" applyBorder="1" applyAlignment="1">
      <alignment horizontal="center" wrapText="1"/>
    </xf>
    <xf numFmtId="0" fontId="71" fillId="43" borderId="36" xfId="26" applyFont="1" applyFill="1" applyBorder="1" applyAlignment="1">
      <alignment horizontal="center" wrapText="1"/>
    </xf>
    <xf numFmtId="0" fontId="73" fillId="43" borderId="59" xfId="26" applyFont="1" applyFill="1" applyBorder="1" applyAlignment="1">
      <alignment horizontal="center" wrapText="1"/>
    </xf>
    <xf numFmtId="0" fontId="71" fillId="43" borderId="35" xfId="26" applyFont="1" applyFill="1" applyBorder="1" applyAlignment="1">
      <alignment horizontal="center" wrapText="1"/>
    </xf>
    <xf numFmtId="0" fontId="73" fillId="43" borderId="37" xfId="26" applyFont="1" applyFill="1" applyBorder="1" applyAlignment="1">
      <alignment horizontal="center" wrapText="1"/>
    </xf>
    <xf numFmtId="0" fontId="75" fillId="43" borderId="43" xfId="26" applyFont="1" applyFill="1" applyBorder="1" applyAlignment="1">
      <alignment horizontal="center" wrapText="1"/>
    </xf>
    <xf numFmtId="0" fontId="75" fillId="43" borderId="67" xfId="26" applyFont="1" applyFill="1" applyBorder="1" applyAlignment="1">
      <alignment horizontal="center" wrapText="1"/>
    </xf>
    <xf numFmtId="0" fontId="71" fillId="43" borderId="60" xfId="26" applyFont="1" applyFill="1" applyBorder="1" applyAlignment="1">
      <alignment horizontal="center" wrapText="1"/>
    </xf>
    <xf numFmtId="0" fontId="78" fillId="43" borderId="35" xfId="26" applyFont="1" applyFill="1" applyBorder="1" applyAlignment="1">
      <alignment horizontal="center" wrapText="1"/>
    </xf>
    <xf numFmtId="0" fontId="78" fillId="43" borderId="36" xfId="26" applyFont="1" applyFill="1" applyBorder="1" applyAlignment="1">
      <alignment horizontal="center" wrapText="1"/>
    </xf>
    <xf numFmtId="0" fontId="79" fillId="43" borderId="67" xfId="26" applyFont="1" applyFill="1" applyBorder="1" applyAlignment="1">
      <alignment horizontal="center" wrapText="1"/>
    </xf>
    <xf numFmtId="0" fontId="67" fillId="43" borderId="36" xfId="26" applyFont="1" applyFill="1" applyBorder="1" applyAlignment="1">
      <alignment horizontal="center" wrapText="1"/>
    </xf>
    <xf numFmtId="0" fontId="81" fillId="43" borderId="43" xfId="26" applyFont="1" applyFill="1" applyBorder="1" applyAlignment="1">
      <alignment horizontal="center" wrapText="1"/>
    </xf>
    <xf numFmtId="0" fontId="0" fillId="43" borderId="43" xfId="26" applyFont="1" applyFill="1" applyBorder="1" applyAlignment="1">
      <alignment horizontal="center" wrapText="1"/>
    </xf>
    <xf numFmtId="0" fontId="0" fillId="43" borderId="25" xfId="26" applyFont="1" applyFill="1" applyBorder="1" applyAlignment="1">
      <alignment horizontal="center" wrapText="1"/>
    </xf>
    <xf numFmtId="0" fontId="81" fillId="43" borderId="37" xfId="26" applyFont="1" applyFill="1" applyBorder="1" applyAlignment="1">
      <alignment horizontal="center" wrapText="1"/>
    </xf>
    <xf numFmtId="0" fontId="81" fillId="43" borderId="34" xfId="26" applyFont="1" applyFill="1" applyBorder="1" applyAlignment="1">
      <alignment horizontal="center" wrapText="1"/>
    </xf>
    <xf numFmtId="0" fontId="1" fillId="0" borderId="0" xfId="26"/>
    <xf numFmtId="0" fontId="1" fillId="13" borderId="2" xfId="26" applyFill="1" applyBorder="1" applyAlignment="1">
      <alignment horizontal="center" wrapText="1"/>
    </xf>
    <xf numFmtId="0" fontId="1" fillId="0" borderId="2" xfId="26" applyBorder="1" applyAlignment="1">
      <alignment horizontal="center" wrapText="1"/>
    </xf>
    <xf numFmtId="0" fontId="1" fillId="0" borderId="23" xfId="26" applyBorder="1" applyAlignment="1">
      <alignment horizontal="center"/>
    </xf>
    <xf numFmtId="3" fontId="1" fillId="0" borderId="28" xfId="26" applyNumberFormat="1" applyBorder="1"/>
    <xf numFmtId="3" fontId="1" fillId="0" borderId="19" xfId="26" applyNumberFormat="1" applyBorder="1"/>
    <xf numFmtId="3" fontId="12" fillId="0" borderId="14" xfId="26" applyNumberFormat="1" applyFont="1" applyBorder="1"/>
    <xf numFmtId="3" fontId="12" fillId="0" borderId="15" xfId="26" applyNumberFormat="1" applyFont="1" applyBorder="1"/>
    <xf numFmtId="3" fontId="12" fillId="0" borderId="16" xfId="26" applyNumberFormat="1" applyFont="1" applyBorder="1"/>
    <xf numFmtId="9" fontId="1" fillId="0" borderId="28" xfId="26" applyNumberFormat="1" applyBorder="1" applyAlignment="1">
      <alignment horizontal="center"/>
    </xf>
    <xf numFmtId="9" fontId="1" fillId="0" borderId="49" xfId="26" applyNumberFormat="1" applyBorder="1" applyAlignment="1">
      <alignment horizontal="center"/>
    </xf>
    <xf numFmtId="3" fontId="1" fillId="0" borderId="14" xfId="26" applyNumberFormat="1" applyBorder="1"/>
    <xf numFmtId="3" fontId="1" fillId="0" borderId="16" xfId="26" applyNumberFormat="1" applyBorder="1"/>
    <xf numFmtId="9" fontId="1" fillId="0" borderId="28" xfId="26" applyNumberFormat="1" applyBorder="1" applyAlignment="1">
      <alignment horizontal="center" wrapText="1"/>
    </xf>
    <xf numFmtId="3" fontId="4" fillId="0" borderId="23" xfId="26" applyNumberFormat="1" applyFont="1" applyBorder="1"/>
    <xf numFmtId="3" fontId="1" fillId="0" borderId="15" xfId="26" applyNumberFormat="1" applyBorder="1"/>
    <xf numFmtId="3" fontId="85" fillId="0" borderId="80" xfId="26" applyNumberFormat="1" applyFont="1" applyBorder="1"/>
    <xf numFmtId="9" fontId="12" fillId="0" borderId="80" xfId="27" applyFont="1" applyBorder="1"/>
    <xf numFmtId="3" fontId="12" fillId="0" borderId="21" xfId="27" applyNumberFormat="1" applyFont="1" applyBorder="1"/>
    <xf numFmtId="3" fontId="85" fillId="0" borderId="23" xfId="26" applyNumberFormat="1" applyFont="1" applyBorder="1"/>
    <xf numFmtId="9" fontId="1" fillId="0" borderId="19" xfId="27" applyFont="1" applyBorder="1"/>
    <xf numFmtId="9" fontId="1" fillId="0" borderId="21" xfId="27" applyFont="1" applyBorder="1"/>
    <xf numFmtId="3" fontId="4" fillId="0" borderId="2" xfId="26" applyNumberFormat="1" applyFont="1" applyBorder="1"/>
    <xf numFmtId="0" fontId="1" fillId="0" borderId="2" xfId="26" applyBorder="1"/>
    <xf numFmtId="0" fontId="1" fillId="0" borderId="24" xfId="26" applyBorder="1" applyAlignment="1">
      <alignment horizontal="center"/>
    </xf>
    <xf numFmtId="3" fontId="1" fillId="0" borderId="12" xfId="26" applyNumberFormat="1" applyBorder="1"/>
    <xf numFmtId="3" fontId="1" fillId="0" borderId="20" xfId="26" applyNumberFormat="1" applyBorder="1"/>
    <xf numFmtId="3" fontId="12" fillId="0" borderId="6" xfId="26" applyNumberFormat="1" applyFont="1" applyBorder="1"/>
    <xf numFmtId="3" fontId="12" fillId="0" borderId="2" xfId="26" applyNumberFormat="1" applyFont="1" applyBorder="1"/>
    <xf numFmtId="3" fontId="12" fillId="0" borderId="7" xfId="26" applyNumberFormat="1" applyFont="1" applyBorder="1"/>
    <xf numFmtId="9" fontId="1" fillId="0" borderId="12" xfId="26" applyNumberFormat="1" applyBorder="1" applyAlignment="1">
      <alignment horizontal="center"/>
    </xf>
    <xf numFmtId="9" fontId="1" fillId="0" borderId="50" xfId="26" applyNumberFormat="1" applyBorder="1" applyAlignment="1">
      <alignment horizontal="center"/>
    </xf>
    <xf numFmtId="3" fontId="1" fillId="0" borderId="6" xfId="26" applyNumberFormat="1" applyBorder="1"/>
    <xf numFmtId="3" fontId="1" fillId="0" borderId="7" xfId="26" applyNumberFormat="1" applyBorder="1"/>
    <xf numFmtId="9" fontId="1" fillId="0" borderId="12" xfId="26" applyNumberFormat="1" applyBorder="1" applyAlignment="1">
      <alignment horizontal="center" wrapText="1"/>
    </xf>
    <xf numFmtId="3" fontId="4" fillId="0" borderId="24" xfId="26" applyNumberFormat="1" applyFont="1" applyBorder="1"/>
    <xf numFmtId="3" fontId="1" fillId="0" borderId="2" xfId="26" applyNumberFormat="1" applyBorder="1"/>
    <xf numFmtId="3" fontId="85" fillId="0" borderId="31" xfId="26" applyNumberFormat="1" applyFont="1" applyBorder="1"/>
    <xf numFmtId="9" fontId="12" fillId="0" borderId="31" xfId="26" applyNumberFormat="1" applyFont="1" applyBorder="1"/>
    <xf numFmtId="3" fontId="12" fillId="0" borderId="24" xfId="26" applyNumberFormat="1" applyFont="1" applyBorder="1"/>
    <xf numFmtId="3" fontId="85" fillId="0" borderId="24" xfId="26" applyNumberFormat="1" applyFont="1" applyBorder="1"/>
    <xf numFmtId="9" fontId="1" fillId="0" borderId="20" xfId="27" applyFont="1" applyBorder="1"/>
    <xf numFmtId="9" fontId="1" fillId="0" borderId="24" xfId="27" applyFont="1" applyBorder="1"/>
    <xf numFmtId="0" fontId="1" fillId="0" borderId="90" xfId="26" applyBorder="1" applyAlignment="1">
      <alignment horizontal="center"/>
    </xf>
    <xf numFmtId="3" fontId="1" fillId="0" borderId="71" xfId="26" applyNumberFormat="1" applyBorder="1"/>
    <xf numFmtId="3" fontId="1" fillId="0" borderId="81" xfId="26" applyNumberFormat="1" applyBorder="1"/>
    <xf numFmtId="3" fontId="12" fillId="0" borderId="51" xfId="26" applyNumberFormat="1" applyFont="1" applyBorder="1"/>
    <xf numFmtId="3" fontId="12" fillId="0" borderId="54" xfId="26" applyNumberFormat="1" applyFont="1" applyBorder="1"/>
    <xf numFmtId="3" fontId="12" fillId="0" borderId="55" xfId="26" applyNumberFormat="1" applyFont="1" applyBorder="1"/>
    <xf numFmtId="9" fontId="1" fillId="0" borderId="71" xfId="26" applyNumberFormat="1" applyBorder="1" applyAlignment="1">
      <alignment horizontal="center"/>
    </xf>
    <xf numFmtId="9" fontId="1" fillId="0" borderId="79" xfId="26" applyNumberFormat="1" applyBorder="1" applyAlignment="1">
      <alignment horizontal="center"/>
    </xf>
    <xf numFmtId="3" fontId="1" fillId="0" borderId="51" xfId="26" applyNumberFormat="1" applyBorder="1"/>
    <xf numFmtId="3" fontId="1" fillId="0" borderId="55" xfId="26" applyNumberFormat="1" applyBorder="1"/>
    <xf numFmtId="9" fontId="1" fillId="0" borderId="71" xfId="26" applyNumberFormat="1" applyBorder="1" applyAlignment="1">
      <alignment horizontal="center" wrapText="1"/>
    </xf>
    <xf numFmtId="3" fontId="4" fillId="0" borderId="90" xfId="26" applyNumberFormat="1" applyFont="1" applyBorder="1"/>
    <xf numFmtId="3" fontId="1" fillId="0" borderId="54" xfId="26" applyNumberFormat="1" applyBorder="1"/>
    <xf numFmtId="3" fontId="85" fillId="0" borderId="64" xfId="26" applyNumberFormat="1" applyFont="1" applyBorder="1"/>
    <xf numFmtId="9" fontId="12" fillId="0" borderId="64" xfId="26" applyNumberFormat="1" applyFont="1" applyBorder="1"/>
    <xf numFmtId="3" fontId="12" fillId="0" borderId="90" xfId="26" applyNumberFormat="1" applyFont="1" applyBorder="1"/>
    <xf numFmtId="3" fontId="85" fillId="0" borderId="90" xfId="26" applyNumberFormat="1" applyFont="1" applyBorder="1"/>
    <xf numFmtId="3" fontId="1" fillId="0" borderId="13" xfId="26" applyNumberFormat="1" applyBorder="1"/>
    <xf numFmtId="9" fontId="1" fillId="0" borderId="18" xfId="27" applyFont="1" applyBorder="1"/>
    <xf numFmtId="9" fontId="1" fillId="0" borderId="22" xfId="27" applyFont="1" applyBorder="1"/>
    <xf numFmtId="0" fontId="3" fillId="0" borderId="60" xfId="26" applyFont="1" applyBorder="1" applyAlignment="1">
      <alignment horizontal="center"/>
    </xf>
    <xf numFmtId="3" fontId="3" fillId="0" borderId="35" xfId="26" applyNumberFormat="1" applyFont="1" applyBorder="1"/>
    <xf numFmtId="3" fontId="1" fillId="0" borderId="36" xfId="26" applyNumberFormat="1" applyBorder="1"/>
    <xf numFmtId="0" fontId="1" fillId="0" borderId="36" xfId="26" applyBorder="1"/>
    <xf numFmtId="3" fontId="3" fillId="0" borderId="36" xfId="26" applyNumberFormat="1" applyFont="1" applyBorder="1"/>
    <xf numFmtId="3" fontId="12" fillId="0" borderId="36" xfId="26" applyNumberFormat="1" applyFont="1" applyBorder="1"/>
    <xf numFmtId="9" fontId="1" fillId="0" borderId="36" xfId="26" applyNumberFormat="1" applyBorder="1" applyAlignment="1">
      <alignment horizontal="center"/>
    </xf>
    <xf numFmtId="3" fontId="4" fillId="0" borderId="36" xfId="26" applyNumberFormat="1" applyFont="1" applyBorder="1"/>
    <xf numFmtId="3" fontId="5" fillId="0" borderId="36" xfId="26" applyNumberFormat="1" applyFont="1" applyBorder="1"/>
    <xf numFmtId="9" fontId="3" fillId="0" borderId="36" xfId="26" applyNumberFormat="1" applyFont="1" applyBorder="1"/>
    <xf numFmtId="3" fontId="5" fillId="0" borderId="37" xfId="26" applyNumberFormat="1" applyFont="1" applyBorder="1"/>
    <xf numFmtId="0" fontId="3" fillId="13" borderId="0" xfId="26" applyFont="1" applyFill="1"/>
    <xf numFmtId="0" fontId="1" fillId="13" borderId="0" xfId="26" applyFill="1"/>
    <xf numFmtId="0" fontId="12" fillId="0" borderId="0" xfId="26" applyFont="1"/>
    <xf numFmtId="0" fontId="82" fillId="0" borderId="60" xfId="28" applyFont="1" applyBorder="1" applyAlignment="1">
      <alignment horizontal="center" vertical="center" wrapText="1"/>
    </xf>
    <xf numFmtId="0" fontId="82" fillId="0" borderId="59" xfId="28" applyFont="1" applyBorder="1" applyAlignment="1">
      <alignment horizontal="center" vertical="center" wrapText="1"/>
    </xf>
    <xf numFmtId="0" fontId="69" fillId="44" borderId="59" xfId="28" applyFont="1" applyFill="1" applyBorder="1" applyAlignment="1">
      <alignment horizontal="center" vertical="center" wrapText="1"/>
    </xf>
    <xf numFmtId="0" fontId="82" fillId="45" borderId="59" xfId="28" applyFont="1" applyFill="1" applyBorder="1" applyAlignment="1">
      <alignment horizontal="center" vertical="center" wrapText="1"/>
    </xf>
    <xf numFmtId="0" fontId="82" fillId="46" borderId="61" xfId="28" applyFont="1" applyFill="1" applyBorder="1" applyAlignment="1">
      <alignment horizontal="center" vertical="center" wrapText="1"/>
    </xf>
    <xf numFmtId="3" fontId="70" fillId="0" borderId="59" xfId="28" applyNumberFormat="1" applyFont="1" applyBorder="1" applyAlignment="1">
      <alignment horizontal="center" vertical="center" wrapText="1"/>
    </xf>
    <xf numFmtId="3" fontId="88" fillId="0" borderId="59" xfId="28" applyNumberFormat="1" applyFont="1" applyBorder="1" applyAlignment="1">
      <alignment horizontal="center" vertical="center" wrapText="1"/>
    </xf>
    <xf numFmtId="0" fontId="89" fillId="38" borderId="37" xfId="22" applyFont="1" applyBorder="1" applyAlignment="1">
      <alignment horizontal="center" vertical="center" wrapText="1"/>
    </xf>
    <xf numFmtId="3" fontId="69" fillId="0" borderId="59" xfId="28" applyNumberFormat="1" applyFont="1" applyBorder="1" applyAlignment="1">
      <alignment horizontal="center" vertical="center" wrapText="1"/>
    </xf>
    <xf numFmtId="3" fontId="82" fillId="0" borderId="59" xfId="28" applyNumberFormat="1" applyFont="1" applyBorder="1" applyAlignment="1">
      <alignment horizontal="center" vertical="center" wrapText="1"/>
    </xf>
    <xf numFmtId="3" fontId="82" fillId="0" borderId="61" xfId="28" applyNumberFormat="1" applyFont="1" applyBorder="1" applyAlignment="1">
      <alignment horizontal="center" vertical="center" wrapText="1"/>
    </xf>
    <xf numFmtId="0" fontId="69" fillId="0" borderId="35" xfId="28" applyFont="1" applyBorder="1" applyAlignment="1">
      <alignment horizontal="center" vertical="center" wrapText="1"/>
    </xf>
    <xf numFmtId="0" fontId="82" fillId="0" borderId="36" xfId="28" applyFont="1" applyBorder="1" applyAlignment="1">
      <alignment horizontal="center" vertical="center" wrapText="1"/>
    </xf>
    <xf numFmtId="3" fontId="82" fillId="0" borderId="36" xfId="28" applyNumberFormat="1" applyFont="1" applyBorder="1" applyAlignment="1">
      <alignment horizontal="center" vertical="center" wrapText="1"/>
    </xf>
    <xf numFmtId="176" fontId="82" fillId="47" borderId="36" xfId="28" applyNumberFormat="1" applyFont="1" applyFill="1" applyBorder="1" applyAlignment="1">
      <alignment horizontal="center" vertical="center" wrapText="1"/>
    </xf>
    <xf numFmtId="3" fontId="38" fillId="41" borderId="67" xfId="24" applyNumberFormat="1" applyFont="1" applyBorder="1" applyAlignment="1">
      <alignment horizontal="center" vertical="center" wrapText="1"/>
    </xf>
    <xf numFmtId="3" fontId="4" fillId="42" borderId="62" xfId="25" applyNumberFormat="1" applyFont="1" applyBorder="1" applyAlignment="1">
      <alignment horizontal="center" vertical="center" wrapText="1"/>
    </xf>
    <xf numFmtId="3" fontId="90" fillId="16" borderId="43" xfId="17" applyNumberFormat="1" applyFont="1" applyBorder="1" applyAlignment="1">
      <alignment horizontal="center" vertical="center" wrapText="1"/>
    </xf>
    <xf numFmtId="3" fontId="90" fillId="16" borderId="36" xfId="17" applyNumberFormat="1" applyFont="1" applyBorder="1" applyAlignment="1">
      <alignment horizontal="center" vertical="center" wrapText="1"/>
    </xf>
    <xf numFmtId="3" fontId="91" fillId="16" borderId="36" xfId="17" applyNumberFormat="1" applyFont="1" applyBorder="1" applyAlignment="1">
      <alignment horizontal="center" vertical="center" wrapText="1"/>
    </xf>
    <xf numFmtId="3" fontId="90" fillId="16" borderId="37" xfId="17" applyNumberFormat="1" applyFont="1" applyBorder="1" applyAlignment="1">
      <alignment horizontal="center" vertical="center" wrapText="1"/>
    </xf>
    <xf numFmtId="0" fontId="86" fillId="0" borderId="0" xfId="28" applyAlignment="1">
      <alignment horizontal="left" vertical="center" wrapText="1"/>
    </xf>
    <xf numFmtId="0" fontId="86" fillId="0" borderId="0" xfId="28" applyAlignment="1">
      <alignment horizontal="center"/>
    </xf>
    <xf numFmtId="3" fontId="92" fillId="0" borderId="0" xfId="28" applyNumberFormat="1" applyFont="1" applyAlignment="1">
      <alignment horizontal="left" vertical="center"/>
    </xf>
    <xf numFmtId="0" fontId="86" fillId="0" borderId="0" xfId="28"/>
    <xf numFmtId="0" fontId="86" fillId="0" borderId="57" xfId="28" applyBorder="1"/>
    <xf numFmtId="0" fontId="70" fillId="0" borderId="0" xfId="28" applyFont="1" applyAlignment="1">
      <alignment horizontal="center"/>
    </xf>
    <xf numFmtId="0" fontId="93" fillId="0" borderId="0" xfId="28" applyFont="1" applyAlignment="1">
      <alignment horizontal="center"/>
    </xf>
    <xf numFmtId="0" fontId="74" fillId="0" borderId="91" xfId="28" applyFont="1" applyBorder="1" applyAlignment="1">
      <alignment horizontal="center"/>
    </xf>
    <xf numFmtId="3" fontId="86" fillId="0" borderId="53" xfId="28" applyNumberFormat="1" applyBorder="1" applyAlignment="1">
      <alignment horizontal="right" vertical="center" wrapText="1"/>
    </xf>
    <xf numFmtId="3" fontId="86" fillId="0" borderId="52" xfId="28" applyNumberFormat="1" applyBorder="1" applyAlignment="1">
      <alignment horizontal="right" vertical="center" wrapText="1"/>
    </xf>
    <xf numFmtId="3" fontId="88" fillId="0" borderId="52" xfId="28" applyNumberFormat="1" applyFont="1" applyBorder="1" applyAlignment="1">
      <alignment horizontal="right" vertical="center" wrapText="1"/>
    </xf>
    <xf numFmtId="9" fontId="86" fillId="0" borderId="52" xfId="28" applyNumberFormat="1" applyBorder="1" applyAlignment="1">
      <alignment horizontal="center" vertical="center" wrapText="1"/>
    </xf>
    <xf numFmtId="3" fontId="12" fillId="38" borderId="25" xfId="22" applyNumberFormat="1" applyFont="1" applyBorder="1" applyAlignment="1">
      <alignment horizontal="right" wrapText="1"/>
    </xf>
    <xf numFmtId="3" fontId="70" fillId="0" borderId="0" xfId="28" applyNumberFormat="1" applyFont="1" applyAlignment="1">
      <alignment horizontal="center" vertical="center" wrapText="1"/>
    </xf>
    <xf numFmtId="3" fontId="69" fillId="0" borderId="0" xfId="28" applyNumberFormat="1" applyFont="1" applyAlignment="1">
      <alignment horizontal="center" vertical="center" wrapText="1"/>
    </xf>
    <xf numFmtId="9" fontId="0" fillId="0" borderId="0" xfId="27" applyFont="1" applyFill="1" applyBorder="1" applyAlignment="1">
      <alignment horizontal="right" vertical="center" wrapText="1"/>
    </xf>
    <xf numFmtId="3" fontId="86" fillId="0" borderId="0" xfId="28" applyNumberFormat="1" applyAlignment="1">
      <alignment horizontal="right" vertical="center" wrapText="1"/>
    </xf>
    <xf numFmtId="9" fontId="0" fillId="0" borderId="0" xfId="27" applyFont="1" applyBorder="1"/>
    <xf numFmtId="3" fontId="86" fillId="0" borderId="0" xfId="28" applyNumberFormat="1"/>
    <xf numFmtId="9" fontId="0" fillId="0" borderId="91" xfId="27" applyFont="1" applyBorder="1"/>
    <xf numFmtId="0" fontId="70" fillId="0" borderId="57" xfId="28" applyFont="1" applyBorder="1" applyAlignment="1">
      <alignment horizontal="center"/>
    </xf>
    <xf numFmtId="3" fontId="86" fillId="0" borderId="0" xfId="28" applyNumberFormat="1" applyAlignment="1">
      <alignment horizontal="center" vertical="center" wrapText="1"/>
    </xf>
    <xf numFmtId="177" fontId="94" fillId="0" borderId="0" xfId="28" applyNumberFormat="1" applyFont="1"/>
    <xf numFmtId="3" fontId="38" fillId="41" borderId="29" xfId="24" applyNumberFormat="1" applyFont="1" applyBorder="1" applyAlignment="1">
      <alignment horizontal="right" vertical="center" wrapText="1"/>
    </xf>
    <xf numFmtId="0" fontId="86" fillId="25" borderId="0" xfId="28" applyFill="1"/>
    <xf numFmtId="0" fontId="86" fillId="25" borderId="91" xfId="28" applyFill="1" applyBorder="1"/>
    <xf numFmtId="3" fontId="86" fillId="0" borderId="57" xfId="28" applyNumberFormat="1" applyBorder="1" applyAlignment="1">
      <alignment horizontal="right" vertical="center" wrapText="1"/>
    </xf>
    <xf numFmtId="3" fontId="88" fillId="0" borderId="0" xfId="28" applyNumberFormat="1" applyFont="1" applyAlignment="1">
      <alignment horizontal="right" vertical="center" wrapText="1"/>
    </xf>
    <xf numFmtId="9" fontId="86" fillId="0" borderId="0" xfId="28" applyNumberFormat="1" applyAlignment="1">
      <alignment horizontal="center" vertical="center" wrapText="1"/>
    </xf>
    <xf numFmtId="3" fontId="12" fillId="38" borderId="91" xfId="22" applyNumberFormat="1" applyFont="1" applyBorder="1" applyAlignment="1">
      <alignment horizontal="right" wrapText="1"/>
    </xf>
    <xf numFmtId="177" fontId="94" fillId="0" borderId="0" xfId="27" applyNumberFormat="1" applyFont="1" applyBorder="1"/>
    <xf numFmtId="3" fontId="90" fillId="25" borderId="0" xfId="17" applyNumberFormat="1" applyFont="1" applyFill="1" applyBorder="1" applyAlignment="1">
      <alignment horizontal="center" vertical="center" wrapText="1"/>
    </xf>
    <xf numFmtId="3" fontId="91" fillId="25" borderId="0" xfId="17" applyNumberFormat="1" applyFont="1" applyFill="1" applyBorder="1" applyAlignment="1">
      <alignment horizontal="center" vertical="center" wrapText="1"/>
    </xf>
    <xf numFmtId="3" fontId="90" fillId="25" borderId="91" xfId="17" applyNumberFormat="1" applyFont="1" applyFill="1" applyBorder="1" applyAlignment="1">
      <alignment horizontal="center" vertical="center" wrapText="1"/>
    </xf>
    <xf numFmtId="3" fontId="95" fillId="0" borderId="57" xfId="28" applyNumberFormat="1" applyFont="1" applyBorder="1" applyAlignment="1">
      <alignment horizontal="right" wrapText="1"/>
    </xf>
    <xf numFmtId="3" fontId="95" fillId="0" borderId="0" xfId="28" applyNumberFormat="1" applyFont="1" applyAlignment="1">
      <alignment horizontal="right" wrapText="1"/>
    </xf>
    <xf numFmtId="3" fontId="96" fillId="0" borderId="0" xfId="28" applyNumberFormat="1" applyFont="1" applyAlignment="1">
      <alignment horizontal="right" wrapText="1"/>
    </xf>
    <xf numFmtId="9" fontId="70" fillId="0" borderId="0" xfId="27" applyFont="1" applyFill="1" applyBorder="1" applyAlignment="1">
      <alignment horizontal="center"/>
    </xf>
    <xf numFmtId="3" fontId="58" fillId="38" borderId="91" xfId="22" applyNumberFormat="1" applyBorder="1"/>
    <xf numFmtId="3" fontId="70" fillId="0" borderId="0" xfId="27" applyNumberFormat="1" applyFont="1" applyFill="1" applyBorder="1" applyAlignment="1">
      <alignment horizontal="center"/>
    </xf>
    <xf numFmtId="3" fontId="70" fillId="0" borderId="0" xfId="28" applyNumberFormat="1" applyFont="1"/>
    <xf numFmtId="9" fontId="0" fillId="0" borderId="0" xfId="27" applyFont="1" applyFill="1" applyBorder="1"/>
    <xf numFmtId="177" fontId="97" fillId="0" borderId="0" xfId="28" applyNumberFormat="1" applyFont="1"/>
    <xf numFmtId="172" fontId="86" fillId="0" borderId="0" xfId="29" applyNumberFormat="1" applyFont="1" applyBorder="1"/>
    <xf numFmtId="172" fontId="86" fillId="13" borderId="29" xfId="29" applyNumberFormat="1" applyFont="1" applyFill="1" applyBorder="1"/>
    <xf numFmtId="3" fontId="86" fillId="0" borderId="0" xfId="27" applyNumberFormat="1" applyFont="1" applyBorder="1"/>
    <xf numFmtId="3" fontId="69" fillId="0" borderId="0" xfId="27" applyNumberFormat="1" applyFont="1" applyBorder="1"/>
    <xf numFmtId="3" fontId="98" fillId="0" borderId="0" xfId="28" applyNumberFormat="1" applyFont="1"/>
    <xf numFmtId="9" fontId="86" fillId="0" borderId="91" xfId="27" applyFont="1" applyBorder="1"/>
    <xf numFmtId="3" fontId="99" fillId="0" borderId="0" xfId="28" applyNumberFormat="1" applyFont="1" applyAlignment="1">
      <alignment horizontal="left" vertical="center"/>
    </xf>
    <xf numFmtId="0" fontId="70" fillId="13" borderId="57" xfId="28" applyFont="1" applyFill="1" applyBorder="1" applyAlignment="1">
      <alignment horizontal="center"/>
    </xf>
    <xf numFmtId="0" fontId="70" fillId="0" borderId="0" xfId="28" applyFont="1"/>
    <xf numFmtId="177" fontId="88" fillId="0" borderId="0" xfId="28" applyNumberFormat="1" applyFont="1"/>
    <xf numFmtId="177" fontId="88" fillId="0" borderId="0" xfId="27" applyNumberFormat="1" applyFont="1" applyBorder="1"/>
    <xf numFmtId="9" fontId="88" fillId="0" borderId="0" xfId="27" applyFont="1" applyFill="1" applyBorder="1" applyAlignment="1">
      <alignment horizontal="center"/>
    </xf>
    <xf numFmtId="3" fontId="88" fillId="0" borderId="0" xfId="27" applyNumberFormat="1" applyFont="1" applyFill="1" applyBorder="1" applyAlignment="1">
      <alignment horizontal="center"/>
    </xf>
    <xf numFmtId="177" fontId="100" fillId="0" borderId="0" xfId="27" applyNumberFormat="1" applyFont="1" applyBorder="1"/>
    <xf numFmtId="3" fontId="69" fillId="0" borderId="26" xfId="27" applyNumberFormat="1" applyFont="1" applyBorder="1"/>
    <xf numFmtId="3" fontId="69" fillId="0" borderId="29" xfId="27" applyNumberFormat="1" applyFont="1" applyBorder="1"/>
    <xf numFmtId="3" fontId="69" fillId="0" borderId="27" xfId="27" applyNumberFormat="1" applyFont="1" applyBorder="1"/>
    <xf numFmtId="177" fontId="70" fillId="0" borderId="0" xfId="27" applyNumberFormat="1" applyFont="1" applyBorder="1"/>
    <xf numFmtId="0" fontId="88" fillId="0" borderId="0" xfId="28" applyFont="1"/>
    <xf numFmtId="0" fontId="86" fillId="13" borderId="0" xfId="28" applyFill="1"/>
    <xf numFmtId="177" fontId="88" fillId="13" borderId="0" xfId="27" applyNumberFormat="1" applyFont="1" applyFill="1" applyBorder="1"/>
    <xf numFmtId="0" fontId="88" fillId="13" borderId="0" xfId="28" applyFont="1" applyFill="1"/>
    <xf numFmtId="177" fontId="101" fillId="0" borderId="0" xfId="28" applyNumberFormat="1" applyFont="1"/>
    <xf numFmtId="172" fontId="101" fillId="0" borderId="0" xfId="29" applyNumberFormat="1" applyFont="1" applyBorder="1"/>
    <xf numFmtId="177" fontId="101" fillId="0" borderId="0" xfId="27" applyNumberFormat="1" applyFont="1" applyBorder="1"/>
    <xf numFmtId="0" fontId="77" fillId="0" borderId="0" xfId="28" applyFont="1"/>
    <xf numFmtId="0" fontId="77" fillId="0" borderId="0" xfId="28" quotePrefix="1" applyFont="1"/>
    <xf numFmtId="0" fontId="102" fillId="0" borderId="0" xfId="28" applyFont="1"/>
    <xf numFmtId="9" fontId="88" fillId="24" borderId="0" xfId="27" applyFont="1" applyFill="1" applyBorder="1"/>
    <xf numFmtId="9" fontId="88" fillId="0" borderId="91" xfId="27" applyFont="1" applyBorder="1"/>
    <xf numFmtId="0" fontId="86" fillId="0" borderId="0" xfId="28" applyAlignment="1">
      <alignment horizontal="left" vertical="center"/>
    </xf>
    <xf numFmtId="0" fontId="103" fillId="0" borderId="0" xfId="28" applyFont="1"/>
    <xf numFmtId="0" fontId="77" fillId="22" borderId="0" xfId="28" applyFont="1" applyFill="1" applyAlignment="1">
      <alignment horizontal="center"/>
    </xf>
    <xf numFmtId="177" fontId="97" fillId="22" borderId="0" xfId="28" applyNumberFormat="1" applyFont="1" applyFill="1"/>
    <xf numFmtId="174" fontId="0" fillId="0" borderId="0" xfId="29" applyNumberFormat="1" applyFont="1" applyAlignment="1">
      <alignment horizontal="left"/>
    </xf>
    <xf numFmtId="174" fontId="104" fillId="0" borderId="0" xfId="29" applyNumberFormat="1" applyFont="1" applyAlignment="1">
      <alignment horizontal="left"/>
    </xf>
    <xf numFmtId="0" fontId="77" fillId="13" borderId="0" xfId="28" applyFont="1" applyFill="1" applyAlignment="1">
      <alignment horizontal="center"/>
    </xf>
    <xf numFmtId="9" fontId="98" fillId="0" borderId="0" xfId="27" applyFont="1" applyBorder="1"/>
    <xf numFmtId="177" fontId="81" fillId="0" borderId="0" xfId="28" applyNumberFormat="1" applyFont="1"/>
    <xf numFmtId="177" fontId="81" fillId="22" borderId="0" xfId="28" applyNumberFormat="1" applyFont="1" applyFill="1"/>
    <xf numFmtId="0" fontId="86" fillId="0" borderId="58" xfId="28" applyBorder="1"/>
    <xf numFmtId="0" fontId="86" fillId="0" borderId="92" xfId="28" applyBorder="1" applyAlignment="1">
      <alignment horizontal="center"/>
    </xf>
    <xf numFmtId="0" fontId="77" fillId="13" borderId="92" xfId="28" applyFont="1" applyFill="1" applyBorder="1" applyAlignment="1">
      <alignment horizontal="center"/>
    </xf>
    <xf numFmtId="0" fontId="93" fillId="0" borderId="92" xfId="28" applyFont="1" applyBorder="1" applyAlignment="1">
      <alignment horizontal="center"/>
    </xf>
    <xf numFmtId="0" fontId="74" fillId="0" borderId="93" xfId="28" applyFont="1" applyBorder="1" applyAlignment="1">
      <alignment horizontal="center"/>
    </xf>
    <xf numFmtId="3" fontId="95" fillId="0" borderId="58" xfId="28" applyNumberFormat="1" applyFont="1" applyBorder="1" applyAlignment="1">
      <alignment horizontal="right" wrapText="1"/>
    </xf>
    <xf numFmtId="3" fontId="95" fillId="0" borderId="92" xfId="28" applyNumberFormat="1" applyFont="1" applyBorder="1" applyAlignment="1">
      <alignment horizontal="right" wrapText="1"/>
    </xf>
    <xf numFmtId="3" fontId="96" fillId="0" borderId="92" xfId="28" applyNumberFormat="1" applyFont="1" applyBorder="1" applyAlignment="1">
      <alignment horizontal="right" wrapText="1"/>
    </xf>
    <xf numFmtId="9" fontId="70" fillId="0" borderId="92" xfId="27" applyFont="1" applyFill="1" applyBorder="1" applyAlignment="1">
      <alignment horizontal="center"/>
    </xf>
    <xf numFmtId="3" fontId="58" fillId="38" borderId="93" xfId="22" applyNumberFormat="1" applyBorder="1"/>
    <xf numFmtId="3" fontId="70" fillId="0" borderId="92" xfId="27" applyNumberFormat="1" applyFont="1" applyFill="1" applyBorder="1" applyAlignment="1">
      <alignment horizontal="center"/>
    </xf>
    <xf numFmtId="9" fontId="0" fillId="0" borderId="92" xfId="27" applyFont="1" applyFill="1" applyBorder="1" applyAlignment="1">
      <alignment horizontal="right" vertical="center" wrapText="1"/>
    </xf>
    <xf numFmtId="3" fontId="70" fillId="0" borderId="92" xfId="28" applyNumberFormat="1" applyFont="1" applyBorder="1"/>
    <xf numFmtId="9" fontId="98" fillId="0" borderId="92" xfId="27" applyFont="1" applyBorder="1"/>
    <xf numFmtId="3" fontId="98" fillId="0" borderId="92" xfId="28" applyNumberFormat="1" applyFont="1" applyBorder="1"/>
    <xf numFmtId="9" fontId="88" fillId="0" borderId="93" xfId="27" applyFont="1" applyBorder="1"/>
    <xf numFmtId="0" fontId="70" fillId="0" borderId="58" xfId="28" applyFont="1" applyBorder="1" applyAlignment="1">
      <alignment horizontal="center"/>
    </xf>
    <xf numFmtId="3" fontId="86" fillId="0" borderId="92" xfId="28" applyNumberFormat="1" applyBorder="1" applyAlignment="1">
      <alignment horizontal="center" vertical="center" wrapText="1"/>
    </xf>
    <xf numFmtId="177" fontId="81" fillId="0" borderId="92" xfId="28" applyNumberFormat="1" applyFont="1" applyBorder="1"/>
    <xf numFmtId="172" fontId="86" fillId="0" borderId="92" xfId="29" applyNumberFormat="1" applyFont="1" applyBorder="1"/>
    <xf numFmtId="177" fontId="81" fillId="22" borderId="92" xfId="28" applyNumberFormat="1" applyFont="1" applyFill="1" applyBorder="1"/>
    <xf numFmtId="172" fontId="86" fillId="13" borderId="27" xfId="29" applyNumberFormat="1" applyFont="1" applyFill="1" applyBorder="1"/>
    <xf numFmtId="3" fontId="86" fillId="0" borderId="92" xfId="27" applyNumberFormat="1" applyFont="1" applyBorder="1"/>
    <xf numFmtId="3" fontId="86" fillId="0" borderId="92" xfId="28" applyNumberFormat="1" applyBorder="1"/>
    <xf numFmtId="3" fontId="98" fillId="0" borderId="93" xfId="28" applyNumberFormat="1" applyFont="1" applyBorder="1"/>
    <xf numFmtId="176" fontId="86" fillId="0" borderId="0" xfId="28" applyNumberFormat="1"/>
    <xf numFmtId="0" fontId="82" fillId="0" borderId="0" xfId="28" applyFont="1"/>
    <xf numFmtId="3" fontId="88" fillId="0" borderId="0" xfId="28" applyNumberFormat="1" applyFont="1"/>
    <xf numFmtId="3" fontId="82" fillId="0" borderId="0" xfId="28" applyNumberFormat="1" applyFont="1"/>
    <xf numFmtId="4" fontId="98" fillId="0" borderId="0" xfId="28" applyNumberFormat="1" applyFont="1"/>
    <xf numFmtId="0" fontId="86" fillId="13" borderId="14" xfId="28" applyFill="1" applyBorder="1" applyAlignment="1">
      <alignment horizontal="center"/>
    </xf>
    <xf numFmtId="0" fontId="86" fillId="13" borderId="16" xfId="28" applyFill="1" applyBorder="1" applyAlignment="1">
      <alignment horizontal="center"/>
    </xf>
    <xf numFmtId="3" fontId="12" fillId="38" borderId="6" xfId="22" applyNumberFormat="1" applyFont="1" applyBorder="1" applyAlignment="1">
      <alignment horizontal="right" wrapText="1"/>
    </xf>
    <xf numFmtId="177" fontId="0" fillId="0" borderId="7" xfId="27" applyNumberFormat="1" applyFont="1" applyBorder="1"/>
    <xf numFmtId="3" fontId="12" fillId="38" borderId="8" xfId="22" applyNumberFormat="1" applyFont="1" applyBorder="1" applyAlignment="1">
      <alignment horizontal="right" wrapText="1"/>
    </xf>
    <xf numFmtId="177" fontId="0" fillId="0" borderId="10" xfId="27" applyNumberFormat="1" applyFont="1" applyBorder="1"/>
    <xf numFmtId="3" fontId="3" fillId="38" borderId="8" xfId="22" applyNumberFormat="1" applyFont="1" applyBorder="1" applyAlignment="1">
      <alignment horizontal="right" wrapText="1"/>
    </xf>
    <xf numFmtId="0" fontId="0" fillId="0" borderId="0" xfId="0" pivotButton="1"/>
    <xf numFmtId="0" fontId="0" fillId="0" borderId="0" xfId="0" pivotButton="1" applyAlignment="1">
      <alignment horizontal="center"/>
    </xf>
    <xf numFmtId="0" fontId="56" fillId="0" borderId="0" xfId="0" pivotButton="1" applyFont="1" applyAlignment="1">
      <alignment horizontal="center" wrapText="1"/>
    </xf>
    <xf numFmtId="0" fontId="3" fillId="0" borderId="0" xfId="0" applyFont="1" applyAlignment="1">
      <alignment horizontal="center"/>
    </xf>
    <xf numFmtId="0" fontId="0" fillId="0" borderId="0" xfId="0" applyAlignment="1">
      <alignment horizontal="center"/>
    </xf>
    <xf numFmtId="0" fontId="0" fillId="0" borderId="0" xfId="0" pivotButton="1" applyAlignment="1">
      <alignment horizontal="center" wrapText="1"/>
    </xf>
    <xf numFmtId="3" fontId="0" fillId="0" borderId="2" xfId="0" applyNumberFormat="1" applyBorder="1" applyAlignment="1">
      <alignment horizontal="right" vertical="center"/>
    </xf>
    <xf numFmtId="3" fontId="0" fillId="13" borderId="2" xfId="0" applyNumberFormat="1" applyFill="1" applyBorder="1" applyAlignment="1">
      <alignment horizontal="right" vertical="center"/>
    </xf>
    <xf numFmtId="3" fontId="86" fillId="0" borderId="2" xfId="0" applyNumberFormat="1" applyFont="1" applyFill="1" applyBorder="1" applyAlignment="1">
      <alignment horizontal="right" vertical="center"/>
    </xf>
    <xf numFmtId="3" fontId="3" fillId="0" borderId="2" xfId="0" applyNumberFormat="1" applyFont="1" applyBorder="1" applyAlignment="1">
      <alignment horizontal="right" vertical="center"/>
    </xf>
    <xf numFmtId="0" fontId="86" fillId="0" borderId="2" xfId="0" applyFont="1" applyFill="1" applyBorder="1" applyAlignment="1">
      <alignment horizontal="center" vertical="center"/>
    </xf>
    <xf numFmtId="3" fontId="106" fillId="0" borderId="2" xfId="0" applyNumberFormat="1" applyFont="1" applyBorder="1" applyAlignment="1">
      <alignment horizontal="right" vertical="center"/>
    </xf>
    <xf numFmtId="3" fontId="105" fillId="0" borderId="2" xfId="0" applyNumberFormat="1" applyFont="1" applyFill="1" applyBorder="1" applyAlignment="1">
      <alignment horizontal="right" vertical="center"/>
    </xf>
    <xf numFmtId="172" fontId="0" fillId="0" borderId="2" xfId="0" applyNumberFormat="1" applyBorder="1"/>
    <xf numFmtId="0" fontId="56" fillId="0" borderId="2" xfId="0" pivotButton="1" applyFont="1" applyBorder="1" applyAlignment="1">
      <alignment horizontal="center"/>
    </xf>
    <xf numFmtId="0" fontId="0" fillId="0" borderId="2" xfId="0" applyBorder="1" applyAlignment="1">
      <alignment horizontal="center"/>
    </xf>
    <xf numFmtId="172" fontId="58" fillId="38" borderId="2" xfId="0" applyNumberFormat="1" applyFont="1" applyFill="1" applyBorder="1"/>
    <xf numFmtId="0" fontId="107" fillId="2" borderId="2" xfId="3" applyFont="1" applyBorder="1" applyAlignment="1">
      <alignment vertical="center" wrapText="1"/>
    </xf>
    <xf numFmtId="0" fontId="1" fillId="8" borderId="31" xfId="9" applyFont="1" applyBorder="1" applyAlignment="1" applyProtection="1">
      <alignment horizontal="left" vertical="top" wrapText="1"/>
    </xf>
    <xf numFmtId="0" fontId="1" fillId="8" borderId="24" xfId="9" applyBorder="1" applyAlignment="1" applyProtection="1">
      <alignment horizontal="left" vertical="top" wrapText="1"/>
    </xf>
    <xf numFmtId="0" fontId="1" fillId="8" borderId="12" xfId="9" applyFont="1" applyBorder="1" applyAlignment="1" applyProtection="1">
      <alignment horizontal="left" vertical="top" wrapText="1"/>
    </xf>
    <xf numFmtId="0" fontId="1" fillId="8" borderId="2" xfId="9" applyFont="1" applyBorder="1" applyAlignment="1" applyProtection="1">
      <alignment horizontal="left" vertical="top" wrapText="1"/>
    </xf>
    <xf numFmtId="0" fontId="56" fillId="7" borderId="24" xfId="8" applyFont="1" applyBorder="1" applyAlignment="1" applyProtection="1">
      <alignment horizontal="left" vertical="top" wrapText="1"/>
      <protection locked="0"/>
    </xf>
    <xf numFmtId="0" fontId="32" fillId="2" borderId="0" xfId="3" applyFont="1" applyBorder="1" applyAlignment="1">
      <alignment vertical="center" wrapText="1"/>
    </xf>
    <xf numFmtId="0" fontId="4" fillId="10" borderId="9" xfId="11" applyFont="1" applyBorder="1" applyAlignment="1">
      <alignment horizontal="center" wrapText="1"/>
    </xf>
    <xf numFmtId="3" fontId="110" fillId="8" borderId="2" xfId="9" applyNumberFormat="1" applyFont="1" applyBorder="1" applyAlignment="1" applyProtection="1">
      <alignment vertical="center"/>
    </xf>
    <xf numFmtId="0" fontId="111" fillId="0" borderId="0" xfId="0" applyFont="1"/>
    <xf numFmtId="10" fontId="1" fillId="7" borderId="24" xfId="13" applyNumberFormat="1" applyFill="1" applyBorder="1" applyAlignment="1" applyProtection="1">
      <alignment horizontal="left" vertical="center" wrapText="1"/>
      <protection locked="0"/>
    </xf>
    <xf numFmtId="3" fontId="5" fillId="19" borderId="14" xfId="4" applyNumberFormat="1" applyFont="1" applyFill="1" applyBorder="1" applyAlignment="1" applyProtection="1">
      <alignment horizontal="right" vertical="center"/>
      <protection locked="0"/>
    </xf>
    <xf numFmtId="3" fontId="13" fillId="19" borderId="14" xfId="4" applyNumberFormat="1" applyFont="1" applyFill="1" applyBorder="1" applyAlignment="1" applyProtection="1">
      <alignment horizontal="right" vertical="center"/>
      <protection locked="0"/>
    </xf>
    <xf numFmtId="0" fontId="1" fillId="49" borderId="31" xfId="15" applyFill="1" applyBorder="1" applyProtection="1">
      <protection locked="0"/>
    </xf>
    <xf numFmtId="0" fontId="0" fillId="49" borderId="31" xfId="15" applyFont="1" applyFill="1" applyBorder="1" applyProtection="1">
      <protection locked="0"/>
    </xf>
    <xf numFmtId="0" fontId="1" fillId="49" borderId="30" xfId="15" applyFill="1" applyBorder="1" applyProtection="1">
      <protection locked="0"/>
    </xf>
    <xf numFmtId="0" fontId="112" fillId="48" borderId="95" xfId="30" applyAlignment="1">
      <alignment horizontal="centerContinuous"/>
    </xf>
    <xf numFmtId="0" fontId="112" fillId="48" borderId="95" xfId="30" applyAlignment="1"/>
    <xf numFmtId="10" fontId="112" fillId="48" borderId="95" xfId="30" applyNumberFormat="1" applyAlignment="1"/>
    <xf numFmtId="0" fontId="4" fillId="48" borderId="95" xfId="30" applyFont="1" applyAlignment="1"/>
    <xf numFmtId="2" fontId="112" fillId="48" borderId="95" xfId="30" applyNumberFormat="1" applyAlignment="1"/>
    <xf numFmtId="0" fontId="44" fillId="36" borderId="7" xfId="15" applyFont="1" applyFill="1" applyBorder="1" applyAlignment="1" applyProtection="1">
      <alignment horizontal="left" vertical="center"/>
      <protection locked="0"/>
    </xf>
    <xf numFmtId="0" fontId="3" fillId="49" borderId="31" xfId="15" applyFont="1" applyFill="1" applyBorder="1" applyProtection="1">
      <protection locked="0"/>
    </xf>
    <xf numFmtId="178" fontId="3" fillId="19" borderId="2" xfId="0" applyNumberFormat="1" applyFont="1" applyFill="1" applyBorder="1"/>
    <xf numFmtId="178" fontId="12" fillId="19" borderId="2" xfId="0" applyNumberFormat="1" applyFont="1" applyFill="1" applyBorder="1"/>
    <xf numFmtId="0" fontId="0" fillId="0" borderId="2" xfId="0" applyFont="1" applyBorder="1" applyAlignment="1" applyProtection="1">
      <alignment wrapText="1"/>
      <protection locked="0"/>
    </xf>
    <xf numFmtId="0" fontId="0" fillId="0" borderId="2" xfId="0" applyFont="1" applyBorder="1" applyAlignment="1" applyProtection="1">
      <alignment horizontal="left" vertical="top" wrapText="1"/>
      <protection locked="0"/>
    </xf>
    <xf numFmtId="0" fontId="113" fillId="0" borderId="2" xfId="0" applyFont="1" applyBorder="1" applyProtection="1">
      <protection locked="0"/>
    </xf>
    <xf numFmtId="0" fontId="114" fillId="0" borderId="2" xfId="0" applyFont="1" applyBorder="1" applyProtection="1">
      <protection locked="0"/>
    </xf>
    <xf numFmtId="0" fontId="12" fillId="0" borderId="2" xfId="0" applyFont="1" applyBorder="1" applyAlignment="1" applyProtection="1">
      <alignment vertical="top" wrapText="1"/>
      <protection locked="0"/>
    </xf>
    <xf numFmtId="0" fontId="0" fillId="0" borderId="2" xfId="0" applyFont="1" applyBorder="1" applyProtection="1">
      <protection locked="0"/>
    </xf>
    <xf numFmtId="0" fontId="3" fillId="3" borderId="7" xfId="4" applyFont="1" applyBorder="1" applyProtection="1">
      <protection locked="0"/>
    </xf>
    <xf numFmtId="0" fontId="3" fillId="12" borderId="23" xfId="15" applyFont="1" applyBorder="1" applyProtection="1">
      <protection locked="0"/>
    </xf>
    <xf numFmtId="0" fontId="43" fillId="0" borderId="61" xfId="0" applyFont="1" applyBorder="1" applyAlignment="1">
      <alignment horizontal="center" vertical="center" wrapText="1"/>
    </xf>
    <xf numFmtId="10" fontId="43" fillId="0" borderId="93" xfId="0" applyNumberFormat="1" applyFont="1" applyBorder="1" applyAlignment="1">
      <alignment horizontal="right" vertical="center"/>
    </xf>
    <xf numFmtId="170" fontId="43" fillId="0" borderId="93" xfId="1" applyNumberFormat="1" applyFont="1" applyBorder="1" applyAlignment="1">
      <alignment horizontal="right" vertical="center"/>
    </xf>
    <xf numFmtId="0" fontId="46" fillId="0" borderId="62" xfId="0" applyFont="1" applyBorder="1" applyAlignment="1">
      <alignment horizontal="center" vertical="center" wrapText="1"/>
    </xf>
    <xf numFmtId="0" fontId="46" fillId="0" borderId="27" xfId="0" applyFont="1" applyBorder="1" applyAlignment="1">
      <alignment horizontal="center" vertical="center"/>
    </xf>
    <xf numFmtId="0" fontId="3" fillId="0" borderId="0" xfId="0" applyFont="1"/>
    <xf numFmtId="0" fontId="15" fillId="2" borderId="60" xfId="3" applyFont="1" applyBorder="1" applyAlignment="1">
      <alignment horizontal="center" vertical="center" wrapText="1"/>
    </xf>
    <xf numFmtId="0" fontId="15" fillId="2" borderId="59" xfId="3" applyFont="1" applyBorder="1" applyAlignment="1">
      <alignment horizontal="center" vertical="center" wrapText="1"/>
    </xf>
    <xf numFmtId="0" fontId="15" fillId="2" borderId="61" xfId="3" applyFont="1" applyBorder="1" applyAlignment="1">
      <alignment horizontal="center" vertical="center" wrapText="1"/>
    </xf>
    <xf numFmtId="14" fontId="14" fillId="22" borderId="53" xfId="2" applyNumberFormat="1" applyFont="1" applyFill="1" applyBorder="1" applyAlignment="1">
      <alignment horizontal="center" vertical="center" wrapText="1"/>
    </xf>
    <xf numFmtId="14" fontId="14" fillId="22" borderId="57" xfId="2" applyNumberFormat="1" applyFont="1" applyFill="1" applyBorder="1" applyAlignment="1">
      <alignment horizontal="center" vertical="center" wrapText="1"/>
    </xf>
    <xf numFmtId="14" fontId="14" fillId="20" borderId="3" xfId="2" applyNumberFormat="1" applyFont="1" applyFill="1" applyBorder="1" applyAlignment="1">
      <alignment horizontal="center" vertical="center" wrapText="1"/>
    </xf>
    <xf numFmtId="14" fontId="14" fillId="20" borderId="6" xfId="2" applyNumberFormat="1" applyFont="1" applyFill="1" applyBorder="1" applyAlignment="1">
      <alignment horizontal="center" vertical="center" wrapText="1"/>
    </xf>
    <xf numFmtId="14" fontId="14" fillId="20" borderId="8" xfId="2" applyNumberFormat="1" applyFont="1" applyFill="1" applyBorder="1" applyAlignment="1">
      <alignment horizontal="center" vertical="center" wrapText="1"/>
    </xf>
    <xf numFmtId="14" fontId="14" fillId="20" borderId="53" xfId="2" applyNumberFormat="1" applyFont="1" applyFill="1" applyBorder="1" applyAlignment="1">
      <alignment horizontal="center" vertical="center" wrapText="1"/>
    </xf>
    <xf numFmtId="14" fontId="14" fillId="20" borderId="57" xfId="2" applyNumberFormat="1" applyFont="1" applyFill="1" applyBorder="1" applyAlignment="1">
      <alignment horizontal="center" vertical="center" wrapText="1"/>
    </xf>
    <xf numFmtId="14" fontId="14" fillId="20" borderId="58" xfId="2" applyNumberFormat="1" applyFont="1" applyFill="1" applyBorder="1" applyAlignment="1">
      <alignment horizontal="center" vertical="center" wrapText="1"/>
    </xf>
    <xf numFmtId="0" fontId="19" fillId="23" borderId="26" xfId="5" applyFont="1" applyFill="1" applyBorder="1" applyAlignment="1">
      <alignment horizontal="center" vertical="top" wrapText="1"/>
    </xf>
    <xf numFmtId="0" fontId="19" fillId="23" borderId="29" xfId="5" applyFont="1" applyFill="1" applyBorder="1" applyAlignment="1">
      <alignment horizontal="center" vertical="top" wrapText="1"/>
    </xf>
    <xf numFmtId="0" fontId="19" fillId="23" borderId="27" xfId="5" applyFont="1" applyFill="1" applyBorder="1" applyAlignment="1">
      <alignment horizontal="center" vertical="top" wrapText="1"/>
    </xf>
    <xf numFmtId="0" fontId="14" fillId="19" borderId="63" xfId="2" applyFont="1" applyFill="1" applyBorder="1" applyAlignment="1">
      <alignment horizontal="center" vertical="center" wrapText="1"/>
    </xf>
    <xf numFmtId="0" fontId="14" fillId="19" borderId="31" xfId="2" applyFont="1" applyFill="1" applyBorder="1" applyAlignment="1">
      <alignment horizontal="center" vertical="center" wrapText="1"/>
    </xf>
    <xf numFmtId="0" fontId="14" fillId="19" borderId="30" xfId="2" applyFont="1" applyFill="1" applyBorder="1" applyAlignment="1">
      <alignment horizontal="center" vertical="center" wrapText="1"/>
    </xf>
    <xf numFmtId="0" fontId="14" fillId="21" borderId="63" xfId="2" applyFont="1" applyFill="1" applyBorder="1" applyAlignment="1">
      <alignment horizontal="center" vertical="center" wrapText="1"/>
    </xf>
    <xf numFmtId="0" fontId="14" fillId="21" borderId="31" xfId="2" applyFont="1" applyFill="1" applyBorder="1" applyAlignment="1">
      <alignment horizontal="center" vertical="center" wrapText="1"/>
    </xf>
    <xf numFmtId="0" fontId="14" fillId="21" borderId="30" xfId="2" applyFont="1" applyFill="1" applyBorder="1" applyAlignment="1">
      <alignment horizontal="center" vertical="center" wrapText="1"/>
    </xf>
    <xf numFmtId="0" fontId="14" fillId="15" borderId="63" xfId="2" applyFont="1" applyFill="1" applyBorder="1" applyAlignment="1">
      <alignment horizontal="center" vertical="center" wrapText="1"/>
    </xf>
    <xf numFmtId="0" fontId="14" fillId="15" borderId="57" xfId="2" applyFont="1" applyFill="1" applyBorder="1" applyAlignment="1">
      <alignment horizontal="center" vertical="center" wrapText="1"/>
    </xf>
    <xf numFmtId="0" fontId="14" fillId="15" borderId="30" xfId="2" applyFont="1" applyFill="1" applyBorder="1" applyAlignment="1">
      <alignment horizontal="center" vertical="center" wrapText="1"/>
    </xf>
    <xf numFmtId="0" fontId="17" fillId="3" borderId="63" xfId="4" applyFont="1" applyBorder="1" applyAlignment="1">
      <alignment horizontal="center" vertical="top" wrapText="1"/>
    </xf>
    <xf numFmtId="0" fontId="17" fillId="3" borderId="31" xfId="4" applyFont="1" applyBorder="1" applyAlignment="1">
      <alignment horizontal="center" vertical="top" wrapText="1"/>
    </xf>
    <xf numFmtId="0" fontId="17" fillId="3" borderId="64" xfId="4" applyFont="1" applyBorder="1" applyAlignment="1">
      <alignment horizontal="center" vertical="top" wrapText="1"/>
    </xf>
    <xf numFmtId="0" fontId="17" fillId="3" borderId="30" xfId="4" applyFont="1" applyBorder="1" applyAlignment="1">
      <alignment horizontal="center" vertical="top" wrapText="1"/>
    </xf>
    <xf numFmtId="0" fontId="14" fillId="15" borderId="31" xfId="2" applyFont="1" applyFill="1" applyBorder="1" applyAlignment="1">
      <alignment horizontal="center" vertical="center" wrapText="1"/>
    </xf>
    <xf numFmtId="14" fontId="14" fillId="22" borderId="63" xfId="2" applyNumberFormat="1" applyFont="1" applyFill="1" applyBorder="1" applyAlignment="1">
      <alignment horizontal="center" vertical="center" wrapText="1"/>
    </xf>
    <xf numFmtId="14" fontId="14" fillId="22" borderId="30" xfId="2" applyNumberFormat="1" applyFont="1" applyFill="1" applyBorder="1" applyAlignment="1">
      <alignment horizontal="center" vertical="center" wrapText="1"/>
    </xf>
    <xf numFmtId="0" fontId="14" fillId="21" borderId="53" xfId="2" applyFont="1" applyFill="1" applyBorder="1" applyAlignment="1">
      <alignment horizontal="center" vertical="center" wrapText="1"/>
    </xf>
    <xf numFmtId="0" fontId="14" fillId="21" borderId="57" xfId="2" applyFont="1" applyFill="1" applyBorder="1" applyAlignment="1">
      <alignment horizontal="center" vertical="center" wrapText="1"/>
    </xf>
    <xf numFmtId="0" fontId="14" fillId="21" borderId="58" xfId="2" applyFont="1" applyFill="1" applyBorder="1" applyAlignment="1">
      <alignment horizontal="center" vertical="center" wrapText="1"/>
    </xf>
    <xf numFmtId="0" fontId="15" fillId="2" borderId="66" xfId="3" applyFont="1" applyBorder="1" applyAlignment="1">
      <alignment horizontal="left" vertical="center" wrapText="1"/>
    </xf>
    <xf numFmtId="0" fontId="15" fillId="2" borderId="65" xfId="3" applyFont="1" applyBorder="1" applyAlignment="1">
      <alignment horizontal="left" vertical="center" wrapText="1"/>
    </xf>
    <xf numFmtId="0" fontId="31" fillId="2" borderId="0" xfId="3" applyFont="1" applyBorder="1" applyAlignment="1">
      <alignment horizontal="left" vertical="top" wrapText="1"/>
    </xf>
    <xf numFmtId="0" fontId="29" fillId="2" borderId="19" xfId="3" applyFont="1" applyBorder="1" applyAlignment="1">
      <alignment horizontal="left" vertical="top" wrapText="1"/>
    </xf>
    <xf numFmtId="0" fontId="29" fillId="2" borderId="28" xfId="3" applyFont="1" applyBorder="1" applyAlignment="1">
      <alignment horizontal="left" vertical="top" wrapText="1"/>
    </xf>
    <xf numFmtId="0" fontId="29" fillId="2" borderId="81" xfId="3" applyFont="1" applyBorder="1" applyAlignment="1">
      <alignment horizontal="left" vertical="top"/>
    </xf>
    <xf numFmtId="0" fontId="29" fillId="2" borderId="71" xfId="3" applyFont="1" applyBorder="1" applyAlignment="1">
      <alignment horizontal="left" vertical="top"/>
    </xf>
    <xf numFmtId="0" fontId="31" fillId="2" borderId="0" xfId="3" applyFont="1" applyBorder="1" applyAlignment="1">
      <alignment horizontal="left" vertical="top"/>
    </xf>
    <xf numFmtId="0" fontId="29" fillId="2" borderId="19" xfId="3" applyFont="1" applyBorder="1" applyAlignment="1">
      <alignment horizontal="center" vertical="center"/>
    </xf>
    <xf numFmtId="0" fontId="29" fillId="2" borderId="28" xfId="3" applyFont="1" applyBorder="1" applyAlignment="1">
      <alignment horizontal="center" vertical="center"/>
    </xf>
    <xf numFmtId="0" fontId="34" fillId="26" borderId="72" xfId="0" applyFont="1" applyFill="1" applyBorder="1" applyAlignment="1">
      <alignment horizontal="center" vertical="center"/>
    </xf>
    <xf numFmtId="0" fontId="34" fillId="26" borderId="74" xfId="0" applyFont="1" applyFill="1" applyBorder="1" applyAlignment="1">
      <alignment horizontal="center" vertical="center"/>
    </xf>
    <xf numFmtId="0" fontId="19" fillId="2" borderId="26" xfId="3" applyFont="1" applyBorder="1" applyAlignment="1">
      <alignment horizontal="center" vertical="top" wrapText="1"/>
    </xf>
    <xf numFmtId="0" fontId="19" fillId="2" borderId="29" xfId="3" applyFont="1" applyBorder="1" applyAlignment="1">
      <alignment horizontal="center" vertical="top" wrapText="1"/>
    </xf>
    <xf numFmtId="0" fontId="14" fillId="25" borderId="12" xfId="2" applyFont="1" applyFill="1" applyBorder="1" applyAlignment="1">
      <alignment horizontal="center" vertical="center" wrapText="1"/>
    </xf>
    <xf numFmtId="0" fontId="14" fillId="25" borderId="71" xfId="2" applyFont="1" applyFill="1" applyBorder="1" applyAlignment="1">
      <alignment horizontal="center" vertical="center" wrapText="1"/>
    </xf>
    <xf numFmtId="0" fontId="4" fillId="8" borderId="32" xfId="9" applyFont="1" applyBorder="1" applyAlignment="1">
      <alignment horizontal="center" wrapText="1"/>
    </xf>
    <xf numFmtId="0" fontId="4" fillId="8" borderId="45" xfId="9" applyFont="1" applyBorder="1" applyAlignment="1">
      <alignment horizontal="center" wrapText="1"/>
    </xf>
    <xf numFmtId="0" fontId="4" fillId="8" borderId="39" xfId="9" applyFont="1" applyBorder="1" applyAlignment="1">
      <alignment horizontal="center" wrapText="1"/>
    </xf>
    <xf numFmtId="0" fontId="4" fillId="13" borderId="26" xfId="8" applyFont="1" applyFill="1" applyBorder="1" applyAlignment="1">
      <alignment horizontal="center" wrapText="1"/>
    </xf>
    <xf numFmtId="0" fontId="4" fillId="13" borderId="29" xfId="8" applyFont="1" applyFill="1" applyBorder="1" applyAlignment="1">
      <alignment horizontal="center" wrapText="1"/>
    </xf>
    <xf numFmtId="0" fontId="4" fillId="13" borderId="27" xfId="8" applyFont="1" applyFill="1" applyBorder="1" applyAlignment="1">
      <alignment horizontal="center" wrapText="1"/>
    </xf>
    <xf numFmtId="0" fontId="4" fillId="10" borderId="11" xfId="11" applyFont="1" applyBorder="1" applyAlignment="1">
      <alignment horizontal="center" vertical="center" wrapText="1"/>
    </xf>
    <xf numFmtId="0" fontId="4" fillId="10" borderId="4" xfId="11" applyFont="1" applyBorder="1" applyAlignment="1">
      <alignment horizontal="center" vertical="center" wrapText="1"/>
    </xf>
    <xf numFmtId="0" fontId="4" fillId="10" borderId="17" xfId="11" applyFont="1" applyBorder="1" applyAlignment="1">
      <alignment horizontal="center" vertical="center" wrapText="1"/>
    </xf>
    <xf numFmtId="0" fontId="4" fillId="10" borderId="5" xfId="11" applyFont="1" applyBorder="1" applyAlignment="1">
      <alignment horizontal="center" vertical="center" wrapText="1"/>
    </xf>
    <xf numFmtId="0" fontId="4" fillId="29" borderId="3" xfId="20" applyFont="1" applyBorder="1" applyAlignment="1">
      <alignment horizontal="center" vertical="center"/>
    </xf>
    <xf numFmtId="0" fontId="4" fillId="29" borderId="11" xfId="20" applyFont="1" applyBorder="1" applyAlignment="1">
      <alignment horizontal="center" vertical="center"/>
    </xf>
    <xf numFmtId="0" fontId="4" fillId="29" borderId="4" xfId="20" applyFont="1" applyBorder="1" applyAlignment="1">
      <alignment horizontal="center" vertical="center"/>
    </xf>
    <xf numFmtId="0" fontId="4" fillId="29" borderId="5" xfId="20" applyFont="1" applyBorder="1" applyAlignment="1">
      <alignment horizontal="center" vertical="center"/>
    </xf>
    <xf numFmtId="0" fontId="4" fillId="10" borderId="71" xfId="11" applyFont="1" applyBorder="1" applyAlignment="1">
      <alignment horizontal="center" wrapText="1"/>
    </xf>
    <xf numFmtId="0" fontId="4" fillId="10" borderId="44" xfId="11" applyFont="1" applyBorder="1" applyAlignment="1">
      <alignment horizontal="center" wrapText="1"/>
    </xf>
    <xf numFmtId="0" fontId="4" fillId="10" borderId="55" xfId="11" applyFont="1" applyBorder="1" applyAlignment="1">
      <alignment horizontal="center" wrapText="1"/>
    </xf>
    <xf numFmtId="0" fontId="4" fillId="10" borderId="56" xfId="11" applyFont="1" applyBorder="1" applyAlignment="1">
      <alignment horizontal="center" wrapText="1"/>
    </xf>
    <xf numFmtId="0" fontId="4" fillId="29" borderId="51" xfId="20" applyFont="1" applyBorder="1" applyAlignment="1">
      <alignment horizontal="center" wrapText="1"/>
    </xf>
    <xf numFmtId="0" fontId="4" fillId="29" borderId="39" xfId="20" applyFont="1" applyBorder="1" applyAlignment="1">
      <alignment horizontal="center" wrapText="1"/>
    </xf>
    <xf numFmtId="0" fontId="4" fillId="29" borderId="54" xfId="20" applyFont="1" applyBorder="1" applyAlignment="1">
      <alignment horizontal="center" wrapText="1"/>
    </xf>
    <xf numFmtId="0" fontId="4" fillId="29" borderId="38" xfId="20" applyFont="1" applyBorder="1" applyAlignment="1">
      <alignment horizontal="center" wrapText="1"/>
    </xf>
    <xf numFmtId="0" fontId="4" fillId="29" borderId="54" xfId="20" applyFont="1" applyBorder="1" applyAlignment="1" applyProtection="1">
      <alignment horizontal="center" wrapText="1"/>
    </xf>
    <xf numFmtId="0" fontId="4" fillId="29" borderId="38" xfId="20" applyFont="1" applyBorder="1" applyAlignment="1" applyProtection="1">
      <alignment horizontal="center" wrapText="1"/>
    </xf>
    <xf numFmtId="0" fontId="4" fillId="29" borderId="55" xfId="20" applyFont="1" applyBorder="1" applyAlignment="1">
      <alignment horizontal="center" wrapText="1"/>
    </xf>
    <xf numFmtId="0" fontId="4" fillId="29" borderId="56" xfId="20" applyFont="1" applyBorder="1" applyAlignment="1">
      <alignment horizontal="center" wrapText="1"/>
    </xf>
    <xf numFmtId="0" fontId="4" fillId="10" borderId="20" xfId="11" applyFont="1" applyBorder="1" applyAlignment="1">
      <alignment horizontal="center" vertical="center" wrapText="1"/>
    </xf>
    <xf numFmtId="0" fontId="4" fillId="10" borderId="50" xfId="11" applyFont="1" applyBorder="1" applyAlignment="1">
      <alignment horizontal="center" vertical="center" wrapText="1"/>
    </xf>
    <xf numFmtId="0" fontId="4" fillId="6" borderId="2" xfId="7" applyFont="1" applyBorder="1" applyAlignment="1" applyProtection="1">
      <alignment horizontal="center" vertical="center" wrapText="1"/>
    </xf>
    <xf numFmtId="0" fontId="4" fillId="10" borderId="2" xfId="11" applyFont="1" applyBorder="1" applyAlignment="1">
      <alignment horizontal="center" wrapText="1"/>
    </xf>
    <xf numFmtId="0" fontId="4" fillId="10" borderId="9" xfId="11" applyFont="1" applyBorder="1" applyAlignment="1">
      <alignment horizontal="center" wrapText="1"/>
    </xf>
    <xf numFmtId="0" fontId="4" fillId="8" borderId="5" xfId="9" applyFont="1" applyBorder="1" applyAlignment="1">
      <alignment horizontal="center" wrapText="1"/>
    </xf>
    <xf numFmtId="0" fontId="4" fillId="8" borderId="7" xfId="9" applyFont="1" applyBorder="1" applyAlignment="1">
      <alignment horizontal="center" wrapText="1"/>
    </xf>
    <xf numFmtId="0" fontId="4" fillId="8" borderId="10" xfId="9" applyFont="1" applyBorder="1" applyAlignment="1">
      <alignment horizontal="center" wrapText="1"/>
    </xf>
    <xf numFmtId="0" fontId="4" fillId="9" borderId="3" xfId="10" applyFont="1" applyBorder="1" applyAlignment="1">
      <alignment horizontal="center" vertical="center"/>
    </xf>
    <xf numFmtId="0" fontId="4" fillId="9" borderId="4" xfId="10" applyFont="1" applyBorder="1" applyAlignment="1">
      <alignment horizontal="center" vertical="center"/>
    </xf>
    <xf numFmtId="0" fontId="4" fillId="9" borderId="17" xfId="10" applyFont="1" applyBorder="1" applyAlignment="1">
      <alignment horizontal="center" vertical="center"/>
    </xf>
    <xf numFmtId="0" fontId="4" fillId="9" borderId="5" xfId="10" applyFont="1" applyBorder="1" applyAlignment="1">
      <alignment horizontal="center" vertical="center"/>
    </xf>
    <xf numFmtId="0" fontId="4" fillId="49" borderId="53" xfId="11" applyFont="1" applyFill="1" applyBorder="1" applyAlignment="1">
      <alignment horizontal="center" wrapText="1"/>
    </xf>
    <xf numFmtId="0" fontId="4" fillId="49" borderId="57" xfId="11" applyFont="1" applyFill="1" applyBorder="1" applyAlignment="1">
      <alignment horizontal="center" wrapText="1"/>
    </xf>
    <xf numFmtId="0" fontId="4" fillId="49" borderId="58" xfId="11" applyFont="1" applyFill="1" applyBorder="1" applyAlignment="1">
      <alignment horizontal="center" wrapText="1"/>
    </xf>
    <xf numFmtId="0" fontId="4" fillId="8" borderId="4" xfId="9" applyFont="1" applyBorder="1" applyAlignment="1">
      <alignment horizontal="center" wrapText="1"/>
    </xf>
    <xf numFmtId="0" fontId="4" fillId="8" borderId="2" xfId="9" applyFont="1" applyBorder="1" applyAlignment="1">
      <alignment horizontal="center" wrapText="1"/>
    </xf>
    <xf numFmtId="0" fontId="4" fillId="8" borderId="9" xfId="9" applyFont="1" applyBorder="1" applyAlignment="1">
      <alignment horizontal="center" wrapText="1"/>
    </xf>
    <xf numFmtId="0" fontId="4" fillId="6" borderId="53" xfId="7" applyFont="1" applyBorder="1" applyAlignment="1">
      <alignment horizontal="center" vertical="center"/>
    </xf>
    <xf numFmtId="0" fontId="4" fillId="6" borderId="52" xfId="7" applyFont="1" applyBorder="1" applyAlignment="1">
      <alignment horizontal="center" vertical="center"/>
    </xf>
    <xf numFmtId="0" fontId="4" fillId="6" borderId="25" xfId="7" applyFont="1" applyBorder="1" applyAlignment="1">
      <alignment horizontal="center" vertical="center"/>
    </xf>
    <xf numFmtId="0" fontId="4" fillId="6" borderId="6" xfId="7" applyFont="1" applyBorder="1" applyAlignment="1">
      <alignment horizontal="center" vertical="center"/>
    </xf>
    <xf numFmtId="0" fontId="4" fillId="6" borderId="2" xfId="7" applyFont="1" applyBorder="1" applyAlignment="1">
      <alignment horizontal="center" vertical="center"/>
    </xf>
    <xf numFmtId="0" fontId="4" fillId="6" borderId="55" xfId="7" applyFont="1" applyBorder="1" applyAlignment="1">
      <alignment horizontal="center" wrapText="1"/>
    </xf>
    <xf numFmtId="0" fontId="4" fillId="6" borderId="56" xfId="7" applyFont="1" applyBorder="1" applyAlignment="1">
      <alignment horizontal="center" wrapText="1"/>
    </xf>
    <xf numFmtId="0" fontId="4" fillId="9" borderId="54" xfId="10" applyFont="1" applyBorder="1" applyAlignment="1">
      <alignment horizontal="center" wrapText="1"/>
    </xf>
    <xf numFmtId="0" fontId="4" fillId="9" borderId="38" xfId="10" applyFont="1" applyBorder="1" applyAlignment="1">
      <alignment horizontal="center" wrapText="1"/>
    </xf>
    <xf numFmtId="0" fontId="4" fillId="9" borderId="55" xfId="10" applyFont="1" applyBorder="1" applyAlignment="1">
      <alignment horizontal="center" wrapText="1"/>
    </xf>
    <xf numFmtId="0" fontId="4" fillId="9" borderId="56" xfId="10" applyFont="1" applyBorder="1" applyAlignment="1">
      <alignment horizontal="center" wrapText="1"/>
    </xf>
    <xf numFmtId="0" fontId="4" fillId="9" borderId="51" xfId="10" applyFont="1" applyBorder="1" applyAlignment="1">
      <alignment horizontal="center" wrapText="1"/>
    </xf>
    <xf numFmtId="0" fontId="4" fillId="9" borderId="39" xfId="10" applyFont="1" applyBorder="1" applyAlignment="1">
      <alignment horizontal="center" wrapText="1"/>
    </xf>
    <xf numFmtId="0" fontId="4" fillId="6" borderId="2" xfId="7" applyFont="1" applyBorder="1" applyAlignment="1" applyProtection="1">
      <alignment horizontal="center" wrapText="1"/>
    </xf>
    <xf numFmtId="0" fontId="4" fillId="6" borderId="9" xfId="7" applyFont="1" applyBorder="1" applyAlignment="1" applyProtection="1">
      <alignment horizontal="center" wrapText="1"/>
    </xf>
    <xf numFmtId="0" fontId="4" fillId="8" borderId="21" xfId="9" applyFont="1" applyBorder="1" applyAlignment="1">
      <alignment horizontal="center" wrapText="1"/>
    </xf>
    <xf numFmtId="0" fontId="4" fillId="8" borderId="22" xfId="9" applyFont="1" applyBorder="1" applyAlignment="1">
      <alignment horizontal="center" wrapText="1"/>
    </xf>
    <xf numFmtId="0" fontId="4" fillId="10" borderId="26" xfId="11" applyFont="1" applyBorder="1" applyAlignment="1">
      <alignment horizontal="center" wrapText="1"/>
    </xf>
    <xf numFmtId="0" fontId="4" fillId="10" borderId="27" xfId="11" applyFont="1" applyBorder="1" applyAlignment="1">
      <alignment horizontal="center" wrapText="1"/>
    </xf>
    <xf numFmtId="0" fontId="4" fillId="3" borderId="11" xfId="4" applyFont="1" applyBorder="1" applyAlignment="1">
      <alignment horizontal="center" vertical="center"/>
    </xf>
    <xf numFmtId="0" fontId="4" fillId="3" borderId="4" xfId="4" applyFont="1" applyBorder="1" applyAlignment="1">
      <alignment horizontal="center" vertical="center"/>
    </xf>
    <xf numFmtId="0" fontId="4" fillId="3" borderId="17" xfId="4" applyFont="1" applyBorder="1" applyAlignment="1">
      <alignment horizontal="center" vertical="center"/>
    </xf>
    <xf numFmtId="0" fontId="4" fillId="3" borderId="5" xfId="4" applyFont="1" applyBorder="1" applyAlignment="1">
      <alignment horizontal="center" vertical="center"/>
    </xf>
    <xf numFmtId="0" fontId="4" fillId="8" borderId="33" xfId="9" applyFont="1" applyBorder="1" applyAlignment="1">
      <alignment horizontal="center" wrapText="1"/>
    </xf>
    <xf numFmtId="0" fontId="4" fillId="8" borderId="38" xfId="9" applyFont="1" applyBorder="1" applyAlignment="1">
      <alignment horizontal="center" wrapText="1"/>
    </xf>
    <xf numFmtId="0" fontId="4" fillId="13" borderId="40" xfId="8" applyFont="1" applyFill="1" applyBorder="1" applyAlignment="1">
      <alignment horizontal="center" wrapText="1"/>
    </xf>
    <xf numFmtId="0" fontId="4" fillId="13" borderId="41" xfId="8" applyFont="1" applyFill="1" applyBorder="1" applyAlignment="1">
      <alignment horizontal="center" wrapText="1"/>
    </xf>
    <xf numFmtId="0" fontId="4" fillId="5" borderId="3" xfId="6" applyFont="1" applyBorder="1" applyAlignment="1">
      <alignment horizontal="center" vertical="center"/>
    </xf>
    <xf numFmtId="0" fontId="4" fillId="5" borderId="11" xfId="6" applyFont="1" applyBorder="1" applyAlignment="1">
      <alignment horizontal="center" vertical="center"/>
    </xf>
    <xf numFmtId="0" fontId="4" fillId="5" borderId="4" xfId="6" applyFont="1" applyBorder="1" applyAlignment="1">
      <alignment horizontal="center" vertical="center"/>
    </xf>
    <xf numFmtId="0" fontId="4" fillId="5" borderId="5" xfId="6" applyFont="1" applyBorder="1" applyAlignment="1">
      <alignment horizontal="center" vertical="center"/>
    </xf>
    <xf numFmtId="0" fontId="6" fillId="11" borderId="32" xfId="14" applyFont="1" applyBorder="1" applyAlignment="1">
      <alignment horizontal="center" vertical="center"/>
    </xf>
    <xf numFmtId="0" fontId="6" fillId="11" borderId="42" xfId="14" applyFont="1" applyBorder="1" applyAlignment="1">
      <alignment horizontal="center" vertical="center"/>
    </xf>
    <xf numFmtId="0" fontId="6" fillId="11" borderId="33" xfId="14" applyFont="1" applyBorder="1" applyAlignment="1">
      <alignment horizontal="center" vertical="center"/>
    </xf>
    <xf numFmtId="0" fontId="6" fillId="11" borderId="34" xfId="14" applyFont="1" applyBorder="1" applyAlignment="1">
      <alignment horizontal="center" vertical="center"/>
    </xf>
    <xf numFmtId="0" fontId="4" fillId="12" borderId="3" xfId="15" applyFont="1" applyBorder="1" applyAlignment="1">
      <alignment horizontal="center" vertical="center" wrapText="1"/>
    </xf>
    <xf numFmtId="0" fontId="4" fillId="12" borderId="4" xfId="15" applyFont="1" applyBorder="1" applyAlignment="1">
      <alignment horizontal="center" vertical="center" wrapText="1"/>
    </xf>
    <xf numFmtId="0" fontId="4" fillId="12" borderId="5" xfId="15" applyFont="1" applyBorder="1" applyAlignment="1">
      <alignment horizontal="center" vertical="center" wrapText="1"/>
    </xf>
    <xf numFmtId="0" fontId="4" fillId="6" borderId="32" xfId="7" applyFont="1" applyBorder="1" applyAlignment="1">
      <alignment horizontal="center" vertical="center"/>
    </xf>
    <xf numFmtId="0" fontId="4" fillId="6" borderId="42" xfId="7" applyFont="1" applyBorder="1" applyAlignment="1">
      <alignment horizontal="center" vertical="center"/>
    </xf>
    <xf numFmtId="0" fontId="4" fillId="6" borderId="33" xfId="7" applyFont="1" applyBorder="1" applyAlignment="1">
      <alignment horizontal="center" vertical="center"/>
    </xf>
    <xf numFmtId="0" fontId="4" fillId="6" borderId="34" xfId="7" applyFont="1" applyBorder="1" applyAlignment="1">
      <alignment horizontal="center" vertical="center"/>
    </xf>
    <xf numFmtId="0" fontId="4" fillId="9" borderId="11" xfId="10" applyFont="1" applyBorder="1" applyAlignment="1">
      <alignment horizontal="center" vertical="center"/>
    </xf>
    <xf numFmtId="0" fontId="4" fillId="13" borderId="5" xfId="8" applyFont="1" applyFill="1" applyBorder="1" applyAlignment="1">
      <alignment horizontal="center" wrapText="1"/>
    </xf>
    <xf numFmtId="0" fontId="4" fillId="13" borderId="10" xfId="8" applyFont="1" applyFill="1" applyBorder="1" applyAlignment="1">
      <alignment horizontal="center" wrapText="1"/>
    </xf>
    <xf numFmtId="0" fontId="4" fillId="8" borderId="3" xfId="9" applyFont="1" applyBorder="1" applyAlignment="1">
      <alignment horizontal="center" wrapText="1"/>
    </xf>
    <xf numFmtId="0" fontId="4" fillId="8" borderId="8" xfId="9" applyFont="1" applyBorder="1" applyAlignment="1">
      <alignment horizontal="center" wrapText="1"/>
    </xf>
    <xf numFmtId="0" fontId="4" fillId="3" borderId="3" xfId="4" applyFont="1" applyBorder="1" applyAlignment="1">
      <alignment horizontal="center" vertical="center"/>
    </xf>
    <xf numFmtId="0" fontId="4" fillId="5" borderId="17" xfId="6" applyFont="1" applyBorder="1" applyAlignment="1">
      <alignment horizontal="center" vertical="center"/>
    </xf>
    <xf numFmtId="0" fontId="4" fillId="14" borderId="3" xfId="16" applyFont="1" applyBorder="1" applyAlignment="1">
      <alignment horizontal="center" vertical="center"/>
    </xf>
    <xf numFmtId="0" fontId="4" fillId="14" borderId="4" xfId="16" applyFont="1" applyBorder="1" applyAlignment="1">
      <alignment horizontal="center" vertical="center"/>
    </xf>
    <xf numFmtId="0" fontId="4" fillId="14" borderId="5" xfId="16" applyFont="1" applyBorder="1" applyAlignment="1">
      <alignment horizontal="center" vertical="center"/>
    </xf>
    <xf numFmtId="0" fontId="4" fillId="6" borderId="3" xfId="7" applyFont="1" applyBorder="1" applyAlignment="1">
      <alignment horizontal="center" vertical="center"/>
    </xf>
    <xf numFmtId="0" fontId="4" fillId="6" borderId="11" xfId="7" applyFont="1" applyBorder="1" applyAlignment="1">
      <alignment horizontal="center" vertical="center"/>
    </xf>
    <xf numFmtId="0" fontId="4" fillId="6" borderId="4" xfId="7" applyFont="1" applyBorder="1" applyAlignment="1">
      <alignment horizontal="center" vertical="center"/>
    </xf>
    <xf numFmtId="0" fontId="4" fillId="6" borderId="17" xfId="7" applyFont="1" applyBorder="1" applyAlignment="1">
      <alignment horizontal="center" vertical="center"/>
    </xf>
    <xf numFmtId="0" fontId="4" fillId="13" borderId="47" xfId="8" applyFont="1" applyFill="1" applyBorder="1" applyAlignment="1">
      <alignment horizontal="center" wrapText="1"/>
    </xf>
    <xf numFmtId="0" fontId="4" fillId="4" borderId="3" xfId="5" applyFont="1" applyBorder="1" applyAlignment="1">
      <alignment horizontal="center" vertical="center"/>
    </xf>
    <xf numFmtId="0" fontId="4" fillId="4" borderId="4" xfId="5" applyFont="1" applyBorder="1" applyAlignment="1">
      <alignment horizontal="center" vertical="center"/>
    </xf>
    <xf numFmtId="0" fontId="4" fillId="4" borderId="17" xfId="5" applyFont="1" applyBorder="1" applyAlignment="1">
      <alignment horizontal="center" vertical="center"/>
    </xf>
    <xf numFmtId="0" fontId="4" fillId="4" borderId="5" xfId="5" applyFont="1" applyBorder="1" applyAlignment="1">
      <alignment horizontal="center" vertical="center"/>
    </xf>
    <xf numFmtId="0" fontId="4" fillId="6" borderId="40" xfId="7" applyFont="1" applyBorder="1" applyAlignment="1">
      <alignment horizontal="center" vertical="center"/>
    </xf>
    <xf numFmtId="167" fontId="1" fillId="5" borderId="2" xfId="6" applyNumberFormat="1" applyBorder="1" applyAlignment="1" applyProtection="1">
      <alignment horizontal="center" wrapText="1"/>
      <protection locked="0"/>
    </xf>
    <xf numFmtId="0" fontId="4" fillId="6" borderId="20" xfId="7" applyFont="1" applyBorder="1" applyAlignment="1" applyProtection="1">
      <alignment horizontal="center" wrapText="1"/>
    </xf>
    <xf numFmtId="0" fontId="4" fillId="6" borderId="50" xfId="7" applyFont="1" applyBorder="1" applyAlignment="1" applyProtection="1">
      <alignment horizontal="center" wrapText="1"/>
    </xf>
    <xf numFmtId="0" fontId="4" fillId="6" borderId="2" xfId="7" applyFont="1" applyBorder="1" applyAlignment="1">
      <alignment horizontal="center" wrapText="1"/>
    </xf>
    <xf numFmtId="0" fontId="4" fillId="6" borderId="20" xfId="7" applyFont="1" applyBorder="1" applyAlignment="1">
      <alignment horizontal="center" wrapText="1"/>
    </xf>
    <xf numFmtId="0" fontId="4" fillId="6" borderId="18" xfId="7" applyFont="1" applyBorder="1" applyAlignment="1">
      <alignment horizontal="center" wrapText="1"/>
    </xf>
    <xf numFmtId="0" fontId="4" fillId="4" borderId="64" xfId="5" applyFont="1" applyBorder="1" applyAlignment="1">
      <alignment horizontal="center" vertical="center" wrapText="1"/>
    </xf>
    <xf numFmtId="0" fontId="4" fillId="4" borderId="79" xfId="5" applyFont="1" applyBorder="1" applyAlignment="1">
      <alignment horizontal="center" vertical="center" wrapText="1"/>
    </xf>
    <xf numFmtId="0" fontId="4" fillId="4" borderId="71" xfId="5" applyFont="1" applyBorder="1" applyAlignment="1">
      <alignment horizontal="center" vertical="center" wrapText="1"/>
    </xf>
    <xf numFmtId="0" fontId="4" fillId="4" borderId="54" xfId="5" applyFont="1" applyBorder="1" applyAlignment="1">
      <alignment horizontal="center" wrapText="1"/>
    </xf>
    <xf numFmtId="0" fontId="4" fillId="4" borderId="38" xfId="5" applyFont="1" applyBorder="1" applyAlignment="1">
      <alignment horizontal="center" wrapText="1"/>
    </xf>
    <xf numFmtId="0" fontId="4" fillId="4" borderId="55" xfId="5" applyFont="1" applyBorder="1" applyAlignment="1">
      <alignment horizontal="center" wrapText="1"/>
    </xf>
    <xf numFmtId="0" fontId="4" fillId="4" borderId="56" xfId="5" applyFont="1" applyBorder="1" applyAlignment="1">
      <alignment horizontal="center" wrapText="1"/>
    </xf>
    <xf numFmtId="0" fontId="4" fillId="10" borderId="29" xfId="11" applyFont="1" applyBorder="1" applyAlignment="1">
      <alignment horizontal="center" wrapText="1"/>
    </xf>
    <xf numFmtId="0" fontId="4" fillId="8" borderId="29" xfId="9" applyFont="1" applyBorder="1" applyAlignment="1">
      <alignment horizontal="center" wrapText="1"/>
    </xf>
    <xf numFmtId="0" fontId="4" fillId="6" borderId="6" xfId="7" applyFont="1" applyBorder="1" applyAlignment="1">
      <alignment horizontal="center" wrapText="1"/>
    </xf>
    <xf numFmtId="0" fontId="4" fillId="9" borderId="45" xfId="10" applyFont="1" applyBorder="1" applyAlignment="1">
      <alignment horizontal="center" wrapText="1"/>
    </xf>
    <xf numFmtId="0" fontId="4" fillId="9" borderId="46" xfId="10" applyFont="1" applyBorder="1" applyAlignment="1">
      <alignment horizontal="center" wrapText="1"/>
    </xf>
    <xf numFmtId="0" fontId="4" fillId="9" borderId="47" xfId="10" applyFont="1" applyBorder="1" applyAlignment="1">
      <alignment horizontal="center" wrapText="1"/>
    </xf>
    <xf numFmtId="0" fontId="26" fillId="2" borderId="68" xfId="3" applyFont="1" applyBorder="1" applyAlignment="1">
      <alignment horizontal="center" vertical="center"/>
    </xf>
    <xf numFmtId="0" fontId="26" fillId="2" borderId="69" xfId="3" applyFont="1" applyBorder="1" applyAlignment="1">
      <alignment horizontal="center" vertical="center"/>
    </xf>
    <xf numFmtId="0" fontId="26" fillId="2" borderId="70" xfId="3" applyFont="1" applyBorder="1" applyAlignment="1">
      <alignment horizontal="center" vertical="center"/>
    </xf>
    <xf numFmtId="0" fontId="4" fillId="10" borderId="5" xfId="11" applyFont="1" applyBorder="1" applyAlignment="1" applyProtection="1">
      <alignment horizontal="center" wrapText="1"/>
    </xf>
    <xf numFmtId="0" fontId="4" fillId="10" borderId="10" xfId="11" applyFont="1" applyBorder="1" applyAlignment="1" applyProtection="1">
      <alignment horizontal="center" wrapText="1"/>
    </xf>
    <xf numFmtId="0" fontId="4" fillId="8" borderId="3" xfId="9" applyFont="1" applyBorder="1" applyAlignment="1" applyProtection="1">
      <alignment horizontal="center" vertical="center" wrapText="1"/>
    </xf>
    <xf numFmtId="0" fontId="4" fillId="8" borderId="8" xfId="9" applyFont="1" applyBorder="1" applyAlignment="1" applyProtection="1">
      <alignment horizontal="center" vertical="center" wrapText="1"/>
    </xf>
    <xf numFmtId="0" fontId="4" fillId="13" borderId="5" xfId="9" applyFont="1" applyFill="1" applyBorder="1" applyAlignment="1" applyProtection="1">
      <alignment horizontal="center" wrapText="1"/>
    </xf>
    <xf numFmtId="0" fontId="4" fillId="13" borderId="10" xfId="9" applyFont="1" applyFill="1" applyBorder="1" applyAlignment="1" applyProtection="1">
      <alignment horizontal="center" wrapText="1"/>
    </xf>
    <xf numFmtId="0" fontId="4" fillId="4" borderId="11" xfId="5" applyFont="1" applyBorder="1" applyAlignment="1" applyProtection="1">
      <alignment horizontal="center" wrapText="1"/>
    </xf>
    <xf numFmtId="0" fontId="4" fillId="4" borderId="13" xfId="5" applyFont="1" applyBorder="1" applyAlignment="1" applyProtection="1">
      <alignment horizontal="center" wrapText="1"/>
    </xf>
    <xf numFmtId="0" fontId="4" fillId="6" borderId="4" xfId="7" applyFont="1" applyBorder="1" applyAlignment="1" applyProtection="1">
      <alignment horizontal="center" wrapText="1"/>
    </xf>
    <xf numFmtId="0" fontId="18" fillId="8" borderId="60" xfId="9" applyFont="1" applyBorder="1" applyAlignment="1" applyProtection="1">
      <alignment horizontal="center" vertical="center" wrapText="1"/>
    </xf>
    <xf numFmtId="0" fontId="18" fillId="8" borderId="59" xfId="9" applyFont="1" applyBorder="1" applyAlignment="1" applyProtection="1">
      <alignment horizontal="center" vertical="center" wrapText="1"/>
    </xf>
    <xf numFmtId="0" fontId="18" fillId="8" borderId="25" xfId="9" applyFont="1" applyBorder="1" applyAlignment="1" applyProtection="1">
      <alignment horizontal="center" vertical="center" wrapText="1"/>
    </xf>
    <xf numFmtId="0" fontId="0" fillId="0" borderId="2" xfId="0" applyBorder="1" applyAlignment="1">
      <alignment horizontal="right" vertical="center"/>
    </xf>
    <xf numFmtId="0" fontId="0" fillId="0" borderId="2" xfId="0" applyBorder="1" applyAlignment="1">
      <alignment horizontal="left" vertical="center"/>
    </xf>
    <xf numFmtId="0" fontId="4" fillId="0" borderId="2" xfId="0" applyFont="1" applyBorder="1" applyAlignment="1">
      <alignment horizontal="center" vertical="center"/>
    </xf>
    <xf numFmtId="0" fontId="4" fillId="0" borderId="20" xfId="0" applyFont="1" applyBorder="1" applyAlignment="1">
      <alignment horizontal="center" vertical="center"/>
    </xf>
    <xf numFmtId="0" fontId="4" fillId="0" borderId="12" xfId="0" applyFont="1" applyBorder="1" applyAlignment="1">
      <alignment horizontal="center" vertical="center"/>
    </xf>
    <xf numFmtId="0" fontId="0" fillId="0" borderId="50" xfId="0" applyBorder="1" applyAlignment="1">
      <alignment horizontal="left"/>
    </xf>
    <xf numFmtId="0" fontId="0" fillId="0" borderId="53" xfId="0" applyBorder="1" applyAlignment="1">
      <alignment horizontal="center"/>
    </xf>
    <xf numFmtId="0" fontId="0" fillId="0" borderId="52" xfId="0" applyBorder="1" applyAlignment="1">
      <alignment horizontal="center"/>
    </xf>
    <xf numFmtId="0" fontId="0" fillId="0" borderId="80" xfId="0" applyBorder="1" applyAlignment="1">
      <alignment horizontal="center"/>
    </xf>
    <xf numFmtId="0" fontId="0" fillId="0" borderId="49" xfId="0" applyBorder="1" applyAlignment="1">
      <alignment horizontal="center"/>
    </xf>
    <xf numFmtId="0" fontId="4" fillId="13" borderId="8" xfId="0" applyFont="1" applyFill="1" applyBorder="1" applyAlignment="1">
      <alignment horizontal="left"/>
    </xf>
    <xf numFmtId="0" fontId="4" fillId="13" borderId="18" xfId="0" applyFont="1" applyFill="1" applyBorder="1" applyAlignment="1">
      <alignment horizontal="left"/>
    </xf>
    <xf numFmtId="0" fontId="0" fillId="0" borderId="60" xfId="0" applyBorder="1" applyAlignment="1">
      <alignment horizontal="center"/>
    </xf>
    <xf numFmtId="0" fontId="0" fillId="0" borderId="59" xfId="0" applyBorder="1" applyAlignment="1">
      <alignment horizontal="center"/>
    </xf>
    <xf numFmtId="0" fontId="0" fillId="0" borderId="61" xfId="0" applyBorder="1" applyAlignment="1">
      <alignment horizontal="center"/>
    </xf>
    <xf numFmtId="0" fontId="39" fillId="27" borderId="2" xfId="18" applyFont="1" applyBorder="1" applyAlignment="1">
      <alignment horizontal="left" vertical="top" wrapText="1"/>
    </xf>
    <xf numFmtId="0" fontId="37" fillId="2" borderId="76" xfId="3" applyFont="1" applyBorder="1" applyAlignment="1">
      <alignment horizontal="center"/>
    </xf>
    <xf numFmtId="0" fontId="37" fillId="2" borderId="77" xfId="3" applyFont="1" applyBorder="1" applyAlignment="1">
      <alignment horizontal="center"/>
    </xf>
    <xf numFmtId="0" fontId="37" fillId="2" borderId="78" xfId="3" applyFont="1" applyBorder="1" applyAlignment="1">
      <alignment horizontal="center"/>
    </xf>
    <xf numFmtId="0" fontId="39" fillId="27" borderId="79" xfId="18" applyFont="1" applyBorder="1" applyAlignment="1">
      <alignment horizontal="center" vertical="top"/>
    </xf>
    <xf numFmtId="0" fontId="39" fillId="27" borderId="0" xfId="18" applyFont="1" applyBorder="1" applyAlignment="1">
      <alignment horizontal="center" vertical="top"/>
    </xf>
    <xf numFmtId="0" fontId="69" fillId="13" borderId="53" xfId="28" applyFont="1" applyFill="1" applyBorder="1" applyAlignment="1">
      <alignment horizontal="center" vertical="center" wrapText="1"/>
    </xf>
    <xf numFmtId="0" fontId="69" fillId="13" borderId="52" xfId="28" applyFont="1" applyFill="1" applyBorder="1" applyAlignment="1">
      <alignment horizontal="center" vertical="center" wrapText="1"/>
    </xf>
    <xf numFmtId="0" fontId="69" fillId="13" borderId="25" xfId="28" applyFont="1" applyFill="1" applyBorder="1" applyAlignment="1">
      <alignment horizontal="center" vertical="center" wrapText="1"/>
    </xf>
    <xf numFmtId="0" fontId="69" fillId="13" borderId="58" xfId="28" applyFont="1" applyFill="1" applyBorder="1" applyAlignment="1">
      <alignment horizontal="center" vertical="center" wrapText="1"/>
    </xf>
    <xf numFmtId="0" fontId="69" fillId="13" borderId="92" xfId="28" applyFont="1" applyFill="1" applyBorder="1" applyAlignment="1">
      <alignment horizontal="center" vertical="center" wrapText="1"/>
    </xf>
    <xf numFmtId="0" fontId="69" fillId="13" borderId="93" xfId="28" applyFont="1" applyFill="1" applyBorder="1" applyAlignment="1">
      <alignment horizontal="center" vertical="center" wrapText="1"/>
    </xf>
    <xf numFmtId="0" fontId="86" fillId="0" borderId="57" xfId="28" applyBorder="1" applyAlignment="1">
      <alignment horizontal="left" wrapText="1"/>
    </xf>
    <xf numFmtId="0" fontId="86" fillId="0" borderId="0" xfId="28" applyAlignment="1">
      <alignment horizontal="left" wrapText="1"/>
    </xf>
    <xf numFmtId="0" fontId="86" fillId="0" borderId="57" xfId="28" applyBorder="1" applyAlignment="1">
      <alignment horizontal="left" vertical="top" wrapText="1"/>
    </xf>
    <xf numFmtId="0" fontId="86" fillId="0" borderId="0" xfId="28" applyAlignment="1">
      <alignment horizontal="left" vertical="top" wrapText="1"/>
    </xf>
    <xf numFmtId="0" fontId="82" fillId="0" borderId="2" xfId="28" applyFont="1" applyBorder="1" applyAlignment="1">
      <alignment horizontal="center" vertical="center"/>
    </xf>
    <xf numFmtId="0" fontId="105" fillId="0" borderId="94" xfId="28" applyFont="1" applyBorder="1" applyAlignment="1">
      <alignment horizontal="left" vertical="top" wrapText="1"/>
    </xf>
    <xf numFmtId="172" fontId="58" fillId="38" borderId="81" xfId="28" applyNumberFormat="1" applyFont="1" applyFill="1" applyBorder="1" applyAlignment="1">
      <alignment horizontal="left" vertical="top" wrapText="1"/>
    </xf>
    <xf numFmtId="172" fontId="58" fillId="38" borderId="94" xfId="28" applyNumberFormat="1" applyFont="1" applyFill="1" applyBorder="1" applyAlignment="1">
      <alignment horizontal="left" vertical="top" wrapText="1"/>
    </xf>
    <xf numFmtId="0" fontId="0" fillId="0" borderId="3" xfId="0" applyBorder="1" applyAlignment="1">
      <alignment horizontal="center"/>
    </xf>
    <xf numFmtId="0" fontId="0" fillId="0" borderId="5" xfId="0" applyBorder="1" applyAlignment="1">
      <alignment horizontal="center"/>
    </xf>
    <xf numFmtId="0" fontId="0" fillId="0" borderId="2" xfId="0" pivotButton="1" applyBorder="1"/>
    <xf numFmtId="0" fontId="0" fillId="0" borderId="2" xfId="0" applyBorder="1" applyAlignment="1">
      <alignment horizontal="left"/>
    </xf>
    <xf numFmtId="3" fontId="0" fillId="0" borderId="2" xfId="0" applyNumberFormat="1" applyBorder="1"/>
    <xf numFmtId="9" fontId="0" fillId="0" borderId="2" xfId="0" applyNumberFormat="1" applyBorder="1"/>
    <xf numFmtId="0" fontId="0" fillId="0" borderId="15" xfId="0" applyBorder="1" applyAlignment="1">
      <alignment horizontal="left"/>
    </xf>
    <xf numFmtId="3" fontId="0" fillId="0" borderId="15" xfId="0" applyNumberFormat="1" applyBorder="1"/>
    <xf numFmtId="9" fontId="0" fillId="0" borderId="15" xfId="0" applyNumberFormat="1" applyBorder="1"/>
    <xf numFmtId="0" fontId="0" fillId="0" borderId="59" xfId="0" applyBorder="1"/>
    <xf numFmtId="0" fontId="0" fillId="0" borderId="26" xfId="0" applyBorder="1"/>
    <xf numFmtId="0" fontId="0" fillId="0" borderId="29" xfId="0" applyBorder="1"/>
    <xf numFmtId="0" fontId="0" fillId="0" borderId="27" xfId="0" pivotButton="1" applyBorder="1"/>
    <xf numFmtId="0" fontId="0" fillId="0" borderId="29" xfId="0" applyBorder="1" applyAlignment="1">
      <alignment horizontal="center"/>
    </xf>
    <xf numFmtId="0" fontId="0" fillId="0" borderId="27" xfId="0" applyBorder="1" applyAlignment="1">
      <alignment horizontal="center"/>
    </xf>
    <xf numFmtId="0" fontId="0" fillId="0" borderId="10" xfId="0" applyBorder="1" applyAlignment="1">
      <alignment horizontal="center"/>
    </xf>
    <xf numFmtId="0" fontId="0" fillId="0" borderId="62" xfId="0" applyBorder="1"/>
    <xf numFmtId="0" fontId="0" fillId="0" borderId="60" xfId="0" applyBorder="1"/>
    <xf numFmtId="0" fontId="0" fillId="0" borderId="9" xfId="0" applyBorder="1" applyAlignment="1">
      <alignment horizontal="center"/>
    </xf>
    <xf numFmtId="0" fontId="0" fillId="0" borderId="93" xfId="0" applyBorder="1" applyAlignment="1">
      <alignment horizontal="right"/>
    </xf>
    <xf numFmtId="0" fontId="0" fillId="0" borderId="92" xfId="0" applyBorder="1" applyAlignment="1">
      <alignment horizontal="right"/>
    </xf>
    <xf numFmtId="0" fontId="0" fillId="0" borderId="61" xfId="0" pivotButton="1" applyBorder="1"/>
    <xf numFmtId="0" fontId="0" fillId="0" borderId="13" xfId="0" applyBorder="1" applyAlignment="1">
      <alignment horizontal="center"/>
    </xf>
    <xf numFmtId="0" fontId="6" fillId="0" borderId="2" xfId="0" applyFont="1" applyBorder="1"/>
    <xf numFmtId="0" fontId="7" fillId="0" borderId="0" xfId="0" applyFont="1"/>
    <xf numFmtId="0" fontId="6" fillId="0" borderId="0" xfId="0" applyFont="1"/>
    <xf numFmtId="0" fontId="0" fillId="0" borderId="18" xfId="0" applyBorder="1" applyAlignment="1">
      <alignment horizontal="center"/>
    </xf>
  </cellXfs>
  <cellStyles count="31">
    <cellStyle name="20% - Accent1" xfId="4" builtinId="30"/>
    <cellStyle name="20% - Accent2" xfId="6" builtinId="34"/>
    <cellStyle name="20% - Accent3" xfId="8" builtinId="38"/>
    <cellStyle name="20% - Accent4" xfId="16" builtinId="42"/>
    <cellStyle name="20% - Accent5" xfId="19" builtinId="46"/>
    <cellStyle name="20% - Accent6" xfId="15" builtinId="50"/>
    <cellStyle name="40% - Accent1" xfId="5" builtinId="31"/>
    <cellStyle name="40% - Accent2" xfId="7" builtinId="35"/>
    <cellStyle name="40% - Accent3" xfId="9" builtinId="39"/>
    <cellStyle name="40% - Accent4" xfId="10" builtinId="43"/>
    <cellStyle name="40% - Accent5" xfId="20" builtinId="47"/>
    <cellStyle name="40% - Accent6" xfId="11" builtinId="51"/>
    <cellStyle name="60% - Accent2" xfId="14" builtinId="36"/>
    <cellStyle name="60% - Accent6" xfId="25" builtinId="52"/>
    <cellStyle name="Accent5" xfId="17" builtinId="45"/>
    <cellStyle name="Accent6" xfId="24" builtinId="49"/>
    <cellStyle name="Bad" xfId="23" builtinId="27"/>
    <cellStyle name="Calculation" xfId="30" builtinId="22"/>
    <cellStyle name="Comma" xfId="1" builtinId="3"/>
    <cellStyle name="Comma [0]" xfId="12" builtinId="6"/>
    <cellStyle name="Comma 2" xfId="29" xr:uid="{BF97A6EB-161F-444C-A2AD-3AB5D72266D0}"/>
    <cellStyle name="Good" xfId="22" builtinId="26"/>
    <cellStyle name="Heading 4" xfId="2" builtinId="19"/>
    <cellStyle name="Hyperlink" xfId="21" builtinId="8"/>
    <cellStyle name="Neutral" xfId="18" builtinId="28"/>
    <cellStyle name="Normal" xfId="0" builtinId="0"/>
    <cellStyle name="Normal 14" xfId="26" xr:uid="{D9F0D632-FC09-4CE3-9929-5E1C4D3036F9}"/>
    <cellStyle name="Normal 2" xfId="28" xr:uid="{CD0C5A8B-9373-427F-9F0E-834C525CE1C2}"/>
    <cellStyle name="Note" xfId="3" builtinId="10"/>
    <cellStyle name="Percent" xfId="13" builtinId="5"/>
    <cellStyle name="Percent 2" xfId="27" xr:uid="{E32AD0EA-69D9-4DE1-B655-DA94193BA7D3}"/>
  </cellStyles>
  <dxfs count="455">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top/>
        <bottom/>
        <horizontal/>
      </border>
    </dxf>
    <dxf>
      <border>
        <right style="medium">
          <color indexed="64"/>
        </right>
        <top style="medium">
          <color indexed="64"/>
        </top>
        <bottom style="medium">
          <color indexed="64"/>
        </bottom>
      </border>
    </dxf>
    <dxf>
      <border>
        <left/>
        <right/>
        <top/>
        <bottom/>
        <horizontal/>
      </border>
    </dxf>
    <dxf>
      <border>
        <right/>
        <top/>
        <bottom/>
        <horizontal/>
      </border>
    </dxf>
    <dxf>
      <border>
        <left style="medium">
          <color indexed="64"/>
        </left>
        <right style="medium">
          <color indexed="64"/>
        </right>
        <top style="medium">
          <color indexed="64"/>
        </top>
        <bottom style="medium">
          <color indexed="64"/>
        </bottom>
      </border>
    </dxf>
    <dxf>
      <border>
        <left/>
        <right/>
        <top/>
        <bottom/>
        <horizontal/>
      </border>
    </dxf>
    <dxf>
      <border>
        <right/>
        <top/>
        <bottom/>
        <horizontal/>
      </border>
    </dxf>
    <dxf>
      <border>
        <left style="medium">
          <color indexed="64"/>
        </left>
        <right style="medium">
          <color indexed="64"/>
        </right>
        <top style="medium">
          <color indexed="64"/>
        </top>
        <bottom style="medium">
          <color indexed="64"/>
        </bottom>
      </border>
    </dxf>
    <dxf>
      <border>
        <left/>
        <right/>
        <top/>
        <bottom/>
        <horizontal/>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rgb="FF0070C0"/>
      </font>
    </dxf>
    <dxf>
      <font>
        <b/>
      </font>
    </dxf>
    <dxf>
      <border>
        <left/>
        <right/>
        <top/>
        <bottom/>
        <horizontal/>
      </border>
    </dxf>
    <dxf>
      <border>
        <left style="medium">
          <color indexed="64"/>
        </left>
        <right style="medium">
          <color indexed="64"/>
        </right>
        <top style="medium">
          <color indexed="64"/>
        </top>
        <bottom style="medium">
          <color indexed="64"/>
        </bottom>
      </border>
    </dxf>
    <dxf>
      <border>
        <left/>
        <right/>
        <top/>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right"/>
    </dxf>
    <dxf>
      <alignment horizontal="right"/>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right"/>
    </dxf>
    <dxf>
      <alignment horizontal="righ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right/>
        <top/>
        <bottom/>
        <vertical/>
        <horizontal/>
      </border>
    </dxf>
    <dxf>
      <border>
        <left style="medium">
          <color indexed="64"/>
        </left>
        <right style="medium">
          <color indexed="64"/>
        </right>
        <top style="medium">
          <color indexed="64"/>
        </top>
        <bottom style="medium">
          <color indexed="64"/>
        </bottom>
      </border>
    </dxf>
    <dxf>
      <border>
        <left/>
        <right/>
        <top/>
        <bottom/>
        <vertical/>
        <horizontal/>
      </border>
    </dxf>
    <dxf>
      <border>
        <left style="medium">
          <color indexed="64"/>
        </left>
        <right style="medium">
          <color indexed="64"/>
        </right>
        <top style="medium">
          <color indexed="64"/>
        </top>
        <bottom style="medium">
          <color indexed="64"/>
        </bottom>
      </border>
    </dxf>
    <dxf>
      <border>
        <left/>
        <right/>
        <top/>
        <bottom/>
        <vertical/>
        <horizontal/>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ont>
        <color rgb="FFC00000"/>
      </font>
    </dxf>
    <dxf>
      <alignment horizontal="center"/>
    </dxf>
    <dxf>
      <alignment horizontal="center"/>
    </dxf>
    <dxf>
      <numFmt numFmtId="172" formatCode="#,##0_ ;\-#,##0\ "/>
    </dxf>
    <dxf>
      <alignment horizontal="center"/>
    </dxf>
    <dxf>
      <alignment horizontal="center"/>
    </dxf>
    <dxf>
      <alignment horizontal="center"/>
    </dxf>
    <dxf>
      <numFmt numFmtId="174" formatCode="_-* #,##0_-;\-* #,##0_-;_-* &quot;-&quot;??_-;_-@_-"/>
    </dxf>
    <dxf>
      <font>
        <color rgb="FFFF0000"/>
      </font>
    </dxf>
    <dxf>
      <font>
        <color rgb="FF0033CC"/>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Tahoma"/>
        <family val="2"/>
        <scheme val="none"/>
      </font>
      <fill>
        <patternFill patternType="none">
          <fgColor indexed="64"/>
          <bgColor indexed="65"/>
        </patternFill>
      </fill>
    </dxf>
    <dxf>
      <font>
        <b val="0"/>
        <i val="0"/>
        <strike val="0"/>
        <condense val="0"/>
        <extend val="0"/>
        <outline val="0"/>
        <shadow val="0"/>
        <u val="none"/>
        <vertAlign val="baseline"/>
        <sz val="10"/>
        <color auto="1"/>
        <name val="Tahoma"/>
        <family val="2"/>
        <scheme val="none"/>
      </font>
      <fill>
        <patternFill patternType="none">
          <fgColor indexed="64"/>
          <bgColor indexed="65"/>
        </patternFill>
      </fill>
    </dxf>
    <dxf>
      <font>
        <color rgb="FFFF0000"/>
      </font>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ill>
        <patternFill patternType="solid">
          <bgColor rgb="FFFFFF00"/>
        </patternFill>
      </fill>
    </dxf>
    <dxf>
      <alignment vertical="center"/>
    </dxf>
    <dxf>
      <alignment horizontal="right"/>
    </dxf>
    <dxf>
      <alignment vertical="center"/>
    </dxf>
    <dxf>
      <alignment horizontal="center"/>
    </dxf>
    <dxf>
      <numFmt numFmtId="3" formatCode="#,##0"/>
    </dxf>
    <dxf>
      <alignment horizontal="center"/>
    </dxf>
    <dxf>
      <alignment horizontal="center"/>
    </dxf>
    <dxf>
      <alignment horizontal="center"/>
    </dxf>
    <dxf>
      <alignment horizontal="center"/>
    </dxf>
    <dxf>
      <alignment horizontal="center"/>
    </dxf>
    <dxf>
      <font>
        <color rgb="FFFF0000"/>
      </font>
    </dxf>
    <dxf>
      <font>
        <color rgb="FFFF0000"/>
      </font>
    </dxf>
    <dxf>
      <alignment wrapText="1"/>
    </dxf>
    <dxf>
      <alignment wrapText="1"/>
    </dxf>
    <dxf>
      <font>
        <color rgb="FFC00000"/>
      </font>
    </dxf>
    <dxf>
      <alignment horizontal="center"/>
    </dxf>
    <dxf>
      <alignment horizontal="center"/>
    </dxf>
    <dxf>
      <numFmt numFmtId="174" formatCode="_-* #,##0_-;\-* #,##0_-;_-* &quot;-&quot;??_-;_-@_-"/>
    </dxf>
    <dxf>
      <font>
        <b/>
        <i val="0"/>
        <color rgb="FFFF0000"/>
      </font>
    </dxf>
    <dxf>
      <font>
        <b val="0"/>
        <i val="0"/>
        <color rgb="FFFF0000"/>
      </font>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Okanagan</a:t>
            </a:r>
            <a:r>
              <a:rPr lang="en-US" baseline="0"/>
              <a:t> Sockeye Returns</a:t>
            </a:r>
            <a:r>
              <a:rPr lang="en-US"/>
              <a:t> - Before &amp; After Adjusting for 16-hr Dam Count Issues at Wells Dam</a:t>
            </a:r>
          </a:p>
        </c:rich>
      </c:tx>
      <c:layout>
        <c:manualLayout>
          <c:xMode val="edge"/>
          <c:yMode val="edge"/>
          <c:x val="0.12729295987029698"/>
          <c:y val="2.30390616818515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Compare!$F$1</c:f>
              <c:strCache>
                <c:ptCount val="1"/>
                <c:pt idx="0">
                  <c:v>Total Adult Returns (#fish)</c:v>
                </c:pt>
              </c:strCache>
            </c:strRef>
          </c:tx>
          <c:spPr>
            <a:ln w="28575" cap="rnd">
              <a:solidFill>
                <a:srgbClr val="C00000"/>
              </a:solidFill>
              <a:prstDash val="sysDot"/>
              <a:round/>
            </a:ln>
            <a:effectLst/>
          </c:spPr>
          <c:marker>
            <c:symbol val="none"/>
          </c:marker>
          <c:cat>
            <c:numRef>
              <c:f>Compare!$B$3:$B$38</c:f>
              <c:numCache>
                <c:formatCode>General</c:formatCode>
                <c:ptCount val="36"/>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numCache>
            </c:numRef>
          </c:cat>
          <c:val>
            <c:numRef>
              <c:f>Compare!$F$3:$F$38</c:f>
              <c:numCache>
                <c:formatCode>#,##0</c:formatCode>
                <c:ptCount val="36"/>
                <c:pt idx="0">
                  <c:v>49037.546372544442</c:v>
                </c:pt>
                <c:pt idx="1">
                  <c:v>124204.3860786443</c:v>
                </c:pt>
                <c:pt idx="2">
                  <c:v>24700.564783817583</c:v>
                </c:pt>
                <c:pt idx="3">
                  <c:v>4400.387879416503</c:v>
                </c:pt>
                <c:pt idx="4">
                  <c:v>34556.87493687361</c:v>
                </c:pt>
                <c:pt idx="5">
                  <c:v>54906.419445586442</c:v>
                </c:pt>
                <c:pt idx="6">
                  <c:v>55582.547326624168</c:v>
                </c:pt>
                <c:pt idx="7">
                  <c:v>465.53921930971723</c:v>
                </c:pt>
                <c:pt idx="8">
                  <c:v>4120.3060751993589</c:v>
                </c:pt>
                <c:pt idx="9">
                  <c:v>22494.768663760049</c:v>
                </c:pt>
                <c:pt idx="10">
                  <c:v>34761.092851429115</c:v>
                </c:pt>
                <c:pt idx="11">
                  <c:v>5519.5842790799425</c:v>
                </c:pt>
                <c:pt idx="12">
                  <c:v>12016.412514199601</c:v>
                </c:pt>
                <c:pt idx="13">
                  <c:v>66240.873902233187</c:v>
                </c:pt>
                <c:pt idx="14">
                  <c:v>92448.136808080191</c:v>
                </c:pt>
                <c:pt idx="15">
                  <c:v>12049.94561980284</c:v>
                </c:pt>
                <c:pt idx="16">
                  <c:v>16622.037586407274</c:v>
                </c:pt>
                <c:pt idx="17">
                  <c:v>106864.90952893894</c:v>
                </c:pt>
                <c:pt idx="18">
                  <c:v>62446.490751800593</c:v>
                </c:pt>
                <c:pt idx="19">
                  <c:v>26041.946542730446</c:v>
                </c:pt>
                <c:pt idx="20">
                  <c:v>14067.455922063551</c:v>
                </c:pt>
                <c:pt idx="21">
                  <c:v>189012.20700374336</c:v>
                </c:pt>
                <c:pt idx="22">
                  <c:v>169283.90374214994</c:v>
                </c:pt>
                <c:pt idx="23">
                  <c:v>319774.68988652661</c:v>
                </c:pt>
                <c:pt idx="24">
                  <c:v>112296.28635392216</c:v>
                </c:pt>
                <c:pt idx="25">
                  <c:v>442680.38987207116</c:v>
                </c:pt>
                <c:pt idx="26">
                  <c:v>124462.92839489631</c:v>
                </c:pt>
                <c:pt idx="27">
                  <c:v>516532.62148500269</c:v>
                </c:pt>
                <c:pt idx="28">
                  <c:v>412490.71682260424</c:v>
                </c:pt>
                <c:pt idx="29">
                  <c:v>248400.48143557095</c:v>
                </c:pt>
                <c:pt idx="30">
                  <c:v>46242.158083180897</c:v>
                </c:pt>
                <c:pt idx="31">
                  <c:v>200489.4104860459</c:v>
                </c:pt>
                <c:pt idx="32">
                  <c:v>30927.572186354275</c:v>
                </c:pt>
                <c:pt idx="33">
                  <c:v>297008.13375995029</c:v>
                </c:pt>
                <c:pt idx="34">
                  <c:v>79631.887807613923</c:v>
                </c:pt>
              </c:numCache>
            </c:numRef>
          </c:val>
          <c:smooth val="0"/>
          <c:extLst>
            <c:ext xmlns:c16="http://schemas.microsoft.com/office/drawing/2014/chart" uri="{C3380CC4-5D6E-409C-BE32-E72D297353CC}">
              <c16:uniqueId val="{0000000B-7296-4509-A3AA-3C84177B86F0}"/>
            </c:ext>
          </c:extLst>
        </c:ser>
        <c:ser>
          <c:idx val="1"/>
          <c:order val="1"/>
          <c:tx>
            <c:strRef>
              <c:f>Compare!$D$1</c:f>
              <c:strCache>
                <c:ptCount val="1"/>
                <c:pt idx="0">
                  <c:v>Total Adult Returns (old)</c:v>
                </c:pt>
              </c:strCache>
            </c:strRef>
          </c:tx>
          <c:spPr>
            <a:ln w="28575" cap="rnd">
              <a:solidFill>
                <a:schemeClr val="bg1">
                  <a:lumMod val="50000"/>
                </a:schemeClr>
              </a:solidFill>
              <a:prstDash val="solid"/>
              <a:round/>
            </a:ln>
            <a:effectLst/>
          </c:spPr>
          <c:marker>
            <c:symbol val="none"/>
          </c:marker>
          <c:cat>
            <c:numRef>
              <c:f>Compare!$B$3:$B$38</c:f>
              <c:numCache>
                <c:formatCode>General</c:formatCode>
                <c:ptCount val="36"/>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numCache>
            </c:numRef>
          </c:cat>
          <c:val>
            <c:numRef>
              <c:f>Compare!$D$3:$D$38</c:f>
              <c:numCache>
                <c:formatCode>#,##0</c:formatCode>
                <c:ptCount val="36"/>
                <c:pt idx="0">
                  <c:v>43322.532713027773</c:v>
                </c:pt>
                <c:pt idx="1">
                  <c:v>109721.73783678295</c:v>
                </c:pt>
                <c:pt idx="2">
                  <c:v>21839.309252422143</c:v>
                </c:pt>
                <c:pt idx="3">
                  <c:v>3888.0000732112444</c:v>
                </c:pt>
                <c:pt idx="4">
                  <c:v>30527.274679216971</c:v>
                </c:pt>
                <c:pt idx="5">
                  <c:v>48501.848482911286</c:v>
                </c:pt>
                <c:pt idx="6">
                  <c:v>49065.908287143844</c:v>
                </c:pt>
                <c:pt idx="7">
                  <c:v>411.31249901824526</c:v>
                </c:pt>
                <c:pt idx="8">
                  <c:v>3645.125593487634</c:v>
                </c:pt>
                <c:pt idx="9">
                  <c:v>19876.541355619949</c:v>
                </c:pt>
                <c:pt idx="10">
                  <c:v>30828.842873952919</c:v>
                </c:pt>
                <c:pt idx="11">
                  <c:v>5481.0093678845178</c:v>
                </c:pt>
                <c:pt idx="12">
                  <c:v>12005.266908481181</c:v>
                </c:pt>
                <c:pt idx="13">
                  <c:v>66238.856681959907</c:v>
                </c:pt>
                <c:pt idx="14">
                  <c:v>90773.533096657018</c:v>
                </c:pt>
                <c:pt idx="15">
                  <c:v>12005.073246854503</c:v>
                </c:pt>
                <c:pt idx="16">
                  <c:v>19912.056591689725</c:v>
                </c:pt>
                <c:pt idx="17">
                  <c:v>107855.99048533605</c:v>
                </c:pt>
                <c:pt idx="18">
                  <c:v>62386.995670271557</c:v>
                </c:pt>
                <c:pt idx="19">
                  <c:v>26039.65461597922</c:v>
                </c:pt>
                <c:pt idx="20">
                  <c:v>14067.455922063551</c:v>
                </c:pt>
                <c:pt idx="21">
                  <c:v>189012.20700374336</c:v>
                </c:pt>
                <c:pt idx="22">
                  <c:v>169288.27976202028</c:v>
                </c:pt>
                <c:pt idx="23">
                  <c:v>319827.82070317888</c:v>
                </c:pt>
                <c:pt idx="24">
                  <c:v>112296.86593772291</c:v>
                </c:pt>
                <c:pt idx="25">
                  <c:v>443124.78133622988</c:v>
                </c:pt>
                <c:pt idx="26">
                  <c:v>137291.87662291367</c:v>
                </c:pt>
                <c:pt idx="27">
                  <c:v>519871.59415617655</c:v>
                </c:pt>
                <c:pt idx="28">
                  <c:v>412842.79026956437</c:v>
                </c:pt>
                <c:pt idx="29">
                  <c:v>248395.31689877357</c:v>
                </c:pt>
                <c:pt idx="30">
                  <c:v>46242.874778949139</c:v>
                </c:pt>
                <c:pt idx="31">
                  <c:v>200525.81239455636</c:v>
                </c:pt>
                <c:pt idx="32">
                  <c:v>30927.178701274381</c:v>
                </c:pt>
                <c:pt idx="33">
                  <c:v>297007.93187965243</c:v>
                </c:pt>
                <c:pt idx="34">
                  <c:v>79631.887807613923</c:v>
                </c:pt>
              </c:numCache>
            </c:numRef>
          </c:val>
          <c:smooth val="0"/>
          <c:extLst>
            <c:ext xmlns:c16="http://schemas.microsoft.com/office/drawing/2014/chart" uri="{C3380CC4-5D6E-409C-BE32-E72D297353CC}">
              <c16:uniqueId val="{0000000C-7296-4509-A3AA-3C84177B86F0}"/>
            </c:ext>
          </c:extLst>
        </c:ser>
        <c:dLbls>
          <c:showLegendKey val="0"/>
          <c:showVal val="0"/>
          <c:showCatName val="0"/>
          <c:showSerName val="0"/>
          <c:showPercent val="0"/>
          <c:showBubbleSize val="0"/>
        </c:dLbls>
        <c:smooth val="0"/>
        <c:axId val="1454155151"/>
        <c:axId val="1572154111"/>
      </c:lineChart>
      <c:catAx>
        <c:axId val="1454155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72154111"/>
        <c:crosses val="autoZero"/>
        <c:auto val="1"/>
        <c:lblAlgn val="ctr"/>
        <c:lblOffset val="100"/>
        <c:tickLblSkip val="5"/>
        <c:noMultiLvlLbl val="0"/>
      </c:catAx>
      <c:valAx>
        <c:axId val="15721541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541551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Okanagan 'Marine Survival' - Before &amp; After Adjusting for 16-hr Dam Count Issues at Wells Dam</a:t>
            </a:r>
          </a:p>
        </c:rich>
      </c:tx>
      <c:layout>
        <c:manualLayout>
          <c:xMode val="edge"/>
          <c:yMode val="edge"/>
          <c:x val="0.16760973452832437"/>
          <c:y val="1.04723007644779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5"/>
          <c:order val="0"/>
          <c:tx>
            <c:strRef>
              <c:f>Compare!$G$1</c:f>
              <c:strCache>
                <c:ptCount val="1"/>
                <c:pt idx="0">
                  <c:v>Marine Survival (%)</c:v>
                </c:pt>
              </c:strCache>
            </c:strRef>
          </c:tx>
          <c:spPr>
            <a:ln w="28575" cap="rnd">
              <a:solidFill>
                <a:srgbClr val="C00000"/>
              </a:solidFill>
              <a:round/>
            </a:ln>
            <a:effectLst/>
          </c:spPr>
          <c:marker>
            <c:symbol val="none"/>
          </c:marker>
          <c:cat>
            <c:numRef>
              <c:f>Compare!$B$3:$B$38</c:f>
              <c:numCache>
                <c:formatCode>General</c:formatCode>
                <c:ptCount val="36"/>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numCache>
            </c:numRef>
          </c:cat>
          <c:val>
            <c:numRef>
              <c:f>Compare!$G$2:$G$38</c:f>
              <c:numCache>
                <c:formatCode>0.00%</c:formatCode>
                <c:ptCount val="37"/>
                <c:pt idx="1">
                  <c:v>2.632772621697279E-2</c:v>
                </c:pt>
                <c:pt idx="2">
                  <c:v>5.1319581811712631E-2</c:v>
                </c:pt>
                <c:pt idx="3">
                  <c:v>1.8842142594741026E-2</c:v>
                </c:pt>
                <c:pt idx="4">
                  <c:v>8.2959218279499564E-3</c:v>
                </c:pt>
                <c:pt idx="5">
                  <c:v>4.7249724170343219E-2</c:v>
                </c:pt>
                <c:pt idx="6">
                  <c:v>0.17377606324507369</c:v>
                </c:pt>
                <c:pt idx="7">
                  <c:v>0.11458976280664812</c:v>
                </c:pt>
                <c:pt idx="8">
                  <c:v>2.6245235414570568E-3</c:v>
                </c:pt>
                <c:pt idx="9">
                  <c:v>2.784867184747328E-3</c:v>
                </c:pt>
                <c:pt idx="10">
                  <c:v>3.2391117788349875E-2</c:v>
                </c:pt>
                <c:pt idx="11">
                  <c:v>3.5498894418250201E-2</c:v>
                </c:pt>
                <c:pt idx="12">
                  <c:v>3.9366515665308507E-2</c:v>
                </c:pt>
                <c:pt idx="13">
                  <c:v>3.1622616362508474E-2</c:v>
                </c:pt>
                <c:pt idx="14">
                  <c:v>5.4782237608397504E-2</c:v>
                </c:pt>
                <c:pt idx="15">
                  <c:v>2.9824452158801616E-2</c:v>
                </c:pt>
                <c:pt idx="16">
                  <c:v>4.2831611008316978E-2</c:v>
                </c:pt>
                <c:pt idx="17" formatCode="0.000%">
                  <c:v>1.1490417244855021E-2</c:v>
                </c:pt>
                <c:pt idx="18">
                  <c:v>3.6509935408103954E-2</c:v>
                </c:pt>
                <c:pt idx="19">
                  <c:v>3.0008241678576415E-2</c:v>
                </c:pt>
                <c:pt idx="20">
                  <c:v>4.1477644587891223E-2</c:v>
                </c:pt>
                <c:pt idx="21">
                  <c:v>1.9118456550395214E-2</c:v>
                </c:pt>
                <c:pt idx="22">
                  <c:v>0.10597824895079527</c:v>
                </c:pt>
                <c:pt idx="23">
                  <c:v>8.3526497263371274E-2</c:v>
                </c:pt>
                <c:pt idx="24">
                  <c:v>0.14986904864827225</c:v>
                </c:pt>
                <c:pt idx="25">
                  <c:v>0.12829066892021171</c:v>
                </c:pt>
                <c:pt idx="26">
                  <c:v>5.9116226002525959E-2</c:v>
                </c:pt>
                <c:pt idx="27">
                  <c:v>0.13389863102456648</c:v>
                </c:pt>
                <c:pt idx="28">
                  <c:v>0.11644632794197274</c:v>
                </c:pt>
                <c:pt idx="29">
                  <c:v>0.14231497922934419</c:v>
                </c:pt>
                <c:pt idx="30">
                  <c:v>4.9659001143428465E-2</c:v>
                </c:pt>
                <c:pt idx="31">
                  <c:v>2.0928352739965992E-2</c:v>
                </c:pt>
                <c:pt idx="32">
                  <c:v>2.7154992561583245E-2</c:v>
                </c:pt>
                <c:pt idx="33">
                  <c:v>1.6401005130345606E-2</c:v>
                </c:pt>
                <c:pt idx="34">
                  <c:v>7.2040463258417411E-2</c:v>
                </c:pt>
                <c:pt idx="35">
                  <c:v>8.725940710113865E-2</c:v>
                </c:pt>
              </c:numCache>
            </c:numRef>
          </c:val>
          <c:smooth val="0"/>
          <c:extLst>
            <c:ext xmlns:c16="http://schemas.microsoft.com/office/drawing/2014/chart" uri="{C3380CC4-5D6E-409C-BE32-E72D297353CC}">
              <c16:uniqueId val="{00000000-617F-463F-B9CD-112F2DB1C058}"/>
            </c:ext>
          </c:extLst>
        </c:ser>
        <c:ser>
          <c:idx val="3"/>
          <c:order val="1"/>
          <c:tx>
            <c:strRef>
              <c:f>Compare!$E$1</c:f>
              <c:strCache>
                <c:ptCount val="1"/>
                <c:pt idx="0">
                  <c:v>Marine Survival (old)</c:v>
                </c:pt>
              </c:strCache>
            </c:strRef>
          </c:tx>
          <c:spPr>
            <a:ln w="28575" cap="rnd">
              <a:solidFill>
                <a:schemeClr val="accent4"/>
              </a:solidFill>
              <a:round/>
            </a:ln>
            <a:effectLst/>
          </c:spPr>
          <c:marker>
            <c:symbol val="none"/>
          </c:marker>
          <c:cat>
            <c:numRef>
              <c:f>Compare!$B$3:$B$38</c:f>
              <c:numCache>
                <c:formatCode>General</c:formatCode>
                <c:ptCount val="36"/>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numCache>
            </c:numRef>
          </c:cat>
          <c:val>
            <c:numRef>
              <c:f>Compare!$E$2:$E$38</c:f>
              <c:numCache>
                <c:formatCode>0.00%</c:formatCode>
                <c:ptCount val="37"/>
                <c:pt idx="1">
                  <c:v>2.3259397434555216E-2</c:v>
                </c:pt>
                <c:pt idx="2">
                  <c:v>4.5335546345945346E-2</c:v>
                </c:pt>
                <c:pt idx="3">
                  <c:v>1.6659512958763445E-2</c:v>
                </c:pt>
                <c:pt idx="4">
                  <c:v>7.3299321692298592E-3</c:v>
                </c:pt>
                <c:pt idx="5">
                  <c:v>4.1740039019737829E-2</c:v>
                </c:pt>
                <c:pt idx="6">
                  <c:v>0.15350591742413974</c:v>
                </c:pt>
                <c:pt idx="7">
                  <c:v>0.10115496793403343</c:v>
                </c:pt>
                <c:pt idx="8">
                  <c:v>2.3188150252293573E-3</c:v>
                </c:pt>
                <c:pt idx="9">
                  <c:v>2.4636981972498682E-3</c:v>
                </c:pt>
                <c:pt idx="10">
                  <c:v>2.8621027488587508E-2</c:v>
                </c:pt>
                <c:pt idx="11">
                  <c:v>3.1483182732394636E-2</c:v>
                </c:pt>
                <c:pt idx="12">
                  <c:v>3.9091393524023674E-2</c:v>
                </c:pt>
                <c:pt idx="13">
                  <c:v>3.1593285377628844E-2</c:v>
                </c:pt>
                <c:pt idx="14">
                  <c:v>5.4780569335716164E-2</c:v>
                </c:pt>
                <c:pt idx="15">
                  <c:v>2.9284212625581223E-2</c:v>
                </c:pt>
                <c:pt idx="16">
                  <c:v>4.2672111863359445E-2</c:v>
                </c:pt>
                <c:pt idx="17" formatCode="0.000%">
                  <c:v>1.3764728737515363E-2</c:v>
                </c:pt>
                <c:pt idx="18">
                  <c:v>3.6848533942101323E-2</c:v>
                </c:pt>
                <c:pt idx="19">
                  <c:v>2.9979651716775264E-2</c:v>
                </c:pt>
                <c:pt idx="20">
                  <c:v>4.1473994180151817E-2</c:v>
                </c:pt>
                <c:pt idx="21">
                  <c:v>1.9118456550395214E-2</c:v>
                </c:pt>
                <c:pt idx="22">
                  <c:v>0.10597824895079527</c:v>
                </c:pt>
                <c:pt idx="23">
                  <c:v>8.3528656438600843E-2</c:v>
                </c:pt>
                <c:pt idx="24">
                  <c:v>0.14989394950877627</c:v>
                </c:pt>
                <c:pt idx="25">
                  <c:v>0.12829133105424934</c:v>
                </c:pt>
                <c:pt idx="26">
                  <c:v>5.917557072804315E-2</c:v>
                </c:pt>
                <c:pt idx="27">
                  <c:v>0.14770015913714946</c:v>
                </c:pt>
                <c:pt idx="28">
                  <c:v>0.11719906085850952</c:v>
                </c:pt>
                <c:pt idx="29">
                  <c:v>0.14243644941824274</c:v>
                </c:pt>
                <c:pt idx="30">
                  <c:v>4.9657968674661719E-2</c:v>
                </c:pt>
                <c:pt idx="31">
                  <c:v>2.0928677103327624E-2</c:v>
                </c:pt>
                <c:pt idx="32">
                  <c:v>2.7159922964403189E-2</c:v>
                </c:pt>
                <c:pt idx="33">
                  <c:v>1.640079646376243E-2</c:v>
                </c:pt>
                <c:pt idx="34">
                  <c:v>7.204041429157601E-2</c:v>
                </c:pt>
                <c:pt idx="35">
                  <c:v>8.725940710113865E-2</c:v>
                </c:pt>
              </c:numCache>
            </c:numRef>
          </c:val>
          <c:smooth val="0"/>
          <c:extLst>
            <c:ext xmlns:c16="http://schemas.microsoft.com/office/drawing/2014/chart" uri="{C3380CC4-5D6E-409C-BE32-E72D297353CC}">
              <c16:uniqueId val="{00000001-617F-463F-B9CD-112F2DB1C058}"/>
            </c:ext>
          </c:extLst>
        </c:ser>
        <c:dLbls>
          <c:showLegendKey val="0"/>
          <c:showVal val="0"/>
          <c:showCatName val="0"/>
          <c:showSerName val="0"/>
          <c:showPercent val="0"/>
          <c:showBubbleSize val="0"/>
        </c:dLbls>
        <c:smooth val="0"/>
        <c:axId val="1454155151"/>
        <c:axId val="1572154111"/>
      </c:lineChart>
      <c:catAx>
        <c:axId val="1454155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72154111"/>
        <c:crosses val="autoZero"/>
        <c:auto val="1"/>
        <c:lblAlgn val="ctr"/>
        <c:lblOffset val="100"/>
        <c:tickLblSkip val="5"/>
        <c:noMultiLvlLbl val="0"/>
      </c:catAx>
      <c:valAx>
        <c:axId val="15721541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541551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182880</xdr:colOff>
      <xdr:row>82</xdr:row>
      <xdr:rowOff>160020</xdr:rowOff>
    </xdr:from>
    <xdr:to>
      <xdr:col>12</xdr:col>
      <xdr:colOff>457769</xdr:colOff>
      <xdr:row>91</xdr:row>
      <xdr:rowOff>53695</xdr:rowOff>
    </xdr:to>
    <xdr:pic>
      <xdr:nvPicPr>
        <xdr:cNvPr id="2" name="Picture 1">
          <a:extLst>
            <a:ext uri="{FF2B5EF4-FFF2-40B4-BE49-F238E27FC236}">
              <a16:creationId xmlns:a16="http://schemas.microsoft.com/office/drawing/2014/main" id="{BE17B2C9-0C0A-494C-8C29-DE36721D6FDA}"/>
            </a:ext>
          </a:extLst>
        </xdr:cNvPr>
        <xdr:cNvPicPr>
          <a:picLocks noChangeAspect="1"/>
        </xdr:cNvPicPr>
      </xdr:nvPicPr>
      <xdr:blipFill>
        <a:blip xmlns:r="http://schemas.openxmlformats.org/officeDocument/2006/relationships" r:embed="rId1"/>
        <a:stretch>
          <a:fillRect/>
        </a:stretch>
      </xdr:blipFill>
      <xdr:spPr>
        <a:xfrm>
          <a:off x="12123420" y="24292560"/>
          <a:ext cx="6569009" cy="40999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76200</xdr:colOff>
      <xdr:row>13</xdr:row>
      <xdr:rowOff>26115</xdr:rowOff>
    </xdr:from>
    <xdr:to>
      <xdr:col>19</xdr:col>
      <xdr:colOff>476250</xdr:colOff>
      <xdr:row>35</xdr:row>
      <xdr:rowOff>91440</xdr:rowOff>
    </xdr:to>
    <xdr:graphicFrame macro="">
      <xdr:nvGraphicFramePr>
        <xdr:cNvPr id="2" name="Chart 1">
          <a:extLst>
            <a:ext uri="{FF2B5EF4-FFF2-40B4-BE49-F238E27FC236}">
              <a16:creationId xmlns:a16="http://schemas.microsoft.com/office/drawing/2014/main" id="{7AC58190-51CE-4A63-8CEF-9F9093A85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37</xdr:row>
      <xdr:rowOff>0</xdr:rowOff>
    </xdr:from>
    <xdr:to>
      <xdr:col>24</xdr:col>
      <xdr:colOff>285750</xdr:colOff>
      <xdr:row>70</xdr:row>
      <xdr:rowOff>91440</xdr:rowOff>
    </xdr:to>
    <xdr:graphicFrame macro="">
      <xdr:nvGraphicFramePr>
        <xdr:cNvPr id="3" name="Chart 2">
          <a:extLst>
            <a:ext uri="{FF2B5EF4-FFF2-40B4-BE49-F238E27FC236}">
              <a16:creationId xmlns:a16="http://schemas.microsoft.com/office/drawing/2014/main" id="{9416BA6E-93F4-4801-B51C-CE27D2BF6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S%20-%20Data%20-%20OSOYOOS%20-%2022.06.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IS%20-%20Data%20-%20OSOYOOS%20-%2022.05.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tiffH/Documents/FISHERIES/SALMON%20INDEX%20STOCKS/HOMS/Data/OkSox%20Total%20Rtns%20to%20Wells%20RY_OEY_BY%20(HS)%202022.10.3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iffH/Documents/FISHERIES/SALMON%20INDEX%20STOCKS/Okanagan/Okanagan%20Sockeye%20-%20Annual%20-%20for%20WC%2022.06.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Juvenile Data"/>
      <sheetName val="Smolts (OLD)"/>
      <sheetName val="Adult Returns (Detailed) (OLD)"/>
      <sheetName val="Adult Returns Data"/>
      <sheetName val="Smolt to Adult Survival"/>
      <sheetName val="References"/>
      <sheetName val="Lookup"/>
    </sheetNames>
    <sheetDataSet>
      <sheetData sheetId="0"/>
      <sheetData sheetId="1">
        <row r="4">
          <cell r="B4">
            <v>1980</v>
          </cell>
          <cell r="C4"/>
          <cell r="D4"/>
          <cell r="E4"/>
          <cell r="F4" t="str">
            <v/>
          </cell>
          <cell r="G4"/>
          <cell r="H4"/>
          <cell r="I4"/>
          <cell r="J4"/>
          <cell r="K4"/>
          <cell r="L4"/>
          <cell r="M4"/>
          <cell r="N4"/>
          <cell r="O4"/>
          <cell r="P4"/>
          <cell r="Q4"/>
          <cell r="R4" t="str">
            <v/>
          </cell>
          <cell r="S4" t="str">
            <v/>
          </cell>
          <cell r="T4" t="str">
            <v/>
          </cell>
          <cell r="U4"/>
          <cell r="V4"/>
          <cell r="W4"/>
          <cell r="X4"/>
          <cell r="Y4"/>
          <cell r="Z4"/>
          <cell r="AA4"/>
          <cell r="AB4"/>
          <cell r="AC4"/>
          <cell r="AD4"/>
          <cell r="AE4"/>
          <cell r="AF4"/>
          <cell r="AG4"/>
          <cell r="AH4"/>
          <cell r="AI4"/>
          <cell r="AJ4"/>
          <cell r="AK4"/>
        </row>
        <row r="5">
          <cell r="B5">
            <v>1981</v>
          </cell>
          <cell r="C5"/>
          <cell r="D5"/>
          <cell r="E5"/>
          <cell r="F5" t="str">
            <v/>
          </cell>
          <cell r="G5"/>
          <cell r="H5"/>
          <cell r="I5"/>
          <cell r="J5"/>
          <cell r="K5"/>
          <cell r="L5"/>
          <cell r="M5"/>
          <cell r="N5"/>
          <cell r="O5"/>
          <cell r="P5"/>
          <cell r="Q5"/>
          <cell r="R5" t="str">
            <v/>
          </cell>
          <cell r="S5" t="str">
            <v/>
          </cell>
          <cell r="T5" t="str">
            <v/>
          </cell>
          <cell r="U5"/>
          <cell r="V5"/>
          <cell r="W5"/>
          <cell r="X5"/>
          <cell r="Y5"/>
          <cell r="Z5"/>
          <cell r="AA5"/>
          <cell r="AB5"/>
          <cell r="AC5"/>
          <cell r="AD5"/>
          <cell r="AE5"/>
          <cell r="AF5"/>
          <cell r="AG5"/>
          <cell r="AH5"/>
          <cell r="AI5"/>
          <cell r="AJ5"/>
          <cell r="AK5"/>
        </row>
        <row r="6">
          <cell r="B6">
            <v>1982</v>
          </cell>
          <cell r="C6"/>
          <cell r="D6"/>
          <cell r="E6"/>
          <cell r="F6" t="str">
            <v/>
          </cell>
          <cell r="G6"/>
          <cell r="H6"/>
          <cell r="I6"/>
          <cell r="J6"/>
          <cell r="K6"/>
          <cell r="L6"/>
          <cell r="M6"/>
          <cell r="N6"/>
          <cell r="O6"/>
          <cell r="P6"/>
          <cell r="Q6"/>
          <cell r="R6" t="str">
            <v/>
          </cell>
          <cell r="S6" t="str">
            <v/>
          </cell>
          <cell r="T6" t="str">
            <v/>
          </cell>
          <cell r="U6"/>
          <cell r="V6"/>
          <cell r="W6"/>
          <cell r="X6"/>
          <cell r="Y6"/>
          <cell r="Z6"/>
          <cell r="AA6"/>
          <cell r="AB6"/>
          <cell r="AC6"/>
          <cell r="AD6"/>
          <cell r="AE6"/>
          <cell r="AF6"/>
          <cell r="AG6"/>
          <cell r="AH6"/>
          <cell r="AI6"/>
          <cell r="AJ6"/>
          <cell r="AK6"/>
        </row>
        <row r="7">
          <cell r="B7">
            <v>1983</v>
          </cell>
          <cell r="C7"/>
          <cell r="D7"/>
          <cell r="E7"/>
          <cell r="F7" t="str">
            <v/>
          </cell>
          <cell r="G7"/>
          <cell r="H7"/>
          <cell r="I7"/>
          <cell r="J7"/>
          <cell r="K7"/>
          <cell r="L7"/>
          <cell r="M7"/>
          <cell r="N7"/>
          <cell r="O7"/>
          <cell r="P7"/>
          <cell r="Q7"/>
          <cell r="R7" t="str">
            <v/>
          </cell>
          <cell r="S7" t="str">
            <v/>
          </cell>
          <cell r="T7" t="str">
            <v/>
          </cell>
          <cell r="U7"/>
          <cell r="V7"/>
          <cell r="W7"/>
          <cell r="X7"/>
          <cell r="Y7"/>
          <cell r="Z7"/>
          <cell r="AA7"/>
          <cell r="AB7"/>
          <cell r="AC7"/>
          <cell r="AD7"/>
          <cell r="AE7"/>
          <cell r="AF7"/>
          <cell r="AG7"/>
          <cell r="AH7"/>
          <cell r="AI7"/>
          <cell r="AJ7"/>
          <cell r="AK7"/>
        </row>
        <row r="8">
          <cell r="B8">
            <v>1984</v>
          </cell>
          <cell r="C8"/>
          <cell r="D8"/>
          <cell r="E8"/>
          <cell r="F8" t="str">
            <v/>
          </cell>
          <cell r="G8"/>
          <cell r="H8"/>
          <cell r="I8"/>
          <cell r="J8"/>
          <cell r="K8"/>
          <cell r="L8"/>
          <cell r="M8"/>
          <cell r="N8"/>
          <cell r="O8"/>
          <cell r="P8"/>
          <cell r="Q8"/>
          <cell r="R8" t="str">
            <v/>
          </cell>
          <cell r="S8" t="str">
            <v/>
          </cell>
          <cell r="T8" t="str">
            <v/>
          </cell>
          <cell r="U8"/>
          <cell r="V8"/>
          <cell r="W8"/>
          <cell r="X8"/>
          <cell r="Y8"/>
          <cell r="Z8"/>
          <cell r="AA8"/>
          <cell r="AB8"/>
          <cell r="AC8"/>
          <cell r="AD8"/>
          <cell r="AE8"/>
          <cell r="AF8"/>
          <cell r="AG8"/>
          <cell r="AH8"/>
          <cell r="AI8"/>
          <cell r="AJ8"/>
          <cell r="AK8" t="str">
            <v>All data from Pete Etherton (retired)</v>
          </cell>
        </row>
        <row r="9">
          <cell r="B9">
            <v>1985</v>
          </cell>
          <cell r="C9">
            <v>1862581.902</v>
          </cell>
          <cell r="D9"/>
          <cell r="E9"/>
          <cell r="F9">
            <v>1862581.902</v>
          </cell>
          <cell r="G9" t="str">
            <v>Age comp missing: Total annual smolts entered in Age 1 column. See General Comments. [hs 2022-05-02]</v>
          </cell>
          <cell r="H9" t="str">
            <v xml:space="preserve"> </v>
          </cell>
          <cell r="I9"/>
          <cell r="J9"/>
          <cell r="K9"/>
          <cell r="L9"/>
          <cell r="M9"/>
          <cell r="N9"/>
          <cell r="O9"/>
          <cell r="P9"/>
          <cell r="Q9"/>
          <cell r="R9" t="str">
            <v/>
          </cell>
          <cell r="S9" t="str">
            <v/>
          </cell>
          <cell r="T9" t="str">
            <v/>
          </cell>
          <cell r="U9"/>
          <cell r="V9"/>
          <cell r="W9"/>
          <cell r="X9"/>
          <cell r="Y9"/>
          <cell r="Z9"/>
          <cell r="AA9"/>
          <cell r="AB9"/>
          <cell r="AC9"/>
          <cell r="AD9"/>
          <cell r="AE9"/>
          <cell r="AF9"/>
          <cell r="AG9"/>
          <cell r="AH9"/>
          <cell r="AI9"/>
          <cell r="AJ9" t="str">
            <v>"Smolt" counts are based on winter pre-smolt estimates (see CNAT_nuOkanagan_Juveniles 21.12.10.xlsx). Missing age composition, assumed 100% Age 1 here to date [22.05.02], however likely 1-10% Age 2 based on a few years of sample data (2005-2013) (Hyatt et al. 2017).</v>
          </cell>
          <cell r="AK9" t="str">
            <v>howard.stiff@dfo-mpo.gc.ca</v>
          </cell>
        </row>
        <row r="10">
          <cell r="B10">
            <v>1986</v>
          </cell>
          <cell r="C10">
            <v>2420214.3059999999</v>
          </cell>
          <cell r="D10"/>
          <cell r="E10"/>
          <cell r="F10">
            <v>2420214.3059999999</v>
          </cell>
          <cell r="G10" t="str">
            <v>Age comp missing: Total annual smolts entered in Age 1 column [hs 2022-05-02]</v>
          </cell>
          <cell r="H10" t="str">
            <v xml:space="preserve"> </v>
          </cell>
          <cell r="I10"/>
          <cell r="J10"/>
          <cell r="K10"/>
          <cell r="L10"/>
          <cell r="M10"/>
          <cell r="N10"/>
          <cell r="O10"/>
          <cell r="P10"/>
          <cell r="Q10"/>
          <cell r="R10" t="str">
            <v/>
          </cell>
          <cell r="S10" t="str">
            <v/>
          </cell>
          <cell r="T10" t="str">
            <v/>
          </cell>
          <cell r="U10"/>
          <cell r="V10"/>
          <cell r="W10"/>
          <cell r="X10"/>
          <cell r="Y10"/>
          <cell r="Z10"/>
          <cell r="AA10"/>
          <cell r="AB10"/>
          <cell r="AC10"/>
          <cell r="AD10"/>
          <cell r="AE10"/>
          <cell r="AF10"/>
          <cell r="AG10"/>
          <cell r="AH10"/>
          <cell r="AI10"/>
          <cell r="AJ10" t="str">
            <v>"Smolt" counts are based on winter pre-smolt estimates (see CNAT_nuOkanagan_Juveniles 21.12.10.xlsx). Missing age composition, assumed 100% Age 1, however likely 1-10% Age 2 based on a few years of sample data (2005-2013) (Hyatt et al. 2017).</v>
          </cell>
          <cell r="AK10" t="str">
            <v>howard.stiff@dfo-mpo.gc.ca</v>
          </cell>
        </row>
        <row r="11">
          <cell r="B11">
            <v>1987</v>
          </cell>
          <cell r="C11">
            <v>1310921.2320000001</v>
          </cell>
          <cell r="D11"/>
          <cell r="E11"/>
          <cell r="F11">
            <v>1310921.2320000001</v>
          </cell>
          <cell r="G11" t="str">
            <v>Age comp missing: Total annual smolts entered in Age 1 column [hs 2022-05-02]</v>
          </cell>
          <cell r="H11" t="str">
            <v xml:space="preserve"> </v>
          </cell>
          <cell r="I11"/>
          <cell r="J11"/>
          <cell r="K11"/>
          <cell r="L11"/>
          <cell r="M11"/>
          <cell r="N11"/>
          <cell r="O11"/>
          <cell r="P11"/>
          <cell r="Q11"/>
          <cell r="R11" t="str">
            <v/>
          </cell>
          <cell r="S11" t="str">
            <v/>
          </cell>
          <cell r="T11" t="str">
            <v/>
          </cell>
          <cell r="U11"/>
          <cell r="V11"/>
          <cell r="W11"/>
          <cell r="X11"/>
          <cell r="Y11"/>
          <cell r="Z11"/>
          <cell r="AA11"/>
          <cell r="AB11"/>
          <cell r="AC11"/>
          <cell r="AD11"/>
          <cell r="AE11"/>
          <cell r="AF11"/>
          <cell r="AG11"/>
          <cell r="AH11"/>
          <cell r="AI11"/>
          <cell r="AJ11" t="str">
            <v>"Smolt" counts are based on winter pre-smolt estimates (see CNAT_nuOkanagan_Juveniles 21.12.10.xlsx). Missing age composition, assumed 100% Age 1, however likely 1-10% Age 2 based on a few years of sample data (2005-2013) (Hyatt et al. 2017).</v>
          </cell>
          <cell r="AK11" t="str">
            <v>howard.stiff@dfo-mpo.gc.ca</v>
          </cell>
        </row>
        <row r="12">
          <cell r="B12">
            <v>1988</v>
          </cell>
          <cell r="C12">
            <v>530427.83799999999</v>
          </cell>
          <cell r="D12"/>
          <cell r="E12"/>
          <cell r="F12">
            <v>530427.83799999999</v>
          </cell>
          <cell r="G12" t="str">
            <v>Age comp missing: Total annual smolts entered in Age 1 column [hs 2022-05-02]</v>
          </cell>
          <cell r="H12" t="str">
            <v xml:space="preserve"> </v>
          </cell>
          <cell r="I12"/>
          <cell r="J12"/>
          <cell r="K12"/>
          <cell r="L12"/>
          <cell r="M12"/>
          <cell r="N12"/>
          <cell r="O12"/>
          <cell r="P12"/>
          <cell r="Q12"/>
          <cell r="R12" t="str">
            <v/>
          </cell>
          <cell r="S12" t="str">
            <v/>
          </cell>
          <cell r="T12" t="str">
            <v/>
          </cell>
          <cell r="U12"/>
          <cell r="V12"/>
          <cell r="W12"/>
          <cell r="X12"/>
          <cell r="Y12"/>
          <cell r="Z12"/>
          <cell r="AA12"/>
          <cell r="AB12"/>
          <cell r="AC12"/>
          <cell r="AD12"/>
          <cell r="AE12"/>
          <cell r="AF12"/>
          <cell r="AG12"/>
          <cell r="AH12"/>
          <cell r="AI12"/>
          <cell r="AJ12" t="str">
            <v>"Smolt" counts are based on winter pre-smolt estimates (see CNAT_nuOkanagan_Juveniles 21.12.10.xlsx). Missing age composition, assumed 100% Age 1, however likely 1-10% Age 2 based on a few years of sample data (2005-2013) (Hyatt et al. 2017).</v>
          </cell>
          <cell r="AK12" t="str">
            <v>howard.stiff@dfo-mpo.gc.ca</v>
          </cell>
        </row>
        <row r="13">
          <cell r="B13">
            <v>1989</v>
          </cell>
          <cell r="C13">
            <v>731366.70200000005</v>
          </cell>
          <cell r="D13"/>
          <cell r="E13"/>
          <cell r="F13">
            <v>731366.70200000005</v>
          </cell>
          <cell r="G13" t="str">
            <v>Age comp missing: Total annual smolts entered in Age 1 column [hs 2022-05-02]</v>
          </cell>
          <cell r="H13" t="str">
            <v xml:space="preserve"> </v>
          </cell>
          <cell r="I13"/>
          <cell r="J13"/>
          <cell r="K13"/>
          <cell r="L13"/>
          <cell r="M13"/>
          <cell r="N13"/>
          <cell r="O13"/>
          <cell r="P13"/>
          <cell r="Q13"/>
          <cell r="R13" t="str">
            <v/>
          </cell>
          <cell r="S13" t="str">
            <v/>
          </cell>
          <cell r="T13" t="str">
            <v/>
          </cell>
          <cell r="U13"/>
          <cell r="V13"/>
          <cell r="W13"/>
          <cell r="X13"/>
          <cell r="Y13"/>
          <cell r="Z13"/>
          <cell r="AA13"/>
          <cell r="AB13"/>
          <cell r="AC13"/>
          <cell r="AD13"/>
          <cell r="AE13"/>
          <cell r="AF13"/>
          <cell r="AG13"/>
          <cell r="AH13"/>
          <cell r="AI13"/>
          <cell r="AJ13" t="str">
            <v>"Smolt" counts are based on winter pre-smolt estimates (see CNAT_nuOkanagan_Juveniles 21.12.10.xlsx). Missing age composition, assumed 100% Age 1, however likely 1-10% Age 2 based on a few years of sample data (2005-2013) (Hyatt et al. 2017).</v>
          </cell>
          <cell r="AK13" t="str">
            <v>howard.stiff@dfo-mpo.gc.ca</v>
          </cell>
        </row>
        <row r="14">
          <cell r="B14">
            <v>1990</v>
          </cell>
          <cell r="C14">
            <v>315960.77400000003</v>
          </cell>
          <cell r="D14"/>
          <cell r="E14"/>
          <cell r="F14">
            <v>315960.77400000003</v>
          </cell>
          <cell r="G14" t="str">
            <v>Age comp missing: Total annual smolts entered in Age 1 column [hs 2022-05-02]</v>
          </cell>
          <cell r="H14" t="str">
            <v xml:space="preserve"> </v>
          </cell>
          <cell r="I14"/>
          <cell r="J14"/>
          <cell r="K14"/>
          <cell r="L14"/>
          <cell r="M14"/>
          <cell r="N14"/>
          <cell r="O14"/>
          <cell r="P14"/>
          <cell r="Q14"/>
          <cell r="R14" t="str">
            <v/>
          </cell>
          <cell r="S14" t="str">
            <v/>
          </cell>
          <cell r="T14" t="str">
            <v/>
          </cell>
          <cell r="U14"/>
          <cell r="V14"/>
          <cell r="W14"/>
          <cell r="X14"/>
          <cell r="Y14"/>
          <cell r="Z14"/>
          <cell r="AA14"/>
          <cell r="AB14"/>
          <cell r="AC14"/>
          <cell r="AD14"/>
          <cell r="AE14"/>
          <cell r="AF14"/>
          <cell r="AG14"/>
          <cell r="AH14"/>
          <cell r="AI14"/>
          <cell r="AJ14" t="str">
            <v>"Smolt" counts are based on winter pre-smolt estimates (see CNAT_nuOkanagan_Juveniles 21.12.10.xlsx). Missing age composition, assumed 100% Age 1, however likely 1-10% Age 2 based on a few years of sample data (2005-2013) (Hyatt et al. 2017).</v>
          </cell>
          <cell r="AK14" t="str">
            <v>howard.stiff@dfo-mpo.gc.ca</v>
          </cell>
        </row>
        <row r="15">
          <cell r="B15">
            <v>1991</v>
          </cell>
          <cell r="C15">
            <v>485056.83199999999</v>
          </cell>
          <cell r="D15"/>
          <cell r="E15"/>
          <cell r="F15">
            <v>485056.83199999999</v>
          </cell>
          <cell r="G15" t="str">
            <v>Age comp missing: Total annual smolts entered in Age 1 column [hs 2022-05-02]</v>
          </cell>
          <cell r="H15" t="str">
            <v xml:space="preserve"> </v>
          </cell>
          <cell r="I15"/>
          <cell r="J15"/>
          <cell r="K15"/>
          <cell r="L15"/>
          <cell r="M15"/>
          <cell r="N15"/>
          <cell r="O15"/>
          <cell r="P15"/>
          <cell r="Q15"/>
          <cell r="R15" t="str">
            <v/>
          </cell>
          <cell r="S15" t="str">
            <v/>
          </cell>
          <cell r="T15" t="str">
            <v/>
          </cell>
          <cell r="U15"/>
          <cell r="V15"/>
          <cell r="W15"/>
          <cell r="X15"/>
          <cell r="Y15"/>
          <cell r="Z15"/>
          <cell r="AA15"/>
          <cell r="AB15"/>
          <cell r="AC15"/>
          <cell r="AD15"/>
          <cell r="AE15"/>
          <cell r="AF15"/>
          <cell r="AG15"/>
          <cell r="AH15"/>
          <cell r="AI15"/>
          <cell r="AJ15" t="str">
            <v>"Smolt" counts are based on winter pre-smolt estimates (see CNAT_nuOkanagan_Juveniles 21.12.10.xlsx). Missing age composition, assumed 100% Age 1, however likely 1-10% Age 2 based on a few years of sample data (2005-2013) (Hyatt et al. 2017).</v>
          </cell>
          <cell r="AK15" t="str">
            <v>howard.stiff@dfo-mpo.gc.ca</v>
          </cell>
        </row>
        <row r="16">
          <cell r="B16">
            <v>1992</v>
          </cell>
          <cell r="C16">
            <v>177380.47</v>
          </cell>
          <cell r="D16"/>
          <cell r="E16"/>
          <cell r="F16">
            <v>177380.47</v>
          </cell>
          <cell r="G16" t="str">
            <v>Age comp missing: Total annual smolts entered in Age 1 column [hs 2022-05-02]</v>
          </cell>
          <cell r="H16" t="str">
            <v xml:space="preserve"> </v>
          </cell>
          <cell r="I16"/>
          <cell r="J16"/>
          <cell r="K16"/>
          <cell r="L16"/>
          <cell r="M16"/>
          <cell r="N16"/>
          <cell r="O16"/>
          <cell r="P16"/>
          <cell r="Q16"/>
          <cell r="R16" t="str">
            <v/>
          </cell>
          <cell r="S16" t="str">
            <v/>
          </cell>
          <cell r="T16" t="str">
            <v/>
          </cell>
          <cell r="U16"/>
          <cell r="V16"/>
          <cell r="W16"/>
          <cell r="X16"/>
          <cell r="Y16"/>
          <cell r="Z16"/>
          <cell r="AA16"/>
          <cell r="AB16"/>
          <cell r="AC16"/>
          <cell r="AD16"/>
          <cell r="AE16"/>
          <cell r="AF16"/>
          <cell r="AG16"/>
          <cell r="AH16"/>
          <cell r="AI16"/>
          <cell r="AJ16" t="str">
            <v>"Smolt" counts are based on winter pre-smolt estimates (see CNAT_nuOkanagan_Juveniles 21.12.10.xlsx). Missing age composition, assumed 100% Age 1, however likely 1-10% Age 2 based on a few years of sample data (2005-2013) (Hyatt et al. 2017).</v>
          </cell>
          <cell r="AK16" t="str">
            <v>howard.stiff@dfo-mpo.gc.ca</v>
          </cell>
        </row>
        <row r="17">
          <cell r="B17">
            <v>1993</v>
          </cell>
          <cell r="C17">
            <v>1479534.14</v>
          </cell>
          <cell r="D17"/>
          <cell r="E17"/>
          <cell r="F17">
            <v>1479534.14</v>
          </cell>
          <cell r="G17" t="str">
            <v>Age comp missing: Total annual smolts entered in Age 1 column [hs 2022-05-02]</v>
          </cell>
          <cell r="H17" t="str">
            <v xml:space="preserve"> </v>
          </cell>
          <cell r="I17"/>
          <cell r="J17"/>
          <cell r="K17"/>
          <cell r="L17"/>
          <cell r="M17"/>
          <cell r="N17"/>
          <cell r="O17"/>
          <cell r="P17"/>
          <cell r="Q17"/>
          <cell r="R17" t="str">
            <v/>
          </cell>
          <cell r="S17" t="str">
            <v/>
          </cell>
          <cell r="T17" t="str">
            <v/>
          </cell>
          <cell r="U17"/>
          <cell r="V17"/>
          <cell r="W17"/>
          <cell r="X17"/>
          <cell r="Y17"/>
          <cell r="Z17"/>
          <cell r="AA17"/>
          <cell r="AB17"/>
          <cell r="AC17"/>
          <cell r="AD17"/>
          <cell r="AE17"/>
          <cell r="AF17"/>
          <cell r="AG17"/>
          <cell r="AH17"/>
          <cell r="AI17"/>
          <cell r="AJ17" t="str">
            <v>"Smolt" counts are based on winter pre-smolt estimates (see CNAT_nuOkanagan_Juveniles 21.12.10.xlsx). Missing age composition, assumed 100% Age 1, however likely 1-10% Age 2 based on a few years of sample data (2005-2013) (Hyatt et al. 2017).</v>
          </cell>
          <cell r="AK17" t="str">
            <v>howard.stiff@dfo-mpo.gc.ca</v>
          </cell>
        </row>
        <row r="18">
          <cell r="B18">
            <v>1994</v>
          </cell>
          <cell r="C18">
            <v>694473.36800000002</v>
          </cell>
          <cell r="D18"/>
          <cell r="E18"/>
          <cell r="F18">
            <v>694473.36800000002</v>
          </cell>
          <cell r="G18" t="str">
            <v>Age comp missing: Total annual smolts entered in Age 1 column [hs 2022-05-02]</v>
          </cell>
          <cell r="H18" t="str">
            <v xml:space="preserve"> </v>
          </cell>
          <cell r="I18"/>
          <cell r="J18"/>
          <cell r="K18"/>
          <cell r="L18"/>
          <cell r="M18"/>
          <cell r="N18"/>
          <cell r="O18"/>
          <cell r="P18"/>
          <cell r="Q18"/>
          <cell r="R18" t="str">
            <v/>
          </cell>
          <cell r="S18" t="str">
            <v/>
          </cell>
          <cell r="T18" t="str">
            <v/>
          </cell>
          <cell r="U18"/>
          <cell r="V18"/>
          <cell r="W18"/>
          <cell r="X18"/>
          <cell r="Y18"/>
          <cell r="Z18"/>
          <cell r="AA18"/>
          <cell r="AB18"/>
          <cell r="AC18"/>
          <cell r="AD18"/>
          <cell r="AE18"/>
          <cell r="AF18"/>
          <cell r="AG18"/>
          <cell r="AH18"/>
          <cell r="AI18"/>
          <cell r="AJ18" t="str">
            <v>"Smolt" counts are based on winter pre-smolt estimates (see CNAT_nuOkanagan_Juveniles 21.12.10.xlsx). Missing age composition, assumed 100% Age 1, however likely 1-10% Age 2 based on a few years of sample data (2005-2013) (Hyatt et al. 2017).</v>
          </cell>
          <cell r="AK18" t="str">
            <v>howard.stiff@dfo-mpo.gc.ca</v>
          </cell>
        </row>
        <row r="19">
          <cell r="B19">
            <v>1995</v>
          </cell>
          <cell r="C19">
            <v>979216.21</v>
          </cell>
          <cell r="D19"/>
          <cell r="E19"/>
          <cell r="F19">
            <v>979216.21</v>
          </cell>
          <cell r="G19" t="str">
            <v>Age comp missing: Total annual smolts entered in Age 1 column [hs 2022-05-02]</v>
          </cell>
          <cell r="H19" t="str">
            <v xml:space="preserve"> </v>
          </cell>
          <cell r="I19"/>
          <cell r="J19"/>
          <cell r="K19"/>
          <cell r="L19"/>
          <cell r="M19"/>
          <cell r="N19"/>
          <cell r="O19"/>
          <cell r="P19"/>
          <cell r="Q19"/>
          <cell r="R19" t="str">
            <v/>
          </cell>
          <cell r="S19" t="str">
            <v/>
          </cell>
          <cell r="T19" t="str">
            <v/>
          </cell>
          <cell r="U19"/>
          <cell r="V19"/>
          <cell r="W19"/>
          <cell r="X19"/>
          <cell r="Y19"/>
          <cell r="Z19"/>
          <cell r="AA19"/>
          <cell r="AB19"/>
          <cell r="AC19"/>
          <cell r="AD19"/>
          <cell r="AE19"/>
          <cell r="AF19"/>
          <cell r="AG19"/>
          <cell r="AH19"/>
          <cell r="AI19"/>
          <cell r="AJ19" t="str">
            <v>"Smolt" counts are based on winter pre-smolt estimates (see CNAT_nuOkanagan_Juveniles 21.12.10.xlsx). Missing age composition, assumed 100% Age 1, however likely 1-10% Age 2 based on a few years of sample data (2005-2013) (Hyatt et al. 2017).</v>
          </cell>
          <cell r="AK19" t="str">
            <v>howard.stiff@dfo-mpo.gc.ca</v>
          </cell>
        </row>
        <row r="20">
          <cell r="B20">
            <v>1996</v>
          </cell>
          <cell r="C20">
            <v>140210.13</v>
          </cell>
          <cell r="D20"/>
          <cell r="E20"/>
          <cell r="F20">
            <v>140210.13</v>
          </cell>
          <cell r="G20" t="str">
            <v>Age comp missing: Total annual smolts entered in Age 1 column [hs 2022-05-02]</v>
          </cell>
          <cell r="H20" t="str">
            <v xml:space="preserve"> </v>
          </cell>
          <cell r="I20"/>
          <cell r="J20"/>
          <cell r="K20"/>
          <cell r="L20"/>
          <cell r="M20"/>
          <cell r="N20"/>
          <cell r="O20"/>
          <cell r="P20"/>
          <cell r="Q20"/>
          <cell r="R20" t="str">
            <v/>
          </cell>
          <cell r="S20" t="str">
            <v/>
          </cell>
          <cell r="T20" t="str">
            <v/>
          </cell>
          <cell r="U20"/>
          <cell r="V20"/>
          <cell r="W20"/>
          <cell r="X20"/>
          <cell r="Y20"/>
          <cell r="Z20"/>
          <cell r="AA20"/>
          <cell r="AB20"/>
          <cell r="AC20"/>
          <cell r="AD20"/>
          <cell r="AE20"/>
          <cell r="AF20"/>
          <cell r="AG20"/>
          <cell r="AH20"/>
          <cell r="AI20"/>
          <cell r="AJ20" t="str">
            <v>"Smolt" counts are based on winter pre-smolt estimates (see CNAT_nuOkanagan_Juveniles 21.12.10.xlsx). Missing age composition, assumed 100% Age 1, however likely 1-10% Age 2 based on a few years of sample data (2005-2013) (Hyatt et al. 2017).</v>
          </cell>
          <cell r="AK20" t="str">
            <v>howard.stiff@dfo-mpo.gc.ca</v>
          </cell>
        </row>
        <row r="21">
          <cell r="B21">
            <v>1997</v>
          </cell>
          <cell r="C21">
            <v>379994.25400000002</v>
          </cell>
          <cell r="D21"/>
          <cell r="E21"/>
          <cell r="F21">
            <v>379994.25400000002</v>
          </cell>
          <cell r="G21" t="str">
            <v>Age comp missing: Total annual smolts entered in Age 1 column [hs 2022-05-02]</v>
          </cell>
          <cell r="H21" t="str">
            <v xml:space="preserve"> </v>
          </cell>
          <cell r="I21"/>
          <cell r="J21"/>
          <cell r="K21"/>
          <cell r="L21"/>
          <cell r="M21"/>
          <cell r="N21"/>
          <cell r="O21"/>
          <cell r="P21"/>
          <cell r="Q21"/>
          <cell r="R21" t="str">
            <v/>
          </cell>
          <cell r="S21" t="str">
            <v/>
          </cell>
          <cell r="T21" t="str">
            <v/>
          </cell>
          <cell r="U21"/>
          <cell r="V21"/>
          <cell r="W21"/>
          <cell r="X21"/>
          <cell r="Y21"/>
          <cell r="Z21"/>
          <cell r="AA21"/>
          <cell r="AB21"/>
          <cell r="AC21"/>
          <cell r="AD21"/>
          <cell r="AE21"/>
          <cell r="AF21"/>
          <cell r="AG21"/>
          <cell r="AH21"/>
          <cell r="AI21"/>
          <cell r="AJ21" t="str">
            <v>"Smolt" counts are based on winter pre-smolt estimates (see CNAT_nuOkanagan_Juveniles 21.12.10.xlsx). Missing age composition, assumed 100% Age 1, however likely 1-10% Age 2 based on a few years of sample data (2005-2013) (Hyatt et al. 2017).</v>
          </cell>
          <cell r="AK21" t="str">
            <v>howard.stiff@dfo-mpo.gc.ca</v>
          </cell>
        </row>
        <row r="22">
          <cell r="B22">
            <v>1998</v>
          </cell>
          <cell r="C22">
            <v>1209167</v>
          </cell>
          <cell r="D22"/>
          <cell r="E22"/>
          <cell r="F22">
            <v>1209167</v>
          </cell>
          <cell r="G22" t="str">
            <v>Age comp missing: Total annual smolts entered in Age 1 column [hs 2022-05-02]</v>
          </cell>
          <cell r="H22" t="str">
            <v xml:space="preserve"> </v>
          </cell>
          <cell r="I22"/>
          <cell r="J22"/>
          <cell r="K22"/>
          <cell r="L22"/>
          <cell r="M22"/>
          <cell r="N22"/>
          <cell r="O22"/>
          <cell r="P22"/>
          <cell r="Q22"/>
          <cell r="R22" t="str">
            <v/>
          </cell>
          <cell r="S22" t="str">
            <v/>
          </cell>
          <cell r="T22" t="str">
            <v/>
          </cell>
          <cell r="U22"/>
          <cell r="V22"/>
          <cell r="W22"/>
          <cell r="X22"/>
          <cell r="Y22"/>
          <cell r="Z22"/>
          <cell r="AA22"/>
          <cell r="AB22"/>
          <cell r="AC22"/>
          <cell r="AD22"/>
          <cell r="AE22"/>
          <cell r="AF22"/>
          <cell r="AG22"/>
          <cell r="AH22"/>
          <cell r="AI22"/>
          <cell r="AJ22" t="str">
            <v>"Smolt" counts are based on winter pre-smolt estimates (see CNAT_nuOkanagan_Juveniles 21.12.10.xlsx). Missing age composition, assumed 100% Age 1, however likely 1-10% Age 2 based on a few years of sample data (2005-2013) (Hyatt et al. 2017).</v>
          </cell>
          <cell r="AK22" t="str">
            <v>howard.stiff@dfo-mpo.gc.ca</v>
          </cell>
        </row>
        <row r="23">
          <cell r="B23">
            <v>1999</v>
          </cell>
          <cell r="C23">
            <v>3099743</v>
          </cell>
          <cell r="D23"/>
          <cell r="E23"/>
          <cell r="F23">
            <v>3099743</v>
          </cell>
          <cell r="G23" t="str">
            <v>Age comp missing: Total annual smolts entered in Age 1 column [hs 2022-05-02]</v>
          </cell>
          <cell r="H23" t="str">
            <v xml:space="preserve"> </v>
          </cell>
          <cell r="I23"/>
          <cell r="J23"/>
          <cell r="K23"/>
          <cell r="L23"/>
          <cell r="M23"/>
          <cell r="N23"/>
          <cell r="O23"/>
          <cell r="P23"/>
          <cell r="Q23"/>
          <cell r="R23" t="str">
            <v/>
          </cell>
          <cell r="S23" t="str">
            <v/>
          </cell>
          <cell r="T23" t="str">
            <v/>
          </cell>
          <cell r="U23"/>
          <cell r="V23"/>
          <cell r="W23"/>
          <cell r="X23"/>
          <cell r="Y23"/>
          <cell r="Z23"/>
          <cell r="AA23"/>
          <cell r="AB23"/>
          <cell r="AC23"/>
          <cell r="AD23"/>
          <cell r="AE23"/>
          <cell r="AF23"/>
          <cell r="AG23"/>
          <cell r="AH23"/>
          <cell r="AI23"/>
          <cell r="AJ23" t="str">
            <v>"Smolt" counts are based on winter pre-smolt estimates (see CNAT_nuOkanagan_Juveniles 21.12.10.xlsx). Missing age composition, assumed 100% Age 1, however likely 1-10% Age 2 based on a few years of sample data (2005-2013) (Hyatt et al. 2017).</v>
          </cell>
          <cell r="AK23" t="str">
            <v>howard.stiff@dfo-mpo.gc.ca</v>
          </cell>
        </row>
        <row r="24">
          <cell r="B24">
            <v>2000</v>
          </cell>
          <cell r="C24">
            <v>281333</v>
          </cell>
          <cell r="D24"/>
          <cell r="E24"/>
          <cell r="F24">
            <v>281333</v>
          </cell>
          <cell r="G24" t="str">
            <v>Age comp missing: Total annual smolts entered in Age 1 column [hs 2022-05-02]</v>
          </cell>
          <cell r="H24" t="str">
            <v xml:space="preserve"> </v>
          </cell>
          <cell r="I24"/>
          <cell r="J24"/>
          <cell r="K24"/>
          <cell r="L24"/>
          <cell r="M24"/>
          <cell r="N24"/>
          <cell r="O24"/>
          <cell r="P24"/>
          <cell r="Q24"/>
          <cell r="R24" t="str">
            <v/>
          </cell>
          <cell r="S24" t="str">
            <v/>
          </cell>
          <cell r="T24" t="str">
            <v/>
          </cell>
          <cell r="U24"/>
          <cell r="V24"/>
          <cell r="W24"/>
          <cell r="X24"/>
          <cell r="Y24"/>
          <cell r="Z24"/>
          <cell r="AA24"/>
          <cell r="AB24"/>
          <cell r="AC24"/>
          <cell r="AD24"/>
          <cell r="AE24"/>
          <cell r="AF24"/>
          <cell r="AG24"/>
          <cell r="AH24"/>
          <cell r="AI24"/>
          <cell r="AJ24" t="str">
            <v>"Smolt" counts are based on winter pre-smolt estimates (see CNAT_nuOkanagan_Juveniles 21.12.10.xlsx). Missing age composition, assumed 100% Age 1, however likely 1-10% Age 2 based on a few years of sample data (2005-2013) (Hyatt et al. 2017).</v>
          </cell>
          <cell r="AK24" t="str">
            <v>howard.stiff@dfo-mpo.gc.ca</v>
          </cell>
        </row>
        <row r="25">
          <cell r="B25">
            <v>2001</v>
          </cell>
          <cell r="C25">
            <v>1446600</v>
          </cell>
          <cell r="D25"/>
          <cell r="E25"/>
          <cell r="F25">
            <v>1446600</v>
          </cell>
          <cell r="G25" t="str">
            <v>Age comp missing: Total annual smolts entered in Age 1 column [hs 2022-05-02]</v>
          </cell>
          <cell r="H25" t="str">
            <v xml:space="preserve"> </v>
          </cell>
          <cell r="I25"/>
          <cell r="J25"/>
          <cell r="K25"/>
          <cell r="L25"/>
          <cell r="M25"/>
          <cell r="N25"/>
          <cell r="O25"/>
          <cell r="P25"/>
          <cell r="Q25"/>
          <cell r="R25" t="str">
            <v/>
          </cell>
          <cell r="S25" t="str">
            <v/>
          </cell>
          <cell r="T25" t="str">
            <v/>
          </cell>
          <cell r="U25"/>
          <cell r="V25"/>
          <cell r="W25"/>
          <cell r="X25"/>
          <cell r="Y25"/>
          <cell r="Z25"/>
          <cell r="AA25"/>
          <cell r="AB25"/>
          <cell r="AC25"/>
          <cell r="AD25"/>
          <cell r="AE25"/>
          <cell r="AF25"/>
          <cell r="AG25"/>
          <cell r="AH25"/>
          <cell r="AI25"/>
          <cell r="AJ25" t="str">
            <v>"Smolt" counts are based on winter pre-smolt estimates (see CNAT_nuOkanagan_Juveniles 21.12.10.xlsx). Missing age composition, assumed 100% Age 1, however likely 1-10% Age 2 based on a few years of sample data (2005-2013) (Hyatt et al. 2017).</v>
          </cell>
          <cell r="AK25" t="str">
            <v>howard.stiff@dfo-mpo.gc.ca</v>
          </cell>
        </row>
        <row r="26">
          <cell r="B26">
            <v>2002</v>
          </cell>
          <cell r="C26">
            <v>2927009</v>
          </cell>
          <cell r="D26"/>
          <cell r="E26"/>
          <cell r="F26">
            <v>2927009</v>
          </cell>
          <cell r="G26" t="str">
            <v>Age comp missing: Total annual smolts entered in Age 1 column [hs 2022-05-02]</v>
          </cell>
          <cell r="H26" t="str">
            <v xml:space="preserve"> </v>
          </cell>
          <cell r="I26"/>
          <cell r="J26"/>
          <cell r="K26"/>
          <cell r="L26"/>
          <cell r="M26"/>
          <cell r="N26"/>
          <cell r="O26"/>
          <cell r="P26"/>
          <cell r="Q26"/>
          <cell r="R26" t="str">
            <v/>
          </cell>
          <cell r="S26" t="str">
            <v/>
          </cell>
          <cell r="T26" t="str">
            <v/>
          </cell>
          <cell r="U26"/>
          <cell r="V26"/>
          <cell r="W26"/>
          <cell r="X26"/>
          <cell r="Y26"/>
          <cell r="Z26"/>
          <cell r="AA26"/>
          <cell r="AB26"/>
          <cell r="AC26"/>
          <cell r="AD26"/>
          <cell r="AE26"/>
          <cell r="AF26"/>
          <cell r="AG26"/>
          <cell r="AH26"/>
          <cell r="AI26"/>
          <cell r="AJ26" t="str">
            <v>"Smolt" counts are based on winter pre-smolt estimates (see CNAT_nuOkanagan_Juveniles 21.12.10.xlsx). Missing age composition, assumed 100% Age 1, however likely 1-10% Age 2 based on a few years of sample data (2005-2013) (Hyatt et al. 2017).</v>
          </cell>
          <cell r="AK26" t="str">
            <v>howard.stiff@dfo-mpo.gc.ca</v>
          </cell>
        </row>
        <row r="27">
          <cell r="B27">
            <v>2003</v>
          </cell>
          <cell r="C27">
            <v>2080978</v>
          </cell>
          <cell r="D27"/>
          <cell r="E27"/>
          <cell r="F27">
            <v>2080978</v>
          </cell>
          <cell r="G27" t="str">
            <v>Age comp missing: Total annual smolts entered in Age 1 column [hs 2022-05-02]</v>
          </cell>
          <cell r="H27" t="str">
            <v xml:space="preserve"> </v>
          </cell>
          <cell r="I27"/>
          <cell r="J27"/>
          <cell r="K27"/>
          <cell r="L27"/>
          <cell r="M27"/>
          <cell r="N27"/>
          <cell r="O27"/>
          <cell r="P27"/>
          <cell r="Q27"/>
          <cell r="R27" t="str">
            <v/>
          </cell>
          <cell r="S27" t="str">
            <v/>
          </cell>
          <cell r="T27" t="str">
            <v/>
          </cell>
          <cell r="U27"/>
          <cell r="V27"/>
          <cell r="W27"/>
          <cell r="X27"/>
          <cell r="Y27"/>
          <cell r="Z27"/>
          <cell r="AA27"/>
          <cell r="AB27"/>
          <cell r="AC27"/>
          <cell r="AD27"/>
          <cell r="AE27"/>
          <cell r="AF27"/>
          <cell r="AG27"/>
          <cell r="AH27"/>
          <cell r="AI27"/>
          <cell r="AJ27" t="str">
            <v>"Smolt" counts are based on winter pre-smolt estimates (see CNAT_nuOkanagan_Juveniles 21.12.10.xlsx). Missing age composition, assumed 100% Age 1, however likely 1-10% Age 2 based on a few years of sample data (2005-2013) (Hyatt et al. 2017).</v>
          </cell>
          <cell r="AK27" t="str">
            <v>howard.stiff@dfo-mpo.gc.ca</v>
          </cell>
        </row>
        <row r="28">
          <cell r="B28">
            <v>2004</v>
          </cell>
          <cell r="C28">
            <v>627855</v>
          </cell>
          <cell r="D28"/>
          <cell r="E28"/>
          <cell r="F28">
            <v>627855</v>
          </cell>
          <cell r="G28" t="str">
            <v>Age comp missing: Total annual smolts entered in Age 1 column [hs 2022-05-02]</v>
          </cell>
          <cell r="H28" t="str">
            <v xml:space="preserve"> </v>
          </cell>
          <cell r="I28"/>
          <cell r="J28"/>
          <cell r="K28"/>
          <cell r="L28"/>
          <cell r="M28"/>
          <cell r="N28"/>
          <cell r="O28"/>
          <cell r="P28"/>
          <cell r="Q28"/>
          <cell r="R28" t="str">
            <v/>
          </cell>
          <cell r="S28" t="str">
            <v/>
          </cell>
          <cell r="T28" t="str">
            <v/>
          </cell>
          <cell r="U28"/>
          <cell r="V28"/>
          <cell r="W28"/>
          <cell r="X28"/>
          <cell r="Y28"/>
          <cell r="Z28"/>
          <cell r="AA28"/>
          <cell r="AB28"/>
          <cell r="AC28"/>
          <cell r="AD28"/>
          <cell r="AE28"/>
          <cell r="AF28"/>
          <cell r="AG28"/>
          <cell r="AH28"/>
          <cell r="AI28"/>
          <cell r="AJ28" t="str">
            <v>"Smolt" counts are based on winter pre-smolt estimates (see CNAT_nuOkanagan_Juveniles 21.12.10.xlsx). Missing age composition, assumed 100% Age 1, however likely 1-10% Age 2 based on a few years of sample data (2005-2013) (Hyatt et al. 2017).</v>
          </cell>
          <cell r="AK28" t="str">
            <v>howard.stiff@dfo-mpo.gc.ca</v>
          </cell>
        </row>
        <row r="29">
          <cell r="B29">
            <v>2005</v>
          </cell>
          <cell r="C29">
            <v>735805</v>
          </cell>
          <cell r="D29"/>
          <cell r="E29"/>
          <cell r="F29">
            <v>735805</v>
          </cell>
          <cell r="G29" t="str">
            <v>Age comp missing: Total annual smolts entered in Age 1 column [hs 2022-05-02]</v>
          </cell>
          <cell r="H29" t="str">
            <v xml:space="preserve"> </v>
          </cell>
          <cell r="I29"/>
          <cell r="J29"/>
          <cell r="K29"/>
          <cell r="L29"/>
          <cell r="M29"/>
          <cell r="N29"/>
          <cell r="O29"/>
          <cell r="P29"/>
          <cell r="Q29"/>
          <cell r="R29" t="str">
            <v/>
          </cell>
          <cell r="S29" t="str">
            <v/>
          </cell>
          <cell r="T29" t="str">
            <v/>
          </cell>
          <cell r="U29"/>
          <cell r="V29"/>
          <cell r="W29"/>
          <cell r="X29"/>
          <cell r="Y29"/>
          <cell r="Z29"/>
          <cell r="AA29"/>
          <cell r="AB29"/>
          <cell r="AC29"/>
          <cell r="AD29"/>
          <cell r="AE29"/>
          <cell r="AF29"/>
          <cell r="AG29"/>
          <cell r="AH29"/>
          <cell r="AI29"/>
          <cell r="AJ29" t="str">
            <v>"Smolt" counts are based on winter pre-smolt estimates (see CNAT_nuOkanagan_Juveniles 21.12.10.xlsx). Missing age composition, assumed 100% Age 1, however likely 1-10% Age 2 based on a few years of sample data (2005-2013) (Hyatt et al. 2017).</v>
          </cell>
          <cell r="AK29" t="str">
            <v>howard.stiff@dfo-mpo.gc.ca</v>
          </cell>
        </row>
        <row r="30">
          <cell r="B30">
            <v>2006</v>
          </cell>
          <cell r="C30">
            <v>1783500</v>
          </cell>
          <cell r="D30"/>
          <cell r="E30"/>
          <cell r="F30">
            <v>1783500</v>
          </cell>
          <cell r="G30" t="str">
            <v>Age comp missing: Total annual smolts entered in Age 1 column [hs 2022-05-02]</v>
          </cell>
          <cell r="H30" t="str">
            <v xml:space="preserve"> </v>
          </cell>
          <cell r="I30"/>
          <cell r="J30"/>
          <cell r="K30"/>
          <cell r="L30"/>
          <cell r="M30"/>
          <cell r="N30"/>
          <cell r="O30"/>
          <cell r="P30"/>
          <cell r="Q30"/>
          <cell r="R30" t="str">
            <v/>
          </cell>
          <cell r="S30" t="str">
            <v/>
          </cell>
          <cell r="T30" t="str">
            <v/>
          </cell>
          <cell r="U30"/>
          <cell r="V30"/>
          <cell r="W30"/>
          <cell r="X30"/>
          <cell r="Y30"/>
          <cell r="Z30"/>
          <cell r="AA30"/>
          <cell r="AB30"/>
          <cell r="AC30"/>
          <cell r="AD30"/>
          <cell r="AE30"/>
          <cell r="AF30"/>
          <cell r="AG30"/>
          <cell r="AH30"/>
          <cell r="AI30"/>
          <cell r="AJ30" t="str">
            <v>"Smolt" counts are based on winter pre-smolt estimates (see CNAT_nuOkanagan_Juveniles 21.12.10.xlsx). Missing age composition, assumed 100% Age 1, however likely 1-10% Age 2 based on a few years of sample data (2005-2013) (Hyatt et al. 2017).</v>
          </cell>
          <cell r="AK30" t="str">
            <v>howard.stiff@dfo-mpo.gc.ca</v>
          </cell>
        </row>
        <row r="31">
          <cell r="B31">
            <v>2007</v>
          </cell>
          <cell r="C31">
            <v>2026709</v>
          </cell>
          <cell r="D31"/>
          <cell r="E31"/>
          <cell r="F31">
            <v>2026709</v>
          </cell>
          <cell r="G31" t="str">
            <v>Age comp missing: Total annual smolts entered in Age 1 column [hs 2022-05-02]</v>
          </cell>
          <cell r="H31" t="str">
            <v xml:space="preserve"> </v>
          </cell>
          <cell r="I31"/>
          <cell r="J31"/>
          <cell r="K31"/>
          <cell r="L31"/>
          <cell r="M31"/>
          <cell r="N31"/>
          <cell r="O31"/>
          <cell r="P31"/>
          <cell r="Q31"/>
          <cell r="R31" t="str">
            <v/>
          </cell>
          <cell r="S31" t="str">
            <v/>
          </cell>
          <cell r="T31" t="str">
            <v/>
          </cell>
          <cell r="U31"/>
          <cell r="V31"/>
          <cell r="W31"/>
          <cell r="X31"/>
          <cell r="Y31"/>
          <cell r="Z31"/>
          <cell r="AA31"/>
          <cell r="AB31"/>
          <cell r="AC31"/>
          <cell r="AD31"/>
          <cell r="AE31"/>
          <cell r="AF31"/>
          <cell r="AG31"/>
          <cell r="AH31"/>
          <cell r="AI31"/>
          <cell r="AJ31" t="str">
            <v>"Smolt" counts are based on winter pre-smolt estimates (see CNAT_nuOkanagan_Juveniles 21.12.10.xlsx). Missing age composition, assumed 100% Age 1, however likely 1-10% Age 2 based on a few years of sample data (2005-2013) (Hyatt et al. 2017).</v>
          </cell>
          <cell r="AK31" t="str">
            <v>howard.stiff@dfo-mpo.gc.ca</v>
          </cell>
        </row>
        <row r="32">
          <cell r="B32">
            <v>2008</v>
          </cell>
          <cell r="C32">
            <v>2133694</v>
          </cell>
          <cell r="D32"/>
          <cell r="E32"/>
          <cell r="F32">
            <v>2133694</v>
          </cell>
          <cell r="G32" t="str">
            <v>Age comp missing: Total annual smolts entered in Age 1 column [hs 2022-05-02]</v>
          </cell>
          <cell r="H32" t="str">
            <v xml:space="preserve"> </v>
          </cell>
          <cell r="I32"/>
          <cell r="J32"/>
          <cell r="K32"/>
          <cell r="L32"/>
          <cell r="M32"/>
          <cell r="N32"/>
          <cell r="O32"/>
          <cell r="P32"/>
          <cell r="Q32"/>
          <cell r="R32" t="str">
            <v/>
          </cell>
          <cell r="S32" t="str">
            <v/>
          </cell>
          <cell r="T32" t="str">
            <v/>
          </cell>
          <cell r="U32"/>
          <cell r="V32"/>
          <cell r="W32"/>
          <cell r="X32"/>
          <cell r="Y32"/>
          <cell r="Z32"/>
          <cell r="AA32"/>
          <cell r="AB32"/>
          <cell r="AC32"/>
          <cell r="AD32"/>
          <cell r="AE32"/>
          <cell r="AF32"/>
          <cell r="AG32"/>
          <cell r="AH32"/>
          <cell r="AI32"/>
          <cell r="AJ32" t="str">
            <v>"Smolt" counts are based on winter pre-smolt estimates (see CNAT_nuOkanagan_Juveniles 21.12.10.xlsx). Missing age composition, assumed 100% Age 1, however likely 1-10% Age 2 based on a few years of sample data (2005-2013) (Hyatt et al. 2017).</v>
          </cell>
          <cell r="AK32" t="str">
            <v>howard.stiff@dfo-mpo.gc.ca</v>
          </cell>
        </row>
        <row r="33">
          <cell r="B33">
            <v>2009</v>
          </cell>
          <cell r="C33">
            <v>875327</v>
          </cell>
          <cell r="D33"/>
          <cell r="E33"/>
          <cell r="F33">
            <v>875327</v>
          </cell>
          <cell r="G33" t="str">
            <v>Age comp missing: Total annual smolts entered in Age 1 column [hs 2022-05-02]</v>
          </cell>
          <cell r="H33" t="str">
            <v xml:space="preserve"> </v>
          </cell>
          <cell r="I33"/>
          <cell r="J33"/>
          <cell r="K33"/>
          <cell r="L33"/>
          <cell r="M33"/>
          <cell r="N33"/>
          <cell r="O33"/>
          <cell r="P33"/>
          <cell r="Q33"/>
          <cell r="R33" t="str">
            <v/>
          </cell>
          <cell r="S33" t="str">
            <v/>
          </cell>
          <cell r="T33" t="str">
            <v/>
          </cell>
          <cell r="U33"/>
          <cell r="V33"/>
          <cell r="W33"/>
          <cell r="X33"/>
          <cell r="Y33"/>
          <cell r="Z33"/>
          <cell r="AA33"/>
          <cell r="AB33"/>
          <cell r="AC33"/>
          <cell r="AD33"/>
          <cell r="AE33"/>
          <cell r="AF33"/>
          <cell r="AG33"/>
          <cell r="AH33"/>
          <cell r="AI33"/>
          <cell r="AJ33" t="str">
            <v>"Smolt" counts are based on winter pre-smolt estimates (see CNAT_nuOkanagan_Juveniles 21.12.10.xlsx). Missing age composition, assumed 100% Age 1, however likely 1-10% Age 2 based on a few years of sample data (2005-2013) (Hyatt et al. 2017).</v>
          </cell>
          <cell r="AK33" t="str">
            <v>howard.stiff@dfo-mpo.gc.ca</v>
          </cell>
        </row>
        <row r="34">
          <cell r="B34">
            <v>2010</v>
          </cell>
          <cell r="C34">
            <v>7488306</v>
          </cell>
          <cell r="D34"/>
          <cell r="E34"/>
          <cell r="F34">
            <v>7488306</v>
          </cell>
          <cell r="G34" t="str">
            <v>Age comp missing: Total annual smolts entered in Age 1 column [hs 2022-05-02]</v>
          </cell>
          <cell r="H34" t="str">
            <v xml:space="preserve"> </v>
          </cell>
          <cell r="I34"/>
          <cell r="J34"/>
          <cell r="K34"/>
          <cell r="L34"/>
          <cell r="M34"/>
          <cell r="N34"/>
          <cell r="O34"/>
          <cell r="P34"/>
          <cell r="Q34"/>
          <cell r="R34" t="str">
            <v/>
          </cell>
          <cell r="S34" t="str">
            <v/>
          </cell>
          <cell r="T34" t="str">
            <v/>
          </cell>
          <cell r="U34"/>
          <cell r="V34"/>
          <cell r="W34"/>
          <cell r="X34"/>
          <cell r="Y34"/>
          <cell r="Z34"/>
          <cell r="AA34"/>
          <cell r="AB34"/>
          <cell r="AC34"/>
          <cell r="AD34"/>
          <cell r="AE34"/>
          <cell r="AF34"/>
          <cell r="AG34"/>
          <cell r="AH34"/>
          <cell r="AI34"/>
          <cell r="AJ34" t="str">
            <v>"Smolt" counts are based on winter pre-smolt estimates (see CNAT_nuOkanagan_Juveniles 21.12.10.xlsx). Missing age composition, assumed 100% Age 1, however likely 1-10% Age 2 based on a few years of sample data (2005-2013) (Hyatt et al. 2017).</v>
          </cell>
          <cell r="AK34" t="str">
            <v>howard.stiff@dfo-mpo.gc.ca</v>
          </cell>
        </row>
        <row r="35">
          <cell r="B35">
            <v>2011</v>
          </cell>
          <cell r="C35">
            <v>929531</v>
          </cell>
          <cell r="D35"/>
          <cell r="E35"/>
          <cell r="F35">
            <v>929531</v>
          </cell>
          <cell r="G35" t="str">
            <v>Age comp missing: Total annual smolts entered in Age 1 column [hs 2022-05-02]</v>
          </cell>
          <cell r="H35" t="str">
            <v xml:space="preserve"> </v>
          </cell>
          <cell r="I35"/>
          <cell r="J35"/>
          <cell r="K35"/>
          <cell r="L35"/>
          <cell r="M35"/>
          <cell r="N35"/>
          <cell r="O35"/>
          <cell r="P35"/>
          <cell r="Q35"/>
          <cell r="R35" t="str">
            <v/>
          </cell>
          <cell r="S35" t="str">
            <v/>
          </cell>
          <cell r="T35" t="str">
            <v/>
          </cell>
          <cell r="U35"/>
          <cell r="V35"/>
          <cell r="W35"/>
          <cell r="X35"/>
          <cell r="Y35"/>
          <cell r="Z35"/>
          <cell r="AA35"/>
          <cell r="AB35"/>
          <cell r="AC35"/>
          <cell r="AD35"/>
          <cell r="AE35"/>
          <cell r="AF35"/>
          <cell r="AG35"/>
          <cell r="AH35"/>
          <cell r="AI35"/>
          <cell r="AJ35" t="str">
            <v>"Smolt" counts are based on winter pre-smolt estimates (see CNAT_nuOkanagan_Juveniles 21.12.10.xlsx). Missing age composition, assumed 100% Age 1, however likely 1-10% Age 2 based on a few years of sample data (2005-2013) (Hyatt et al. 2017).</v>
          </cell>
          <cell r="AK35" t="str">
            <v>howard.stiff@dfo-mpo.gc.ca</v>
          </cell>
        </row>
        <row r="36">
          <cell r="B36">
            <v>2012</v>
          </cell>
          <cell r="C36">
            <v>4435800</v>
          </cell>
          <cell r="D36"/>
          <cell r="E36"/>
          <cell r="F36">
            <v>4435800</v>
          </cell>
          <cell r="G36" t="str">
            <v>Age comp missing: Total annual smolts entered in Age 1 column [hs 2022-05-02]</v>
          </cell>
          <cell r="H36" t="str">
            <v xml:space="preserve"> </v>
          </cell>
          <cell r="I36"/>
          <cell r="J36"/>
          <cell r="K36"/>
          <cell r="L36"/>
          <cell r="M36"/>
          <cell r="N36"/>
          <cell r="O36"/>
          <cell r="P36"/>
          <cell r="Q36"/>
          <cell r="R36" t="str">
            <v/>
          </cell>
          <cell r="S36" t="str">
            <v/>
          </cell>
          <cell r="T36" t="str">
            <v/>
          </cell>
          <cell r="U36"/>
          <cell r="V36"/>
          <cell r="W36"/>
          <cell r="X36"/>
          <cell r="Y36"/>
          <cell r="Z36"/>
          <cell r="AA36"/>
          <cell r="AB36"/>
          <cell r="AC36"/>
          <cell r="AD36"/>
          <cell r="AE36"/>
          <cell r="AF36"/>
          <cell r="AG36"/>
          <cell r="AH36"/>
          <cell r="AI36"/>
          <cell r="AJ36" t="str">
            <v>"Smolt" counts are based on winter pre-smolt estimates (see CNAT_nuOkanagan_Juveniles 21.12.10.xlsx). Missing age composition, assumed 100% Age 1, however likely 1-10% Age 2 based on a few years of sample data (2005-2013) (Hyatt et al. 2017).</v>
          </cell>
          <cell r="AK36" t="str">
            <v>howard.stiff@dfo-mpo.gc.ca</v>
          </cell>
        </row>
        <row r="37">
          <cell r="B37">
            <v>2013</v>
          </cell>
          <cell r="C37">
            <v>2898435</v>
          </cell>
          <cell r="D37"/>
          <cell r="E37"/>
          <cell r="F37">
            <v>2898435</v>
          </cell>
          <cell r="G37" t="str">
            <v>Age comp missing: Total annual smolts entered in Age 1 column [hs 2022-05-02]</v>
          </cell>
          <cell r="H37" t="str">
            <v xml:space="preserve"> </v>
          </cell>
          <cell r="I37"/>
          <cell r="J37"/>
          <cell r="K37"/>
          <cell r="L37"/>
          <cell r="M37"/>
          <cell r="N37"/>
          <cell r="O37"/>
          <cell r="P37"/>
          <cell r="Q37"/>
          <cell r="R37" t="str">
            <v/>
          </cell>
          <cell r="S37" t="str">
            <v/>
          </cell>
          <cell r="T37" t="str">
            <v/>
          </cell>
          <cell r="U37"/>
          <cell r="V37"/>
          <cell r="W37">
            <v>41409</v>
          </cell>
          <cell r="X37">
            <v>41418</v>
          </cell>
          <cell r="Y37">
            <v>41427</v>
          </cell>
          <cell r="Z37"/>
          <cell r="AA37" t="str">
            <v>PIT tagged juvenile (wild+hatch?) survival (FPC Memo to JF (21.12.28): Table 4. Migration timing of PIT-tagged Okanogan River Basin sockeye smolts (i.e., release aggregate) detected at  Bonneville (BON) dam)</v>
          </cell>
          <cell r="AB37"/>
          <cell r="AC37"/>
          <cell r="AD37"/>
          <cell r="AE37"/>
          <cell r="AF37"/>
          <cell r="AG37"/>
          <cell r="AH37"/>
          <cell r="AI37"/>
          <cell r="AJ37" t="str">
            <v>"Smolt" counts are based on winter pre-smolt estimates (see CNAT_nuOkanagan_Juveniles 21.12.10.xlsx). Missing age composition, assumed 100% Age 1, however likely 1-10% Age 2 based on a few years of sample data (2005-2013) (Hyatt et al. 2017).</v>
          </cell>
          <cell r="AK37" t="str">
            <v>howard.stiff@dfo-mpo.gc.ca</v>
          </cell>
        </row>
        <row r="38">
          <cell r="B38">
            <v>2014</v>
          </cell>
          <cell r="C38">
            <v>5002124</v>
          </cell>
          <cell r="D38"/>
          <cell r="E38"/>
          <cell r="F38">
            <v>5002124</v>
          </cell>
          <cell r="G38" t="str">
            <v>Age comp missing: Total annual smolts entered in Age 1 column [hs 2022-05-02]</v>
          </cell>
          <cell r="H38" t="str">
            <v xml:space="preserve"> </v>
          </cell>
          <cell r="I38"/>
          <cell r="J38"/>
          <cell r="K38"/>
          <cell r="L38"/>
          <cell r="M38"/>
          <cell r="N38"/>
          <cell r="O38"/>
          <cell r="P38"/>
          <cell r="Q38"/>
          <cell r="R38" t="str">
            <v/>
          </cell>
          <cell r="S38" t="str">
            <v/>
          </cell>
          <cell r="T38" t="str">
            <v/>
          </cell>
          <cell r="U38"/>
          <cell r="V38"/>
          <cell r="W38">
            <v>41775</v>
          </cell>
          <cell r="X38">
            <v>41780</v>
          </cell>
          <cell r="Y38">
            <v>41787</v>
          </cell>
          <cell r="Z38"/>
          <cell r="AA38" t="str">
            <v>PIT tagged juvenile (wild+hatch?) survival (FPC Memo to JF (21.12.28): Table 4. Migration timing of PIT-tagged Okanogan River Basin sockeye smolts (i.e., release aggregate) detected at  Bonneville (BON) dam)</v>
          </cell>
          <cell r="AB38"/>
          <cell r="AC38"/>
          <cell r="AD38"/>
          <cell r="AE38"/>
          <cell r="AF38"/>
          <cell r="AG38"/>
          <cell r="AH38"/>
          <cell r="AI38"/>
          <cell r="AJ38" t="str">
            <v>"Smolt" counts are based on winter pre-smolt estimates (see CNAT_nuOkanagan_Juveniles 21.12.10.xlsx). Missing age composition, assumed 100% Age 1, however likely 1-10% Age 2 based on a few years of sample data (2005-2013) (Hyatt et al. 2017).</v>
          </cell>
          <cell r="AK38" t="str">
            <v>howard.stiff@dfo-mpo.gc.ca</v>
          </cell>
        </row>
        <row r="39">
          <cell r="B39">
            <v>2015</v>
          </cell>
          <cell r="C39">
            <v>2209546</v>
          </cell>
          <cell r="D39"/>
          <cell r="E39"/>
          <cell r="F39">
            <v>2209546</v>
          </cell>
          <cell r="G39" t="str">
            <v>Age comp missing: Total annual smolts entered in Age 1 column [hs 2022-05-02]</v>
          </cell>
          <cell r="H39" t="str">
            <v xml:space="preserve"> </v>
          </cell>
          <cell r="I39"/>
          <cell r="J39"/>
          <cell r="K39"/>
          <cell r="L39"/>
          <cell r="M39"/>
          <cell r="N39"/>
          <cell r="O39"/>
          <cell r="P39"/>
          <cell r="Q39"/>
          <cell r="R39" t="str">
            <v/>
          </cell>
          <cell r="S39" t="str">
            <v/>
          </cell>
          <cell r="T39" t="str">
            <v/>
          </cell>
          <cell r="U39"/>
          <cell r="V39"/>
          <cell r="W39">
            <v>42141</v>
          </cell>
          <cell r="X39">
            <v>42145</v>
          </cell>
          <cell r="Y39">
            <v>42151</v>
          </cell>
          <cell r="Z39"/>
          <cell r="AA39" t="str">
            <v>PIT tagged juvenile (wild+hatch?) survival (FPC Memo to JF (21.12.28): Table 4. Migration timing of PIT-tagged Okanogan River Basin sockeye smolts (i.e., release aggregate) detected at  Bonneville (BON) dam)</v>
          </cell>
          <cell r="AB39"/>
          <cell r="AC39"/>
          <cell r="AD39"/>
          <cell r="AE39"/>
          <cell r="AF39"/>
          <cell r="AG39"/>
          <cell r="AH39"/>
          <cell r="AI39"/>
          <cell r="AJ39" t="str">
            <v>"Smolt" counts are based on winter pre-smolt estimates (see CNAT_nuOkanagan_Juveniles 21.12.10.xlsx). Missing age composition, assumed 100% Age 1, however likely 1-10% Age 2 based on a few years of sample data (2005-2013) (Hyatt et al. 2017).</v>
          </cell>
          <cell r="AK39" t="str">
            <v>howard.stiff@dfo-mpo.gc.ca</v>
          </cell>
        </row>
        <row r="40">
          <cell r="B40">
            <v>2016</v>
          </cell>
          <cell r="C40">
            <v>7383151</v>
          </cell>
          <cell r="D40"/>
          <cell r="E40"/>
          <cell r="F40">
            <v>7383151</v>
          </cell>
          <cell r="G40" t="str">
            <v>Age comp missing: Total annual smolts entered in Age 1 column [hs 2022-05-02]</v>
          </cell>
          <cell r="H40" t="str">
            <v xml:space="preserve"> </v>
          </cell>
          <cell r="I40"/>
          <cell r="J40"/>
          <cell r="K40"/>
          <cell r="L40"/>
          <cell r="M40"/>
          <cell r="N40"/>
          <cell r="O40"/>
          <cell r="P40"/>
          <cell r="Q40"/>
          <cell r="R40" t="str">
            <v/>
          </cell>
          <cell r="S40" t="str">
            <v/>
          </cell>
          <cell r="T40" t="str">
            <v/>
          </cell>
          <cell r="U40"/>
          <cell r="V40"/>
          <cell r="W40">
            <v>42491</v>
          </cell>
          <cell r="X40">
            <v>42502</v>
          </cell>
          <cell r="Y40">
            <v>42510</v>
          </cell>
          <cell r="Z40"/>
          <cell r="AA40" t="str">
            <v>PIT tagged juvenile (wild+hatch?) survival (FPC Memo to JF (21.12.28): Table 4. Migration timing of PIT-tagged Okanogan River Basin sockeye smolts (i.e., release aggregate) detected at  Bonneville (BON) dam)</v>
          </cell>
          <cell r="AB40"/>
          <cell r="AC40"/>
          <cell r="AD40"/>
          <cell r="AE40"/>
          <cell r="AF40"/>
          <cell r="AG40"/>
          <cell r="AH40"/>
          <cell r="AI40"/>
          <cell r="AJ40" t="str">
            <v>"Smolt" counts are based on winter pre-smolt estimates (see CNAT_nuOkanagan_Juveniles 21.12.10.xlsx). Missing age composition, assumed 100% Age 1, however likely 1-10% Age 2 based on a few years of sample data (2005-2013) (Hyatt et al. 2017).</v>
          </cell>
          <cell r="AK40" t="str">
            <v>howard.stiff@dfo-mpo.gc.ca</v>
          </cell>
        </row>
        <row r="41">
          <cell r="B41">
            <v>2017</v>
          </cell>
          <cell r="C41">
            <v>1885712</v>
          </cell>
          <cell r="D41"/>
          <cell r="E41"/>
          <cell r="F41">
            <v>1885712</v>
          </cell>
          <cell r="G41" t="str">
            <v>Age comp missing: Total annual smolts entered in Age 1 column [hs 2022-05-02]</v>
          </cell>
          <cell r="H41" t="str">
            <v xml:space="preserve"> </v>
          </cell>
          <cell r="I41"/>
          <cell r="J41"/>
          <cell r="K41"/>
          <cell r="L41"/>
          <cell r="M41"/>
          <cell r="N41"/>
          <cell r="O41"/>
          <cell r="P41"/>
          <cell r="Q41"/>
          <cell r="R41" t="str">
            <v/>
          </cell>
          <cell r="S41" t="str">
            <v/>
          </cell>
          <cell r="T41" t="str">
            <v/>
          </cell>
          <cell r="U41"/>
          <cell r="V41"/>
          <cell r="W41">
            <v>42869</v>
          </cell>
          <cell r="X41">
            <v>42873</v>
          </cell>
          <cell r="Y41">
            <v>42880</v>
          </cell>
          <cell r="Z41"/>
          <cell r="AA41" t="str">
            <v>PIT tagged juvenile (wild+hatch?) survival (FPC Memo to JF (21.12.28): Table 4. Migration timing of PIT-tagged Okanogan River Basin sockeye smolts (i.e., release aggregate) detected at  Bonneville (BON) dam)</v>
          </cell>
          <cell r="AB41"/>
          <cell r="AC41"/>
          <cell r="AD41"/>
          <cell r="AE41"/>
          <cell r="AF41"/>
          <cell r="AG41"/>
          <cell r="AH41"/>
          <cell r="AI41"/>
          <cell r="AJ41" t="str">
            <v>"Smolt" counts are based on winter pre-smolt estimates (see CNAT_nuOkanagan_Juveniles 21.12.10.xlsx). Missing age composition, assumed 100% Age 1, however likely 1-10% Age 2 based on a few years of sample data (2005-2013) (Hyatt et al. 2017).</v>
          </cell>
          <cell r="AK41" t="str">
            <v>howard.stiff@dfo-mpo.gc.ca</v>
          </cell>
        </row>
        <row r="42">
          <cell r="B42">
            <v>2018</v>
          </cell>
          <cell r="C42">
            <v>4122796</v>
          </cell>
          <cell r="D42"/>
          <cell r="E42"/>
          <cell r="F42">
            <v>4122796</v>
          </cell>
          <cell r="G42" t="str">
            <v>Age comp missing: Total annual smolts entered in Age 1 column [hs 2022-05-02]</v>
          </cell>
          <cell r="H42" t="str">
            <v xml:space="preserve"> </v>
          </cell>
          <cell r="I42"/>
          <cell r="J42"/>
          <cell r="K42"/>
          <cell r="L42"/>
          <cell r="M42"/>
          <cell r="N42"/>
          <cell r="O42"/>
          <cell r="P42"/>
          <cell r="Q42"/>
          <cell r="R42" t="str">
            <v/>
          </cell>
          <cell r="S42" t="str">
            <v/>
          </cell>
          <cell r="T42" t="str">
            <v/>
          </cell>
          <cell r="U42"/>
          <cell r="V42"/>
          <cell r="W42">
            <v>43230</v>
          </cell>
          <cell r="X42">
            <v>43235</v>
          </cell>
          <cell r="Y42">
            <v>43244</v>
          </cell>
          <cell r="Z42"/>
          <cell r="AA42" t="str">
            <v>PIT tagged juvenile (wild+hatch?) survival (FPC Memo to JF (21.12.28): Table 4. Migration timing of PIT-tagged Okanogan River Basin sockeye smolts (i.e., release aggregate) detected at  Bonneville (BON) dam)</v>
          </cell>
          <cell r="AB42"/>
          <cell r="AC42"/>
          <cell r="AD42"/>
          <cell r="AE42"/>
          <cell r="AF42"/>
          <cell r="AG42"/>
          <cell r="AH42"/>
          <cell r="AI42"/>
          <cell r="AJ42" t="str">
            <v>"Smolt" counts are based on winter pre-smolt estimates (see CNAT_nuOkanagan_Juveniles 21.12.10.xlsx). Missing age composition, assumed 100% Age 1, however likely 1-10% Age 2 based on a few years of sample data (2005-2013) (Hyatt et al. 2017).</v>
          </cell>
          <cell r="AK42" t="str">
            <v>howard.stiff@dfo-mpo.gc.ca</v>
          </cell>
        </row>
        <row r="43">
          <cell r="B43">
            <v>2019</v>
          </cell>
          <cell r="C43">
            <v>912588</v>
          </cell>
          <cell r="D43"/>
          <cell r="E43"/>
          <cell r="F43">
            <v>912588</v>
          </cell>
          <cell r="G43" t="str">
            <v>Age comp missing: Total annual smolts entered in Age 1 column [hs 2022-05-02]</v>
          </cell>
          <cell r="H43" t="str">
            <v xml:space="preserve"> </v>
          </cell>
          <cell r="I43"/>
          <cell r="J43"/>
          <cell r="K43"/>
          <cell r="L43"/>
          <cell r="M43"/>
          <cell r="N43"/>
          <cell r="O43"/>
          <cell r="P43"/>
          <cell r="Q43"/>
          <cell r="R43" t="str">
            <v/>
          </cell>
          <cell r="S43" t="str">
            <v/>
          </cell>
          <cell r="T43" t="str">
            <v/>
          </cell>
          <cell r="U43"/>
          <cell r="V43"/>
          <cell r="W43">
            <v>43607</v>
          </cell>
          <cell r="X43">
            <v>43610</v>
          </cell>
          <cell r="Y43">
            <v>43621</v>
          </cell>
          <cell r="Z43"/>
          <cell r="AA43" t="str">
            <v>PIT tagged juvenile (wild+hatch?) survival (FPC Memo to JF (21.12.28): Table 4. Migration timing of PIT-tagged Okanogan River Basin sockeye smolts (i.e., release aggregate) detected at  Bonneville (BON) dam)</v>
          </cell>
          <cell r="AB43"/>
          <cell r="AC43"/>
          <cell r="AD43"/>
          <cell r="AE43"/>
          <cell r="AF43"/>
          <cell r="AG43"/>
          <cell r="AH43"/>
          <cell r="AI43"/>
          <cell r="AJ43" t="str">
            <v>"Smolt" counts are based on winter pre-smolt estimates (see CNAT_nuOkanagan_Juveniles 21.12.10.xlsx). Missing age composition, assumed 100% Age 1, however likely 1-10% Age 2 based on a few years of sample data (2005-2013) (Hyatt et al. 2017).</v>
          </cell>
          <cell r="AK43" t="str">
            <v>howard.stiff@dfo-mpo.gc.ca</v>
          </cell>
        </row>
        <row r="44">
          <cell r="B44">
            <v>2020</v>
          </cell>
          <cell r="C44">
            <v>2540161</v>
          </cell>
          <cell r="D44"/>
          <cell r="E44"/>
          <cell r="F44">
            <v>2540161</v>
          </cell>
          <cell r="G44" t="str">
            <v>Age comp missing: Total annual smolts entered in Age 1 column [hs 2022-05-02]</v>
          </cell>
          <cell r="H44" t="str">
            <v xml:space="preserve"> </v>
          </cell>
          <cell r="I44"/>
          <cell r="J44"/>
          <cell r="K44"/>
          <cell r="L44"/>
          <cell r="M44"/>
          <cell r="N44"/>
          <cell r="O44"/>
          <cell r="P44"/>
          <cell r="Q44"/>
          <cell r="R44" t="str">
            <v/>
          </cell>
          <cell r="S44" t="str">
            <v/>
          </cell>
          <cell r="T44" t="str">
            <v/>
          </cell>
          <cell r="U44"/>
          <cell r="V44"/>
          <cell r="W44"/>
          <cell r="X44"/>
          <cell r="Y44"/>
          <cell r="Z44"/>
          <cell r="AA44" t="str">
            <v>N/A</v>
          </cell>
          <cell r="AB44"/>
          <cell r="AC44"/>
          <cell r="AD44"/>
          <cell r="AE44"/>
          <cell r="AF44"/>
          <cell r="AG44"/>
          <cell r="AH44"/>
          <cell r="AI44"/>
          <cell r="AJ44" t="str">
            <v>"Smolt" counts are based on winter pre-smolt estimates (see CNAT_nuOkanagan_Juveniles 21.12.10.xlsx). Missing age composition, assumed 100% Age 1, however likely 1-10% Age 2 based on a few years of sample data (2005-2013) (Hyatt et al. 2017).</v>
          </cell>
          <cell r="AK44" t="str">
            <v>howard.stiff@dfo-mpo.gc.ca</v>
          </cell>
        </row>
        <row r="45">
          <cell r="B45">
            <v>2021</v>
          </cell>
          <cell r="C45">
            <v>1464091</v>
          </cell>
          <cell r="D45"/>
          <cell r="E45"/>
          <cell r="F45">
            <v>1464091</v>
          </cell>
          <cell r="G45" t="str">
            <v>Age comp missing: Total annual smolts entered in Age 1 column [hs 2022-05-02]</v>
          </cell>
          <cell r="H45" t="str">
            <v xml:space="preserve"> </v>
          </cell>
          <cell r="I45"/>
          <cell r="J45"/>
          <cell r="K45"/>
          <cell r="L45"/>
          <cell r="M45"/>
          <cell r="N45"/>
          <cell r="O45"/>
          <cell r="P45"/>
          <cell r="Q45"/>
          <cell r="R45" t="str">
            <v/>
          </cell>
          <cell r="S45" t="str">
            <v/>
          </cell>
          <cell r="T45" t="str">
            <v/>
          </cell>
          <cell r="U45"/>
          <cell r="V45"/>
          <cell r="W45">
            <v>44336</v>
          </cell>
          <cell r="X45">
            <v>44339</v>
          </cell>
          <cell r="Y45">
            <v>44345</v>
          </cell>
          <cell r="Z45"/>
          <cell r="AA45" t="str">
            <v>PIT tagged juvenile (wild+hatch?) survival (FPC Memo to JF (21.12.28): Table 4. Migration timing of PIT-tagged Okanogan River Basin sockeye smolts (i.e., release aggregate) detected at  Bonneville (BON) dam)</v>
          </cell>
          <cell r="AB45"/>
          <cell r="AC45"/>
          <cell r="AD45"/>
          <cell r="AE45"/>
          <cell r="AF45"/>
          <cell r="AG45"/>
          <cell r="AH45"/>
          <cell r="AI45"/>
          <cell r="AJ45" t="str">
            <v>"Smolt" counts are based on winter pre-smolt estimates (see CNAT_nuOkanagan_Juveniles 21.12.10.xlsx). Missing age composition, assumed 100% Age 1, however likely 1-10% Age 2 based on a few years of sample data (2005-2013) (Hyatt et al. 2017).</v>
          </cell>
          <cell r="AK45" t="str">
            <v>howard.stiff@dfo-mpo.gc.ca</v>
          </cell>
        </row>
        <row r="46">
          <cell r="B46"/>
          <cell r="C46"/>
          <cell r="D46"/>
          <cell r="E46"/>
          <cell r="F46" t="str">
            <v/>
          </cell>
          <cell r="G46"/>
          <cell r="H46" t="str">
            <v xml:space="preserve"> </v>
          </cell>
          <cell r="I46"/>
          <cell r="J46"/>
          <cell r="K46"/>
          <cell r="L46"/>
          <cell r="M46"/>
          <cell r="N46"/>
          <cell r="O46"/>
          <cell r="P46"/>
          <cell r="Q46"/>
          <cell r="R46" t="str">
            <v/>
          </cell>
          <cell r="S46" t="str">
            <v/>
          </cell>
          <cell r="T46" t="str">
            <v/>
          </cell>
          <cell r="U46"/>
          <cell r="V46"/>
          <cell r="W46"/>
          <cell r="X46"/>
          <cell r="Y46"/>
          <cell r="Z46"/>
          <cell r="AA46"/>
          <cell r="AB46"/>
          <cell r="AC46"/>
          <cell r="AD46"/>
          <cell r="AE46"/>
          <cell r="AF46"/>
          <cell r="AG46"/>
          <cell r="AH46"/>
          <cell r="AI46"/>
          <cell r="AJ46"/>
          <cell r="AK46"/>
        </row>
        <row r="47">
          <cell r="B47"/>
          <cell r="C47"/>
          <cell r="D47"/>
          <cell r="E47"/>
          <cell r="F47" t="str">
            <v/>
          </cell>
          <cell r="G47"/>
          <cell r="H47" t="str">
            <v xml:space="preserve"> </v>
          </cell>
          <cell r="I47"/>
          <cell r="J47"/>
          <cell r="K47"/>
          <cell r="L47"/>
          <cell r="M47"/>
          <cell r="N47"/>
          <cell r="O47"/>
          <cell r="P47"/>
          <cell r="Q47"/>
          <cell r="R47" t="str">
            <v/>
          </cell>
          <cell r="S47" t="str">
            <v/>
          </cell>
          <cell r="T47" t="str">
            <v/>
          </cell>
          <cell r="U47"/>
          <cell r="V47"/>
          <cell r="W47"/>
          <cell r="X47"/>
          <cell r="Y47"/>
          <cell r="Z47"/>
          <cell r="AA47"/>
          <cell r="AB47"/>
          <cell r="AC47"/>
          <cell r="AD47"/>
          <cell r="AE47"/>
          <cell r="AF47"/>
          <cell r="AG47"/>
          <cell r="AH47"/>
          <cell r="AI47"/>
          <cell r="AJ47"/>
          <cell r="AK47"/>
        </row>
        <row r="48">
          <cell r="B48"/>
          <cell r="C48"/>
          <cell r="D48"/>
          <cell r="E48"/>
          <cell r="F48" t="str">
            <v/>
          </cell>
          <cell r="G48"/>
          <cell r="H48" t="str">
            <v xml:space="preserve"> </v>
          </cell>
          <cell r="I48"/>
          <cell r="J48"/>
          <cell r="K48"/>
          <cell r="L48"/>
          <cell r="M48"/>
          <cell r="N48"/>
          <cell r="O48"/>
          <cell r="P48"/>
          <cell r="Q48"/>
          <cell r="R48" t="str">
            <v/>
          </cell>
          <cell r="S48" t="str">
            <v/>
          </cell>
          <cell r="T48" t="str">
            <v/>
          </cell>
          <cell r="U48"/>
          <cell r="V48"/>
          <cell r="W48"/>
          <cell r="X48"/>
          <cell r="Y48"/>
          <cell r="Z48"/>
          <cell r="AA48"/>
          <cell r="AB48"/>
          <cell r="AC48"/>
          <cell r="AD48"/>
          <cell r="AE48"/>
          <cell r="AF48"/>
          <cell r="AG48"/>
          <cell r="AH48"/>
          <cell r="AI48"/>
          <cell r="AJ48"/>
          <cell r="AK48"/>
        </row>
        <row r="49">
          <cell r="B49"/>
          <cell r="C49"/>
          <cell r="D49"/>
          <cell r="E49"/>
          <cell r="F49" t="str">
            <v/>
          </cell>
          <cell r="G49"/>
          <cell r="H49" t="str">
            <v xml:space="preserve"> </v>
          </cell>
          <cell r="I49"/>
          <cell r="J49"/>
          <cell r="K49"/>
          <cell r="L49"/>
          <cell r="M49"/>
          <cell r="N49"/>
          <cell r="O49"/>
          <cell r="P49"/>
          <cell r="Q49"/>
          <cell r="R49" t="str">
            <v/>
          </cell>
          <cell r="S49" t="str">
            <v/>
          </cell>
          <cell r="T49" t="str">
            <v/>
          </cell>
          <cell r="U49"/>
          <cell r="V49"/>
          <cell r="W49"/>
          <cell r="X49"/>
          <cell r="Y49"/>
          <cell r="Z49"/>
          <cell r="AA49"/>
          <cell r="AB49"/>
          <cell r="AC49"/>
          <cell r="AD49"/>
          <cell r="AE49"/>
          <cell r="AF49"/>
          <cell r="AG49"/>
          <cell r="AH49"/>
          <cell r="AI49"/>
          <cell r="AJ49"/>
          <cell r="AK49"/>
        </row>
        <row r="50">
          <cell r="B50"/>
          <cell r="C50"/>
          <cell r="D50"/>
          <cell r="E50"/>
          <cell r="F50" t="str">
            <v/>
          </cell>
          <cell r="G50"/>
          <cell r="H50" t="str">
            <v xml:space="preserve"> </v>
          </cell>
          <cell r="I50"/>
          <cell r="J50"/>
          <cell r="K50"/>
          <cell r="L50"/>
          <cell r="M50"/>
          <cell r="N50"/>
          <cell r="O50"/>
          <cell r="P50"/>
          <cell r="Q50"/>
          <cell r="R50" t="str">
            <v/>
          </cell>
          <cell r="S50" t="str">
            <v/>
          </cell>
          <cell r="T50" t="str">
            <v/>
          </cell>
          <cell r="U50"/>
          <cell r="V50"/>
          <cell r="W50"/>
          <cell r="X50"/>
          <cell r="Y50"/>
          <cell r="Z50"/>
          <cell r="AA50"/>
          <cell r="AB50"/>
          <cell r="AC50"/>
          <cell r="AD50"/>
          <cell r="AE50"/>
          <cell r="AF50"/>
          <cell r="AG50"/>
          <cell r="AH50"/>
          <cell r="AI50"/>
          <cell r="AJ50"/>
          <cell r="AK50"/>
        </row>
        <row r="51">
          <cell r="B51"/>
          <cell r="C51"/>
          <cell r="D51"/>
          <cell r="E51"/>
          <cell r="F51" t="str">
            <v/>
          </cell>
          <cell r="G51"/>
          <cell r="H51" t="str">
            <v xml:space="preserve"> </v>
          </cell>
          <cell r="I51"/>
          <cell r="J51"/>
          <cell r="K51"/>
          <cell r="L51"/>
          <cell r="M51"/>
          <cell r="N51"/>
          <cell r="O51"/>
          <cell r="P51"/>
          <cell r="Q51"/>
          <cell r="R51" t="str">
            <v/>
          </cell>
          <cell r="S51" t="str">
            <v/>
          </cell>
          <cell r="T51" t="str">
            <v/>
          </cell>
          <cell r="U51"/>
          <cell r="V51"/>
          <cell r="W51"/>
          <cell r="X51"/>
          <cell r="Y51"/>
          <cell r="Z51"/>
          <cell r="AA51"/>
          <cell r="AB51"/>
          <cell r="AC51"/>
          <cell r="AD51"/>
          <cell r="AE51"/>
          <cell r="AF51"/>
          <cell r="AG51"/>
          <cell r="AH51"/>
          <cell r="AI51"/>
          <cell r="AJ51"/>
          <cell r="AK51"/>
        </row>
        <row r="52">
          <cell r="B52"/>
          <cell r="C52"/>
          <cell r="D52"/>
          <cell r="E52"/>
          <cell r="F52" t="str">
            <v/>
          </cell>
          <cell r="G52"/>
          <cell r="H52" t="str">
            <v xml:space="preserve"> </v>
          </cell>
          <cell r="I52"/>
          <cell r="J52"/>
          <cell r="K52"/>
          <cell r="L52"/>
          <cell r="M52"/>
          <cell r="N52"/>
          <cell r="O52"/>
          <cell r="P52"/>
          <cell r="Q52"/>
          <cell r="R52" t="str">
            <v/>
          </cell>
          <cell r="S52" t="str">
            <v/>
          </cell>
          <cell r="T52" t="str">
            <v/>
          </cell>
          <cell r="U52"/>
          <cell r="V52"/>
          <cell r="W52"/>
          <cell r="X52"/>
          <cell r="Y52"/>
          <cell r="Z52"/>
          <cell r="AA52"/>
          <cell r="AB52"/>
          <cell r="AC52"/>
          <cell r="AD52"/>
          <cell r="AE52"/>
          <cell r="AF52"/>
          <cell r="AG52"/>
          <cell r="AH52"/>
          <cell r="AI52"/>
          <cell r="AJ52"/>
          <cell r="AK52"/>
        </row>
        <row r="53">
          <cell r="B53"/>
          <cell r="C53"/>
          <cell r="D53"/>
          <cell r="E53"/>
          <cell r="F53" t="str">
            <v/>
          </cell>
          <cell r="G53"/>
          <cell r="H53" t="str">
            <v xml:space="preserve"> </v>
          </cell>
          <cell r="I53"/>
          <cell r="J53"/>
          <cell r="K53"/>
          <cell r="L53"/>
          <cell r="M53"/>
          <cell r="N53"/>
          <cell r="O53"/>
          <cell r="P53"/>
          <cell r="Q53"/>
          <cell r="R53" t="str">
            <v/>
          </cell>
          <cell r="S53" t="str">
            <v/>
          </cell>
          <cell r="T53" t="str">
            <v/>
          </cell>
          <cell r="U53"/>
          <cell r="V53"/>
          <cell r="W53"/>
          <cell r="X53"/>
          <cell r="Y53"/>
          <cell r="Z53"/>
          <cell r="AA53"/>
          <cell r="AB53"/>
          <cell r="AC53"/>
          <cell r="AD53"/>
          <cell r="AE53"/>
          <cell r="AF53"/>
          <cell r="AG53"/>
          <cell r="AH53"/>
          <cell r="AI53"/>
          <cell r="AJ53"/>
          <cell r="AK53"/>
        </row>
        <row r="54">
          <cell r="B54"/>
          <cell r="C54"/>
          <cell r="D54"/>
          <cell r="E54"/>
          <cell r="F54" t="str">
            <v/>
          </cell>
          <cell r="G54"/>
          <cell r="H54" t="str">
            <v xml:space="preserve"> </v>
          </cell>
          <cell r="I54"/>
          <cell r="J54"/>
          <cell r="K54"/>
          <cell r="L54"/>
          <cell r="M54"/>
          <cell r="N54"/>
          <cell r="O54"/>
          <cell r="P54"/>
          <cell r="Q54"/>
          <cell r="R54" t="str">
            <v/>
          </cell>
          <cell r="S54" t="str">
            <v/>
          </cell>
          <cell r="T54" t="str">
            <v/>
          </cell>
          <cell r="U54"/>
          <cell r="V54"/>
          <cell r="W54"/>
          <cell r="X54"/>
          <cell r="Y54"/>
          <cell r="Z54"/>
          <cell r="AA54"/>
          <cell r="AB54"/>
          <cell r="AC54"/>
          <cell r="AD54"/>
          <cell r="AE54"/>
          <cell r="AF54"/>
          <cell r="AG54"/>
          <cell r="AH54"/>
          <cell r="AI54"/>
          <cell r="AJ54"/>
          <cell r="AK54"/>
        </row>
        <row r="55">
          <cell r="B55"/>
          <cell r="C55"/>
          <cell r="D55"/>
          <cell r="E55"/>
          <cell r="F55" t="str">
            <v/>
          </cell>
          <cell r="G55"/>
          <cell r="H55" t="str">
            <v xml:space="preserve"> </v>
          </cell>
          <cell r="I55"/>
          <cell r="J55"/>
          <cell r="K55"/>
          <cell r="L55"/>
          <cell r="M55"/>
          <cell r="N55"/>
          <cell r="O55"/>
          <cell r="P55"/>
          <cell r="Q55"/>
          <cell r="R55" t="str">
            <v/>
          </cell>
          <cell r="S55" t="str">
            <v/>
          </cell>
          <cell r="T55" t="str">
            <v/>
          </cell>
          <cell r="U55"/>
          <cell r="V55"/>
          <cell r="W55"/>
          <cell r="X55"/>
          <cell r="Y55"/>
          <cell r="Z55"/>
          <cell r="AA55"/>
          <cell r="AB55"/>
          <cell r="AC55"/>
          <cell r="AD55"/>
          <cell r="AE55"/>
          <cell r="AF55"/>
          <cell r="AG55"/>
          <cell r="AH55"/>
          <cell r="AI55"/>
          <cell r="AJ55"/>
          <cell r="AK55"/>
        </row>
        <row r="56">
          <cell r="B56"/>
          <cell r="C56"/>
          <cell r="D56"/>
          <cell r="E56"/>
          <cell r="F56" t="str">
            <v/>
          </cell>
          <cell r="G56"/>
          <cell r="H56" t="str">
            <v xml:space="preserve"> </v>
          </cell>
          <cell r="I56"/>
          <cell r="J56"/>
          <cell r="K56"/>
          <cell r="L56"/>
          <cell r="M56"/>
          <cell r="N56"/>
          <cell r="O56"/>
          <cell r="P56"/>
          <cell r="Q56"/>
          <cell r="R56" t="str">
            <v/>
          </cell>
          <cell r="S56" t="str">
            <v/>
          </cell>
          <cell r="T56" t="str">
            <v/>
          </cell>
          <cell r="U56"/>
          <cell r="V56"/>
          <cell r="W56"/>
          <cell r="X56"/>
          <cell r="Y56"/>
          <cell r="Z56"/>
          <cell r="AA56"/>
          <cell r="AB56"/>
          <cell r="AC56"/>
          <cell r="AD56"/>
          <cell r="AE56"/>
          <cell r="AF56"/>
          <cell r="AG56"/>
          <cell r="AH56"/>
          <cell r="AI56"/>
          <cell r="AJ56"/>
          <cell r="AK56"/>
        </row>
        <row r="57">
          <cell r="B57"/>
          <cell r="C57"/>
          <cell r="D57"/>
          <cell r="E57"/>
          <cell r="F57" t="str">
            <v/>
          </cell>
          <cell r="G57"/>
          <cell r="H57" t="str">
            <v xml:space="preserve"> </v>
          </cell>
          <cell r="I57"/>
          <cell r="J57"/>
          <cell r="K57"/>
          <cell r="L57"/>
          <cell r="M57"/>
          <cell r="N57"/>
          <cell r="O57"/>
          <cell r="P57"/>
          <cell r="Q57"/>
          <cell r="R57" t="str">
            <v/>
          </cell>
          <cell r="S57" t="str">
            <v/>
          </cell>
          <cell r="T57" t="str">
            <v/>
          </cell>
          <cell r="U57"/>
          <cell r="V57"/>
          <cell r="W57"/>
          <cell r="X57"/>
          <cell r="Y57"/>
          <cell r="Z57"/>
          <cell r="AA57"/>
          <cell r="AB57"/>
          <cell r="AC57"/>
          <cell r="AD57"/>
          <cell r="AE57"/>
          <cell r="AF57"/>
          <cell r="AG57"/>
          <cell r="AH57"/>
          <cell r="AI57"/>
          <cell r="AJ57"/>
          <cell r="AK57"/>
        </row>
        <row r="58">
          <cell r="B58"/>
          <cell r="C58"/>
          <cell r="D58"/>
          <cell r="E58"/>
          <cell r="F58" t="str">
            <v/>
          </cell>
          <cell r="G58"/>
          <cell r="H58" t="str">
            <v xml:space="preserve"> </v>
          </cell>
          <cell r="I58"/>
          <cell r="J58"/>
          <cell r="K58"/>
          <cell r="L58"/>
          <cell r="M58"/>
          <cell r="N58"/>
          <cell r="O58"/>
          <cell r="P58"/>
          <cell r="Q58"/>
          <cell r="R58" t="str">
            <v/>
          </cell>
          <cell r="S58" t="str">
            <v/>
          </cell>
          <cell r="T58" t="str">
            <v/>
          </cell>
          <cell r="U58"/>
          <cell r="V58"/>
          <cell r="W58"/>
          <cell r="X58"/>
          <cell r="Y58"/>
          <cell r="Z58"/>
          <cell r="AA58"/>
          <cell r="AB58"/>
          <cell r="AC58"/>
          <cell r="AD58"/>
          <cell r="AE58"/>
          <cell r="AF58"/>
          <cell r="AG58"/>
          <cell r="AH58"/>
          <cell r="AI58"/>
          <cell r="AJ58"/>
          <cell r="AK58"/>
        </row>
      </sheetData>
      <sheetData sheetId="2"/>
      <sheetData sheetId="3"/>
      <sheetData sheetId="4">
        <row r="3">
          <cell r="J3">
            <v>3.1</v>
          </cell>
        </row>
        <row r="4">
          <cell r="B4">
            <v>1980</v>
          </cell>
          <cell r="C4">
            <v>1545.2539881877053</v>
          </cell>
          <cell r="D4">
            <v>24516.04885105494</v>
          </cell>
          <cell r="E4">
            <v>683.47772554456208</v>
          </cell>
          <cell r="F4">
            <v>2466.4630965303763</v>
          </cell>
          <cell r="G4">
            <v>475.46276559621708</v>
          </cell>
          <cell r="H4"/>
          <cell r="I4"/>
          <cell r="J4"/>
          <cell r="K4">
            <v>29686.706426913803</v>
          </cell>
          <cell r="L4" t="str">
            <v>Totals based on Bonn counts + downstream harvest (Zones 1-5) apportioned to stock (annual Wells:Rock dam count ratios), to get estimate of Ok Sox adult returns. Adult age comp based on variety of methods -- see General Comments field.</v>
          </cell>
          <cell r="M4"/>
          <cell r="N4"/>
          <cell r="O4"/>
          <cell r="P4"/>
          <cell r="Q4"/>
          <cell r="R4"/>
          <cell r="S4"/>
          <cell r="T4"/>
          <cell r="U4"/>
          <cell r="V4"/>
          <cell r="W4"/>
          <cell r="X4"/>
          <cell r="Y4"/>
          <cell r="Z4"/>
          <cell r="AA4"/>
          <cell r="AB4"/>
          <cell r="AC4"/>
          <cell r="AD4"/>
          <cell r="AE4"/>
          <cell r="AF4"/>
          <cell r="AG4"/>
          <cell r="AH4"/>
          <cell r="AI4"/>
          <cell r="AJ4"/>
          <cell r="AK4" t="str">
            <v/>
          </cell>
          <cell r="AL4" t="str">
            <v/>
          </cell>
          <cell r="AM4" t="str">
            <v/>
          </cell>
          <cell r="AN4"/>
          <cell r="AO4"/>
          <cell r="AP4"/>
          <cell r="AQ4"/>
          <cell r="AR4"/>
          <cell r="AS4"/>
          <cell r="AT4"/>
          <cell r="AU4"/>
          <cell r="AV4"/>
          <cell r="AW4" t="str">
            <v>Adult abundance, stock comp, and age comp: Total OK Sox abundance based on BON SK dam count + Zone1-6 harvest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4"/>
        </row>
        <row r="5">
          <cell r="B5">
            <v>1981</v>
          </cell>
          <cell r="C5">
            <v>1745.3007110036276</v>
          </cell>
          <cell r="D5">
            <v>27689.867049576784</v>
          </cell>
          <cell r="E5">
            <v>771.95992986698911</v>
          </cell>
          <cell r="F5">
            <v>2785.7684425634825</v>
          </cell>
          <cell r="G5">
            <v>537.01560338573154</v>
          </cell>
          <cell r="H5"/>
          <cell r="I5"/>
          <cell r="J5"/>
          <cell r="K5">
            <v>33529.911736396614</v>
          </cell>
          <cell r="L5" t="str">
            <v>Totals based on Bonn counts + downstream harvest (Zones 1-5) apportioned to stock (annual Wells:Rock dam count ratios), to get estimate of Ok Sox adult returns. Adult age comp based on variety of methods -- see General Comments field.</v>
          </cell>
          <cell r="M5" t="str">
            <v xml:space="preserve"> </v>
          </cell>
          <cell r="N5"/>
          <cell r="O5"/>
          <cell r="P5"/>
          <cell r="Q5"/>
          <cell r="R5"/>
          <cell r="S5"/>
          <cell r="T5"/>
          <cell r="U5"/>
          <cell r="V5"/>
          <cell r="W5"/>
          <cell r="X5"/>
          <cell r="Y5"/>
          <cell r="Z5"/>
          <cell r="AA5"/>
          <cell r="AB5"/>
          <cell r="AC5"/>
          <cell r="AD5"/>
          <cell r="AE5"/>
          <cell r="AF5"/>
          <cell r="AG5"/>
          <cell r="AH5"/>
          <cell r="AI5"/>
          <cell r="AJ5"/>
          <cell r="AK5" t="str">
            <v/>
          </cell>
          <cell r="AL5" t="str">
            <v/>
          </cell>
          <cell r="AM5" t="str">
            <v/>
          </cell>
          <cell r="AN5"/>
          <cell r="AO5"/>
          <cell r="AP5"/>
          <cell r="AQ5"/>
          <cell r="AR5"/>
          <cell r="AS5"/>
          <cell r="AT5"/>
          <cell r="AU5"/>
          <cell r="AV5"/>
          <cell r="AW5" t="str">
            <v>Adult abundance, stock comp, and age comp: Total OK Sox abundance based on BON SK dam count + Zone1-6 harvest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5" t="str">
            <v>howard.stiff@shaw.ca</v>
          </cell>
        </row>
        <row r="6">
          <cell r="B6">
            <v>1982</v>
          </cell>
          <cell r="C6">
            <v>1209.6094704580282</v>
          </cell>
          <cell r="D6">
            <v>19190.919483228332</v>
          </cell>
          <cell r="E6">
            <v>535.01957347182019</v>
          </cell>
          <cell r="F6">
            <v>1930.722808615699</v>
          </cell>
          <cell r="G6">
            <v>372.18752937170103</v>
          </cell>
          <cell r="H6"/>
          <cell r="I6"/>
          <cell r="J6"/>
          <cell r="K6">
            <v>23238.458865145582</v>
          </cell>
          <cell r="L6" t="str">
            <v>Totals based on Bonn counts + downstream harvest (Zones 1-5) apportioned to stock (annual Wells:Rock dam count ratios), to get estimate of Ok Sox adult returns. Adult age comp based on variety of methods -- see General Comments field.</v>
          </cell>
          <cell r="M6" t="str">
            <v xml:space="preserve"> </v>
          </cell>
          <cell r="N6"/>
          <cell r="O6"/>
          <cell r="P6"/>
          <cell r="Q6"/>
          <cell r="R6"/>
          <cell r="S6"/>
          <cell r="T6"/>
          <cell r="U6"/>
          <cell r="V6"/>
          <cell r="W6"/>
          <cell r="X6"/>
          <cell r="Y6"/>
          <cell r="Z6"/>
          <cell r="AA6"/>
          <cell r="AB6"/>
          <cell r="AC6"/>
          <cell r="AD6"/>
          <cell r="AE6"/>
          <cell r="AF6"/>
          <cell r="AG6"/>
          <cell r="AH6"/>
          <cell r="AI6"/>
          <cell r="AJ6"/>
          <cell r="AK6" t="str">
            <v/>
          </cell>
          <cell r="AL6" t="str">
            <v/>
          </cell>
          <cell r="AM6" t="str">
            <v/>
          </cell>
          <cell r="AN6"/>
          <cell r="AO6"/>
          <cell r="AP6"/>
          <cell r="AQ6"/>
          <cell r="AR6"/>
          <cell r="AS6"/>
          <cell r="AT6"/>
          <cell r="AU6"/>
          <cell r="AV6"/>
          <cell r="AW6" t="str">
            <v>Adult abundance, stock comp, and age comp: Total OK Sox abundance based on BON SK dam count + Zone1-6 harvest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6" t="str">
            <v>howard.stiff@shaw.ca</v>
          </cell>
        </row>
        <row r="7">
          <cell r="B7">
            <v>1983</v>
          </cell>
          <cell r="C7">
            <v>1690.4538206979544</v>
          </cell>
          <cell r="D7">
            <v>26819.700039919466</v>
          </cell>
          <cell r="E7">
            <v>747.70072838563362</v>
          </cell>
          <cell r="F7">
            <v>2698.224367652504</v>
          </cell>
          <cell r="G7">
            <v>520.1396371378321</v>
          </cell>
          <cell r="H7"/>
          <cell r="I7"/>
          <cell r="J7"/>
          <cell r="K7">
            <v>32476.21859379339</v>
          </cell>
          <cell r="L7" t="str">
            <v>Totals based on Bonn counts + downstream harvest (Zones 1-5) apportioned to stock (annual Wells:Rock dam count ratios), to get estimate of Ok Sox adult returns. Adult age comp based on variety of methods -- see General Comments field.</v>
          </cell>
          <cell r="M7" t="str">
            <v xml:space="preserve"> </v>
          </cell>
          <cell r="N7"/>
          <cell r="O7"/>
          <cell r="P7"/>
          <cell r="Q7"/>
          <cell r="R7"/>
          <cell r="S7"/>
          <cell r="T7"/>
          <cell r="U7"/>
          <cell r="V7"/>
          <cell r="W7"/>
          <cell r="X7"/>
          <cell r="Y7"/>
          <cell r="Z7"/>
          <cell r="AA7"/>
          <cell r="AB7"/>
          <cell r="AC7"/>
          <cell r="AD7"/>
          <cell r="AE7"/>
          <cell r="AF7"/>
          <cell r="AG7"/>
          <cell r="AH7"/>
          <cell r="AI7"/>
          <cell r="AJ7"/>
          <cell r="AK7" t="str">
            <v/>
          </cell>
          <cell r="AL7" t="str">
            <v/>
          </cell>
          <cell r="AM7" t="str">
            <v/>
          </cell>
          <cell r="AN7"/>
          <cell r="AO7"/>
          <cell r="AP7"/>
          <cell r="AQ7"/>
          <cell r="AR7"/>
          <cell r="AS7"/>
          <cell r="AT7"/>
          <cell r="AU7"/>
          <cell r="AV7"/>
          <cell r="AW7" t="str">
            <v>Adult abundance, stock comp, and age comp: Total OK Sox abundance based on BON SK dam count + Zone1-6 harvest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7" t="str">
            <v>howard.stiff@shaw.ca</v>
          </cell>
        </row>
        <row r="8">
          <cell r="B8">
            <v>1984</v>
          </cell>
          <cell r="C8">
            <v>6254.6774018259812</v>
          </cell>
          <cell r="D8">
            <v>99232.862625123744</v>
          </cell>
          <cell r="E8">
            <v>2766.4919277307226</v>
          </cell>
          <cell r="F8">
            <v>9983.4273913760862</v>
          </cell>
          <cell r="G8">
            <v>1924.5161236387637</v>
          </cell>
          <cell r="H8"/>
          <cell r="I8"/>
          <cell r="J8"/>
          <cell r="K8">
            <v>120161.97546969529</v>
          </cell>
          <cell r="L8" t="str">
            <v>Totals based on Bonn counts + downstream harvest (Zones 1-5) apportioned to stock (annual Wells:Rock dam count ratios), to get estimate of Ok Sox adult returns. Adult age comp based on variety of methods -- see General Comments field.</v>
          </cell>
          <cell r="M8" t="str">
            <v xml:space="preserve"> </v>
          </cell>
          <cell r="N8"/>
          <cell r="O8"/>
          <cell r="P8"/>
          <cell r="Q8"/>
          <cell r="R8"/>
          <cell r="S8"/>
          <cell r="T8"/>
          <cell r="U8"/>
          <cell r="V8"/>
          <cell r="W8"/>
          <cell r="X8"/>
          <cell r="Y8"/>
          <cell r="Z8"/>
          <cell r="AA8"/>
          <cell r="AB8"/>
          <cell r="AC8"/>
          <cell r="AD8"/>
          <cell r="AE8"/>
          <cell r="AF8"/>
          <cell r="AG8"/>
          <cell r="AH8"/>
          <cell r="AI8"/>
          <cell r="AJ8"/>
          <cell r="AK8" t="str">
            <v/>
          </cell>
          <cell r="AL8" t="str">
            <v/>
          </cell>
          <cell r="AM8" t="str">
            <v/>
          </cell>
          <cell r="AN8"/>
          <cell r="AO8"/>
          <cell r="AP8"/>
          <cell r="AQ8"/>
          <cell r="AR8"/>
          <cell r="AS8"/>
          <cell r="AT8"/>
          <cell r="AU8"/>
          <cell r="AV8"/>
          <cell r="AW8" t="str">
            <v>Adult abundance, stock comp, and age comp: Total OK Sox abundance based on BON SK dam count + Zone1-6 harvest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8" t="str">
            <v>howard.stiff@shaw.ca</v>
          </cell>
        </row>
        <row r="9">
          <cell r="B9">
            <v>1985</v>
          </cell>
          <cell r="C9">
            <v>7112.5933205232559</v>
          </cell>
          <cell r="D9">
            <v>90711.335102325567</v>
          </cell>
          <cell r="E9">
            <v>1133.8916887790697</v>
          </cell>
          <cell r="F9">
            <v>618.48637569767436</v>
          </cell>
          <cell r="G9">
            <v>3504.7561289534883</v>
          </cell>
          <cell r="H9"/>
          <cell r="I9"/>
          <cell r="J9"/>
          <cell r="K9">
            <v>103081.06261627906</v>
          </cell>
          <cell r="L9" t="str">
            <v>Totals based on Bonn counts + downstream harvest (Zones 1-5) apportioned to stock (annual Wells:Rock dam count ratios), to get estimate of Ok Sox adult returns. Adult age comp based on variety of methods -- see General Comments field.</v>
          </cell>
          <cell r="M9" t="str">
            <v xml:space="preserve"> </v>
          </cell>
          <cell r="N9"/>
          <cell r="O9"/>
          <cell r="P9"/>
          <cell r="Q9"/>
          <cell r="R9"/>
          <cell r="S9"/>
          <cell r="T9"/>
          <cell r="U9"/>
          <cell r="V9"/>
          <cell r="W9"/>
          <cell r="X9"/>
          <cell r="Y9"/>
          <cell r="Z9"/>
          <cell r="AA9"/>
          <cell r="AB9"/>
          <cell r="AC9"/>
          <cell r="AD9"/>
          <cell r="AE9"/>
          <cell r="AF9"/>
          <cell r="AG9"/>
          <cell r="AH9"/>
          <cell r="AI9"/>
          <cell r="AJ9"/>
          <cell r="AK9" t="str">
            <v/>
          </cell>
          <cell r="AL9" t="str">
            <v/>
          </cell>
          <cell r="AM9" t="str">
            <v/>
          </cell>
          <cell r="AN9"/>
          <cell r="AO9"/>
          <cell r="AP9"/>
          <cell r="AQ9"/>
          <cell r="AR9"/>
          <cell r="AS9"/>
          <cell r="AT9"/>
          <cell r="AU9"/>
          <cell r="AV9"/>
          <cell r="AW9" t="str">
            <v>Adult abundance, stock comp, and age comp: Total OK Sox abundance based on BON SK dam count + Zone1-6 harvest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9" t="str">
            <v>howard.stiff@shaw.ca</v>
          </cell>
        </row>
        <row r="10">
          <cell r="B10">
            <v>1986</v>
          </cell>
          <cell r="C10">
            <v>2178.670119064835</v>
          </cell>
          <cell r="D10">
            <v>34565.4393890094</v>
          </cell>
          <cell r="E10">
            <v>963.64255266329246</v>
          </cell>
          <cell r="F10">
            <v>3477.4926900457949</v>
          </cell>
          <cell r="G10">
            <v>670.36003663533393</v>
          </cell>
          <cell r="H10"/>
          <cell r="I10"/>
          <cell r="J10"/>
          <cell r="K10">
            <v>41855.604787418662</v>
          </cell>
          <cell r="L10" t="str">
            <v>Totals based on Bonn counts + downstream harvest (Zones 1-5) apportioned to stock (annual Wells:Rock dam count ratios), to get estimate of Ok Sox adult returns. Adult age comp based on variety of methods -- see General Comments field.</v>
          </cell>
          <cell r="M10" t="str">
            <v xml:space="preserve"> </v>
          </cell>
          <cell r="N10"/>
          <cell r="O10"/>
          <cell r="P10"/>
          <cell r="Q10"/>
          <cell r="R10"/>
          <cell r="S10"/>
          <cell r="T10"/>
          <cell r="U10"/>
          <cell r="V10"/>
          <cell r="W10"/>
          <cell r="X10"/>
          <cell r="Y10"/>
          <cell r="Z10"/>
          <cell r="AA10"/>
          <cell r="AB10"/>
          <cell r="AC10"/>
          <cell r="AD10"/>
          <cell r="AE10"/>
          <cell r="AF10"/>
          <cell r="AG10"/>
          <cell r="AH10"/>
          <cell r="AI10"/>
          <cell r="AJ10"/>
          <cell r="AK10" t="str">
            <v/>
          </cell>
          <cell r="AL10" t="str">
            <v/>
          </cell>
          <cell r="AM10" t="str">
            <v/>
          </cell>
          <cell r="AN10"/>
          <cell r="AO10"/>
          <cell r="AP10"/>
          <cell r="AQ10"/>
          <cell r="AR10"/>
          <cell r="AS10"/>
          <cell r="AT10"/>
          <cell r="AU10"/>
          <cell r="AV10"/>
          <cell r="AW10"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0" t="str">
            <v>howard.stiff@shaw.ca</v>
          </cell>
        </row>
        <row r="11">
          <cell r="B11">
            <v>1987</v>
          </cell>
          <cell r="C11">
            <v>41119.515598557278</v>
          </cell>
          <cell r="D11">
            <v>38445.075559626726</v>
          </cell>
          <cell r="E11">
            <v>835.7625121657984</v>
          </cell>
          <cell r="F11">
            <v>2340.1350340642357</v>
          </cell>
          <cell r="G11">
            <v>835.7625121657984</v>
          </cell>
          <cell r="H11"/>
          <cell r="I11"/>
          <cell r="J11"/>
          <cell r="K11">
            <v>83576.25121657984</v>
          </cell>
          <cell r="L11" t="str">
            <v>Totals based on Bonn counts + downstream harvest (Zones 1-5) apportioned to stock (annual Wells:Rock dam count ratios), to get estimate of Ok Sox adult returns. Adult age comp based on variety of methods -- see General Comments field.</v>
          </cell>
          <cell r="M11" t="str">
            <v xml:space="preserve"> </v>
          </cell>
          <cell r="N11"/>
          <cell r="O11"/>
          <cell r="P11"/>
          <cell r="Q11"/>
          <cell r="R11"/>
          <cell r="S11"/>
          <cell r="T11"/>
          <cell r="U11"/>
          <cell r="V11"/>
          <cell r="W11"/>
          <cell r="X11"/>
          <cell r="Y11"/>
          <cell r="Z11"/>
          <cell r="AA11"/>
          <cell r="AB11"/>
          <cell r="AC11"/>
          <cell r="AD11"/>
          <cell r="AE11"/>
          <cell r="AF11"/>
          <cell r="AG11"/>
          <cell r="AH11"/>
          <cell r="AI11"/>
          <cell r="AJ11"/>
          <cell r="AK11" t="str">
            <v/>
          </cell>
          <cell r="AL11" t="str">
            <v/>
          </cell>
          <cell r="AM11" t="str">
            <v/>
          </cell>
          <cell r="AN11"/>
          <cell r="AO11"/>
          <cell r="AP11"/>
          <cell r="AQ11"/>
          <cell r="AR11"/>
          <cell r="AS11"/>
          <cell r="AT11"/>
          <cell r="AU11"/>
          <cell r="AV11"/>
          <cell r="AW11"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1" t="str">
            <v>howard.stiff@shaw.ca</v>
          </cell>
        </row>
        <row r="12">
          <cell r="B12">
            <v>1988</v>
          </cell>
          <cell r="C12">
            <v>137.88254021188769</v>
          </cell>
          <cell r="D12">
            <v>66804.090732659577</v>
          </cell>
          <cell r="E12">
            <v>689.4127010594384</v>
          </cell>
          <cell r="F12">
            <v>896.23651137726984</v>
          </cell>
          <cell r="G12">
            <v>413.64762063566303</v>
          </cell>
          <cell r="H12"/>
          <cell r="I12"/>
          <cell r="J12"/>
          <cell r="K12">
            <v>68941.270105943826</v>
          </cell>
          <cell r="L12" t="str">
            <v>Totals based on Bonn counts + downstream harvest (Zones 1-5) apportioned to stock (annual Wells:Rock dam count ratios), to get estimate of Ok Sox adult returns. Adult age comp based on variety of methods -- see General Comments field.</v>
          </cell>
          <cell r="M12" t="str">
            <v xml:space="preserve"> </v>
          </cell>
          <cell r="N12"/>
          <cell r="O12"/>
          <cell r="P12"/>
          <cell r="Q12"/>
          <cell r="R12"/>
          <cell r="S12"/>
          <cell r="T12"/>
          <cell r="U12"/>
          <cell r="V12"/>
          <cell r="W12"/>
          <cell r="X12"/>
          <cell r="Y12"/>
          <cell r="Z12"/>
          <cell r="AA12"/>
          <cell r="AB12"/>
          <cell r="AC12"/>
          <cell r="AD12"/>
          <cell r="AE12"/>
          <cell r="AF12"/>
          <cell r="AG12"/>
          <cell r="AH12"/>
          <cell r="AI12"/>
          <cell r="AJ12"/>
          <cell r="AK12" t="str">
            <v/>
          </cell>
          <cell r="AL12" t="str">
            <v/>
          </cell>
          <cell r="AM12" t="str">
            <v/>
          </cell>
          <cell r="AN12"/>
          <cell r="AO12"/>
          <cell r="AP12"/>
          <cell r="AQ12"/>
          <cell r="AR12"/>
          <cell r="AS12"/>
          <cell r="AT12"/>
          <cell r="AU12"/>
          <cell r="AV12"/>
          <cell r="AW12"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2" t="str">
            <v>howard.stiff@shaw.ca</v>
          </cell>
        </row>
        <row r="13">
          <cell r="B13">
            <v>1989</v>
          </cell>
          <cell r="C13">
            <v>609.08072376873668</v>
          </cell>
          <cell r="D13">
            <v>18901.805127623127</v>
          </cell>
          <cell r="E13">
            <v>121.81614475374734</v>
          </cell>
          <cell r="F13">
            <v>548.17265139186293</v>
          </cell>
          <cell r="G13">
            <v>101.51345396145611</v>
          </cell>
          <cell r="H13"/>
          <cell r="I13"/>
          <cell r="J13"/>
          <cell r="K13">
            <v>20282.388101498927</v>
          </cell>
          <cell r="L13" t="str">
            <v>Totals based on Bonn counts + downstream harvest (Zones 1-5) apportioned to stock (annual Wells:Rock dam count ratios), to get estimate of Ok Sox adult returns. Adult age comp based on variety of methods -- see General Comments field.</v>
          </cell>
          <cell r="M13" t="str">
            <v xml:space="preserve"> </v>
          </cell>
          <cell r="N13"/>
          <cell r="O13"/>
          <cell r="P13"/>
          <cell r="Q13"/>
          <cell r="R13"/>
          <cell r="S13"/>
          <cell r="T13"/>
          <cell r="U13"/>
          <cell r="V13"/>
          <cell r="W13"/>
          <cell r="X13"/>
          <cell r="Y13"/>
          <cell r="Z13"/>
          <cell r="AA13"/>
          <cell r="AB13"/>
          <cell r="AC13"/>
          <cell r="AD13"/>
          <cell r="AE13"/>
          <cell r="AF13"/>
          <cell r="AG13"/>
          <cell r="AH13"/>
          <cell r="AI13"/>
          <cell r="AJ13"/>
          <cell r="AK13" t="str">
            <v/>
          </cell>
          <cell r="AL13" t="str">
            <v/>
          </cell>
          <cell r="AM13" t="str">
            <v/>
          </cell>
          <cell r="AN13"/>
          <cell r="AO13"/>
          <cell r="AP13"/>
          <cell r="AQ13"/>
          <cell r="AR13"/>
          <cell r="AS13"/>
          <cell r="AT13"/>
          <cell r="AU13"/>
          <cell r="AV13"/>
          <cell r="AW13"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3" t="str">
            <v>howard.stiff@shaw.ca</v>
          </cell>
        </row>
        <row r="14">
          <cell r="B14">
            <v>1990</v>
          </cell>
          <cell r="C14">
            <v>3876.4320520127762</v>
          </cell>
          <cell r="D14">
            <v>2246.9584018304145</v>
          </cell>
          <cell r="E14">
            <v>162.94736501823616</v>
          </cell>
          <cell r="F14">
            <v>1938.2160260063881</v>
          </cell>
          <cell r="G14">
            <v>300.16619871780352</v>
          </cell>
          <cell r="H14"/>
          <cell r="I14">
            <v>51.457062637337742</v>
          </cell>
          <cell r="J14"/>
          <cell r="K14">
            <v>8576.1771062229545</v>
          </cell>
          <cell r="L14" t="str">
            <v>Totals based on Bonn counts + downstream harvest (Zones 1-5) apportioned to stock (annual Wells:Rock dam count ratios), to get estimate of Ok Sox adult returns. Adult age comp based on variety of methods -- see General Comments field.</v>
          </cell>
          <cell r="M14" t="str">
            <v xml:space="preserve"> </v>
          </cell>
          <cell r="N14"/>
          <cell r="O14"/>
          <cell r="P14"/>
          <cell r="Q14"/>
          <cell r="R14"/>
          <cell r="S14"/>
          <cell r="T14"/>
          <cell r="U14"/>
          <cell r="V14"/>
          <cell r="W14"/>
          <cell r="X14"/>
          <cell r="Y14"/>
          <cell r="Z14"/>
          <cell r="AA14"/>
          <cell r="AB14"/>
          <cell r="AC14"/>
          <cell r="AD14"/>
          <cell r="AE14"/>
          <cell r="AF14"/>
          <cell r="AG14"/>
          <cell r="AH14"/>
          <cell r="AI14"/>
          <cell r="AJ14"/>
          <cell r="AK14" t="str">
            <v/>
          </cell>
          <cell r="AL14" t="str">
            <v/>
          </cell>
          <cell r="AM14" t="str">
            <v/>
          </cell>
          <cell r="AN14"/>
          <cell r="AO14"/>
          <cell r="AP14"/>
          <cell r="AQ14"/>
          <cell r="AR14"/>
          <cell r="AS14"/>
          <cell r="AT14"/>
          <cell r="AU14"/>
          <cell r="AV14"/>
          <cell r="AW14"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4" t="str">
            <v>howard.stiff@shaw.ca</v>
          </cell>
        </row>
        <row r="15">
          <cell r="B15">
            <v>1991</v>
          </cell>
          <cell r="C15">
            <v>5212.446347172362</v>
          </cell>
          <cell r="D15">
            <v>25723.761193837632</v>
          </cell>
          <cell r="E15">
            <v>2267.7526315620021</v>
          </cell>
          <cell r="F15">
            <v>507.70581303626903</v>
          </cell>
          <cell r="G15">
            <v>33.847054202417937</v>
          </cell>
          <cell r="H15"/>
          <cell r="I15">
            <v>101.54116260725381</v>
          </cell>
          <cell r="J15"/>
          <cell r="K15">
            <v>33847.054202417938</v>
          </cell>
          <cell r="L15" t="str">
            <v>Totals based on Bonn counts + downstream harvest (Zones 1-5) apportioned to stock (annual Wells:Rock dam count ratios), to get estimate of Ok Sox adult returns. Adult age comp based on variety of methods -- see General Comments field.</v>
          </cell>
          <cell r="M15" t="str">
            <v xml:space="preserve"> </v>
          </cell>
          <cell r="N15"/>
          <cell r="O15"/>
          <cell r="P15"/>
          <cell r="Q15"/>
          <cell r="R15"/>
          <cell r="S15"/>
          <cell r="T15"/>
          <cell r="U15"/>
          <cell r="V15"/>
          <cell r="W15"/>
          <cell r="X15"/>
          <cell r="Y15"/>
          <cell r="Z15"/>
          <cell r="AA15"/>
          <cell r="AB15"/>
          <cell r="AC15"/>
          <cell r="AD15"/>
          <cell r="AE15"/>
          <cell r="AF15"/>
          <cell r="AG15"/>
          <cell r="AH15"/>
          <cell r="AI15"/>
          <cell r="AJ15"/>
          <cell r="AK15" t="str">
            <v/>
          </cell>
          <cell r="AL15" t="str">
            <v/>
          </cell>
          <cell r="AM15" t="str">
            <v/>
          </cell>
          <cell r="AN15"/>
          <cell r="AO15"/>
          <cell r="AP15"/>
          <cell r="AQ15"/>
          <cell r="AR15"/>
          <cell r="AS15"/>
          <cell r="AT15"/>
          <cell r="AU15"/>
          <cell r="AV15"/>
          <cell r="AW15"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5" t="str">
            <v>howard.stiff@shaw.ca</v>
          </cell>
        </row>
        <row r="16">
          <cell r="B16">
            <v>1992</v>
          </cell>
          <cell r="C16">
            <v>8815.6075279041543</v>
          </cell>
          <cell r="D16">
            <v>38235.741526353515</v>
          </cell>
          <cell r="E16">
            <v>3651.4350707295312</v>
          </cell>
          <cell r="F16">
            <v>730.28701414590614</v>
          </cell>
          <cell r="G16">
            <v>730.28701414590614</v>
          </cell>
          <cell r="H16"/>
          <cell r="I16"/>
          <cell r="J16"/>
          <cell r="K16">
            <v>52163.358153279012</v>
          </cell>
          <cell r="L16" t="str">
            <v>Totals based on Bonn counts + downstream harvest (Zones 1-5) apportioned to stock (annual Wells:Rock dam count ratios), to get estimate of Ok Sox adult returns. Adult age comp based on variety of methods -- see General Comments field.</v>
          </cell>
          <cell r="M16" t="str">
            <v xml:space="preserve"> </v>
          </cell>
          <cell r="N16"/>
          <cell r="O16"/>
          <cell r="P16"/>
          <cell r="Q16"/>
          <cell r="R16"/>
          <cell r="S16"/>
          <cell r="T16"/>
          <cell r="U16"/>
          <cell r="V16"/>
          <cell r="W16"/>
          <cell r="X16"/>
          <cell r="Y16"/>
          <cell r="Z16"/>
          <cell r="AA16"/>
          <cell r="AB16"/>
          <cell r="AC16"/>
          <cell r="AD16"/>
          <cell r="AE16"/>
          <cell r="AF16"/>
          <cell r="AG16"/>
          <cell r="AH16"/>
          <cell r="AI16"/>
          <cell r="AJ16"/>
          <cell r="AK16" t="str">
            <v/>
          </cell>
          <cell r="AL16" t="str">
            <v/>
          </cell>
          <cell r="AM16" t="str">
            <v/>
          </cell>
          <cell r="AN16"/>
          <cell r="AO16"/>
          <cell r="AP16"/>
          <cell r="AQ16"/>
          <cell r="AR16"/>
          <cell r="AS16"/>
          <cell r="AT16"/>
          <cell r="AU16"/>
          <cell r="AV16"/>
          <cell r="AW16"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6" t="str">
            <v>howard.stiff@shaw.ca</v>
          </cell>
        </row>
        <row r="17">
          <cell r="B17">
            <v>1993</v>
          </cell>
          <cell r="C17">
            <v>0</v>
          </cell>
          <cell r="D17">
            <v>33184.711465031236</v>
          </cell>
          <cell r="E17">
            <v>74.824603077860743</v>
          </cell>
          <cell r="F17">
            <v>1982.8519815633094</v>
          </cell>
          <cell r="G17">
            <v>2132.5011877190309</v>
          </cell>
          <cell r="H17"/>
          <cell r="I17">
            <v>74.824603077860743</v>
          </cell>
          <cell r="J17"/>
          <cell r="K17">
            <v>37449.713840469303</v>
          </cell>
          <cell r="L17" t="str">
            <v>Totals based on Bonn counts + downstream harvest (Zones 1-5) apportioned to stock (annual Wells:Rock dam count ratios), to get estimate of Ok Sox adult returns. Adult age comp based on variety of methods -- see General Comments field.</v>
          </cell>
          <cell r="M17" t="str">
            <v xml:space="preserve"> </v>
          </cell>
          <cell r="N17"/>
          <cell r="O17"/>
          <cell r="P17"/>
          <cell r="Q17"/>
          <cell r="R17"/>
          <cell r="S17"/>
          <cell r="T17"/>
          <cell r="U17"/>
          <cell r="V17"/>
          <cell r="W17"/>
          <cell r="X17"/>
          <cell r="Y17"/>
          <cell r="Z17"/>
          <cell r="AA17"/>
          <cell r="AB17"/>
          <cell r="AC17"/>
          <cell r="AD17"/>
          <cell r="AE17"/>
          <cell r="AF17"/>
          <cell r="AG17"/>
          <cell r="AH17"/>
          <cell r="AI17"/>
          <cell r="AJ17"/>
          <cell r="AK17" t="str">
            <v/>
          </cell>
          <cell r="AL17" t="str">
            <v/>
          </cell>
          <cell r="AM17" t="str">
            <v/>
          </cell>
          <cell r="AN17"/>
          <cell r="AO17"/>
          <cell r="AP17"/>
          <cell r="AQ17"/>
          <cell r="AR17"/>
          <cell r="AS17"/>
          <cell r="AT17"/>
          <cell r="AU17"/>
          <cell r="AV17"/>
          <cell r="AW17"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7" t="str">
            <v>howard.stiff@shaw.ca</v>
          </cell>
        </row>
        <row r="18">
          <cell r="B18">
            <v>1994</v>
          </cell>
          <cell r="C18">
            <v>269.80186276062284</v>
          </cell>
          <cell r="D18">
            <v>237.72751543942991</v>
          </cell>
          <cell r="E18">
            <v>30.187621008181576</v>
          </cell>
          <cell r="F18">
            <v>1316.9349664819213</v>
          </cell>
          <cell r="G18">
            <v>32.074347321192931</v>
          </cell>
          <cell r="H18"/>
          <cell r="I18"/>
          <cell r="J18"/>
          <cell r="K18">
            <v>1886.7263130113483</v>
          </cell>
          <cell r="L18" t="str">
            <v>Totals based on Bonn counts + downstream harvest (Zones 1-5) apportioned to stock (annual Wells:Rock dam count ratios), to get estimate of Ok Sox adult returns. Adult age comp based on variety of methods -- see General Comments field.</v>
          </cell>
          <cell r="M18" t="str">
            <v xml:space="preserve"> </v>
          </cell>
          <cell r="N18"/>
          <cell r="O18"/>
          <cell r="P18"/>
          <cell r="Q18"/>
          <cell r="R18"/>
          <cell r="S18"/>
          <cell r="T18"/>
          <cell r="U18"/>
          <cell r="V18"/>
          <cell r="W18"/>
          <cell r="X18"/>
          <cell r="Y18"/>
          <cell r="Z18"/>
          <cell r="AA18"/>
          <cell r="AB18"/>
          <cell r="AC18"/>
          <cell r="AD18"/>
          <cell r="AE18"/>
          <cell r="AF18"/>
          <cell r="AG18"/>
          <cell r="AH18"/>
          <cell r="AI18"/>
          <cell r="AJ18"/>
          <cell r="AK18" t="str">
            <v/>
          </cell>
          <cell r="AL18" t="str">
            <v/>
          </cell>
          <cell r="AM18" t="str">
            <v/>
          </cell>
          <cell r="AN18"/>
          <cell r="AO18"/>
          <cell r="AP18"/>
          <cell r="AQ18"/>
          <cell r="AR18"/>
          <cell r="AS18"/>
          <cell r="AT18"/>
          <cell r="AU18"/>
          <cell r="AV18"/>
          <cell r="AW18"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8" t="str">
            <v>howard.stiff@shaw.ca</v>
          </cell>
        </row>
        <row r="19">
          <cell r="B19">
            <v>1995</v>
          </cell>
          <cell r="C19">
            <v>2116.6968450644681</v>
          </cell>
          <cell r="D19">
            <v>2634.3394149228493</v>
          </cell>
          <cell r="E19">
            <v>297.26008962164445</v>
          </cell>
          <cell r="F19">
            <v>66.627261466920302</v>
          </cell>
          <cell r="G19">
            <v>0</v>
          </cell>
          <cell r="H19"/>
          <cell r="I19"/>
          <cell r="J19"/>
          <cell r="K19">
            <v>5114.923611075882</v>
          </cell>
          <cell r="L19" t="str">
            <v>Totals based on Bonn counts + downstream harvest (Zones 1-5) apportioned to stock (annual Wells:Rock dam count ratios), to get estimate of Ok Sox adult returns. Adult age comp based on variety of methods -- see General Comments field.</v>
          </cell>
          <cell r="M19" t="str">
            <v xml:space="preserve"> </v>
          </cell>
          <cell r="N19"/>
          <cell r="O19"/>
          <cell r="P19"/>
          <cell r="Q19"/>
          <cell r="R19"/>
          <cell r="S19"/>
          <cell r="T19"/>
          <cell r="U19"/>
          <cell r="V19"/>
          <cell r="W19"/>
          <cell r="X19"/>
          <cell r="Y19"/>
          <cell r="Z19"/>
          <cell r="AA19"/>
          <cell r="AB19"/>
          <cell r="AC19"/>
          <cell r="AD19"/>
          <cell r="AE19"/>
          <cell r="AF19"/>
          <cell r="AG19"/>
          <cell r="AH19"/>
          <cell r="AI19"/>
          <cell r="AJ19"/>
          <cell r="AK19" t="str">
            <v/>
          </cell>
          <cell r="AL19" t="str">
            <v/>
          </cell>
          <cell r="AM19" t="str">
            <v/>
          </cell>
          <cell r="AN19"/>
          <cell r="AO19"/>
          <cell r="AP19"/>
          <cell r="AQ19"/>
          <cell r="AR19"/>
          <cell r="AS19"/>
          <cell r="AT19"/>
          <cell r="AU19"/>
          <cell r="AV19"/>
          <cell r="AW19"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9" t="str">
            <v>howard.stiff@shaw.ca</v>
          </cell>
        </row>
        <row r="20">
          <cell r="B20">
            <v>1996</v>
          </cell>
          <cell r="C20">
            <v>1411.0349149830508</v>
          </cell>
          <cell r="D20">
            <v>15948.407789084746</v>
          </cell>
          <cell r="E20">
            <v>0</v>
          </cell>
          <cell r="F20">
            <v>705.51745749152542</v>
          </cell>
          <cell r="G20">
            <v>501.28871979661017</v>
          </cell>
          <cell r="H20"/>
          <cell r="I20"/>
          <cell r="J20"/>
          <cell r="K20">
            <v>18566.248881355932</v>
          </cell>
          <cell r="L20" t="str">
            <v>Totals based on Bonn counts + downstream harvest (Zones 1-5) apportioned to stock (annual Wells:Rock dam count ratios), to get estimate of Ok Sox adult returns. Adult age comp based on variety of methods -- see General Comments field.</v>
          </cell>
          <cell r="M20" t="str">
            <v xml:space="preserve"> </v>
          </cell>
          <cell r="N20"/>
          <cell r="O20"/>
          <cell r="P20"/>
          <cell r="Q20"/>
          <cell r="R20"/>
          <cell r="S20"/>
          <cell r="T20"/>
          <cell r="U20"/>
          <cell r="V20"/>
          <cell r="W20"/>
          <cell r="X20"/>
          <cell r="Y20"/>
          <cell r="Z20"/>
          <cell r="AA20"/>
          <cell r="AB20"/>
          <cell r="AC20"/>
          <cell r="AD20"/>
          <cell r="AE20"/>
          <cell r="AF20"/>
          <cell r="AG20"/>
          <cell r="AH20"/>
          <cell r="AI20"/>
          <cell r="AJ20"/>
          <cell r="AK20" t="str">
            <v/>
          </cell>
          <cell r="AL20" t="str">
            <v/>
          </cell>
          <cell r="AM20" t="str">
            <v/>
          </cell>
          <cell r="AN20"/>
          <cell r="AO20"/>
          <cell r="AP20"/>
          <cell r="AQ20"/>
          <cell r="AR20"/>
          <cell r="AS20"/>
          <cell r="AT20"/>
          <cell r="AU20"/>
          <cell r="AV20"/>
          <cell r="AW20"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0" t="str">
            <v>howard.stiff@shaw.ca</v>
          </cell>
        </row>
        <row r="21">
          <cell r="B21">
            <v>1997</v>
          </cell>
          <cell r="C21">
            <v>0</v>
          </cell>
          <cell r="D21">
            <v>28373.651738699886</v>
          </cell>
          <cell r="E21">
            <v>266.83685020720895</v>
          </cell>
          <cell r="F21">
            <v>1008.0503230050117</v>
          </cell>
          <cell r="G21">
            <v>0</v>
          </cell>
          <cell r="H21"/>
          <cell r="I21"/>
          <cell r="J21"/>
          <cell r="K21">
            <v>29648.538911912106</v>
          </cell>
          <cell r="L21" t="str">
            <v>Totals based on Bonn counts + downstream harvest (Zones 1-5) apportioned to stock (annual Wells:Rock dam count ratios), to get estimate of Ok Sox adult returns. Adult age comp based on variety of methods -- see General Comments field.</v>
          </cell>
          <cell r="M21" t="str">
            <v xml:space="preserve"> </v>
          </cell>
          <cell r="N21"/>
          <cell r="O21"/>
          <cell r="P21"/>
          <cell r="Q21"/>
          <cell r="R21"/>
          <cell r="S21"/>
          <cell r="T21"/>
          <cell r="U21"/>
          <cell r="V21"/>
          <cell r="W21"/>
          <cell r="X21"/>
          <cell r="Y21"/>
          <cell r="Z21"/>
          <cell r="AA21"/>
          <cell r="AB21"/>
          <cell r="AC21"/>
          <cell r="AD21"/>
          <cell r="AE21"/>
          <cell r="AF21"/>
          <cell r="AG21"/>
          <cell r="AH21"/>
          <cell r="AI21"/>
          <cell r="AJ21"/>
          <cell r="AK21" t="str">
            <v/>
          </cell>
          <cell r="AL21" t="str">
            <v/>
          </cell>
          <cell r="AM21" t="str">
            <v/>
          </cell>
          <cell r="AN21"/>
          <cell r="AO21"/>
          <cell r="AP21"/>
          <cell r="AQ21"/>
          <cell r="AR21"/>
          <cell r="AS21"/>
          <cell r="AT21"/>
          <cell r="AU21"/>
          <cell r="AV21"/>
          <cell r="AW21"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1" t="str">
            <v>howard.stiff@shaw.ca</v>
          </cell>
        </row>
        <row r="22">
          <cell r="B22">
            <v>1998</v>
          </cell>
          <cell r="C22">
            <v>350.25493464752515</v>
          </cell>
          <cell r="D22">
            <v>5214.1725176773089</v>
          </cell>
          <cell r="E22">
            <v>0</v>
          </cell>
          <cell r="F22">
            <v>1044.1562202699808</v>
          </cell>
          <cell r="G22">
            <v>0</v>
          </cell>
          <cell r="H22"/>
          <cell r="I22"/>
          <cell r="J22"/>
          <cell r="K22">
            <v>6608.5836725948147</v>
          </cell>
          <cell r="L22" t="str">
            <v>Totals based on Bonn counts + downstream harvest (Zones 1-5) apportioned to stock (annual Wells:Rock dam count ratios), to get estimate of Ok Sox adult returns. Adult age comp based on variety of methods -- see General Comments field.</v>
          </cell>
          <cell r="M22" t="str">
            <v xml:space="preserve"> </v>
          </cell>
          <cell r="N22"/>
          <cell r="O22"/>
          <cell r="P22"/>
          <cell r="Q22"/>
          <cell r="R22"/>
          <cell r="S22"/>
          <cell r="T22"/>
          <cell r="U22"/>
          <cell r="V22"/>
          <cell r="W22"/>
          <cell r="X22"/>
          <cell r="Y22"/>
          <cell r="Z22"/>
          <cell r="AA22"/>
          <cell r="AB22"/>
          <cell r="AC22"/>
          <cell r="AD22"/>
          <cell r="AE22"/>
          <cell r="AF22"/>
          <cell r="AG22"/>
          <cell r="AH22"/>
          <cell r="AI22"/>
          <cell r="AJ22"/>
          <cell r="AK22" t="str">
            <v/>
          </cell>
          <cell r="AL22" t="str">
            <v/>
          </cell>
          <cell r="AM22" t="str">
            <v/>
          </cell>
          <cell r="AN22"/>
          <cell r="AO22"/>
          <cell r="AP22"/>
          <cell r="AQ22"/>
          <cell r="AR22"/>
          <cell r="AS22"/>
          <cell r="AT22"/>
          <cell r="AU22"/>
          <cell r="AV22"/>
          <cell r="AW22"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2" t="str">
            <v>howard.stiff@shaw.ca</v>
          </cell>
        </row>
        <row r="23">
          <cell r="B23">
            <v>1999</v>
          </cell>
          <cell r="C23">
            <v>1467.8111048935823</v>
          </cell>
          <cell r="D23">
            <v>10931.330070654836</v>
          </cell>
          <cell r="E23">
            <v>489.27036829786073</v>
          </cell>
          <cell r="F23">
            <v>0</v>
          </cell>
          <cell r="G23">
            <v>0</v>
          </cell>
          <cell r="H23"/>
          <cell r="I23"/>
          <cell r="J23"/>
          <cell r="K23">
            <v>12888.41154384628</v>
          </cell>
          <cell r="L23" t="str">
            <v>Totals based on Bonn counts + downstream harvest (Zones 1-5) apportioned to stock (annual Wells:Rock dam count ratios), to get estimate of Ok Sox adult returns. Adult age comp based on variety of methods -- see General Comments field.</v>
          </cell>
          <cell r="M23" t="str">
            <v xml:space="preserve"> </v>
          </cell>
          <cell r="N23"/>
          <cell r="O23"/>
          <cell r="P23"/>
          <cell r="Q23"/>
          <cell r="R23"/>
          <cell r="S23"/>
          <cell r="T23"/>
          <cell r="U23"/>
          <cell r="V23"/>
          <cell r="W23"/>
          <cell r="X23"/>
          <cell r="Y23"/>
          <cell r="Z23"/>
          <cell r="AA23"/>
          <cell r="AB23"/>
          <cell r="AC23"/>
          <cell r="AD23"/>
          <cell r="AE23"/>
          <cell r="AF23"/>
          <cell r="AG23"/>
          <cell r="AH23"/>
          <cell r="AI23"/>
          <cell r="AJ23"/>
          <cell r="AK23" t="str">
            <v/>
          </cell>
          <cell r="AL23" t="str">
            <v/>
          </cell>
          <cell r="AM23" t="str">
            <v/>
          </cell>
          <cell r="AN23"/>
          <cell r="AO23"/>
          <cell r="AP23"/>
          <cell r="AQ23"/>
          <cell r="AR23"/>
          <cell r="AS23"/>
          <cell r="AT23"/>
          <cell r="AU23"/>
          <cell r="AV23"/>
          <cell r="AW23"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3" t="str">
            <v>howard.stiff@shaw.ca</v>
          </cell>
        </row>
        <row r="24">
          <cell r="B24">
            <v>2000</v>
          </cell>
          <cell r="C24">
            <v>9549.8300669176078</v>
          </cell>
          <cell r="D24">
            <v>61706.594278544544</v>
          </cell>
          <cell r="E24">
            <v>734.60231283981602</v>
          </cell>
          <cell r="F24">
            <v>734.60231283981602</v>
          </cell>
          <cell r="G24">
            <v>734.60231283981602</v>
          </cell>
          <cell r="H24"/>
          <cell r="I24"/>
          <cell r="J24"/>
          <cell r="K24">
            <v>73460.231283981615</v>
          </cell>
          <cell r="L24" t="str">
            <v>Totals based on Bonn counts + downstream harvest (Zones 1-5) apportioned to stock (annual Wells:Rock dam count ratios), to get estimate of Ok Sox adult returns. Adult age comp based on variety of methods -- see General Comments field.</v>
          </cell>
          <cell r="M24" t="str">
            <v xml:space="preserve"> </v>
          </cell>
          <cell r="N24"/>
          <cell r="O24"/>
          <cell r="P24"/>
          <cell r="Q24"/>
          <cell r="R24"/>
          <cell r="S24"/>
          <cell r="T24"/>
          <cell r="U24"/>
          <cell r="V24"/>
          <cell r="W24"/>
          <cell r="X24"/>
          <cell r="Y24"/>
          <cell r="Z24"/>
          <cell r="AA24"/>
          <cell r="AB24"/>
          <cell r="AC24"/>
          <cell r="AD24"/>
          <cell r="AE24"/>
          <cell r="AF24"/>
          <cell r="AG24"/>
          <cell r="AH24"/>
          <cell r="AI24"/>
          <cell r="AJ24"/>
          <cell r="AK24" t="str">
            <v/>
          </cell>
          <cell r="AL24" t="str">
            <v/>
          </cell>
          <cell r="AM24" t="str">
            <v/>
          </cell>
          <cell r="AN24"/>
          <cell r="AO24"/>
          <cell r="AP24"/>
          <cell r="AQ24"/>
          <cell r="AR24"/>
          <cell r="AS24"/>
          <cell r="AT24"/>
          <cell r="AU24"/>
          <cell r="AV24"/>
          <cell r="AW24"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4" t="str">
            <v>howard.stiff@shaw.ca</v>
          </cell>
        </row>
        <row r="25">
          <cell r="B25">
            <v>2001</v>
          </cell>
          <cell r="C25">
            <v>2763.745339584128</v>
          </cell>
          <cell r="D25">
            <v>79059.86668386111</v>
          </cell>
          <cell r="E25">
            <v>41.037430799885534</v>
          </cell>
          <cell r="F25">
            <v>1842.4968930560851</v>
          </cell>
          <cell r="G25">
            <v>41.037430799885534</v>
          </cell>
          <cell r="H25"/>
          <cell r="I25"/>
          <cell r="J25"/>
          <cell r="K25">
            <v>83748.183778101098</v>
          </cell>
          <cell r="L25" t="str">
            <v>Totals based on Bonn counts + downstream harvest (Zones 1-5) apportioned to stock (annual Wells:Rock dam count ratios), to get estimate of Ok Sox adult returns. Adult age comp based on variety of methods -- see General Comments field.</v>
          </cell>
          <cell r="M25" t="str">
            <v xml:space="preserve"> </v>
          </cell>
          <cell r="N25"/>
          <cell r="O25"/>
          <cell r="P25"/>
          <cell r="Q25"/>
          <cell r="R25"/>
          <cell r="S25"/>
          <cell r="T25"/>
          <cell r="U25"/>
          <cell r="V25"/>
          <cell r="W25"/>
          <cell r="X25"/>
          <cell r="Y25"/>
          <cell r="Z25"/>
          <cell r="AA25"/>
          <cell r="AB25"/>
          <cell r="AC25"/>
          <cell r="AD25"/>
          <cell r="AE25"/>
          <cell r="AF25"/>
          <cell r="AG25"/>
          <cell r="AH25"/>
          <cell r="AI25"/>
          <cell r="AJ25"/>
          <cell r="AK25" t="str">
            <v/>
          </cell>
          <cell r="AL25" t="str">
            <v/>
          </cell>
          <cell r="AM25" t="str">
            <v/>
          </cell>
          <cell r="AN25"/>
          <cell r="AO25"/>
          <cell r="AP25"/>
          <cell r="AQ25"/>
          <cell r="AR25"/>
          <cell r="AS25"/>
          <cell r="AT25"/>
          <cell r="AU25"/>
          <cell r="AV25"/>
          <cell r="AW25"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5" t="str">
            <v>howard.stiff@shaw.ca</v>
          </cell>
        </row>
        <row r="26">
          <cell r="B26">
            <v>2002</v>
          </cell>
          <cell r="C26">
            <v>1098.8915293772563</v>
          </cell>
          <cell r="D26">
            <v>6689.9550250000011</v>
          </cell>
          <cell r="E26">
            <v>0</v>
          </cell>
          <cell r="F26">
            <v>4274.8088065884476</v>
          </cell>
          <cell r="G26">
            <v>0</v>
          </cell>
          <cell r="H26"/>
          <cell r="I26">
            <v>0</v>
          </cell>
          <cell r="J26"/>
          <cell r="K26">
            <v>12063.655360965706</v>
          </cell>
          <cell r="L26" t="str">
            <v>Totals based on Bonn counts + downstream harvest (Zones 1-5) apportioned to stock (annual Wells:Rock dam count ratios), to get estimate of Ok Sox adult returns. Adult age comp based on variety of methods -- see General Comments field.</v>
          </cell>
          <cell r="M26" t="str">
            <v xml:space="preserve"> </v>
          </cell>
          <cell r="N26"/>
          <cell r="O26"/>
          <cell r="P26"/>
          <cell r="Q26"/>
          <cell r="R26"/>
          <cell r="S26"/>
          <cell r="T26"/>
          <cell r="U26"/>
          <cell r="V26"/>
          <cell r="W26"/>
          <cell r="X26"/>
          <cell r="Y26"/>
          <cell r="Z26"/>
          <cell r="AA26"/>
          <cell r="AB26"/>
          <cell r="AC26"/>
          <cell r="AD26"/>
          <cell r="AE26"/>
          <cell r="AF26"/>
          <cell r="AG26"/>
          <cell r="AH26"/>
          <cell r="AI26"/>
          <cell r="AJ26"/>
          <cell r="AK26" t="str">
            <v/>
          </cell>
          <cell r="AL26" t="str">
            <v/>
          </cell>
          <cell r="AM26" t="str">
            <v/>
          </cell>
          <cell r="AN26"/>
          <cell r="AO26"/>
          <cell r="AP26"/>
          <cell r="AQ26"/>
          <cell r="AR26"/>
          <cell r="AS26"/>
          <cell r="AT26"/>
          <cell r="AU26"/>
          <cell r="AV26"/>
          <cell r="AW26"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6" t="str">
            <v>howard.stiff@shaw.ca</v>
          </cell>
        </row>
        <row r="27">
          <cell r="B27">
            <v>2003</v>
          </cell>
          <cell r="C27">
            <v>8969.7424916760119</v>
          </cell>
          <cell r="D27">
            <v>16040.780368325713</v>
          </cell>
          <cell r="E27">
            <v>1735.0231826964546</v>
          </cell>
          <cell r="F27">
            <v>130.94514586388337</v>
          </cell>
          <cell r="G27">
            <v>261.89029172776674</v>
          </cell>
          <cell r="H27"/>
          <cell r="I27">
            <v>294.62657819373754</v>
          </cell>
          <cell r="J27">
            <v>2291.5400526179587</v>
          </cell>
          <cell r="K27">
            <v>29724.548111101525</v>
          </cell>
          <cell r="L27" t="str">
            <v>Totals based on Bonn counts + downstream harvest (Zones 1-5) apportioned to stock (annual Wells:Rock dam count ratios), to get estimate of Ok Sox adult returns. Adult age comp based on variety of methods -- see General Comments field.</v>
          </cell>
          <cell r="M27" t="str">
            <v xml:space="preserve"> </v>
          </cell>
          <cell r="N27"/>
          <cell r="O27"/>
          <cell r="P27"/>
          <cell r="Q27"/>
          <cell r="R27"/>
          <cell r="S27"/>
          <cell r="T27"/>
          <cell r="U27"/>
          <cell r="V27"/>
          <cell r="W27"/>
          <cell r="X27"/>
          <cell r="Y27"/>
          <cell r="Z27"/>
          <cell r="AA27"/>
          <cell r="AB27"/>
          <cell r="AC27"/>
          <cell r="AD27"/>
          <cell r="AE27"/>
          <cell r="AF27"/>
          <cell r="AG27"/>
          <cell r="AH27"/>
          <cell r="AI27"/>
          <cell r="AJ27"/>
          <cell r="AK27" t="str">
            <v/>
          </cell>
          <cell r="AL27" t="str">
            <v/>
          </cell>
          <cell r="AM27" t="str">
            <v/>
          </cell>
          <cell r="AN27"/>
          <cell r="AO27"/>
          <cell r="AP27"/>
          <cell r="AQ27"/>
          <cell r="AR27"/>
          <cell r="AS27"/>
          <cell r="AT27"/>
          <cell r="AU27"/>
          <cell r="AV27"/>
          <cell r="AW27"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7" t="str">
            <v>howard.stiff@shaw.ca</v>
          </cell>
        </row>
        <row r="28">
          <cell r="B28">
            <v>2004</v>
          </cell>
          <cell r="C28">
            <v>2954.1984093619335</v>
          </cell>
          <cell r="D28">
            <v>89007.13917238859</v>
          </cell>
          <cell r="E28">
            <v>285.89016864792904</v>
          </cell>
          <cell r="F28">
            <v>0</v>
          </cell>
          <cell r="G28">
            <v>1429.4508432396453</v>
          </cell>
          <cell r="H28"/>
          <cell r="I28">
            <v>0</v>
          </cell>
          <cell r="J28">
            <v>1715.3410118875743</v>
          </cell>
          <cell r="K28">
            <v>95392.019605525667</v>
          </cell>
          <cell r="L28" t="str">
            <v>Totals based on Bonn counts + downstream harvest (Zones 1-5) apportioned to stock (annual Wells:Rock dam count ratios), to get estimate of Ok Sox adult returns. Adult age comp based on variety of methods -- see General Comments field.</v>
          </cell>
          <cell r="M28" t="str">
            <v xml:space="preserve"> </v>
          </cell>
          <cell r="N28"/>
          <cell r="O28"/>
          <cell r="P28"/>
          <cell r="Q28"/>
          <cell r="R28"/>
          <cell r="S28"/>
          <cell r="T28"/>
          <cell r="U28"/>
          <cell r="V28"/>
          <cell r="W28"/>
          <cell r="X28"/>
          <cell r="Y28"/>
          <cell r="Z28"/>
          <cell r="AA28"/>
          <cell r="AB28"/>
          <cell r="AC28"/>
          <cell r="AD28"/>
          <cell r="AE28"/>
          <cell r="AF28"/>
          <cell r="AG28"/>
          <cell r="AH28"/>
          <cell r="AI28"/>
          <cell r="AJ28"/>
          <cell r="AK28" t="str">
            <v/>
          </cell>
          <cell r="AL28" t="str">
            <v/>
          </cell>
          <cell r="AM28" t="str">
            <v/>
          </cell>
          <cell r="AN28"/>
          <cell r="AO28"/>
          <cell r="AP28"/>
          <cell r="AQ28"/>
          <cell r="AR28"/>
          <cell r="AS28"/>
          <cell r="AT28"/>
          <cell r="AU28"/>
          <cell r="AV28"/>
          <cell r="AW28"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8" t="str">
            <v>howard.stiff@shaw.ca</v>
          </cell>
        </row>
        <row r="29">
          <cell r="B29">
            <v>2005</v>
          </cell>
          <cell r="C29">
            <v>905.61263604582587</v>
          </cell>
          <cell r="D29">
            <v>53793.390581122061</v>
          </cell>
          <cell r="E29">
            <v>1388.606041936933</v>
          </cell>
          <cell r="F29">
            <v>2354.5928537191476</v>
          </cell>
          <cell r="G29">
            <v>1147.1093389913794</v>
          </cell>
          <cell r="H29"/>
          <cell r="I29">
            <v>845.23846030943753</v>
          </cell>
          <cell r="J29"/>
          <cell r="K29">
            <v>60434.549912124792</v>
          </cell>
          <cell r="L29" t="str">
            <v>Totals based on Bonn counts + downstream harvest (Zones 1-5) apportioned to stock (annual Wells:Rock dam count ratios), to get estimate of Ok Sox adult returns. Adult age comp based on variety of methods -- see General Comments field.</v>
          </cell>
          <cell r="M29" t="str">
            <v xml:space="preserve"> </v>
          </cell>
          <cell r="N29"/>
          <cell r="O29"/>
          <cell r="P29"/>
          <cell r="Q29"/>
          <cell r="R29"/>
          <cell r="S29"/>
          <cell r="T29"/>
          <cell r="U29"/>
          <cell r="V29"/>
          <cell r="W29"/>
          <cell r="X29"/>
          <cell r="Y29"/>
          <cell r="Z29"/>
          <cell r="AA29"/>
          <cell r="AB29"/>
          <cell r="AC29"/>
          <cell r="AD29"/>
          <cell r="AE29"/>
          <cell r="AF29"/>
          <cell r="AG29"/>
          <cell r="AH29"/>
          <cell r="AI29"/>
          <cell r="AJ29"/>
          <cell r="AK29" t="str">
            <v/>
          </cell>
          <cell r="AL29" t="str">
            <v/>
          </cell>
          <cell r="AM29" t="str">
            <v/>
          </cell>
          <cell r="AN29"/>
          <cell r="AO29"/>
          <cell r="AP29"/>
          <cell r="AQ29"/>
          <cell r="AR29"/>
          <cell r="AS29"/>
          <cell r="AT29"/>
          <cell r="AU29"/>
          <cell r="AV29"/>
          <cell r="AW29"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9" t="str">
            <v>howard.stiff@shaw.ca</v>
          </cell>
        </row>
        <row r="30">
          <cell r="B30">
            <v>2006</v>
          </cell>
          <cell r="C30">
            <v>55.454396819071484</v>
          </cell>
          <cell r="D30">
            <v>20573.581219875516</v>
          </cell>
          <cell r="E30">
            <v>0</v>
          </cell>
          <cell r="F30">
            <v>2550.9022536772877</v>
          </cell>
          <cell r="G30">
            <v>110.90879363814297</v>
          </cell>
          <cell r="H30"/>
          <cell r="I30">
            <v>0</v>
          </cell>
          <cell r="J30"/>
          <cell r="K30">
            <v>23290.846664010016</v>
          </cell>
          <cell r="L30" t="str">
            <v>Totals based on Bonn counts + downstream harvest (Zones 1-5) apportioned to stock (annual Wells:Rock dam count ratios), to get estimate of Ok Sox adult returns. Adult age comp based on variety of methods -- see General Comments field.</v>
          </cell>
          <cell r="M30" t="str">
            <v xml:space="preserve"> </v>
          </cell>
          <cell r="N30"/>
          <cell r="O30"/>
          <cell r="P30"/>
          <cell r="Q30"/>
          <cell r="R30"/>
          <cell r="S30"/>
          <cell r="T30"/>
          <cell r="U30"/>
          <cell r="V30"/>
          <cell r="W30"/>
          <cell r="X30"/>
          <cell r="Y30"/>
          <cell r="Z30"/>
          <cell r="AA30"/>
          <cell r="AB30"/>
          <cell r="AC30"/>
          <cell r="AD30"/>
          <cell r="AE30"/>
          <cell r="AF30"/>
          <cell r="AG30"/>
          <cell r="AH30"/>
          <cell r="AI30"/>
          <cell r="AJ30"/>
          <cell r="AK30" t="str">
            <v/>
          </cell>
          <cell r="AL30" t="str">
            <v/>
          </cell>
          <cell r="AM30" t="str">
            <v/>
          </cell>
          <cell r="AN30"/>
          <cell r="AO30"/>
          <cell r="AP30"/>
          <cell r="AQ30"/>
          <cell r="AR30"/>
          <cell r="AS30"/>
          <cell r="AT30"/>
          <cell r="AU30"/>
          <cell r="AV30"/>
          <cell r="AW30"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0" t="str">
            <v>howard.stiff@shaw.ca</v>
          </cell>
        </row>
        <row r="31">
          <cell r="B31">
            <v>2007</v>
          </cell>
          <cell r="C31">
            <v>6677.8585156901845</v>
          </cell>
          <cell r="D31">
            <v>12069.157133862076</v>
          </cell>
          <cell r="E31">
            <v>1531.6189256170139</v>
          </cell>
          <cell r="F31">
            <v>3063.2378512340292</v>
          </cell>
          <cell r="G31">
            <v>245.05902809872237</v>
          </cell>
          <cell r="H31"/>
          <cell r="I31">
            <v>0</v>
          </cell>
          <cell r="J31"/>
          <cell r="K31">
            <v>23586.931454502028</v>
          </cell>
          <cell r="L31" t="str">
            <v>Totals based on Bonn counts + downstream harvest (Zones 1-5) apportioned to stock (annual Wells:Rock dam count ratios), to get estimate of Ok Sox adult returns. Adult age comp based on variety of methods -- see General Comments field.</v>
          </cell>
          <cell r="M31" t="str">
            <v xml:space="preserve"> </v>
          </cell>
          <cell r="N31"/>
          <cell r="O31"/>
          <cell r="P31"/>
          <cell r="Q31"/>
          <cell r="R31"/>
          <cell r="S31"/>
          <cell r="T31"/>
          <cell r="U31"/>
          <cell r="V31"/>
          <cell r="W31"/>
          <cell r="X31"/>
          <cell r="Y31"/>
          <cell r="Z31"/>
          <cell r="AA31"/>
          <cell r="AB31"/>
          <cell r="AC31"/>
          <cell r="AD31"/>
          <cell r="AE31"/>
          <cell r="AF31"/>
          <cell r="AG31"/>
          <cell r="AH31"/>
          <cell r="AI31"/>
          <cell r="AJ31"/>
          <cell r="AK31" t="str">
            <v/>
          </cell>
          <cell r="AL31" t="str">
            <v/>
          </cell>
          <cell r="AM31" t="str">
            <v/>
          </cell>
          <cell r="AN31"/>
          <cell r="AO31"/>
          <cell r="AP31"/>
          <cell r="AQ31"/>
          <cell r="AR31"/>
          <cell r="AS31"/>
          <cell r="AT31"/>
          <cell r="AU31"/>
          <cell r="AV31"/>
          <cell r="AW31"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1" t="str">
            <v>howard.stiff@shaw.ca</v>
          </cell>
        </row>
        <row r="32">
          <cell r="B32">
            <v>2008</v>
          </cell>
          <cell r="C32">
            <v>8488.9268164184032</v>
          </cell>
          <cell r="D32">
            <v>172155.43583696522</v>
          </cell>
          <cell r="E32">
            <v>0</v>
          </cell>
          <cell r="F32">
            <v>1697.7853632836809</v>
          </cell>
          <cell r="G32">
            <v>679.11414531347236</v>
          </cell>
          <cell r="H32"/>
          <cell r="I32"/>
          <cell r="J32"/>
          <cell r="K32">
            <v>183021.26216198079</v>
          </cell>
          <cell r="L32" t="str">
            <v>Totals based on Bonn counts + downstream harvest (Zones 1-5) apportioned to stock (annual Wells:Rock dam count ratios), to get estimate of Ok Sox adult returns. Adult age comp based on variety of methods -- see General Comments field.</v>
          </cell>
          <cell r="M32" t="str">
            <v xml:space="preserve"> </v>
          </cell>
          <cell r="N32"/>
          <cell r="O32"/>
          <cell r="P32"/>
          <cell r="Q32"/>
          <cell r="R32"/>
          <cell r="S32"/>
          <cell r="T32"/>
          <cell r="U32"/>
          <cell r="V32"/>
          <cell r="W32"/>
          <cell r="X32"/>
          <cell r="Y32"/>
          <cell r="Z32"/>
          <cell r="AA32"/>
          <cell r="AB32"/>
          <cell r="AC32"/>
          <cell r="AD32"/>
          <cell r="AE32"/>
          <cell r="AF32"/>
          <cell r="AG32"/>
          <cell r="AH32"/>
          <cell r="AI32"/>
          <cell r="AJ32"/>
          <cell r="AK32" t="str">
            <v/>
          </cell>
          <cell r="AL32" t="str">
            <v/>
          </cell>
          <cell r="AM32" t="str">
            <v/>
          </cell>
          <cell r="AN32"/>
          <cell r="AO32"/>
          <cell r="AP32"/>
          <cell r="AQ32"/>
          <cell r="AR32"/>
          <cell r="AS32"/>
          <cell r="AT32"/>
          <cell r="AU32"/>
          <cell r="AV32"/>
          <cell r="AW32"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2" t="str">
            <v>howard.stiff@shaw.ca</v>
          </cell>
        </row>
        <row r="33">
          <cell r="B33">
            <v>2009</v>
          </cell>
          <cell r="C33">
            <v>5209.9635716414077</v>
          </cell>
          <cell r="D33">
            <v>130862.02618181655</v>
          </cell>
          <cell r="E33">
            <v>0</v>
          </cell>
          <cell r="F33">
            <v>7968.1795801574472</v>
          </cell>
          <cell r="G33">
            <v>4903.4951262507366</v>
          </cell>
          <cell r="H33"/>
          <cell r="I33">
            <v>0</v>
          </cell>
          <cell r="J33"/>
          <cell r="K33">
            <v>148943.66445986612</v>
          </cell>
          <cell r="L33" t="str">
            <v>Totals based on Bonn counts + downstream harvest (Zones 1-5) apportioned to stock (annual Wells:Rock dam count ratios), to get estimate of Ok Sox adult returns. Adult age comp based on variety of methods -- see General Comments field.</v>
          </cell>
          <cell r="M33" t="str">
            <v xml:space="preserve"> </v>
          </cell>
          <cell r="N33"/>
          <cell r="O33"/>
          <cell r="P33"/>
          <cell r="Q33"/>
          <cell r="R33"/>
          <cell r="S33"/>
          <cell r="T33"/>
          <cell r="U33"/>
          <cell r="V33"/>
          <cell r="W33"/>
          <cell r="X33"/>
          <cell r="Y33"/>
          <cell r="Z33"/>
          <cell r="AA33"/>
          <cell r="AB33"/>
          <cell r="AC33"/>
          <cell r="AD33"/>
          <cell r="AE33"/>
          <cell r="AF33"/>
          <cell r="AG33"/>
          <cell r="AH33"/>
          <cell r="AI33"/>
          <cell r="AJ33"/>
          <cell r="AK33" t="str">
            <v/>
          </cell>
          <cell r="AL33" t="str">
            <v/>
          </cell>
          <cell r="AM33" t="str">
            <v/>
          </cell>
          <cell r="AN33"/>
          <cell r="AO33"/>
          <cell r="AP33"/>
          <cell r="AQ33"/>
          <cell r="AR33"/>
          <cell r="AS33"/>
          <cell r="AT33"/>
          <cell r="AU33"/>
          <cell r="AV33"/>
          <cell r="AW33"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3" t="str">
            <v>howard.stiff@shaw.ca</v>
          </cell>
        </row>
        <row r="34">
          <cell r="B34">
            <v>2010</v>
          </cell>
          <cell r="C34">
            <v>2982.6593314199945</v>
          </cell>
          <cell r="D34">
            <v>302380.80995562649</v>
          </cell>
          <cell r="E34">
            <v>5749.9706591114655</v>
          </cell>
          <cell r="F34">
            <v>25029.284045544024</v>
          </cell>
          <cell r="G34">
            <v>2029.4014090981643</v>
          </cell>
          <cell r="H34"/>
          <cell r="I34"/>
          <cell r="J34"/>
          <cell r="K34">
            <v>338172.12540080014</v>
          </cell>
          <cell r="L34" t="str">
            <v>Totals based on Bonn counts + downstream harvest (Zones 1-5) apportioned to stock (annual Wells:Rock dam count ratios), to get estimate of Ok Sox adult returns. Adult age comp based on variety of methods -- see General Comments field.</v>
          </cell>
          <cell r="M34" t="str">
            <v xml:space="preserve"> </v>
          </cell>
          <cell r="N34"/>
          <cell r="O34"/>
          <cell r="P34"/>
          <cell r="Q34"/>
          <cell r="R34"/>
          <cell r="S34"/>
          <cell r="T34"/>
          <cell r="U34"/>
          <cell r="V34"/>
          <cell r="W34"/>
          <cell r="X34"/>
          <cell r="Y34"/>
          <cell r="Z34"/>
          <cell r="AA34"/>
          <cell r="AB34"/>
          <cell r="AC34"/>
          <cell r="AD34"/>
          <cell r="AE34"/>
          <cell r="AF34"/>
          <cell r="AG34"/>
          <cell r="AH34"/>
          <cell r="AI34"/>
          <cell r="AJ34"/>
          <cell r="AK34" t="str">
            <v/>
          </cell>
          <cell r="AL34" t="str">
            <v/>
          </cell>
          <cell r="AM34" t="str">
            <v/>
          </cell>
          <cell r="AN34"/>
          <cell r="AO34"/>
          <cell r="AP34"/>
          <cell r="AQ34"/>
          <cell r="AR34"/>
          <cell r="AS34"/>
          <cell r="AT34"/>
          <cell r="AU34"/>
          <cell r="AV34"/>
          <cell r="AW34"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4" t="str">
            <v>howard.stiff@shaw.ca</v>
          </cell>
        </row>
        <row r="35">
          <cell r="B35">
            <v>2011</v>
          </cell>
          <cell r="C35">
            <v>26024.301031476065</v>
          </cell>
          <cell r="D35">
            <v>94945.80156538522</v>
          </cell>
          <cell r="E35">
            <v>6148.5985953487407</v>
          </cell>
          <cell r="F35">
            <v>10152.337215575828</v>
          </cell>
          <cell r="G35">
            <v>5719.62660032441</v>
          </cell>
          <cell r="H35"/>
          <cell r="I35">
            <v>0</v>
          </cell>
          <cell r="J35"/>
          <cell r="K35">
            <v>142990.66500811026</v>
          </cell>
          <cell r="L35" t="str">
            <v>Totals based on Bonn counts + downstream harvest (Zones 1-5) apportioned to stock (annual Wells:Rock dam count ratios), to get estimate of Ok Sox adult returns. Adult age comp based on variety of methods -- see General Comments field.</v>
          </cell>
          <cell r="M35" t="str">
            <v xml:space="preserve"> </v>
          </cell>
          <cell r="N35"/>
          <cell r="O35"/>
          <cell r="P35"/>
          <cell r="Q35"/>
          <cell r="R35"/>
          <cell r="S35"/>
          <cell r="T35"/>
          <cell r="U35"/>
          <cell r="V35"/>
          <cell r="W35"/>
          <cell r="X35"/>
          <cell r="Y35"/>
          <cell r="Z35"/>
          <cell r="AA35"/>
          <cell r="AB35"/>
          <cell r="AC35"/>
          <cell r="AD35"/>
          <cell r="AE35"/>
          <cell r="AF35"/>
          <cell r="AG35"/>
          <cell r="AH35"/>
          <cell r="AI35"/>
          <cell r="AJ35"/>
          <cell r="AK35" t="str">
            <v/>
          </cell>
          <cell r="AL35" t="str">
            <v/>
          </cell>
          <cell r="AM35" t="str">
            <v/>
          </cell>
          <cell r="AN35"/>
          <cell r="AO35"/>
          <cell r="AP35"/>
          <cell r="AQ35"/>
          <cell r="AR35"/>
          <cell r="AS35"/>
          <cell r="AT35"/>
          <cell r="AU35"/>
          <cell r="AV35"/>
          <cell r="AW35"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5" t="str">
            <v>howard.stiff@shaw.ca</v>
          </cell>
        </row>
        <row r="36">
          <cell r="B36">
            <v>2012</v>
          </cell>
          <cell r="C36">
            <v>1241.6662039209002</v>
          </cell>
          <cell r="D36">
            <v>401885.96133573132</v>
          </cell>
          <cell r="E36">
            <v>2897.2211424821003</v>
          </cell>
          <cell r="F36">
            <v>2897.2211424821003</v>
          </cell>
          <cell r="G36">
            <v>4966.6648156836009</v>
          </cell>
          <cell r="H36"/>
          <cell r="I36"/>
          <cell r="J36"/>
          <cell r="K36">
            <v>413888.7346403001</v>
          </cell>
          <cell r="L36" t="str">
            <v>Totals based on Bonn counts + downstream harvest (Zones 1-5) apportioned to stock (annual Wells:Rock dam count ratios), to get estimate of Ok Sox adult returns. Adult age comp based on variety of methods -- see General Comments field.</v>
          </cell>
          <cell r="M36" t="str">
            <v xml:space="preserve"> </v>
          </cell>
          <cell r="N36"/>
          <cell r="O36"/>
          <cell r="P36"/>
          <cell r="Q36"/>
          <cell r="R36"/>
          <cell r="S36"/>
          <cell r="T36"/>
          <cell r="U36"/>
          <cell r="V36"/>
          <cell r="W36"/>
          <cell r="X36"/>
          <cell r="Y36"/>
          <cell r="Z36"/>
          <cell r="AA36"/>
          <cell r="AB36"/>
          <cell r="AC36"/>
          <cell r="AD36"/>
          <cell r="AE36"/>
          <cell r="AF36"/>
          <cell r="AG36"/>
          <cell r="AH36"/>
          <cell r="AI36"/>
          <cell r="AJ36"/>
          <cell r="AK36" t="str">
            <v/>
          </cell>
          <cell r="AL36" t="str">
            <v/>
          </cell>
          <cell r="AM36" t="str">
            <v/>
          </cell>
          <cell r="AN36"/>
          <cell r="AO36"/>
          <cell r="AP36"/>
          <cell r="AQ36"/>
          <cell r="AR36"/>
          <cell r="AS36"/>
          <cell r="AT36"/>
          <cell r="AU36"/>
          <cell r="AV36"/>
          <cell r="AW36"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6" t="str">
            <v>howard.stiff@shaw.ca</v>
          </cell>
        </row>
        <row r="37">
          <cell r="B37">
            <v>2013</v>
          </cell>
          <cell r="C37">
            <v>25994.404307105313</v>
          </cell>
          <cell r="D37">
            <v>87104.056537844095</v>
          </cell>
          <cell r="E37">
            <v>1824.1687233056357</v>
          </cell>
          <cell r="F37">
            <v>3648.3374466112714</v>
          </cell>
          <cell r="G37">
            <v>16721.546630301662</v>
          </cell>
          <cell r="H37"/>
          <cell r="I37"/>
          <cell r="J37"/>
          <cell r="K37">
            <v>135292.51364516799</v>
          </cell>
          <cell r="L37" t="str">
            <v>Totals based on Bonn counts + downstream harvest (Zones 1-5) apportioned to stock (annual Wells:Rock dam count ratios), to get estimate of Ok Sox adult returns. Adult age comp based on variety of methods -- see General Comments field.</v>
          </cell>
          <cell r="M37" t="str">
            <v xml:space="preserve"> </v>
          </cell>
          <cell r="N37"/>
          <cell r="O37"/>
          <cell r="P37"/>
          <cell r="Q37"/>
          <cell r="R37"/>
          <cell r="S37"/>
          <cell r="T37"/>
          <cell r="U37"/>
          <cell r="V37"/>
          <cell r="W37"/>
          <cell r="X37"/>
          <cell r="Y37"/>
          <cell r="Z37"/>
          <cell r="AA37"/>
          <cell r="AB37"/>
          <cell r="AC37"/>
          <cell r="AD37"/>
          <cell r="AE37"/>
          <cell r="AF37"/>
          <cell r="AG37"/>
          <cell r="AH37"/>
          <cell r="AI37"/>
          <cell r="AJ37"/>
          <cell r="AK37" t="str">
            <v/>
          </cell>
          <cell r="AL37" t="str">
            <v/>
          </cell>
          <cell r="AM37" t="str">
            <v/>
          </cell>
          <cell r="AN37"/>
          <cell r="AO37"/>
          <cell r="AP37"/>
          <cell r="AQ37"/>
          <cell r="AR37"/>
          <cell r="AS37"/>
          <cell r="AT37"/>
          <cell r="AU37"/>
          <cell r="AV37"/>
          <cell r="AW37"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7" t="str">
            <v>howard.stiff@shaw.ca</v>
          </cell>
        </row>
        <row r="38">
          <cell r="B38">
            <v>2014</v>
          </cell>
          <cell r="C38">
            <v>45205.361701543043</v>
          </cell>
          <cell r="D38">
            <v>486150.11854214175</v>
          </cell>
          <cell r="E38">
            <v>0</v>
          </cell>
          <cell r="F38">
            <v>16498.307190344178</v>
          </cell>
          <cell r="G38">
            <v>2199.7742920458904</v>
          </cell>
          <cell r="H38"/>
          <cell r="I38"/>
          <cell r="J38"/>
          <cell r="K38">
            <v>550053.5617260749</v>
          </cell>
          <cell r="L38" t="str">
            <v>Totals based on Bonn counts + downstream harvest (Zones 1-5) apportioned to stock (annual Wells:Rock dam count ratios), to get estimate of Ok Sox adult returns. Adult age comp based on variety of methods -- see General Comments field.</v>
          </cell>
          <cell r="M38" t="str">
            <v xml:space="preserve"> </v>
          </cell>
          <cell r="N38"/>
          <cell r="O38"/>
          <cell r="P38"/>
          <cell r="Q38"/>
          <cell r="R38"/>
          <cell r="S38"/>
          <cell r="T38"/>
          <cell r="U38"/>
          <cell r="V38"/>
          <cell r="W38"/>
          <cell r="X38"/>
          <cell r="Y38"/>
          <cell r="Z38"/>
          <cell r="AA38"/>
          <cell r="AB38"/>
          <cell r="AC38"/>
          <cell r="AD38"/>
          <cell r="AE38"/>
          <cell r="AF38"/>
          <cell r="AG38"/>
          <cell r="AH38"/>
          <cell r="AI38"/>
          <cell r="AJ38"/>
          <cell r="AK38" t="str">
            <v/>
          </cell>
          <cell r="AL38" t="str">
            <v/>
          </cell>
          <cell r="AM38" t="str">
            <v/>
          </cell>
          <cell r="AN38"/>
          <cell r="AO38"/>
          <cell r="AP38"/>
          <cell r="AQ38"/>
          <cell r="AR38"/>
          <cell r="AS38"/>
          <cell r="AT38"/>
          <cell r="AU38"/>
          <cell r="AV38"/>
          <cell r="AW38"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8" t="str">
            <v>howard.stiff@shaw.ca</v>
          </cell>
        </row>
        <row r="39">
          <cell r="B39">
            <v>2015</v>
          </cell>
          <cell r="C39">
            <v>362.16561265008806</v>
          </cell>
          <cell r="D39">
            <v>353111.47233383585</v>
          </cell>
          <cell r="E39">
            <v>0</v>
          </cell>
          <cell r="F39">
            <v>362.16561265008806</v>
          </cell>
          <cell r="G39">
            <v>7967.6434783019367</v>
          </cell>
          <cell r="H39"/>
          <cell r="I39"/>
          <cell r="J39"/>
          <cell r="K39">
            <v>361803.44703743799</v>
          </cell>
          <cell r="L39" t="str">
            <v>Totals based on Bonn counts + downstream harvest (Zones 1-5) apportioned to stock (annual Wells:Rock dam count ratios), to get estimate of Ok Sox adult returns. Adult age comp based on variety of methods -- see General Comments field.</v>
          </cell>
          <cell r="M39" t="str">
            <v xml:space="preserve"> </v>
          </cell>
          <cell r="N39"/>
          <cell r="O39"/>
          <cell r="P39"/>
          <cell r="Q39"/>
          <cell r="R39"/>
          <cell r="S39"/>
          <cell r="T39"/>
          <cell r="U39"/>
          <cell r="V39"/>
          <cell r="W39"/>
          <cell r="X39"/>
          <cell r="Y39"/>
          <cell r="Z39"/>
          <cell r="AA39"/>
          <cell r="AB39"/>
          <cell r="AC39"/>
          <cell r="AD39"/>
          <cell r="AE39"/>
          <cell r="AF39"/>
          <cell r="AG39"/>
          <cell r="AH39"/>
          <cell r="AI39"/>
          <cell r="AJ39"/>
          <cell r="AK39" t="str">
            <v/>
          </cell>
          <cell r="AL39" t="str">
            <v/>
          </cell>
          <cell r="AM39" t="str">
            <v/>
          </cell>
          <cell r="AN39"/>
          <cell r="AO39"/>
          <cell r="AP39"/>
          <cell r="AQ39"/>
          <cell r="AR39"/>
          <cell r="AS39"/>
          <cell r="AT39"/>
          <cell r="AU39"/>
          <cell r="AV39"/>
          <cell r="AW39"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9" t="str">
            <v>howard.stiff@shaw.ca</v>
          </cell>
        </row>
        <row r="40">
          <cell r="B40">
            <v>2016</v>
          </cell>
          <cell r="C40">
            <v>2482.3645856010003</v>
          </cell>
          <cell r="D40">
            <v>237562.29084201573</v>
          </cell>
          <cell r="E40">
            <v>744.70937568030013</v>
          </cell>
          <cell r="F40">
            <v>6205.9114640025009</v>
          </cell>
          <cell r="G40">
            <v>1241.1822928005001</v>
          </cell>
          <cell r="H40"/>
          <cell r="I40"/>
          <cell r="J40"/>
          <cell r="K40">
            <v>248236.45856010006</v>
          </cell>
          <cell r="L40" t="str">
            <v>Totals based on Bonn counts + downstream harvest (Zones 1-5) apportioned to stock (annual Wells:Rock dam count ratios), to get estimate of Ok Sox adult returns. Adult age comp based on variety of methods -- see General Comments field.</v>
          </cell>
          <cell r="M40" t="str">
            <v xml:space="preserve"> </v>
          </cell>
          <cell r="N40"/>
          <cell r="O40"/>
          <cell r="P40"/>
          <cell r="Q40"/>
          <cell r="R40"/>
          <cell r="S40"/>
          <cell r="T40"/>
          <cell r="U40"/>
          <cell r="V40"/>
          <cell r="W40"/>
          <cell r="X40"/>
          <cell r="Y40"/>
          <cell r="Z40"/>
          <cell r="AA40"/>
          <cell r="AB40"/>
          <cell r="AC40"/>
          <cell r="AD40"/>
          <cell r="AE40"/>
          <cell r="AF40"/>
          <cell r="AG40"/>
          <cell r="AH40"/>
          <cell r="AI40"/>
          <cell r="AJ40"/>
          <cell r="AK40" t="str">
            <v/>
          </cell>
          <cell r="AL40" t="str">
            <v/>
          </cell>
          <cell r="AM40" t="str">
            <v/>
          </cell>
          <cell r="AN40"/>
          <cell r="AO40"/>
          <cell r="AP40"/>
          <cell r="AQ40"/>
          <cell r="AR40"/>
          <cell r="AS40"/>
          <cell r="AT40"/>
          <cell r="AU40"/>
          <cell r="AV40"/>
          <cell r="AW40"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40" t="str">
            <v>howard.stiff@shaw.ca</v>
          </cell>
        </row>
        <row r="41">
          <cell r="B41">
            <v>2017</v>
          </cell>
          <cell r="C41">
            <v>1937.6463739244448</v>
          </cell>
          <cell r="D41">
            <v>38701.936784438258</v>
          </cell>
          <cell r="E41">
            <v>764.86041075964931</v>
          </cell>
          <cell r="F41">
            <v>9229.3156231664343</v>
          </cell>
          <cell r="G41">
            <v>356.93485835450304</v>
          </cell>
          <cell r="H41"/>
          <cell r="I41">
            <v>0</v>
          </cell>
          <cell r="J41"/>
          <cell r="K41">
            <v>50990.69405064328</v>
          </cell>
          <cell r="L41" t="str">
            <v>Totals based on Bonn counts + downstream harvest (Zones 1-5) apportioned to stock (annual Wells:Rock dam count ratios), to get estimate of Ok Sox adult returns. Adult age comp based on variety of methods -- see General Comments field.</v>
          </cell>
          <cell r="M41" t="str">
            <v xml:space="preserve"> </v>
          </cell>
          <cell r="N41"/>
          <cell r="O41"/>
          <cell r="P41"/>
          <cell r="Q41"/>
          <cell r="R41"/>
          <cell r="S41"/>
          <cell r="T41"/>
          <cell r="U41"/>
          <cell r="V41"/>
          <cell r="W41"/>
          <cell r="X41"/>
          <cell r="Y41"/>
          <cell r="Z41"/>
          <cell r="AA41"/>
          <cell r="AB41"/>
          <cell r="AC41"/>
          <cell r="AD41"/>
          <cell r="AE41"/>
          <cell r="AF41"/>
          <cell r="AG41"/>
          <cell r="AH41"/>
          <cell r="AI41"/>
          <cell r="AJ41"/>
          <cell r="AK41" t="str">
            <v/>
          </cell>
          <cell r="AL41" t="str">
            <v/>
          </cell>
          <cell r="AM41" t="str">
            <v/>
          </cell>
          <cell r="AN41"/>
          <cell r="AO41"/>
          <cell r="AP41"/>
          <cell r="AQ41"/>
          <cell r="AR41"/>
          <cell r="AS41"/>
          <cell r="AT41"/>
          <cell r="AU41"/>
          <cell r="AV41"/>
          <cell r="AW41"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41" t="str">
            <v>howard.stiff@shaw.ca</v>
          </cell>
        </row>
        <row r="42">
          <cell r="B42">
            <v>2018</v>
          </cell>
          <cell r="C42">
            <v>489.80753578591811</v>
          </cell>
          <cell r="D42">
            <v>182924.27586466403</v>
          </cell>
          <cell r="E42">
            <v>489.80753578591811</v>
          </cell>
          <cell r="F42">
            <v>3956.1377890401081</v>
          </cell>
          <cell r="G42">
            <v>489.80753578591811</v>
          </cell>
          <cell r="H42"/>
          <cell r="I42"/>
          <cell r="J42"/>
          <cell r="K42">
            <v>188349.83626106189</v>
          </cell>
          <cell r="L42" t="str">
            <v>Totals based on Bonn counts + downstream harvest (Zones 1-5) apportioned to stock (annual Wells:Rock dam count ratios), to get estimate of Ok Sox adult returns. Adult age comp based on variety of methods -- see General Comments field.</v>
          </cell>
          <cell r="M42" t="str">
            <v xml:space="preserve"> </v>
          </cell>
          <cell r="N42"/>
          <cell r="O42"/>
          <cell r="P42"/>
          <cell r="Q42"/>
          <cell r="R42"/>
          <cell r="S42"/>
          <cell r="T42"/>
          <cell r="U42"/>
          <cell r="V42"/>
          <cell r="W42"/>
          <cell r="X42"/>
          <cell r="Y42"/>
          <cell r="Z42"/>
          <cell r="AA42"/>
          <cell r="AB42"/>
          <cell r="AC42"/>
          <cell r="AD42"/>
          <cell r="AE42"/>
          <cell r="AF42"/>
          <cell r="AG42"/>
          <cell r="AH42"/>
          <cell r="AI42"/>
          <cell r="AJ42"/>
          <cell r="AK42" t="str">
            <v/>
          </cell>
          <cell r="AL42" t="str">
            <v/>
          </cell>
          <cell r="AM42" t="str">
            <v/>
          </cell>
          <cell r="AN42"/>
          <cell r="AO42"/>
          <cell r="AP42"/>
          <cell r="AQ42"/>
          <cell r="AR42"/>
          <cell r="AS42"/>
          <cell r="AT42"/>
          <cell r="AU42"/>
          <cell r="AV42"/>
          <cell r="AW42"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42" t="str">
            <v>howard.stiff@shaw.ca</v>
          </cell>
        </row>
        <row r="43">
          <cell r="B43">
            <v>2019</v>
          </cell>
          <cell r="C43">
            <v>9958.4959929647212</v>
          </cell>
          <cell r="D43">
            <v>29175.701773983128</v>
          </cell>
          <cell r="E43">
            <v>107.65941614015914</v>
          </cell>
          <cell r="F43">
            <v>14372.532054711246</v>
          </cell>
          <cell r="G43">
            <v>215.31883228031828</v>
          </cell>
          <cell r="H43"/>
          <cell r="I43">
            <v>0</v>
          </cell>
          <cell r="J43"/>
          <cell r="K43">
            <v>53829.708070079578</v>
          </cell>
          <cell r="L43" t="str">
            <v>Totals based on Bonn counts + downstream harvest (Zones 1-5) apportioned to stock (annual Wells:Rock dam count ratios), to get estimate of Ok Sox adult returns. Adult age comp based on variety of methods -- see General Comments field.</v>
          </cell>
          <cell r="M43" t="str">
            <v xml:space="preserve"> </v>
          </cell>
          <cell r="N43"/>
          <cell r="O43"/>
          <cell r="P43"/>
          <cell r="Q43"/>
          <cell r="R43"/>
          <cell r="S43"/>
          <cell r="T43"/>
          <cell r="U43"/>
          <cell r="V43"/>
          <cell r="W43"/>
          <cell r="X43"/>
          <cell r="Y43"/>
          <cell r="Z43"/>
          <cell r="AA43"/>
          <cell r="AB43"/>
          <cell r="AC43"/>
          <cell r="AD43"/>
          <cell r="AE43"/>
          <cell r="AF43"/>
          <cell r="AG43"/>
          <cell r="AH43"/>
          <cell r="AI43"/>
          <cell r="AJ43"/>
          <cell r="AK43" t="str">
            <v/>
          </cell>
          <cell r="AL43" t="str">
            <v/>
          </cell>
          <cell r="AM43" t="str">
            <v/>
          </cell>
          <cell r="AN43"/>
          <cell r="AO43"/>
          <cell r="AP43"/>
          <cell r="AQ43"/>
          <cell r="AR43"/>
          <cell r="AS43"/>
          <cell r="AT43"/>
          <cell r="AU43"/>
          <cell r="AV43"/>
          <cell r="AW43"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43" t="str">
            <v>howard.stiff@shaw.ca</v>
          </cell>
        </row>
        <row r="44">
          <cell r="B44">
            <v>2020</v>
          </cell>
          <cell r="C44">
            <v>2503.561775545571</v>
          </cell>
          <cell r="D44">
            <v>274279.10118754813</v>
          </cell>
          <cell r="E44">
            <v>278.17353061617456</v>
          </cell>
          <cell r="F44">
            <v>556.34706123234912</v>
          </cell>
          <cell r="G44">
            <v>556.34706123234912</v>
          </cell>
          <cell r="H44"/>
          <cell r="I44">
            <v>0</v>
          </cell>
          <cell r="J44"/>
          <cell r="K44">
            <v>278173.53061617463</v>
          </cell>
          <cell r="L44" t="str">
            <v>Totals based on Bonn counts + downstream harvest (Zones 1-5) apportioned to stock (annual Wells:Rock dam count ratios), to get estimate of Ok Sox adult returns. Adult age comp based on variety of methods -- see General Comments field.</v>
          </cell>
          <cell r="M44" t="str">
            <v xml:space="preserve"> </v>
          </cell>
          <cell r="N44"/>
          <cell r="O44"/>
          <cell r="P44"/>
          <cell r="Q44"/>
          <cell r="R44"/>
          <cell r="S44"/>
          <cell r="T44"/>
          <cell r="U44"/>
          <cell r="V44"/>
          <cell r="W44"/>
          <cell r="X44"/>
          <cell r="Y44"/>
          <cell r="Z44"/>
          <cell r="AA44"/>
          <cell r="AB44"/>
          <cell r="AC44"/>
          <cell r="AD44"/>
          <cell r="AE44"/>
          <cell r="AF44"/>
          <cell r="AG44"/>
          <cell r="AH44"/>
          <cell r="AI44"/>
          <cell r="AJ44"/>
          <cell r="AK44" t="str">
            <v/>
          </cell>
          <cell r="AL44" t="str">
            <v/>
          </cell>
          <cell r="AM44" t="str">
            <v/>
          </cell>
          <cell r="AN44"/>
          <cell r="AO44"/>
          <cell r="AP44"/>
          <cell r="AQ44"/>
          <cell r="AR44"/>
          <cell r="AS44"/>
          <cell r="AT44"/>
          <cell r="AU44"/>
          <cell r="AV44"/>
          <cell r="AW44"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44" t="str">
            <v>howard.stiff@shaw.ca</v>
          </cell>
        </row>
        <row r="45">
          <cell r="B45">
            <v>2021</v>
          </cell>
          <cell r="C45">
            <v>26867.552983395359</v>
          </cell>
          <cell r="D45">
            <v>63505.125233479936</v>
          </cell>
          <cell r="E45">
            <v>3185.8758478334416</v>
          </cell>
          <cell r="F45">
            <v>12106.328221767079</v>
          </cell>
          <cell r="G45">
            <v>530.97930797224024</v>
          </cell>
          <cell r="H45"/>
          <cell r="I45">
            <v>0</v>
          </cell>
          <cell r="J45"/>
          <cell r="K45">
            <v>106195.86159444806</v>
          </cell>
          <cell r="L45" t="str">
            <v>Age composition preliminary (JF 2022-05-06]]</v>
          </cell>
          <cell r="M45" t="str">
            <v xml:space="preserve"> </v>
          </cell>
          <cell r="N45"/>
          <cell r="O45"/>
          <cell r="P45"/>
          <cell r="Q45"/>
          <cell r="R45"/>
          <cell r="S45"/>
          <cell r="T45"/>
          <cell r="U45"/>
          <cell r="V45"/>
          <cell r="W45"/>
          <cell r="X45"/>
          <cell r="Y45"/>
          <cell r="Z45"/>
          <cell r="AA45"/>
          <cell r="AB45"/>
          <cell r="AC45"/>
          <cell r="AD45"/>
          <cell r="AE45"/>
          <cell r="AF45"/>
          <cell r="AG45"/>
          <cell r="AH45"/>
          <cell r="AI45"/>
          <cell r="AJ45"/>
          <cell r="AK45" t="str">
            <v/>
          </cell>
          <cell r="AL45" t="str">
            <v/>
          </cell>
          <cell r="AM45" t="str">
            <v/>
          </cell>
          <cell r="AN45"/>
          <cell r="AO45"/>
          <cell r="AP45"/>
          <cell r="AQ45"/>
          <cell r="AR45"/>
          <cell r="AS45"/>
          <cell r="AT45"/>
          <cell r="AU45"/>
          <cell r="AV45"/>
          <cell r="AW45"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45" t="str">
            <v>howard.stiff@shaw.ca</v>
          </cell>
        </row>
        <row r="46">
          <cell r="B46">
            <v>2022</v>
          </cell>
          <cell r="C46"/>
          <cell r="D46"/>
          <cell r="E46"/>
          <cell r="F46"/>
          <cell r="G46"/>
          <cell r="H46"/>
          <cell r="I46"/>
          <cell r="J46"/>
          <cell r="K46" t="str">
            <v/>
          </cell>
          <cell r="L46"/>
          <cell r="M46" t="str">
            <v xml:space="preserve"> </v>
          </cell>
          <cell r="N46"/>
          <cell r="O46"/>
          <cell r="P46"/>
          <cell r="Q46"/>
          <cell r="R46"/>
          <cell r="S46"/>
          <cell r="T46"/>
          <cell r="U46"/>
          <cell r="V46"/>
          <cell r="W46"/>
          <cell r="X46"/>
          <cell r="Y46"/>
          <cell r="Z46"/>
          <cell r="AA46"/>
          <cell r="AB46"/>
          <cell r="AC46"/>
          <cell r="AD46"/>
          <cell r="AE46"/>
          <cell r="AF46"/>
          <cell r="AG46"/>
          <cell r="AH46"/>
          <cell r="AI46"/>
          <cell r="AJ46"/>
          <cell r="AK46" t="str">
            <v/>
          </cell>
          <cell r="AL46" t="str">
            <v/>
          </cell>
          <cell r="AM46" t="str">
            <v/>
          </cell>
          <cell r="AN46"/>
          <cell r="AO46"/>
          <cell r="AP46"/>
          <cell r="AQ46"/>
          <cell r="AR46"/>
          <cell r="AS46"/>
          <cell r="AT46"/>
          <cell r="AU46"/>
          <cell r="AV46"/>
          <cell r="AW46"/>
          <cell r="AX46"/>
        </row>
        <row r="47">
          <cell r="B47"/>
          <cell r="C47"/>
          <cell r="D47"/>
          <cell r="E47"/>
          <cell r="F47"/>
          <cell r="G47"/>
          <cell r="H47"/>
          <cell r="I47"/>
          <cell r="J47"/>
          <cell r="K47" t="str">
            <v/>
          </cell>
          <cell r="L47"/>
          <cell r="M47" t="str">
            <v xml:space="preserve"> </v>
          </cell>
          <cell r="N47"/>
          <cell r="O47"/>
          <cell r="P47"/>
          <cell r="Q47"/>
          <cell r="R47"/>
          <cell r="S47"/>
          <cell r="T47"/>
          <cell r="U47"/>
          <cell r="V47"/>
          <cell r="W47"/>
          <cell r="X47"/>
          <cell r="Y47"/>
          <cell r="Z47"/>
          <cell r="AA47"/>
          <cell r="AB47"/>
          <cell r="AC47"/>
          <cell r="AD47"/>
          <cell r="AE47"/>
          <cell r="AF47"/>
          <cell r="AG47"/>
          <cell r="AH47"/>
          <cell r="AI47"/>
          <cell r="AJ47"/>
          <cell r="AK47" t="str">
            <v/>
          </cell>
          <cell r="AL47" t="str">
            <v/>
          </cell>
          <cell r="AM47" t="str">
            <v/>
          </cell>
          <cell r="AN47"/>
          <cell r="AO47"/>
          <cell r="AP47"/>
          <cell r="AQ47"/>
          <cell r="AR47"/>
          <cell r="AS47"/>
          <cell r="AT47"/>
          <cell r="AU47"/>
          <cell r="AV47"/>
          <cell r="AW47"/>
          <cell r="AX47"/>
        </row>
        <row r="48">
          <cell r="B48"/>
          <cell r="C48"/>
          <cell r="D48"/>
          <cell r="E48"/>
          <cell r="F48"/>
          <cell r="G48"/>
          <cell r="H48"/>
          <cell r="I48"/>
          <cell r="J48"/>
          <cell r="K48" t="str">
            <v/>
          </cell>
          <cell r="L48"/>
          <cell r="M48" t="str">
            <v xml:space="preserve"> </v>
          </cell>
          <cell r="N48"/>
          <cell r="O48"/>
          <cell r="P48"/>
          <cell r="Q48"/>
          <cell r="R48"/>
          <cell r="S48"/>
          <cell r="T48"/>
          <cell r="U48"/>
          <cell r="V48"/>
          <cell r="W48"/>
          <cell r="X48"/>
          <cell r="Y48"/>
          <cell r="Z48"/>
          <cell r="AA48"/>
          <cell r="AB48"/>
          <cell r="AC48"/>
          <cell r="AD48"/>
          <cell r="AE48"/>
          <cell r="AF48"/>
          <cell r="AG48"/>
          <cell r="AH48"/>
          <cell r="AI48"/>
          <cell r="AJ48"/>
          <cell r="AK48" t="str">
            <v/>
          </cell>
          <cell r="AL48" t="str">
            <v/>
          </cell>
          <cell r="AM48" t="str">
            <v/>
          </cell>
          <cell r="AN48"/>
          <cell r="AO48"/>
          <cell r="AP48"/>
          <cell r="AQ48"/>
          <cell r="AR48"/>
          <cell r="AS48"/>
          <cell r="AT48"/>
          <cell r="AU48"/>
          <cell r="AV48"/>
          <cell r="AW48"/>
          <cell r="AX48"/>
        </row>
        <row r="49">
          <cell r="B49"/>
          <cell r="C49"/>
          <cell r="D49"/>
          <cell r="E49"/>
          <cell r="F49"/>
          <cell r="G49"/>
          <cell r="H49"/>
          <cell r="I49"/>
          <cell r="J49"/>
          <cell r="K49" t="str">
            <v/>
          </cell>
          <cell r="L49"/>
          <cell r="M49" t="str">
            <v xml:space="preserve"> </v>
          </cell>
          <cell r="N49"/>
          <cell r="O49"/>
          <cell r="P49"/>
          <cell r="Q49"/>
          <cell r="R49"/>
          <cell r="S49"/>
          <cell r="T49"/>
          <cell r="U49"/>
          <cell r="V49"/>
          <cell r="W49"/>
          <cell r="X49"/>
          <cell r="Y49"/>
          <cell r="Z49"/>
          <cell r="AA49"/>
          <cell r="AB49"/>
          <cell r="AC49"/>
          <cell r="AD49"/>
          <cell r="AE49"/>
          <cell r="AF49"/>
          <cell r="AG49"/>
          <cell r="AH49"/>
          <cell r="AI49"/>
          <cell r="AJ49"/>
          <cell r="AK49" t="str">
            <v/>
          </cell>
          <cell r="AL49" t="str">
            <v/>
          </cell>
          <cell r="AM49" t="str">
            <v/>
          </cell>
          <cell r="AN49"/>
          <cell r="AO49"/>
          <cell r="AP49"/>
          <cell r="AQ49"/>
          <cell r="AR49"/>
          <cell r="AS49"/>
          <cell r="AT49"/>
          <cell r="AU49"/>
          <cell r="AV49"/>
          <cell r="AW49"/>
          <cell r="AX49"/>
        </row>
        <row r="50">
          <cell r="B50"/>
          <cell r="C50"/>
          <cell r="D50"/>
          <cell r="E50"/>
          <cell r="F50"/>
          <cell r="G50"/>
          <cell r="H50"/>
          <cell r="I50"/>
          <cell r="J50"/>
          <cell r="K50" t="str">
            <v/>
          </cell>
          <cell r="L50"/>
          <cell r="M50" t="str">
            <v xml:space="preserve"> </v>
          </cell>
          <cell r="N50"/>
          <cell r="O50"/>
          <cell r="P50"/>
          <cell r="Q50"/>
          <cell r="R50"/>
          <cell r="S50"/>
          <cell r="T50"/>
          <cell r="U50"/>
          <cell r="V50"/>
          <cell r="W50"/>
          <cell r="X50"/>
          <cell r="Y50"/>
          <cell r="Z50"/>
          <cell r="AA50"/>
          <cell r="AB50"/>
          <cell r="AC50"/>
          <cell r="AD50"/>
          <cell r="AE50"/>
          <cell r="AF50"/>
          <cell r="AG50"/>
          <cell r="AH50"/>
          <cell r="AI50"/>
          <cell r="AJ50"/>
          <cell r="AK50" t="str">
            <v/>
          </cell>
          <cell r="AL50" t="str">
            <v/>
          </cell>
          <cell r="AM50" t="str">
            <v/>
          </cell>
          <cell r="AN50"/>
          <cell r="AO50"/>
          <cell r="AP50"/>
          <cell r="AQ50"/>
          <cell r="AR50"/>
          <cell r="AS50"/>
          <cell r="AT50"/>
          <cell r="AU50"/>
          <cell r="AV50"/>
          <cell r="AW50"/>
          <cell r="AX50"/>
        </row>
        <row r="51">
          <cell r="B51"/>
          <cell r="C51"/>
          <cell r="D51"/>
          <cell r="E51"/>
          <cell r="F51"/>
          <cell r="G51"/>
          <cell r="H51"/>
          <cell r="I51"/>
          <cell r="J51"/>
          <cell r="K51" t="str">
            <v/>
          </cell>
          <cell r="L51"/>
          <cell r="M51" t="str">
            <v xml:space="preserve"> </v>
          </cell>
          <cell r="N51"/>
          <cell r="O51"/>
          <cell r="P51"/>
          <cell r="Q51"/>
          <cell r="R51"/>
          <cell r="S51"/>
          <cell r="T51"/>
          <cell r="U51"/>
          <cell r="V51"/>
          <cell r="W51"/>
          <cell r="X51"/>
          <cell r="Y51"/>
          <cell r="Z51"/>
          <cell r="AA51"/>
          <cell r="AB51"/>
          <cell r="AC51"/>
          <cell r="AD51"/>
          <cell r="AE51"/>
          <cell r="AF51"/>
          <cell r="AG51"/>
          <cell r="AH51"/>
          <cell r="AI51"/>
          <cell r="AJ51"/>
          <cell r="AK51" t="str">
            <v/>
          </cell>
          <cell r="AL51" t="str">
            <v/>
          </cell>
          <cell r="AM51" t="str">
            <v/>
          </cell>
          <cell r="AN51"/>
          <cell r="AO51"/>
          <cell r="AP51"/>
          <cell r="AQ51"/>
          <cell r="AR51"/>
          <cell r="AS51"/>
          <cell r="AT51"/>
          <cell r="AU51"/>
          <cell r="AV51"/>
          <cell r="AW51"/>
          <cell r="AX51"/>
        </row>
        <row r="52">
          <cell r="B52"/>
          <cell r="C52"/>
          <cell r="D52"/>
          <cell r="E52"/>
          <cell r="F52"/>
          <cell r="G52"/>
          <cell r="H52"/>
          <cell r="I52"/>
          <cell r="J52"/>
          <cell r="K52" t="str">
            <v/>
          </cell>
          <cell r="L52"/>
          <cell r="M52"/>
          <cell r="N52"/>
          <cell r="O52"/>
          <cell r="P52"/>
          <cell r="Q52"/>
          <cell r="R52"/>
          <cell r="S52"/>
          <cell r="T52"/>
          <cell r="U52"/>
          <cell r="V52"/>
          <cell r="W52"/>
          <cell r="X52"/>
          <cell r="Y52"/>
          <cell r="Z52"/>
          <cell r="AA52"/>
          <cell r="AB52"/>
          <cell r="AC52"/>
          <cell r="AD52"/>
          <cell r="AE52"/>
          <cell r="AF52"/>
          <cell r="AG52"/>
          <cell r="AH52"/>
          <cell r="AI52"/>
          <cell r="AJ52"/>
          <cell r="AK52" t="str">
            <v/>
          </cell>
          <cell r="AL52" t="str">
            <v/>
          </cell>
          <cell r="AM52" t="str">
            <v/>
          </cell>
          <cell r="AN52"/>
          <cell r="AO52"/>
          <cell r="AP52"/>
          <cell r="AQ52"/>
          <cell r="AR52"/>
          <cell r="AS52"/>
          <cell r="AT52"/>
          <cell r="AU52"/>
          <cell r="AV52"/>
          <cell r="AW52"/>
          <cell r="AX52"/>
        </row>
      </sheetData>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Juvenile Data"/>
      <sheetName val="Smolts (OLD)"/>
      <sheetName val="Adult Returns (Detailed) (OLD)"/>
      <sheetName val="Adult Returns Data"/>
      <sheetName val="Smolt to Adult Survival"/>
      <sheetName val="References"/>
      <sheetName val="Lookup"/>
    </sheetNames>
    <sheetDataSet>
      <sheetData sheetId="0"/>
      <sheetData sheetId="1">
        <row r="4">
          <cell r="B4">
            <v>1980</v>
          </cell>
          <cell r="F4" t="str">
            <v/>
          </cell>
          <cell r="R4" t="str">
            <v/>
          </cell>
          <cell r="S4" t="str">
            <v/>
          </cell>
          <cell r="T4" t="str">
            <v/>
          </cell>
        </row>
        <row r="5">
          <cell r="B5">
            <v>1981</v>
          </cell>
          <cell r="F5" t="str">
            <v/>
          </cell>
          <cell r="R5" t="str">
            <v/>
          </cell>
          <cell r="S5" t="str">
            <v/>
          </cell>
          <cell r="T5" t="str">
            <v/>
          </cell>
        </row>
        <row r="6">
          <cell r="B6">
            <v>1982</v>
          </cell>
          <cell r="F6" t="str">
            <v/>
          </cell>
          <cell r="R6" t="str">
            <v/>
          </cell>
          <cell r="S6" t="str">
            <v/>
          </cell>
          <cell r="T6" t="str">
            <v/>
          </cell>
        </row>
        <row r="7">
          <cell r="B7">
            <v>1983</v>
          </cell>
          <cell r="F7" t="str">
            <v/>
          </cell>
          <cell r="R7" t="str">
            <v/>
          </cell>
          <cell r="S7" t="str">
            <v/>
          </cell>
          <cell r="T7" t="str">
            <v/>
          </cell>
        </row>
        <row r="8">
          <cell r="B8">
            <v>1984</v>
          </cell>
          <cell r="F8" t="str">
            <v/>
          </cell>
          <cell r="R8" t="str">
            <v/>
          </cell>
          <cell r="S8" t="str">
            <v/>
          </cell>
          <cell r="T8" t="str">
            <v/>
          </cell>
          <cell r="AK8" t="str">
            <v>All data from Pete Etherton (retired)</v>
          </cell>
        </row>
        <row r="9">
          <cell r="B9">
            <v>1985</v>
          </cell>
          <cell r="C9">
            <v>1862581.902</v>
          </cell>
          <cell r="F9">
            <v>1862581.902</v>
          </cell>
          <cell r="G9" t="str">
            <v>Age comp missing: Total annual smolts entered in Age 1 column. See General Comments. [hs 2022-05-02]</v>
          </cell>
          <cell r="H9" t="str">
            <v xml:space="preserve"> </v>
          </cell>
          <cell r="R9" t="str">
            <v/>
          </cell>
          <cell r="S9" t="str">
            <v/>
          </cell>
          <cell r="T9" t="str">
            <v/>
          </cell>
          <cell r="AJ9" t="str">
            <v>"Smolt" counts are based on winter pre-smolt estimates (see CNAT_nuOkanagan_Juveniles 21.12.10.xlsx). Missing age composition, assumed 100% Age 1 here to date [22.05.02], however likely 1-10% Age 2 based on a few years of sample data (2005-2013) (Hyatt et al. 2017).</v>
          </cell>
          <cell r="AK9" t="str">
            <v>howard.stiff@dfo-mpo.gc.ca</v>
          </cell>
        </row>
        <row r="10">
          <cell r="B10">
            <v>1986</v>
          </cell>
          <cell r="C10">
            <v>2420214.3059999999</v>
          </cell>
          <cell r="F10">
            <v>2420214.3059999999</v>
          </cell>
          <cell r="G10" t="str">
            <v>Age comp missing: Total annual smolts entered in Age 1 column [hs 2022-05-02]</v>
          </cell>
          <cell r="H10" t="str">
            <v xml:space="preserve"> </v>
          </cell>
          <cell r="R10" t="str">
            <v/>
          </cell>
          <cell r="S10" t="str">
            <v/>
          </cell>
          <cell r="T10" t="str">
            <v/>
          </cell>
          <cell r="AJ10" t="str">
            <v>"Smolt" counts are based on winter pre-smolt estimates (see CNAT_nuOkanagan_Juveniles 21.12.10.xlsx). Missing age composition, assumed 100% Age 1, however likely 1-10% Age 2 based on a few years of sample data (2005-2013) (Hyatt et al. 2017).</v>
          </cell>
          <cell r="AK10" t="str">
            <v>howard.stiff@dfo-mpo.gc.ca</v>
          </cell>
        </row>
        <row r="11">
          <cell r="B11">
            <v>1987</v>
          </cell>
          <cell r="C11">
            <v>1310921.2320000001</v>
          </cell>
          <cell r="F11">
            <v>1310921.2320000001</v>
          </cell>
          <cell r="G11" t="str">
            <v>Age comp missing: Total annual smolts entered in Age 1 column [hs 2022-05-02]</v>
          </cell>
          <cell r="H11" t="str">
            <v xml:space="preserve"> </v>
          </cell>
          <cell r="R11" t="str">
            <v/>
          </cell>
          <cell r="S11" t="str">
            <v/>
          </cell>
          <cell r="T11" t="str">
            <v/>
          </cell>
          <cell r="AJ11" t="str">
            <v>"Smolt" counts are based on winter pre-smolt estimates (see CNAT_nuOkanagan_Juveniles 21.12.10.xlsx). Missing age composition, assumed 100% Age 1, however likely 1-10% Age 2 based on a few years of sample data (2005-2013) (Hyatt et al. 2017).</v>
          </cell>
          <cell r="AK11" t="str">
            <v>howard.stiff@dfo-mpo.gc.ca</v>
          </cell>
        </row>
        <row r="12">
          <cell r="B12">
            <v>1988</v>
          </cell>
          <cell r="C12">
            <v>530427.83799999999</v>
          </cell>
          <cell r="F12">
            <v>530427.83799999999</v>
          </cell>
          <cell r="G12" t="str">
            <v>Age comp missing: Total annual smolts entered in Age 1 column [hs 2022-05-02]</v>
          </cell>
          <cell r="H12" t="str">
            <v xml:space="preserve"> </v>
          </cell>
          <cell r="R12" t="str">
            <v/>
          </cell>
          <cell r="S12" t="str">
            <v/>
          </cell>
          <cell r="T12" t="str">
            <v/>
          </cell>
          <cell r="AJ12" t="str">
            <v>"Smolt" counts are based on winter pre-smolt estimates (see CNAT_nuOkanagan_Juveniles 21.12.10.xlsx). Missing age composition, assumed 100% Age 1, however likely 1-10% Age 2 based on a few years of sample data (2005-2013) (Hyatt et al. 2017).</v>
          </cell>
          <cell r="AK12" t="str">
            <v>howard.stiff@dfo-mpo.gc.ca</v>
          </cell>
        </row>
        <row r="13">
          <cell r="B13">
            <v>1989</v>
          </cell>
          <cell r="C13">
            <v>731366.70200000005</v>
          </cell>
          <cell r="F13">
            <v>731366.70200000005</v>
          </cell>
          <cell r="G13" t="str">
            <v>Age comp missing: Total annual smolts entered in Age 1 column [hs 2022-05-02]</v>
          </cell>
          <cell r="H13" t="str">
            <v xml:space="preserve"> </v>
          </cell>
          <cell r="R13" t="str">
            <v/>
          </cell>
          <cell r="S13" t="str">
            <v/>
          </cell>
          <cell r="T13" t="str">
            <v/>
          </cell>
          <cell r="AJ13" t="str">
            <v>"Smolt" counts are based on winter pre-smolt estimates (see CNAT_nuOkanagan_Juveniles 21.12.10.xlsx). Missing age composition, assumed 100% Age 1, however likely 1-10% Age 2 based on a few years of sample data (2005-2013) (Hyatt et al. 2017).</v>
          </cell>
          <cell r="AK13" t="str">
            <v>howard.stiff@dfo-mpo.gc.ca</v>
          </cell>
        </row>
        <row r="14">
          <cell r="B14">
            <v>1990</v>
          </cell>
          <cell r="C14">
            <v>315960.77400000003</v>
          </cell>
          <cell r="F14">
            <v>315960.77400000003</v>
          </cell>
          <cell r="G14" t="str">
            <v>Age comp missing: Total annual smolts entered in Age 1 column [hs 2022-05-02]</v>
          </cell>
          <cell r="H14" t="str">
            <v xml:space="preserve"> </v>
          </cell>
          <cell r="R14" t="str">
            <v/>
          </cell>
          <cell r="S14" t="str">
            <v/>
          </cell>
          <cell r="T14" t="str">
            <v/>
          </cell>
          <cell r="AJ14" t="str">
            <v>"Smolt" counts are based on winter pre-smolt estimates (see CNAT_nuOkanagan_Juveniles 21.12.10.xlsx). Missing age composition, assumed 100% Age 1, however likely 1-10% Age 2 based on a few years of sample data (2005-2013) (Hyatt et al. 2017).</v>
          </cell>
          <cell r="AK14" t="str">
            <v>howard.stiff@dfo-mpo.gc.ca</v>
          </cell>
        </row>
        <row r="15">
          <cell r="B15">
            <v>1991</v>
          </cell>
          <cell r="C15">
            <v>485056.83199999999</v>
          </cell>
          <cell r="F15">
            <v>485056.83199999999</v>
          </cell>
          <cell r="G15" t="str">
            <v>Age comp missing: Total annual smolts entered in Age 1 column [hs 2022-05-02]</v>
          </cell>
          <cell r="H15" t="str">
            <v xml:space="preserve"> </v>
          </cell>
          <cell r="R15" t="str">
            <v/>
          </cell>
          <cell r="S15" t="str">
            <v/>
          </cell>
          <cell r="T15" t="str">
            <v/>
          </cell>
          <cell r="AJ15" t="str">
            <v>"Smolt" counts are based on winter pre-smolt estimates (see CNAT_nuOkanagan_Juveniles 21.12.10.xlsx). Missing age composition, assumed 100% Age 1, however likely 1-10% Age 2 based on a few years of sample data (2005-2013) (Hyatt et al. 2017).</v>
          </cell>
          <cell r="AK15" t="str">
            <v>howard.stiff@dfo-mpo.gc.ca</v>
          </cell>
        </row>
        <row r="16">
          <cell r="B16">
            <v>1992</v>
          </cell>
          <cell r="C16">
            <v>177380.47</v>
          </cell>
          <cell r="F16">
            <v>177380.47</v>
          </cell>
          <cell r="G16" t="str">
            <v>Age comp missing: Total annual smolts entered in Age 1 column [hs 2022-05-02]</v>
          </cell>
          <cell r="H16" t="str">
            <v xml:space="preserve"> </v>
          </cell>
          <cell r="R16" t="str">
            <v/>
          </cell>
          <cell r="S16" t="str">
            <v/>
          </cell>
          <cell r="T16" t="str">
            <v/>
          </cell>
          <cell r="AJ16" t="str">
            <v>"Smolt" counts are based on winter pre-smolt estimates (see CNAT_nuOkanagan_Juveniles 21.12.10.xlsx). Missing age composition, assumed 100% Age 1, however likely 1-10% Age 2 based on a few years of sample data (2005-2013) (Hyatt et al. 2017).</v>
          </cell>
          <cell r="AK16" t="str">
            <v>howard.stiff@dfo-mpo.gc.ca</v>
          </cell>
        </row>
        <row r="17">
          <cell r="B17">
            <v>1993</v>
          </cell>
          <cell r="C17">
            <v>1479534.14</v>
          </cell>
          <cell r="F17">
            <v>1479534.14</v>
          </cell>
          <cell r="G17" t="str">
            <v>Age comp missing: Total annual smolts entered in Age 1 column [hs 2022-05-02]</v>
          </cell>
          <cell r="H17" t="str">
            <v xml:space="preserve"> </v>
          </cell>
          <cell r="R17" t="str">
            <v/>
          </cell>
          <cell r="S17" t="str">
            <v/>
          </cell>
          <cell r="T17" t="str">
            <v/>
          </cell>
          <cell r="AJ17" t="str">
            <v>"Smolt" counts are based on winter pre-smolt estimates (see CNAT_nuOkanagan_Juveniles 21.12.10.xlsx). Missing age composition, assumed 100% Age 1, however likely 1-10% Age 2 based on a few years of sample data (2005-2013) (Hyatt et al. 2017).</v>
          </cell>
          <cell r="AK17" t="str">
            <v>howard.stiff@dfo-mpo.gc.ca</v>
          </cell>
        </row>
        <row r="18">
          <cell r="B18">
            <v>1994</v>
          </cell>
          <cell r="C18">
            <v>694473.36800000002</v>
          </cell>
          <cell r="F18">
            <v>694473.36800000002</v>
          </cell>
          <cell r="G18" t="str">
            <v>Age comp missing: Total annual smolts entered in Age 1 column [hs 2022-05-02]</v>
          </cell>
          <cell r="H18" t="str">
            <v xml:space="preserve"> </v>
          </cell>
          <cell r="R18" t="str">
            <v/>
          </cell>
          <cell r="S18" t="str">
            <v/>
          </cell>
          <cell r="T18" t="str">
            <v/>
          </cell>
          <cell r="AJ18" t="str">
            <v>"Smolt" counts are based on winter pre-smolt estimates (see CNAT_nuOkanagan_Juveniles 21.12.10.xlsx). Missing age composition, assumed 100% Age 1, however likely 1-10% Age 2 based on a few years of sample data (2005-2013) (Hyatt et al. 2017).</v>
          </cell>
          <cell r="AK18" t="str">
            <v>howard.stiff@dfo-mpo.gc.ca</v>
          </cell>
        </row>
        <row r="19">
          <cell r="B19">
            <v>1995</v>
          </cell>
          <cell r="C19">
            <v>979216.21</v>
          </cell>
          <cell r="F19">
            <v>979216.21</v>
          </cell>
          <cell r="G19" t="str">
            <v>Age comp missing: Total annual smolts entered in Age 1 column [hs 2022-05-02]</v>
          </cell>
          <cell r="H19" t="str">
            <v xml:space="preserve"> </v>
          </cell>
          <cell r="R19" t="str">
            <v/>
          </cell>
          <cell r="S19" t="str">
            <v/>
          </cell>
          <cell r="T19" t="str">
            <v/>
          </cell>
          <cell r="AJ19" t="str">
            <v>"Smolt" counts are based on winter pre-smolt estimates (see CNAT_nuOkanagan_Juveniles 21.12.10.xlsx). Missing age composition, assumed 100% Age 1, however likely 1-10% Age 2 based on a few years of sample data (2005-2013) (Hyatt et al. 2017).</v>
          </cell>
          <cell r="AK19" t="str">
            <v>howard.stiff@dfo-mpo.gc.ca</v>
          </cell>
        </row>
        <row r="20">
          <cell r="B20">
            <v>1996</v>
          </cell>
          <cell r="C20">
            <v>140210.13</v>
          </cell>
          <cell r="F20">
            <v>140210.13</v>
          </cell>
          <cell r="G20" t="str">
            <v>Age comp missing: Total annual smolts entered in Age 1 column [hs 2022-05-02]</v>
          </cell>
          <cell r="H20" t="str">
            <v xml:space="preserve"> </v>
          </cell>
          <cell r="R20" t="str">
            <v/>
          </cell>
          <cell r="S20" t="str">
            <v/>
          </cell>
          <cell r="T20" t="str">
            <v/>
          </cell>
          <cell r="AJ20" t="str">
            <v>"Smolt" counts are based on winter pre-smolt estimates (see CNAT_nuOkanagan_Juveniles 21.12.10.xlsx). Missing age composition, assumed 100% Age 1, however likely 1-10% Age 2 based on a few years of sample data (2005-2013) (Hyatt et al. 2017).</v>
          </cell>
          <cell r="AK20" t="str">
            <v>howard.stiff@dfo-mpo.gc.ca</v>
          </cell>
        </row>
        <row r="21">
          <cell r="B21">
            <v>1997</v>
          </cell>
          <cell r="C21">
            <v>379994.25400000002</v>
          </cell>
          <cell r="F21">
            <v>379994.25400000002</v>
          </cell>
          <cell r="G21" t="str">
            <v>Age comp missing: Total annual smolts entered in Age 1 column [hs 2022-05-02]</v>
          </cell>
          <cell r="H21" t="str">
            <v xml:space="preserve"> </v>
          </cell>
          <cell r="R21" t="str">
            <v/>
          </cell>
          <cell r="S21" t="str">
            <v/>
          </cell>
          <cell r="T21" t="str">
            <v/>
          </cell>
          <cell r="AJ21" t="str">
            <v>"Smolt" counts are based on winter pre-smolt estimates (see CNAT_nuOkanagan_Juveniles 21.12.10.xlsx). Missing age composition, assumed 100% Age 1, however likely 1-10% Age 2 based on a few years of sample data (2005-2013) (Hyatt et al. 2017).</v>
          </cell>
          <cell r="AK21" t="str">
            <v>howard.stiff@dfo-mpo.gc.ca</v>
          </cell>
        </row>
        <row r="22">
          <cell r="B22">
            <v>1998</v>
          </cell>
          <cell r="C22">
            <v>1209167</v>
          </cell>
          <cell r="F22">
            <v>1209167</v>
          </cell>
          <cell r="G22" t="str">
            <v>Age comp missing: Total annual smolts entered in Age 1 column [hs 2022-05-02]</v>
          </cell>
          <cell r="H22" t="str">
            <v xml:space="preserve"> </v>
          </cell>
          <cell r="R22" t="str">
            <v/>
          </cell>
          <cell r="S22" t="str">
            <v/>
          </cell>
          <cell r="T22" t="str">
            <v/>
          </cell>
          <cell r="AJ22" t="str">
            <v>"Smolt" counts are based on winter pre-smolt estimates (see CNAT_nuOkanagan_Juveniles 21.12.10.xlsx). Missing age composition, assumed 100% Age 1, however likely 1-10% Age 2 based on a few years of sample data (2005-2013) (Hyatt et al. 2017).</v>
          </cell>
          <cell r="AK22" t="str">
            <v>howard.stiff@dfo-mpo.gc.ca</v>
          </cell>
        </row>
        <row r="23">
          <cell r="B23">
            <v>1999</v>
          </cell>
          <cell r="C23">
            <v>3099743</v>
          </cell>
          <cell r="F23">
            <v>3099743</v>
          </cell>
          <cell r="G23" t="str">
            <v>Age comp missing: Total annual smolts entered in Age 1 column [hs 2022-05-02]</v>
          </cell>
          <cell r="H23" t="str">
            <v xml:space="preserve"> </v>
          </cell>
          <cell r="R23" t="str">
            <v/>
          </cell>
          <cell r="S23" t="str">
            <v/>
          </cell>
          <cell r="T23" t="str">
            <v/>
          </cell>
          <cell r="AJ23" t="str">
            <v>"Smolt" counts are based on winter pre-smolt estimates (see CNAT_nuOkanagan_Juveniles 21.12.10.xlsx). Missing age composition, assumed 100% Age 1, however likely 1-10% Age 2 based on a few years of sample data (2005-2013) (Hyatt et al. 2017).</v>
          </cell>
          <cell r="AK23" t="str">
            <v>howard.stiff@dfo-mpo.gc.ca</v>
          </cell>
        </row>
        <row r="24">
          <cell r="B24">
            <v>2000</v>
          </cell>
          <cell r="C24">
            <v>281333</v>
          </cell>
          <cell r="F24">
            <v>281333</v>
          </cell>
          <cell r="G24" t="str">
            <v>Age comp missing: Total annual smolts entered in Age 1 column [hs 2022-05-02]</v>
          </cell>
          <cell r="H24" t="str">
            <v xml:space="preserve"> </v>
          </cell>
          <cell r="R24" t="str">
            <v/>
          </cell>
          <cell r="S24" t="str">
            <v/>
          </cell>
          <cell r="T24" t="str">
            <v/>
          </cell>
          <cell r="AJ24" t="str">
            <v>"Smolt" counts are based on winter pre-smolt estimates (see CNAT_nuOkanagan_Juveniles 21.12.10.xlsx). Missing age composition, assumed 100% Age 1, however likely 1-10% Age 2 based on a few years of sample data (2005-2013) (Hyatt et al. 2017).</v>
          </cell>
          <cell r="AK24" t="str">
            <v>howard.stiff@dfo-mpo.gc.ca</v>
          </cell>
        </row>
        <row r="25">
          <cell r="B25">
            <v>2001</v>
          </cell>
          <cell r="C25">
            <v>1446600</v>
          </cell>
          <cell r="F25">
            <v>1446600</v>
          </cell>
          <cell r="G25" t="str">
            <v>Age comp missing: Total annual smolts entered in Age 1 column [hs 2022-05-02]</v>
          </cell>
          <cell r="H25" t="str">
            <v xml:space="preserve"> </v>
          </cell>
          <cell r="R25" t="str">
            <v/>
          </cell>
          <cell r="S25" t="str">
            <v/>
          </cell>
          <cell r="T25" t="str">
            <v/>
          </cell>
          <cell r="AJ25" t="str">
            <v>"Smolt" counts are based on winter pre-smolt estimates (see CNAT_nuOkanagan_Juveniles 21.12.10.xlsx). Missing age composition, assumed 100% Age 1, however likely 1-10% Age 2 based on a few years of sample data (2005-2013) (Hyatt et al. 2017).</v>
          </cell>
          <cell r="AK25" t="str">
            <v>howard.stiff@dfo-mpo.gc.ca</v>
          </cell>
        </row>
        <row r="26">
          <cell r="B26">
            <v>2002</v>
          </cell>
          <cell r="C26">
            <v>2927009</v>
          </cell>
          <cell r="F26">
            <v>2927009</v>
          </cell>
          <cell r="G26" t="str">
            <v>Age comp missing: Total annual smolts entered in Age 1 column [hs 2022-05-02]</v>
          </cell>
          <cell r="H26" t="str">
            <v xml:space="preserve"> </v>
          </cell>
          <cell r="R26" t="str">
            <v/>
          </cell>
          <cell r="S26" t="str">
            <v/>
          </cell>
          <cell r="T26" t="str">
            <v/>
          </cell>
          <cell r="AJ26" t="str">
            <v>"Smolt" counts are based on winter pre-smolt estimates (see CNAT_nuOkanagan_Juveniles 21.12.10.xlsx). Missing age composition, assumed 100% Age 1, however likely 1-10% Age 2 based on a few years of sample data (2005-2013) (Hyatt et al. 2017).</v>
          </cell>
          <cell r="AK26" t="str">
            <v>howard.stiff@dfo-mpo.gc.ca</v>
          </cell>
        </row>
        <row r="27">
          <cell r="B27">
            <v>2003</v>
          </cell>
          <cell r="C27">
            <v>2080978</v>
          </cell>
          <cell r="F27">
            <v>2080978</v>
          </cell>
          <cell r="G27" t="str">
            <v>Age comp missing: Total annual smolts entered in Age 1 column [hs 2022-05-02]</v>
          </cell>
          <cell r="H27" t="str">
            <v xml:space="preserve"> </v>
          </cell>
          <cell r="R27" t="str">
            <v/>
          </cell>
          <cell r="S27" t="str">
            <v/>
          </cell>
          <cell r="T27" t="str">
            <v/>
          </cell>
          <cell r="AJ27" t="str">
            <v>"Smolt" counts are based on winter pre-smolt estimates (see CNAT_nuOkanagan_Juveniles 21.12.10.xlsx). Missing age composition, assumed 100% Age 1, however likely 1-10% Age 2 based on a few years of sample data (2005-2013) (Hyatt et al. 2017).</v>
          </cell>
          <cell r="AK27" t="str">
            <v>howard.stiff@dfo-mpo.gc.ca</v>
          </cell>
        </row>
        <row r="28">
          <cell r="B28">
            <v>2004</v>
          </cell>
          <cell r="C28">
            <v>627855</v>
          </cell>
          <cell r="F28">
            <v>627855</v>
          </cell>
          <cell r="G28" t="str">
            <v>Age comp missing: Total annual smolts entered in Age 1 column [hs 2022-05-02]</v>
          </cell>
          <cell r="H28" t="str">
            <v xml:space="preserve"> </v>
          </cell>
          <cell r="R28" t="str">
            <v/>
          </cell>
          <cell r="S28" t="str">
            <v/>
          </cell>
          <cell r="T28" t="str">
            <v/>
          </cell>
          <cell r="AJ28" t="str">
            <v>"Smolt" counts are based on winter pre-smolt estimates (see CNAT_nuOkanagan_Juveniles 21.12.10.xlsx). Missing age composition, assumed 100% Age 1, however likely 1-10% Age 2 based on a few years of sample data (2005-2013) (Hyatt et al. 2017).</v>
          </cell>
          <cell r="AK28" t="str">
            <v>howard.stiff@dfo-mpo.gc.ca</v>
          </cell>
        </row>
        <row r="29">
          <cell r="B29">
            <v>2005</v>
          </cell>
          <cell r="C29">
            <v>735805</v>
          </cell>
          <cell r="F29">
            <v>735805</v>
          </cell>
          <cell r="G29" t="str">
            <v>Age comp missing: Total annual smolts entered in Age 1 column [hs 2022-05-02]</v>
          </cell>
          <cell r="H29" t="str">
            <v xml:space="preserve"> </v>
          </cell>
          <cell r="R29" t="str">
            <v/>
          </cell>
          <cell r="S29" t="str">
            <v/>
          </cell>
          <cell r="T29" t="str">
            <v/>
          </cell>
          <cell r="AJ29" t="str">
            <v>"Smolt" counts are based on winter pre-smolt estimates (see CNAT_nuOkanagan_Juveniles 21.12.10.xlsx). Missing age composition, assumed 100% Age 1, however likely 1-10% Age 2 based on a few years of sample data (2005-2013) (Hyatt et al. 2017).</v>
          </cell>
          <cell r="AK29" t="str">
            <v>howard.stiff@dfo-mpo.gc.ca</v>
          </cell>
        </row>
        <row r="30">
          <cell r="B30">
            <v>2006</v>
          </cell>
          <cell r="C30">
            <v>1783500</v>
          </cell>
          <cell r="F30">
            <v>1783500</v>
          </cell>
          <cell r="G30" t="str">
            <v>Age comp missing: Total annual smolts entered in Age 1 column [hs 2022-05-02]</v>
          </cell>
          <cell r="H30" t="str">
            <v xml:space="preserve"> </v>
          </cell>
          <cell r="R30" t="str">
            <v/>
          </cell>
          <cell r="S30" t="str">
            <v/>
          </cell>
          <cell r="T30" t="str">
            <v/>
          </cell>
          <cell r="AJ30" t="str">
            <v>"Smolt" counts are based on winter pre-smolt estimates (see CNAT_nuOkanagan_Juveniles 21.12.10.xlsx). Missing age composition, assumed 100% Age 1, however likely 1-10% Age 2 based on a few years of sample data (2005-2013) (Hyatt et al. 2017).</v>
          </cell>
          <cell r="AK30" t="str">
            <v>howard.stiff@dfo-mpo.gc.ca</v>
          </cell>
        </row>
        <row r="31">
          <cell r="B31">
            <v>2007</v>
          </cell>
          <cell r="C31">
            <v>2026709</v>
          </cell>
          <cell r="F31">
            <v>2026709</v>
          </cell>
          <cell r="G31" t="str">
            <v>Age comp missing: Total annual smolts entered in Age 1 column [hs 2022-05-02]</v>
          </cell>
          <cell r="H31" t="str">
            <v xml:space="preserve"> </v>
          </cell>
          <cell r="R31" t="str">
            <v/>
          </cell>
          <cell r="S31" t="str">
            <v/>
          </cell>
          <cell r="T31" t="str">
            <v/>
          </cell>
          <cell r="AJ31" t="str">
            <v>"Smolt" counts are based on winter pre-smolt estimates (see CNAT_nuOkanagan_Juveniles 21.12.10.xlsx). Missing age composition, assumed 100% Age 1, however likely 1-10% Age 2 based on a few years of sample data (2005-2013) (Hyatt et al. 2017).</v>
          </cell>
          <cell r="AK31" t="str">
            <v>howard.stiff@dfo-mpo.gc.ca</v>
          </cell>
        </row>
        <row r="32">
          <cell r="B32">
            <v>2008</v>
          </cell>
          <cell r="C32">
            <v>2133694</v>
          </cell>
          <cell r="F32">
            <v>2133694</v>
          </cell>
          <cell r="G32" t="str">
            <v>Age comp missing: Total annual smolts entered in Age 1 column [hs 2022-05-02]</v>
          </cell>
          <cell r="H32" t="str">
            <v xml:space="preserve"> </v>
          </cell>
          <cell r="R32" t="str">
            <v/>
          </cell>
          <cell r="S32" t="str">
            <v/>
          </cell>
          <cell r="T32" t="str">
            <v/>
          </cell>
          <cell r="AJ32" t="str">
            <v>"Smolt" counts are based on winter pre-smolt estimates (see CNAT_nuOkanagan_Juveniles 21.12.10.xlsx). Missing age composition, assumed 100% Age 1, however likely 1-10% Age 2 based on a few years of sample data (2005-2013) (Hyatt et al. 2017).</v>
          </cell>
          <cell r="AK32" t="str">
            <v>howard.stiff@dfo-mpo.gc.ca</v>
          </cell>
        </row>
        <row r="33">
          <cell r="B33">
            <v>2009</v>
          </cell>
          <cell r="C33">
            <v>875327</v>
          </cell>
          <cell r="F33">
            <v>875327</v>
          </cell>
          <cell r="G33" t="str">
            <v>Age comp missing: Total annual smolts entered in Age 1 column [hs 2022-05-02]</v>
          </cell>
          <cell r="H33" t="str">
            <v xml:space="preserve"> </v>
          </cell>
          <cell r="R33" t="str">
            <v/>
          </cell>
          <cell r="S33" t="str">
            <v/>
          </cell>
          <cell r="T33" t="str">
            <v/>
          </cell>
          <cell r="AJ33" t="str">
            <v>"Smolt" counts are based on winter pre-smolt estimates (see CNAT_nuOkanagan_Juveniles 21.12.10.xlsx). Missing age composition, assumed 100% Age 1, however likely 1-10% Age 2 based on a few years of sample data (2005-2013) (Hyatt et al. 2017).</v>
          </cell>
          <cell r="AK33" t="str">
            <v>howard.stiff@dfo-mpo.gc.ca</v>
          </cell>
        </row>
        <row r="34">
          <cell r="B34">
            <v>2010</v>
          </cell>
          <cell r="C34">
            <v>7488306</v>
          </cell>
          <cell r="F34">
            <v>7488306</v>
          </cell>
          <cell r="G34" t="str">
            <v>Age comp missing: Total annual smolts entered in Age 1 column [hs 2022-05-02]</v>
          </cell>
          <cell r="H34" t="str">
            <v xml:space="preserve"> </v>
          </cell>
          <cell r="R34" t="str">
            <v/>
          </cell>
          <cell r="S34" t="str">
            <v/>
          </cell>
          <cell r="T34" t="str">
            <v/>
          </cell>
          <cell r="AJ34" t="str">
            <v>"Smolt" counts are based on winter pre-smolt estimates (see CNAT_nuOkanagan_Juveniles 21.12.10.xlsx). Missing age composition, assumed 100% Age 1, however likely 1-10% Age 2 based on a few years of sample data (2005-2013) (Hyatt et al. 2017).</v>
          </cell>
          <cell r="AK34" t="str">
            <v>howard.stiff@dfo-mpo.gc.ca</v>
          </cell>
        </row>
        <row r="35">
          <cell r="B35">
            <v>2011</v>
          </cell>
          <cell r="C35">
            <v>929531</v>
          </cell>
          <cell r="F35">
            <v>929531</v>
          </cell>
          <cell r="G35" t="str">
            <v>Age comp missing: Total annual smolts entered in Age 1 column [hs 2022-05-02]</v>
          </cell>
          <cell r="H35" t="str">
            <v xml:space="preserve"> </v>
          </cell>
          <cell r="R35" t="str">
            <v/>
          </cell>
          <cell r="S35" t="str">
            <v/>
          </cell>
          <cell r="T35" t="str">
            <v/>
          </cell>
          <cell r="AJ35" t="str">
            <v>"Smolt" counts are based on winter pre-smolt estimates (see CNAT_nuOkanagan_Juveniles 21.12.10.xlsx). Missing age composition, assumed 100% Age 1, however likely 1-10% Age 2 based on a few years of sample data (2005-2013) (Hyatt et al. 2017).</v>
          </cell>
          <cell r="AK35" t="str">
            <v>howard.stiff@dfo-mpo.gc.ca</v>
          </cell>
        </row>
        <row r="36">
          <cell r="B36">
            <v>2012</v>
          </cell>
          <cell r="C36">
            <v>4435800</v>
          </cell>
          <cell r="F36">
            <v>4435800</v>
          </cell>
          <cell r="G36" t="str">
            <v>Age comp missing: Total annual smolts entered in Age 1 column [hs 2022-05-02]</v>
          </cell>
          <cell r="H36" t="str">
            <v xml:space="preserve"> </v>
          </cell>
          <cell r="R36" t="str">
            <v/>
          </cell>
          <cell r="S36" t="str">
            <v/>
          </cell>
          <cell r="T36" t="str">
            <v/>
          </cell>
          <cell r="AJ36" t="str">
            <v>"Smolt" counts are based on winter pre-smolt estimates (see CNAT_nuOkanagan_Juveniles 21.12.10.xlsx). Missing age composition, assumed 100% Age 1, however likely 1-10% Age 2 based on a few years of sample data (2005-2013) (Hyatt et al. 2017).</v>
          </cell>
          <cell r="AK36" t="str">
            <v>howard.stiff@dfo-mpo.gc.ca</v>
          </cell>
        </row>
        <row r="37">
          <cell r="B37">
            <v>2013</v>
          </cell>
          <cell r="C37">
            <v>2898435</v>
          </cell>
          <cell r="F37">
            <v>2898435</v>
          </cell>
          <cell r="G37" t="str">
            <v>Age comp missing: Total annual smolts entered in Age 1 column [hs 2022-05-02]</v>
          </cell>
          <cell r="H37" t="str">
            <v xml:space="preserve"> </v>
          </cell>
          <cell r="R37" t="str">
            <v/>
          </cell>
          <cell r="S37" t="str">
            <v/>
          </cell>
          <cell r="T37" t="str">
            <v/>
          </cell>
          <cell r="W37">
            <v>41409</v>
          </cell>
          <cell r="X37">
            <v>41418</v>
          </cell>
          <cell r="Y37">
            <v>41427</v>
          </cell>
          <cell r="AA37" t="str">
            <v>PIT tagged juvenile (wild+hatch?) survival (FPC Memo to JF (21.12.28): Table 4. Migration timing of PIT-tagged Okanogan River Basin sockeye smolts (i.e., release aggregate) detected at  Bonneville (BON) dam)</v>
          </cell>
          <cell r="AJ37" t="str">
            <v>"Smolt" counts are based on winter pre-smolt estimates (see CNAT_nuOkanagan_Juveniles 21.12.10.xlsx). Missing age composition, assumed 100% Age 1, however likely 1-10% Age 2 based on a few years of sample data (2005-2013) (Hyatt et al. 2017).</v>
          </cell>
          <cell r="AK37" t="str">
            <v>howard.stiff@dfo-mpo.gc.ca</v>
          </cell>
        </row>
        <row r="38">
          <cell r="B38">
            <v>2014</v>
          </cell>
          <cell r="C38">
            <v>5002124</v>
          </cell>
          <cell r="F38">
            <v>5002124</v>
          </cell>
          <cell r="G38" t="str">
            <v>Age comp missing: Total annual smolts entered in Age 1 column [hs 2022-05-02]</v>
          </cell>
          <cell r="H38" t="str">
            <v xml:space="preserve"> </v>
          </cell>
          <cell r="R38" t="str">
            <v/>
          </cell>
          <cell r="S38" t="str">
            <v/>
          </cell>
          <cell r="T38" t="str">
            <v/>
          </cell>
          <cell r="W38">
            <v>41775</v>
          </cell>
          <cell r="X38">
            <v>41780</v>
          </cell>
          <cell r="Y38">
            <v>41787</v>
          </cell>
          <cell r="AA38" t="str">
            <v>PIT tagged juvenile (wild+hatch?) survival (FPC Memo to JF (21.12.28): Table 4. Migration timing of PIT-tagged Okanogan River Basin sockeye smolts (i.e., release aggregate) detected at  Bonneville (BON) dam)</v>
          </cell>
          <cell r="AJ38" t="str">
            <v>"Smolt" counts are based on winter pre-smolt estimates (see CNAT_nuOkanagan_Juveniles 21.12.10.xlsx). Missing age composition, assumed 100% Age 1, however likely 1-10% Age 2 based on a few years of sample data (2005-2013) (Hyatt et al. 2017).</v>
          </cell>
          <cell r="AK38" t="str">
            <v>howard.stiff@dfo-mpo.gc.ca</v>
          </cell>
        </row>
        <row r="39">
          <cell r="B39">
            <v>2015</v>
          </cell>
          <cell r="C39">
            <v>2209546</v>
          </cell>
          <cell r="F39">
            <v>2209546</v>
          </cell>
          <cell r="G39" t="str">
            <v>Age comp missing: Total annual smolts entered in Age 1 column [hs 2022-05-02]</v>
          </cell>
          <cell r="H39" t="str">
            <v xml:space="preserve"> </v>
          </cell>
          <cell r="R39" t="str">
            <v/>
          </cell>
          <cell r="S39" t="str">
            <v/>
          </cell>
          <cell r="T39" t="str">
            <v/>
          </cell>
          <cell r="W39">
            <v>42141</v>
          </cell>
          <cell r="X39">
            <v>42145</v>
          </cell>
          <cell r="Y39">
            <v>42151</v>
          </cell>
          <cell r="AA39" t="str">
            <v>PIT tagged juvenile (wild+hatch?) survival (FPC Memo to JF (21.12.28): Table 4. Migration timing of PIT-tagged Okanogan River Basin sockeye smolts (i.e., release aggregate) detected at  Bonneville (BON) dam)</v>
          </cell>
          <cell r="AJ39" t="str">
            <v>"Smolt" counts are based on winter pre-smolt estimates (see CNAT_nuOkanagan_Juveniles 21.12.10.xlsx). Missing age composition, assumed 100% Age 1, however likely 1-10% Age 2 based on a few years of sample data (2005-2013) (Hyatt et al. 2017).</v>
          </cell>
          <cell r="AK39" t="str">
            <v>howard.stiff@dfo-mpo.gc.ca</v>
          </cell>
        </row>
        <row r="40">
          <cell r="B40">
            <v>2016</v>
          </cell>
          <cell r="C40">
            <v>7383151</v>
          </cell>
          <cell r="F40">
            <v>7383151</v>
          </cell>
          <cell r="G40" t="str">
            <v>Age comp missing: Total annual smolts entered in Age 1 column [hs 2022-05-02]</v>
          </cell>
          <cell r="H40" t="str">
            <v xml:space="preserve"> </v>
          </cell>
          <cell r="R40" t="str">
            <v/>
          </cell>
          <cell r="S40" t="str">
            <v/>
          </cell>
          <cell r="T40" t="str">
            <v/>
          </cell>
          <cell r="W40">
            <v>42491</v>
          </cell>
          <cell r="X40">
            <v>42502</v>
          </cell>
          <cell r="Y40">
            <v>42510</v>
          </cell>
          <cell r="AA40" t="str">
            <v>PIT tagged juvenile (wild+hatch?) survival (FPC Memo to JF (21.12.28): Table 4. Migration timing of PIT-tagged Okanogan River Basin sockeye smolts (i.e., release aggregate) detected at  Bonneville (BON) dam)</v>
          </cell>
          <cell r="AJ40" t="str">
            <v>"Smolt" counts are based on winter pre-smolt estimates (see CNAT_nuOkanagan_Juveniles 21.12.10.xlsx). Missing age composition, assumed 100% Age 1, however likely 1-10% Age 2 based on a few years of sample data (2005-2013) (Hyatt et al. 2017).</v>
          </cell>
          <cell r="AK40" t="str">
            <v>howard.stiff@dfo-mpo.gc.ca</v>
          </cell>
        </row>
        <row r="41">
          <cell r="B41">
            <v>2017</v>
          </cell>
          <cell r="C41">
            <v>1885712</v>
          </cell>
          <cell r="F41">
            <v>1885712</v>
          </cell>
          <cell r="G41" t="str">
            <v>Age comp missing: Total annual smolts entered in Age 1 column [hs 2022-05-02]</v>
          </cell>
          <cell r="H41" t="str">
            <v xml:space="preserve"> </v>
          </cell>
          <cell r="R41" t="str">
            <v/>
          </cell>
          <cell r="S41" t="str">
            <v/>
          </cell>
          <cell r="T41" t="str">
            <v/>
          </cell>
          <cell r="W41">
            <v>42869</v>
          </cell>
          <cell r="X41">
            <v>42873</v>
          </cell>
          <cell r="Y41">
            <v>42880</v>
          </cell>
          <cell r="AA41" t="str">
            <v>PIT tagged juvenile (wild+hatch?) survival (FPC Memo to JF (21.12.28): Table 4. Migration timing of PIT-tagged Okanogan River Basin sockeye smolts (i.e., release aggregate) detected at  Bonneville (BON) dam)</v>
          </cell>
          <cell r="AJ41" t="str">
            <v>"Smolt" counts are based on winter pre-smolt estimates (see CNAT_nuOkanagan_Juveniles 21.12.10.xlsx). Missing age composition, assumed 100% Age 1, however likely 1-10% Age 2 based on a few years of sample data (2005-2013) (Hyatt et al. 2017).</v>
          </cell>
          <cell r="AK41" t="str">
            <v>howard.stiff@dfo-mpo.gc.ca</v>
          </cell>
        </row>
        <row r="42">
          <cell r="B42">
            <v>2018</v>
          </cell>
          <cell r="C42">
            <v>4122796</v>
          </cell>
          <cell r="F42">
            <v>4122796</v>
          </cell>
          <cell r="G42" t="str">
            <v>Age comp missing: Total annual smolts entered in Age 1 column [hs 2022-05-02]</v>
          </cell>
          <cell r="H42" t="str">
            <v xml:space="preserve"> </v>
          </cell>
          <cell r="R42" t="str">
            <v/>
          </cell>
          <cell r="S42" t="str">
            <v/>
          </cell>
          <cell r="T42" t="str">
            <v/>
          </cell>
          <cell r="W42">
            <v>43230</v>
          </cell>
          <cell r="X42">
            <v>43235</v>
          </cell>
          <cell r="Y42">
            <v>43244</v>
          </cell>
          <cell r="AA42" t="str">
            <v>PIT tagged juvenile (wild+hatch?) survival (FPC Memo to JF (21.12.28): Table 4. Migration timing of PIT-tagged Okanogan River Basin sockeye smolts (i.e., release aggregate) detected at  Bonneville (BON) dam)</v>
          </cell>
          <cell r="AJ42" t="str">
            <v>"Smolt" counts are based on winter pre-smolt estimates (see CNAT_nuOkanagan_Juveniles 21.12.10.xlsx). Missing age composition, assumed 100% Age 1, however likely 1-10% Age 2 based on a few years of sample data (2005-2013) (Hyatt et al. 2017).</v>
          </cell>
          <cell r="AK42" t="str">
            <v>howard.stiff@dfo-mpo.gc.ca</v>
          </cell>
        </row>
        <row r="43">
          <cell r="B43">
            <v>2019</v>
          </cell>
          <cell r="C43">
            <v>912588</v>
          </cell>
          <cell r="F43">
            <v>912588</v>
          </cell>
          <cell r="G43" t="str">
            <v>Age comp missing: Total annual smolts entered in Age 1 column [hs 2022-05-02]</v>
          </cell>
          <cell r="H43" t="str">
            <v xml:space="preserve"> </v>
          </cell>
          <cell r="R43" t="str">
            <v/>
          </cell>
          <cell r="S43" t="str">
            <v/>
          </cell>
          <cell r="T43" t="str">
            <v/>
          </cell>
          <cell r="W43">
            <v>43607</v>
          </cell>
          <cell r="X43">
            <v>43610</v>
          </cell>
          <cell r="Y43">
            <v>43621</v>
          </cell>
          <cell r="AA43" t="str">
            <v>PIT tagged juvenile (wild+hatch?) survival (FPC Memo to JF (21.12.28): Table 4. Migration timing of PIT-tagged Okanogan River Basin sockeye smolts (i.e., release aggregate) detected at  Bonneville (BON) dam)</v>
          </cell>
          <cell r="AJ43" t="str">
            <v>"Smolt" counts are based on winter pre-smolt estimates (see CNAT_nuOkanagan_Juveniles 21.12.10.xlsx). Missing age composition, assumed 100% Age 1, however likely 1-10% Age 2 based on a few years of sample data (2005-2013) (Hyatt et al. 2017).</v>
          </cell>
          <cell r="AK43" t="str">
            <v>howard.stiff@dfo-mpo.gc.ca</v>
          </cell>
        </row>
        <row r="44">
          <cell r="B44">
            <v>2020</v>
          </cell>
          <cell r="C44">
            <v>2540161</v>
          </cell>
          <cell r="F44">
            <v>2540161</v>
          </cell>
          <cell r="G44" t="str">
            <v>Age comp missing: Total annual smolts entered in Age 1 column [hs 2022-05-02]</v>
          </cell>
          <cell r="H44" t="str">
            <v xml:space="preserve"> </v>
          </cell>
          <cell r="R44" t="str">
            <v/>
          </cell>
          <cell r="S44" t="str">
            <v/>
          </cell>
          <cell r="T44" t="str">
            <v/>
          </cell>
          <cell r="AA44" t="str">
            <v>N/A</v>
          </cell>
          <cell r="AJ44" t="str">
            <v>"Smolt" counts are based on winter pre-smolt estimates (see CNAT_nuOkanagan_Juveniles 21.12.10.xlsx). Missing age composition, assumed 100% Age 1, however likely 1-10% Age 2 based on a few years of sample data (2005-2013) (Hyatt et al. 2017).</v>
          </cell>
          <cell r="AK44" t="str">
            <v>howard.stiff@dfo-mpo.gc.ca</v>
          </cell>
        </row>
        <row r="45">
          <cell r="B45">
            <v>2021</v>
          </cell>
          <cell r="C45">
            <v>1464091</v>
          </cell>
          <cell r="F45">
            <v>1464091</v>
          </cell>
          <cell r="G45" t="str">
            <v>Age comp missing: Total annual smolts entered in Age 1 column [hs 2022-05-02]</v>
          </cell>
          <cell r="H45" t="str">
            <v xml:space="preserve"> </v>
          </cell>
          <cell r="R45" t="str">
            <v/>
          </cell>
          <cell r="S45" t="str">
            <v/>
          </cell>
          <cell r="T45" t="str">
            <v/>
          </cell>
          <cell r="W45">
            <v>44336</v>
          </cell>
          <cell r="X45">
            <v>44339</v>
          </cell>
          <cell r="Y45">
            <v>44345</v>
          </cell>
          <cell r="AA45" t="str">
            <v>PIT tagged juvenile (wild+hatch?) survival (FPC Memo to JF (21.12.28): Table 4. Migration timing of PIT-tagged Okanogan River Basin sockeye smolts (i.e., release aggregate) detected at  Bonneville (BON) dam)</v>
          </cell>
          <cell r="AJ45" t="str">
            <v>"Smolt" counts are based on winter pre-smolt estimates (see CNAT_nuOkanagan_Juveniles 21.12.10.xlsx). Missing age composition, assumed 100% Age 1, however likely 1-10% Age 2 based on a few years of sample data (2005-2013) (Hyatt et al. 2017).</v>
          </cell>
          <cell r="AK45" t="str">
            <v>howard.stiff@dfo-mpo.gc.ca</v>
          </cell>
        </row>
        <row r="46">
          <cell r="F46" t="str">
            <v/>
          </cell>
          <cell r="H46" t="str">
            <v xml:space="preserve"> </v>
          </cell>
          <cell r="R46" t="str">
            <v/>
          </cell>
          <cell r="S46" t="str">
            <v/>
          </cell>
          <cell r="T46" t="str">
            <v/>
          </cell>
        </row>
        <row r="47">
          <cell r="F47" t="str">
            <v/>
          </cell>
          <cell r="H47" t="str">
            <v xml:space="preserve"> </v>
          </cell>
          <cell r="R47" t="str">
            <v/>
          </cell>
          <cell r="S47" t="str">
            <v/>
          </cell>
          <cell r="T47" t="str">
            <v/>
          </cell>
        </row>
        <row r="48">
          <cell r="F48" t="str">
            <v/>
          </cell>
          <cell r="H48" t="str">
            <v xml:space="preserve"> </v>
          </cell>
          <cell r="R48" t="str">
            <v/>
          </cell>
          <cell r="S48" t="str">
            <v/>
          </cell>
          <cell r="T48" t="str">
            <v/>
          </cell>
        </row>
        <row r="49">
          <cell r="F49" t="str">
            <v/>
          </cell>
          <cell r="H49" t="str">
            <v xml:space="preserve"> </v>
          </cell>
          <cell r="R49" t="str">
            <v/>
          </cell>
          <cell r="S49" t="str">
            <v/>
          </cell>
          <cell r="T49" t="str">
            <v/>
          </cell>
        </row>
        <row r="50">
          <cell r="F50" t="str">
            <v/>
          </cell>
          <cell r="H50" t="str">
            <v xml:space="preserve"> </v>
          </cell>
          <cell r="R50" t="str">
            <v/>
          </cell>
          <cell r="S50" t="str">
            <v/>
          </cell>
          <cell r="T50" t="str">
            <v/>
          </cell>
        </row>
        <row r="51">
          <cell r="F51" t="str">
            <v/>
          </cell>
          <cell r="H51" t="str">
            <v xml:space="preserve"> </v>
          </cell>
          <cell r="R51" t="str">
            <v/>
          </cell>
          <cell r="S51" t="str">
            <v/>
          </cell>
          <cell r="T51" t="str">
            <v/>
          </cell>
        </row>
        <row r="52">
          <cell r="F52" t="str">
            <v/>
          </cell>
          <cell r="H52" t="str">
            <v xml:space="preserve"> </v>
          </cell>
          <cell r="R52" t="str">
            <v/>
          </cell>
          <cell r="S52" t="str">
            <v/>
          </cell>
          <cell r="T52" t="str">
            <v/>
          </cell>
        </row>
        <row r="53">
          <cell r="F53" t="str">
            <v/>
          </cell>
          <cell r="H53" t="str">
            <v xml:space="preserve"> </v>
          </cell>
          <cell r="R53" t="str">
            <v/>
          </cell>
          <cell r="S53" t="str">
            <v/>
          </cell>
          <cell r="T53" t="str">
            <v/>
          </cell>
        </row>
        <row r="54">
          <cell r="F54" t="str">
            <v/>
          </cell>
          <cell r="H54" t="str">
            <v xml:space="preserve"> </v>
          </cell>
          <cell r="R54" t="str">
            <v/>
          </cell>
          <cell r="S54" t="str">
            <v/>
          </cell>
          <cell r="T54" t="str">
            <v/>
          </cell>
        </row>
        <row r="55">
          <cell r="F55" t="str">
            <v/>
          </cell>
          <cell r="H55" t="str">
            <v xml:space="preserve"> </v>
          </cell>
          <cell r="R55" t="str">
            <v/>
          </cell>
          <cell r="S55" t="str">
            <v/>
          </cell>
          <cell r="T55" t="str">
            <v/>
          </cell>
        </row>
        <row r="56">
          <cell r="F56" t="str">
            <v/>
          </cell>
          <cell r="H56" t="str">
            <v xml:space="preserve"> </v>
          </cell>
          <cell r="R56" t="str">
            <v/>
          </cell>
          <cell r="S56" t="str">
            <v/>
          </cell>
          <cell r="T56" t="str">
            <v/>
          </cell>
        </row>
        <row r="57">
          <cell r="F57" t="str">
            <v/>
          </cell>
          <cell r="H57" t="str">
            <v xml:space="preserve"> </v>
          </cell>
          <cell r="R57" t="str">
            <v/>
          </cell>
          <cell r="S57" t="str">
            <v/>
          </cell>
          <cell r="T57" t="str">
            <v/>
          </cell>
        </row>
        <row r="58">
          <cell r="F58" t="str">
            <v/>
          </cell>
          <cell r="H58" t="str">
            <v xml:space="preserve"> </v>
          </cell>
          <cell r="R58" t="str">
            <v/>
          </cell>
          <cell r="S58" t="str">
            <v/>
          </cell>
          <cell r="T58" t="str">
            <v/>
          </cell>
        </row>
      </sheetData>
      <sheetData sheetId="2"/>
      <sheetData sheetId="3"/>
      <sheetData sheetId="4">
        <row r="3">
          <cell r="J3">
            <v>4.0999999999999996</v>
          </cell>
        </row>
        <row r="4">
          <cell r="B4">
            <v>1980</v>
          </cell>
          <cell r="K4" t="str">
            <v/>
          </cell>
          <cell r="AK4" t="str">
            <v/>
          </cell>
          <cell r="AL4" t="str">
            <v/>
          </cell>
          <cell r="AM4" t="str">
            <v/>
          </cell>
        </row>
        <row r="5">
          <cell r="B5">
            <v>1981</v>
          </cell>
          <cell r="K5" t="str">
            <v/>
          </cell>
          <cell r="AK5" t="str">
            <v/>
          </cell>
          <cell r="AL5" t="str">
            <v/>
          </cell>
          <cell r="AM5" t="str">
            <v/>
          </cell>
        </row>
        <row r="6">
          <cell r="B6">
            <v>1982</v>
          </cell>
          <cell r="K6" t="str">
            <v/>
          </cell>
          <cell r="AK6" t="str">
            <v/>
          </cell>
          <cell r="AL6" t="str">
            <v/>
          </cell>
          <cell r="AM6" t="str">
            <v/>
          </cell>
        </row>
        <row r="7">
          <cell r="B7">
            <v>1983</v>
          </cell>
          <cell r="K7" t="str">
            <v/>
          </cell>
          <cell r="AK7" t="str">
            <v/>
          </cell>
          <cell r="AL7" t="str">
            <v/>
          </cell>
          <cell r="AM7" t="str">
            <v/>
          </cell>
        </row>
        <row r="8">
          <cell r="B8">
            <v>1984</v>
          </cell>
          <cell r="K8" t="str">
            <v/>
          </cell>
          <cell r="AK8" t="str">
            <v/>
          </cell>
          <cell r="AL8" t="str">
            <v/>
          </cell>
          <cell r="AM8" t="str">
            <v/>
          </cell>
        </row>
        <row r="9">
          <cell r="B9">
            <v>1985</v>
          </cell>
          <cell r="C9">
            <v>5893.2086040697668</v>
          </cell>
          <cell r="D9">
            <v>75159.761906976739</v>
          </cell>
          <cell r="E9">
            <v>939.4970238372091</v>
          </cell>
          <cell r="F9">
            <v>512.45292209302318</v>
          </cell>
          <cell r="G9">
            <v>2903.8998918604648</v>
          </cell>
          <cell r="K9">
            <v>85408.820348837195</v>
          </cell>
          <cell r="L9" t="str">
            <v>Source: OkSox Total Rtns to Wells RY_OEY_BY (HS) 2022.05.01.xlsx ! Data worksheet. See General Comments for Methods</v>
          </cell>
          <cell r="M9" t="str">
            <v xml:space="preserve"> </v>
          </cell>
          <cell r="AK9" t="str">
            <v/>
          </cell>
          <cell r="AL9" t="str">
            <v/>
          </cell>
          <cell r="AM9" t="str">
            <v/>
          </cell>
          <cell r="AW9"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9" t="str">
            <v>howard.stiff@shaw.ca</v>
          </cell>
        </row>
        <row r="10">
          <cell r="B10">
            <v>1986</v>
          </cell>
          <cell r="C10">
            <v>2111.8163422511448</v>
          </cell>
          <cell r="D10">
            <v>33504.778506869123</v>
          </cell>
          <cell r="E10">
            <v>934.07261291877569</v>
          </cell>
          <cell r="F10">
            <v>3370.7837770547126</v>
          </cell>
          <cell r="G10">
            <v>649.78964376958311</v>
          </cell>
          <cell r="K10">
            <v>40571.240882863334</v>
          </cell>
          <cell r="L10" t="str">
            <v>Source: OkSox Total Rtns to Wells RY_OEY_BY (HS) 2022.05.01.xlsx ! Data worksheet. See General Comments for Methods</v>
          </cell>
          <cell r="M10" t="str">
            <v xml:space="preserve"> </v>
          </cell>
          <cell r="AK10" t="str">
            <v/>
          </cell>
          <cell r="AL10" t="str">
            <v/>
          </cell>
          <cell r="AM10" t="str">
            <v/>
          </cell>
          <cell r="AW10"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0" t="str">
            <v>howard.stiff@shaw.ca</v>
          </cell>
        </row>
        <row r="11">
          <cell r="B11">
            <v>1987</v>
          </cell>
          <cell r="C11">
            <v>33052.749566611332</v>
          </cell>
          <cell r="D11">
            <v>30902.977237075633</v>
          </cell>
          <cell r="E11">
            <v>671.80385297990506</v>
          </cell>
          <cell r="F11">
            <v>1881.0507883437342</v>
          </cell>
          <cell r="G11">
            <v>671.80385297990506</v>
          </cell>
          <cell r="K11">
            <v>67180.38529799052</v>
          </cell>
          <cell r="L11" t="str">
            <v>Source: OkSox Total Rtns to Wells RY_OEY_BY (HS) 2022.05.01.xlsx ! Data worksheet. See General Comments for Methods</v>
          </cell>
          <cell r="M11" t="str">
            <v xml:space="preserve"> </v>
          </cell>
          <cell r="AK11" t="str">
            <v/>
          </cell>
          <cell r="AL11" t="str">
            <v/>
          </cell>
          <cell r="AM11" t="str">
            <v/>
          </cell>
          <cell r="AW11"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1" t="str">
            <v>howard.stiff@shaw.ca</v>
          </cell>
        </row>
        <row r="12">
          <cell r="B12">
            <v>1988</v>
          </cell>
          <cell r="C12">
            <v>110.15402696382455</v>
          </cell>
          <cell r="D12">
            <v>53369.626063972995</v>
          </cell>
          <cell r="E12">
            <v>550.77013481912275</v>
          </cell>
          <cell r="F12">
            <v>716.00117526485951</v>
          </cell>
          <cell r="G12">
            <v>330.46208089147365</v>
          </cell>
          <cell r="K12">
            <v>55077.013481912283</v>
          </cell>
          <cell r="L12" t="str">
            <v>Source: OkSox Total Rtns to Wells RY_OEY_BY (HS) 2022.05.01.xlsx ! Data worksheet. See General Comments for Methods</v>
          </cell>
          <cell r="M12" t="str">
            <v xml:space="preserve"> </v>
          </cell>
          <cell r="AK12" t="str">
            <v/>
          </cell>
          <cell r="AL12" t="str">
            <v/>
          </cell>
          <cell r="AM12" t="str">
            <v/>
          </cell>
          <cell r="AW12"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2" t="str">
            <v>howard.stiff@shaw.ca</v>
          </cell>
        </row>
        <row r="13">
          <cell r="B13">
            <v>1989</v>
          </cell>
          <cell r="C13">
            <v>537.31701070663814</v>
          </cell>
          <cell r="D13">
            <v>16674.737898929339</v>
          </cell>
          <cell r="E13">
            <v>107.46340214132763</v>
          </cell>
          <cell r="F13">
            <v>483.58530963597434</v>
          </cell>
          <cell r="G13">
            <v>89.552835117773029</v>
          </cell>
          <cell r="K13">
            <v>17892.656456531058</v>
          </cell>
          <cell r="L13" t="str">
            <v>Source: OkSox Total Rtns to Wells RY_OEY_BY (HS) 2022.05.01.xlsx ! Data worksheet. See General Comments for Methods</v>
          </cell>
          <cell r="M13" t="str">
            <v xml:space="preserve"> </v>
          </cell>
          <cell r="AK13" t="str">
            <v/>
          </cell>
          <cell r="AL13" t="str">
            <v/>
          </cell>
          <cell r="AM13" t="str">
            <v/>
          </cell>
          <cell r="AW13"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3" t="str">
            <v>howard.stiff@shaw.ca</v>
          </cell>
        </row>
        <row r="14">
          <cell r="B14">
            <v>1990</v>
          </cell>
          <cell r="C14">
            <v>3862.9532815621956</v>
          </cell>
          <cell r="D14">
            <v>2239.145486215255</v>
          </cell>
          <cell r="E14">
            <v>162.38077953469406</v>
          </cell>
          <cell r="F14">
            <v>1931.4766407810978</v>
          </cell>
          <cell r="G14">
            <v>299.12248861654172</v>
          </cell>
          <cell r="I14">
            <v>51.278140905692858</v>
          </cell>
          <cell r="K14">
            <v>8546.3568176154768</v>
          </cell>
          <cell r="L14" t="str">
            <v>Source: OkSox Total Rtns to Wells RY_OEY_BY (HS) 2022.05.01.xlsx ! Data worksheet. See General Comments for Methods</v>
          </cell>
          <cell r="M14" t="str">
            <v xml:space="preserve"> </v>
          </cell>
          <cell r="AK14" t="str">
            <v/>
          </cell>
          <cell r="AL14" t="str">
            <v/>
          </cell>
          <cell r="AM14" t="str">
            <v/>
          </cell>
          <cell r="AW14"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4" t="str">
            <v>howard.stiff@shaw.ca</v>
          </cell>
        </row>
        <row r="15">
          <cell r="B15">
            <v>1991</v>
          </cell>
          <cell r="C15">
            <v>5212.2418947503984</v>
          </cell>
          <cell r="D15">
            <v>25722.75220785911</v>
          </cell>
          <cell r="E15">
            <v>2267.6636814823164</v>
          </cell>
          <cell r="F15">
            <v>507.68589883932447</v>
          </cell>
          <cell r="G15">
            <v>33.845726589288304</v>
          </cell>
          <cell r="I15">
            <v>101.5371797678649</v>
          </cell>
          <cell r="K15">
            <v>33845.726589288301</v>
          </cell>
          <cell r="L15" t="str">
            <v>Source: OkSox Total Rtns to Wells RY_OEY_BY (HS) 2022.05.01.xlsx ! Data worksheet. See General Comments for Methods</v>
          </cell>
          <cell r="M15" t="str">
            <v xml:space="preserve"> </v>
          </cell>
          <cell r="AK15" t="str">
            <v/>
          </cell>
          <cell r="AL15" t="str">
            <v/>
          </cell>
          <cell r="AM15" t="str">
            <v/>
          </cell>
          <cell r="AW15"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5" t="str">
            <v>howard.stiff@shaw.ca</v>
          </cell>
        </row>
        <row r="16">
          <cell r="B16">
            <v>1992</v>
          </cell>
          <cell r="C16">
            <v>8814.7778236662325</v>
          </cell>
          <cell r="D16">
            <v>38232.142868327501</v>
          </cell>
          <cell r="E16">
            <v>3651.0914062522861</v>
          </cell>
          <cell r="F16">
            <v>730.21828125045715</v>
          </cell>
          <cell r="G16">
            <v>730.21828125045715</v>
          </cell>
          <cell r="K16">
            <v>52158.44866074693</v>
          </cell>
          <cell r="L16" t="str">
            <v>Source: OkSox Total Rtns to Wells RY_OEY_BY (HS) 2022.05.01.xlsx ! Data worksheet. See General Comments for Methods</v>
          </cell>
          <cell r="M16" t="str">
            <v xml:space="preserve"> </v>
          </cell>
          <cell r="AK16" t="str">
            <v/>
          </cell>
          <cell r="AL16" t="str">
            <v/>
          </cell>
          <cell r="AM16" t="str">
            <v/>
          </cell>
          <cell r="AW16"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6" t="str">
            <v>howard.stiff@shaw.ca</v>
          </cell>
        </row>
        <row r="17">
          <cell r="B17">
            <v>1993</v>
          </cell>
          <cell r="C17">
            <v>0</v>
          </cell>
          <cell r="D17">
            <v>30226.456073198235</v>
          </cell>
          <cell r="E17">
            <v>68.154354167301548</v>
          </cell>
          <cell r="F17">
            <v>1806.0903854334908</v>
          </cell>
          <cell r="G17">
            <v>1942.399093768094</v>
          </cell>
          <cell r="I17">
            <v>68.154354167301548</v>
          </cell>
          <cell r="K17">
            <v>34111.254260734422</v>
          </cell>
          <cell r="L17" t="str">
            <v>Source: OkSox Total Rtns to Wells RY_OEY_BY (HS) 2022.05.01.xlsx ! Data worksheet. See General Comments for Methods</v>
          </cell>
          <cell r="M17" t="str">
            <v xml:space="preserve"> </v>
          </cell>
          <cell r="AK17" t="str">
            <v/>
          </cell>
          <cell r="AL17" t="str">
            <v/>
          </cell>
          <cell r="AM17" t="str">
            <v/>
          </cell>
          <cell r="AW17"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7" t="str">
            <v>howard.stiff@shaw.ca</v>
          </cell>
        </row>
        <row r="18">
          <cell r="B18">
            <v>1994</v>
          </cell>
          <cell r="C18">
            <v>265.71490841910793</v>
          </cell>
          <cell r="D18">
            <v>234.12642280285036</v>
          </cell>
          <cell r="E18">
            <v>29.730339403536554</v>
          </cell>
          <cell r="F18">
            <v>1296.9860564792821</v>
          </cell>
          <cell r="G18">
            <v>31.588485616257589</v>
          </cell>
          <cell r="K18">
            <v>1858.1462127210345</v>
          </cell>
          <cell r="L18" t="str">
            <v>Source: OkSox Total Rtns to Wells RY_OEY_BY (HS) 2022.05.01.xlsx ! Data worksheet. See General Comments for Methods</v>
          </cell>
          <cell r="M18" t="str">
            <v xml:space="preserve"> </v>
          </cell>
          <cell r="AK18" t="str">
            <v/>
          </cell>
          <cell r="AL18" t="str">
            <v/>
          </cell>
          <cell r="AM18" t="str">
            <v/>
          </cell>
          <cell r="AW18"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8" t="str">
            <v>howard.stiff@shaw.ca</v>
          </cell>
        </row>
        <row r="19">
          <cell r="B19">
            <v>1995</v>
          </cell>
          <cell r="C19">
            <v>1873.4891676178395</v>
          </cell>
          <cell r="D19">
            <v>2331.6547994081589</v>
          </cell>
          <cell r="E19">
            <v>263.10501627562883</v>
          </cell>
          <cell r="F19">
            <v>58.971813992813352</v>
          </cell>
          <cell r="G19">
            <v>0</v>
          </cell>
          <cell r="K19">
            <v>4527.2207972944416</v>
          </cell>
          <cell r="L19" t="str">
            <v>Source: OkSox Total Rtns to Wells RY_OEY_BY (HS) 2022.05.01.xlsx ! Data worksheet. See General Comments for Methods</v>
          </cell>
          <cell r="M19" t="str">
            <v xml:space="preserve"> </v>
          </cell>
          <cell r="AK19" t="str">
            <v/>
          </cell>
          <cell r="AL19" t="str">
            <v/>
          </cell>
          <cell r="AM19" t="str">
            <v/>
          </cell>
          <cell r="AW19"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9" t="str">
            <v>howard.stiff@shaw.ca</v>
          </cell>
        </row>
        <row r="20">
          <cell r="B20">
            <v>1996</v>
          </cell>
          <cell r="C20">
            <v>1378.6570858305088</v>
          </cell>
          <cell r="D20">
            <v>15582.45311484746</v>
          </cell>
          <cell r="E20">
            <v>0</v>
          </cell>
          <cell r="F20">
            <v>689.32854291525439</v>
          </cell>
          <cell r="G20">
            <v>489.78606996610176</v>
          </cell>
          <cell r="K20">
            <v>18140.224813559325</v>
          </cell>
          <cell r="L20" t="str">
            <v>Source: OkSox Total Rtns to Wells RY_OEY_BY (HS) 2022.05.01.xlsx ! Data worksheet. See General Comments for Methods</v>
          </cell>
          <cell r="M20" t="str">
            <v xml:space="preserve"> </v>
          </cell>
          <cell r="AK20" t="str">
            <v/>
          </cell>
          <cell r="AL20" t="str">
            <v/>
          </cell>
          <cell r="AM20" t="str">
            <v/>
          </cell>
          <cell r="AW20"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0" t="str">
            <v>howard.stiff@shaw.ca</v>
          </cell>
        </row>
        <row r="21">
          <cell r="B21">
            <v>1997</v>
          </cell>
          <cell r="C21">
            <v>0</v>
          </cell>
          <cell r="D21">
            <v>26686.980950655357</v>
          </cell>
          <cell r="E21">
            <v>250.97474248265226</v>
          </cell>
          <cell r="F21">
            <v>948.12680493446419</v>
          </cell>
          <cell r="G21">
            <v>0</v>
          </cell>
          <cell r="K21">
            <v>27886.082498072476</v>
          </cell>
          <cell r="L21" t="str">
            <v>Source: OkSox Total Rtns to Wells RY_OEY_BY (HS) 2022.05.01.xlsx ! Data worksheet. See General Comments for Methods</v>
          </cell>
          <cell r="M21" t="str">
            <v xml:space="preserve"> </v>
          </cell>
          <cell r="AK21" t="str">
            <v/>
          </cell>
          <cell r="AL21" t="str">
            <v/>
          </cell>
          <cell r="AM21" t="str">
            <v/>
          </cell>
          <cell r="AW21"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1" t="str">
            <v>howard.stiff@shaw.ca</v>
          </cell>
        </row>
        <row r="22">
          <cell r="B22">
            <v>1998</v>
          </cell>
          <cell r="C22">
            <v>350.20194600385685</v>
          </cell>
          <cell r="D22">
            <v>5213.3836867366617</v>
          </cell>
          <cell r="E22">
            <v>0</v>
          </cell>
          <cell r="F22">
            <v>1043.9982541247052</v>
          </cell>
          <cell r="G22">
            <v>0</v>
          </cell>
          <cell r="K22">
            <v>6607.5838868652236</v>
          </cell>
          <cell r="L22" t="str">
            <v>Source: OkSox Total Rtns to Wells RY_OEY_BY (HS) 2022.05.01.xlsx ! Data worksheet. See General Comments for Methods</v>
          </cell>
          <cell r="M22" t="str">
            <v xml:space="preserve"> </v>
          </cell>
          <cell r="AK22" t="str">
            <v/>
          </cell>
          <cell r="AL22" t="str">
            <v/>
          </cell>
          <cell r="AM22" t="str">
            <v/>
          </cell>
          <cell r="AW22"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2" t="str">
            <v>howard.stiff@shaw.ca</v>
          </cell>
        </row>
        <row r="23">
          <cell r="B23">
            <v>1999</v>
          </cell>
          <cell r="C23">
            <v>1374.2567886342606</v>
          </cell>
          <cell r="D23">
            <v>10234.596610091992</v>
          </cell>
          <cell r="E23">
            <v>458.08559621142012</v>
          </cell>
          <cell r="F23">
            <v>0</v>
          </cell>
          <cell r="G23">
            <v>0</v>
          </cell>
          <cell r="K23">
            <v>12066.938994937673</v>
          </cell>
          <cell r="L23" t="str">
            <v>Source: OkSox Total Rtns to Wells RY_OEY_BY (HS) 2022.05.01.xlsx ! Data worksheet. See General Comments for Methods</v>
          </cell>
          <cell r="M23" t="str">
            <v xml:space="preserve"> </v>
          </cell>
          <cell r="AK23" t="str">
            <v/>
          </cell>
          <cell r="AL23" t="str">
            <v/>
          </cell>
          <cell r="AM23" t="str">
            <v/>
          </cell>
          <cell r="AW23"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3" t="str">
            <v>howard.stiff@shaw.ca</v>
          </cell>
        </row>
        <row r="24">
          <cell r="B24">
            <v>2000</v>
          </cell>
          <cell r="C24">
            <v>9512.5530970305317</v>
          </cell>
          <cell r="D24">
            <v>61465.727703889585</v>
          </cell>
          <cell r="E24">
            <v>731.73485361773317</v>
          </cell>
          <cell r="F24">
            <v>731.73485361773317</v>
          </cell>
          <cell r="G24">
            <v>731.73485361773317</v>
          </cell>
          <cell r="K24">
            <v>73173.485361773302</v>
          </cell>
          <cell r="L24" t="str">
            <v>Source: OkSox Total Rtns to Wells RY_OEY_BY (HS) 2022.05.01.xlsx ! Data worksheet. See General Comments for Methods</v>
          </cell>
          <cell r="M24" t="str">
            <v xml:space="preserve"> </v>
          </cell>
          <cell r="AK24" t="str">
            <v/>
          </cell>
          <cell r="AL24" t="str">
            <v/>
          </cell>
          <cell r="AM24" t="str">
            <v/>
          </cell>
          <cell r="AW24"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4" t="str">
            <v>howard.stiff@shaw.ca</v>
          </cell>
        </row>
        <row r="25">
          <cell r="B25">
            <v>2001</v>
          </cell>
          <cell r="C25">
            <v>2694.6980111789394</v>
          </cell>
          <cell r="D25">
            <v>77084.694622815718</v>
          </cell>
          <cell r="E25">
            <v>0</v>
          </cell>
          <cell r="F25">
            <v>1796.4653407859594</v>
          </cell>
          <cell r="G25">
            <v>0</v>
          </cell>
          <cell r="K25">
            <v>81575.857974780622</v>
          </cell>
          <cell r="L25" t="str">
            <v>Source: OkSox Total Rtns to Wells RY_OEY_BY (HS) 2022.05.01.xlsx ! Data worksheet. See General Comments for Methods</v>
          </cell>
          <cell r="M25" t="str">
            <v xml:space="preserve"> </v>
          </cell>
          <cell r="AK25" t="str">
            <v/>
          </cell>
          <cell r="AL25" t="str">
            <v/>
          </cell>
          <cell r="AM25" t="str">
            <v/>
          </cell>
          <cell r="AW25"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5" t="str">
            <v>howard.stiff@shaw.ca</v>
          </cell>
        </row>
        <row r="26">
          <cell r="B26">
            <v>2002</v>
          </cell>
          <cell r="C26">
            <v>154.04397518050541</v>
          </cell>
          <cell r="D26">
            <v>5889.2196665162464</v>
          </cell>
          <cell r="E26">
            <v>154.04397518050541</v>
          </cell>
          <cell r="F26">
            <v>1753.7314097472924</v>
          </cell>
          <cell r="G26">
            <v>2618.7475780685922</v>
          </cell>
          <cell r="I26">
            <v>1196.8031917870037</v>
          </cell>
          <cell r="K26">
            <v>11766.589796480144</v>
          </cell>
          <cell r="L26" t="str">
            <v>Source: OkSox Total Rtns to Wells RY_OEY_BY (HS) 2022.05.01.xlsx ! Data worksheet. See General Comments for Methods</v>
          </cell>
          <cell r="M26" t="str">
            <v xml:space="preserve"> </v>
          </cell>
          <cell r="AK26" t="str">
            <v/>
          </cell>
          <cell r="AL26" t="str">
            <v/>
          </cell>
          <cell r="AM26" t="str">
            <v/>
          </cell>
          <cell r="AW26"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6" t="str">
            <v>howard.stiff@shaw.ca</v>
          </cell>
        </row>
        <row r="27">
          <cell r="B27">
            <v>2003</v>
          </cell>
          <cell r="C27">
            <v>8969.7424916760119</v>
          </cell>
          <cell r="D27">
            <v>16040.780368325713</v>
          </cell>
          <cell r="E27">
            <v>1735.0231826964546</v>
          </cell>
          <cell r="F27">
            <v>130.94514586388337</v>
          </cell>
          <cell r="G27">
            <v>261.89029172776674</v>
          </cell>
          <cell r="I27">
            <v>294.62657819373754</v>
          </cell>
          <cell r="J27">
            <v>1571</v>
          </cell>
          <cell r="K27">
            <v>29004.008058483567</v>
          </cell>
          <cell r="L27" t="str">
            <v>Source: OkSox Total Rtns to Wells RY_OEY_BY (HS) 2022.05.01.xlsx ! Data worksheet. See General Comments for Methods</v>
          </cell>
          <cell r="M27" t="str">
            <v xml:space="preserve"> </v>
          </cell>
          <cell r="AK27" t="str">
            <v/>
          </cell>
          <cell r="AL27" t="str">
            <v/>
          </cell>
          <cell r="AM27" t="str">
            <v/>
          </cell>
          <cell r="AW27"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7" t="str">
            <v>howard.stiff@shaw.ca</v>
          </cell>
        </row>
        <row r="28">
          <cell r="B28">
            <v>2004</v>
          </cell>
          <cell r="C28">
            <v>2796.7694027431421</v>
          </cell>
          <cell r="D28">
            <v>84263.955553615975</v>
          </cell>
          <cell r="E28">
            <v>270.65510349127186</v>
          </cell>
          <cell r="F28">
            <v>0</v>
          </cell>
          <cell r="G28">
            <v>1353.275517456359</v>
          </cell>
          <cell r="I28">
            <v>0</v>
          </cell>
          <cell r="J28">
            <v>1623.9306209476308</v>
          </cell>
          <cell r="K28">
            <v>90308.586198254387</v>
          </cell>
          <cell r="L28" t="str">
            <v>Source: OkSox Total Rtns to Wells RY_OEY_BY (HS) 2022.05.01.xlsx ! Data worksheet. See General Comments for Methods</v>
          </cell>
          <cell r="M28" t="str">
            <v xml:space="preserve"> </v>
          </cell>
          <cell r="AK28" t="str">
            <v/>
          </cell>
          <cell r="AL28" t="str">
            <v/>
          </cell>
          <cell r="AM28" t="str">
            <v/>
          </cell>
          <cell r="AW28"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8" t="str">
            <v>howard.stiff@shaw.ca</v>
          </cell>
        </row>
        <row r="29">
          <cell r="B29">
            <v>2005</v>
          </cell>
          <cell r="C29">
            <v>853.80249957880551</v>
          </cell>
          <cell r="D29">
            <v>50715.868474981049</v>
          </cell>
          <cell r="E29">
            <v>1309.1638326875018</v>
          </cell>
          <cell r="F29">
            <v>2219.8864989048943</v>
          </cell>
          <cell r="G29">
            <v>1081.4831661331536</v>
          </cell>
          <cell r="I29">
            <v>796.88233294021848</v>
          </cell>
          <cell r="K29">
            <v>56977.086805225626</v>
          </cell>
          <cell r="L29" t="str">
            <v>Source: OkSox Total Rtns to Wells RY_OEY_BY (HS) 2022.05.01.xlsx ! Data worksheet. See General Comments for Methods</v>
          </cell>
          <cell r="M29" t="str">
            <v xml:space="preserve"> </v>
          </cell>
          <cell r="AK29" t="str">
            <v/>
          </cell>
          <cell r="AL29" t="str">
            <v/>
          </cell>
          <cell r="AM29" t="str">
            <v/>
          </cell>
          <cell r="AW29"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9" t="str">
            <v>howard.stiff@shaw.ca</v>
          </cell>
        </row>
        <row r="30">
          <cell r="B30">
            <v>2006</v>
          </cell>
          <cell r="C30">
            <v>55.452900760668619</v>
          </cell>
          <cell r="D30">
            <v>20573.026182208054</v>
          </cell>
          <cell r="E30">
            <v>0</v>
          </cell>
          <cell r="F30">
            <v>2550.8334349907559</v>
          </cell>
          <cell r="G30">
            <v>110.90580152133724</v>
          </cell>
          <cell r="I30">
            <v>0</v>
          </cell>
          <cell r="K30">
            <v>23290.218319480817</v>
          </cell>
          <cell r="L30" t="str">
            <v>Source: OkSox Total Rtns to Wells RY_OEY_BY (HS) 2022.05.01.xlsx ! Data worksheet. See General Comments for Methods</v>
          </cell>
          <cell r="M30" t="str">
            <v xml:space="preserve"> </v>
          </cell>
          <cell r="AK30" t="str">
            <v/>
          </cell>
          <cell r="AL30" t="str">
            <v/>
          </cell>
          <cell r="AM30" t="str">
            <v/>
          </cell>
          <cell r="AW30"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0" t="str">
            <v>howard.stiff@shaw.ca</v>
          </cell>
        </row>
        <row r="31">
          <cell r="B31">
            <v>2007</v>
          </cell>
          <cell r="C31">
            <v>6118.6092008143105</v>
          </cell>
          <cell r="D31">
            <v>11058.403784957974</v>
          </cell>
          <cell r="E31">
            <v>1403.350734131722</v>
          </cell>
          <cell r="F31">
            <v>2806.7014682634453</v>
          </cell>
          <cell r="G31">
            <v>224.53611746107563</v>
          </cell>
          <cell r="I31">
            <v>0</v>
          </cell>
          <cell r="K31">
            <v>21611.601305628534</v>
          </cell>
          <cell r="L31" t="str">
            <v>Source: OkSox Total Rtns to Wells RY_OEY_BY (HS) 2022.05.01.xlsx ! Data worksheet. See General Comments for Methods</v>
          </cell>
          <cell r="M31" t="str">
            <v xml:space="preserve"> </v>
          </cell>
          <cell r="AK31" t="str">
            <v/>
          </cell>
          <cell r="AL31" t="str">
            <v/>
          </cell>
          <cell r="AM31" t="str">
            <v/>
          </cell>
          <cell r="AW31"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1" t="str">
            <v>howard.stiff@shaw.ca</v>
          </cell>
        </row>
        <row r="32">
          <cell r="B32">
            <v>2008</v>
          </cell>
          <cell r="C32">
            <v>8454.9655676902348</v>
          </cell>
          <cell r="D32">
            <v>171466.70171275796</v>
          </cell>
          <cell r="E32">
            <v>0</v>
          </cell>
          <cell r="F32">
            <v>1690.9931135380471</v>
          </cell>
          <cell r="G32">
            <v>676.39724541521878</v>
          </cell>
          <cell r="K32">
            <v>182289.05763940146</v>
          </cell>
          <cell r="L32" t="str">
            <v>Source: OkSox Total Rtns to Wells RY_OEY_BY (HS) 2022.05.01.xlsx ! Data worksheet. See General Comments for Methods</v>
          </cell>
          <cell r="M32" t="str">
            <v xml:space="preserve"> </v>
          </cell>
          <cell r="AK32" t="str">
            <v/>
          </cell>
          <cell r="AL32" t="str">
            <v/>
          </cell>
          <cell r="AM32" t="str">
            <v/>
          </cell>
          <cell r="AW32"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2" t="str">
            <v>howard.stiff@shaw.ca</v>
          </cell>
        </row>
        <row r="33">
          <cell r="B33">
            <v>2009</v>
          </cell>
          <cell r="C33">
            <v>5154.6266229719249</v>
          </cell>
          <cell r="D33">
            <v>129472.09223582424</v>
          </cell>
          <cell r="E33">
            <v>0</v>
          </cell>
          <cell r="F33">
            <v>7883.5465998394147</v>
          </cell>
          <cell r="G33">
            <v>4851.4132922088711</v>
          </cell>
          <cell r="I33">
            <v>0</v>
          </cell>
          <cell r="K33">
            <v>147361.67875084444</v>
          </cell>
          <cell r="L33" t="str">
            <v>Source: OkSox Total Rtns to Wells RY_OEY_BY (HS) 2022.05.01.xlsx ! Data worksheet. See General Comments for Methods</v>
          </cell>
          <cell r="M33" t="str">
            <v xml:space="preserve"> </v>
          </cell>
          <cell r="AK33" t="str">
            <v/>
          </cell>
          <cell r="AL33" t="str">
            <v/>
          </cell>
          <cell r="AM33" t="str">
            <v/>
          </cell>
          <cell r="AW33"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3" t="str">
            <v>howard.stiff@shaw.ca</v>
          </cell>
        </row>
        <row r="34">
          <cell r="B34">
            <v>2010</v>
          </cell>
          <cell r="C34">
            <v>2939.5537352199385</v>
          </cell>
          <cell r="D34">
            <v>298010.78185510327</v>
          </cell>
          <cell r="E34">
            <v>5666.8716907569979</v>
          </cell>
          <cell r="F34">
            <v>24667.559124471634</v>
          </cell>
          <cell r="G34">
            <v>2000.0723614436463</v>
          </cell>
          <cell r="K34">
            <v>333284.83876699547</v>
          </cell>
          <cell r="L34" t="str">
            <v>Source: OkSox Total Rtns to Wells RY_OEY_BY (HS) 2022.05.01.xlsx ! Data worksheet. See General Comments for Methods</v>
          </cell>
          <cell r="M34" t="str">
            <v xml:space="preserve"> </v>
          </cell>
          <cell r="AK34" t="str">
            <v/>
          </cell>
          <cell r="AL34" t="str">
            <v/>
          </cell>
          <cell r="AM34" t="str">
            <v/>
          </cell>
          <cell r="AW34"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4" t="str">
            <v>howard.stiff@shaw.ca</v>
          </cell>
        </row>
        <row r="35">
          <cell r="B35">
            <v>2011</v>
          </cell>
          <cell r="C35">
            <v>25806.372772097922</v>
          </cell>
          <cell r="D35">
            <v>94150.722641060565</v>
          </cell>
          <cell r="E35">
            <v>6097.1100505506074</v>
          </cell>
          <cell r="F35">
            <v>10067.32124625798</v>
          </cell>
          <cell r="G35">
            <v>5671.7302795819614</v>
          </cell>
          <cell r="I35">
            <v>0</v>
          </cell>
          <cell r="K35">
            <v>141793.25698954903</v>
          </cell>
          <cell r="L35" t="str">
            <v>Source: OkSox Total Rtns to Wells RY_OEY_BY (HS) 2022.05.01.xlsx ! Data worksheet. See General Comments for Methods</v>
          </cell>
          <cell r="M35" t="str">
            <v xml:space="preserve"> </v>
          </cell>
          <cell r="AK35" t="str">
            <v/>
          </cell>
          <cell r="AL35" t="str">
            <v/>
          </cell>
          <cell r="AM35" t="str">
            <v/>
          </cell>
          <cell r="AW35"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5" t="str">
            <v>howard.stiff@shaw.ca</v>
          </cell>
        </row>
        <row r="36">
          <cell r="B36">
            <v>2012</v>
          </cell>
          <cell r="C36">
            <v>1228.5957574838051</v>
          </cell>
          <cell r="D36">
            <v>397655.49350559153</v>
          </cell>
          <cell r="E36">
            <v>2866.7234341288786</v>
          </cell>
          <cell r="F36">
            <v>2866.7234341288786</v>
          </cell>
          <cell r="G36">
            <v>4914.3830299352203</v>
          </cell>
          <cell r="K36">
            <v>409531.91916126828</v>
          </cell>
          <cell r="L36" t="str">
            <v>Source: OkSox Total Rtns to Wells RY_OEY_BY (HS) 2022.05.01.xlsx ! Data worksheet. See General Comments for Methods</v>
          </cell>
          <cell r="M36" t="str">
            <v xml:space="preserve"> </v>
          </cell>
          <cell r="AK36" t="str">
            <v/>
          </cell>
          <cell r="AL36" t="str">
            <v/>
          </cell>
          <cell r="AM36" t="str">
            <v/>
          </cell>
          <cell r="AW36"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6" t="str">
            <v>howard.stiff@shaw.ca</v>
          </cell>
        </row>
        <row r="37">
          <cell r="B37">
            <v>2013</v>
          </cell>
          <cell r="C37">
            <v>25898.630819908431</v>
          </cell>
          <cell r="D37">
            <v>86783.131343903675</v>
          </cell>
          <cell r="E37">
            <v>1817.4477768356792</v>
          </cell>
          <cell r="F37">
            <v>3634.8955536713584</v>
          </cell>
          <cell r="G37">
            <v>16659.937954327059</v>
          </cell>
          <cell r="K37">
            <v>134794.0434486462</v>
          </cell>
          <cell r="L37" t="str">
            <v>Source: OkSox Total Rtns to Wells RY_OEY_BY (HS) 2022.05.01.xlsx ! Data worksheet. See General Comments for Methods</v>
          </cell>
          <cell r="M37" t="str">
            <v xml:space="preserve"> </v>
          </cell>
          <cell r="AK37" t="str">
            <v/>
          </cell>
          <cell r="AL37" t="str">
            <v/>
          </cell>
          <cell r="AM37" t="str">
            <v/>
          </cell>
          <cell r="AW37"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7" t="str">
            <v>howard.stiff@shaw.ca</v>
          </cell>
        </row>
        <row r="38">
          <cell r="B38">
            <v>2014</v>
          </cell>
          <cell r="C38">
            <v>42638.953237049769</v>
          </cell>
          <cell r="D38">
            <v>458550.30001888075</v>
          </cell>
          <cell r="E38">
            <v>0</v>
          </cell>
          <cell r="F38">
            <v>15561.661765346631</v>
          </cell>
          <cell r="G38">
            <v>2074.8882353795507</v>
          </cell>
          <cell r="K38">
            <v>518825.80325665668</v>
          </cell>
          <cell r="L38" t="str">
            <v>Source: OkSox Total Rtns to Wells RY_OEY_BY (HS) 2022.05.01.xlsx ! Data worksheet. See General Comments for Methods</v>
          </cell>
          <cell r="M38" t="str">
            <v xml:space="preserve"> </v>
          </cell>
          <cell r="AK38" t="str">
            <v/>
          </cell>
          <cell r="AL38" t="str">
            <v/>
          </cell>
          <cell r="AM38" t="str">
            <v/>
          </cell>
          <cell r="AW38"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8" t="str">
            <v>howard.stiff@shaw.ca</v>
          </cell>
        </row>
        <row r="39">
          <cell r="B39">
            <v>2015</v>
          </cell>
          <cell r="C39">
            <v>721.85909542916295</v>
          </cell>
          <cell r="D39">
            <v>341800.28168570867</v>
          </cell>
          <cell r="E39">
            <v>1082.7886431437444</v>
          </cell>
          <cell r="F39">
            <v>10827.886431437444</v>
          </cell>
          <cell r="G39">
            <v>360.92954771458147</v>
          </cell>
          <cell r="K39">
            <v>354793.74540343363</v>
          </cell>
          <cell r="L39" t="str">
            <v>Source: OkSox Total Rtns to Wells RY_OEY_BY (HS) 2022.05.01.xlsx ! Data worksheet. See General Comments for Methods</v>
          </cell>
          <cell r="M39" t="str">
            <v xml:space="preserve"> </v>
          </cell>
          <cell r="AK39" t="str">
            <v/>
          </cell>
          <cell r="AL39" t="str">
            <v/>
          </cell>
          <cell r="AM39" t="str">
            <v/>
          </cell>
          <cell r="AW39"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9" t="str">
            <v>howard.stiff@shaw.ca</v>
          </cell>
        </row>
        <row r="40">
          <cell r="B40">
            <v>2016</v>
          </cell>
          <cell r="C40">
            <v>2384.1576020570919</v>
          </cell>
          <cell r="D40">
            <v>228163.8825168637</v>
          </cell>
          <cell r="E40">
            <v>715.24728061712767</v>
          </cell>
          <cell r="F40">
            <v>5960.3940051427307</v>
          </cell>
          <cell r="G40">
            <v>1192.078801028546</v>
          </cell>
          <cell r="K40">
            <v>238415.7602057092</v>
          </cell>
          <cell r="L40" t="str">
            <v>Source: OkSox Total Rtns to Wells RY_OEY_BY (HS) 2022.05.01.xlsx ! Data worksheet. See General Comments for Methods</v>
          </cell>
          <cell r="M40" t="str">
            <v xml:space="preserve"> </v>
          </cell>
          <cell r="AK40" t="str">
            <v/>
          </cell>
          <cell r="AL40" t="str">
            <v/>
          </cell>
          <cell r="AM40" t="str">
            <v/>
          </cell>
          <cell r="AW40"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40" t="str">
            <v>howard.stiff@shaw.ca</v>
          </cell>
        </row>
        <row r="41">
          <cell r="B41">
            <v>2017</v>
          </cell>
          <cell r="C41">
            <v>1925.1331075145458</v>
          </cell>
          <cell r="D41">
            <v>38452.000752724744</v>
          </cell>
          <cell r="E41">
            <v>759.92096349258384</v>
          </cell>
          <cell r="F41">
            <v>9169.7129594771777</v>
          </cell>
          <cell r="G41">
            <v>354.6297829632058</v>
          </cell>
          <cell r="I41">
            <v>0</v>
          </cell>
          <cell r="K41">
            <v>50661.397566172251</v>
          </cell>
          <cell r="L41" t="str">
            <v>Source: OkSox Total Rtns to Wells RY_OEY_BY (HS) 2022.05.01.xlsx ! Data worksheet. See General Comments for Methods</v>
          </cell>
          <cell r="M41" t="str">
            <v xml:space="preserve"> </v>
          </cell>
          <cell r="AK41" t="str">
            <v/>
          </cell>
          <cell r="AL41" t="str">
            <v/>
          </cell>
          <cell r="AM41" t="str">
            <v/>
          </cell>
          <cell r="AW41"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41" t="str">
            <v>howard.stiff@shaw.ca</v>
          </cell>
        </row>
        <row r="42">
          <cell r="B42">
            <v>2018</v>
          </cell>
          <cell r="C42">
            <v>450.09855797778022</v>
          </cell>
          <cell r="D42">
            <v>168094.49992170176</v>
          </cell>
          <cell r="E42">
            <v>450.09855797778022</v>
          </cell>
          <cell r="F42">
            <v>3635.4114298205332</v>
          </cell>
          <cell r="G42">
            <v>450.09855797778022</v>
          </cell>
          <cell r="K42">
            <v>173080.20702545566</v>
          </cell>
          <cell r="L42" t="str">
            <v>Source: OkSox Total Rtns to Wells RY_OEY_BY (HS) 2022.05.01.xlsx ! Data worksheet. See General Comments for Methods</v>
          </cell>
          <cell r="M42" t="str">
            <v xml:space="preserve"> </v>
          </cell>
          <cell r="AK42" t="str">
            <v/>
          </cell>
          <cell r="AL42" t="str">
            <v/>
          </cell>
          <cell r="AM42" t="str">
            <v/>
          </cell>
          <cell r="AW42"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42" t="str">
            <v>howard.stiff@shaw.ca</v>
          </cell>
        </row>
        <row r="43">
          <cell r="B43">
            <v>2019</v>
          </cell>
          <cell r="C43">
            <v>9930.7731228441644</v>
          </cell>
          <cell r="D43">
            <v>29094.481257197502</v>
          </cell>
          <cell r="E43">
            <v>107.35970943615314</v>
          </cell>
          <cell r="F43">
            <v>14332.521209726445</v>
          </cell>
          <cell r="G43">
            <v>214.71941887230628</v>
          </cell>
          <cell r="I43">
            <v>0</v>
          </cell>
          <cell r="K43">
            <v>53679.854718076574</v>
          </cell>
          <cell r="L43" t="str">
            <v>Source: OkSox Total Rtns to Wells RY_OEY_BY (HS) 2022.05.01.xlsx ! Data worksheet. See General Comments for Methods</v>
          </cell>
          <cell r="M43" t="str">
            <v xml:space="preserve"> </v>
          </cell>
          <cell r="AK43" t="str">
            <v/>
          </cell>
          <cell r="AL43" t="str">
            <v/>
          </cell>
          <cell r="AM43" t="str">
            <v/>
          </cell>
          <cell r="AW43"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43" t="str">
            <v>howard.stiff@shaw.ca</v>
          </cell>
        </row>
        <row r="44">
          <cell r="B44">
            <v>2020</v>
          </cell>
          <cell r="C44">
            <v>3030.8279161424903</v>
          </cell>
          <cell r="D44">
            <v>271121.33358947368</v>
          </cell>
          <cell r="E44">
            <v>551.0596211168164</v>
          </cell>
          <cell r="F44">
            <v>3030.8279161424903</v>
          </cell>
          <cell r="G44">
            <v>551</v>
          </cell>
          <cell r="I44">
            <v>0</v>
          </cell>
          <cell r="K44">
            <v>278285.04904287547</v>
          </cell>
          <cell r="L44" t="str">
            <v>Source: OkSox Total Rtns to Wells RY_OEY_BY (HS) 2022.05.01.xlsx ! Data worksheet. See General Comments for Methods</v>
          </cell>
          <cell r="M44" t="str">
            <v xml:space="preserve"> </v>
          </cell>
          <cell r="AK44" t="str">
            <v/>
          </cell>
          <cell r="AL44" t="str">
            <v/>
          </cell>
          <cell r="AM44" t="str">
            <v/>
          </cell>
          <cell r="AW44"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44" t="str">
            <v>howard.stiff@shaw.ca</v>
          </cell>
        </row>
        <row r="45">
          <cell r="B45">
            <v>2021</v>
          </cell>
          <cell r="C45">
            <v>1168</v>
          </cell>
          <cell r="D45">
            <v>103435</v>
          </cell>
          <cell r="E45">
            <v>212</v>
          </cell>
          <cell r="F45">
            <v>1168</v>
          </cell>
          <cell r="G45">
            <v>212</v>
          </cell>
          <cell r="K45">
            <v>106195</v>
          </cell>
          <cell r="L45" t="str">
            <v>Age composition not yet updated with 2021 estimates! [hs 2022-05-04]</v>
          </cell>
          <cell r="M45" t="str">
            <v xml:space="preserve"> </v>
          </cell>
          <cell r="AK45" t="str">
            <v/>
          </cell>
          <cell r="AL45" t="str">
            <v/>
          </cell>
          <cell r="AM45" t="str">
            <v/>
          </cell>
          <cell r="AW45"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45" t="str">
            <v>howard.stiff@shaw.ca</v>
          </cell>
        </row>
        <row r="46">
          <cell r="K46" t="str">
            <v/>
          </cell>
          <cell r="M46" t="str">
            <v xml:space="preserve"> </v>
          </cell>
          <cell r="AK46" t="str">
            <v/>
          </cell>
          <cell r="AL46" t="str">
            <v/>
          </cell>
          <cell r="AM46" t="str">
            <v/>
          </cell>
        </row>
        <row r="47">
          <cell r="K47" t="str">
            <v/>
          </cell>
          <cell r="M47" t="str">
            <v xml:space="preserve"> </v>
          </cell>
          <cell r="AK47" t="str">
            <v/>
          </cell>
          <cell r="AL47" t="str">
            <v/>
          </cell>
          <cell r="AM47" t="str">
            <v/>
          </cell>
        </row>
        <row r="48">
          <cell r="K48" t="str">
            <v/>
          </cell>
          <cell r="M48" t="str">
            <v xml:space="preserve"> </v>
          </cell>
          <cell r="AK48" t="str">
            <v/>
          </cell>
          <cell r="AL48" t="str">
            <v/>
          </cell>
          <cell r="AM48" t="str">
            <v/>
          </cell>
        </row>
        <row r="49">
          <cell r="K49" t="str">
            <v/>
          </cell>
          <cell r="M49" t="str">
            <v xml:space="preserve"> </v>
          </cell>
          <cell r="AK49" t="str">
            <v/>
          </cell>
          <cell r="AL49" t="str">
            <v/>
          </cell>
          <cell r="AM49" t="str">
            <v/>
          </cell>
        </row>
        <row r="50">
          <cell r="K50" t="str">
            <v/>
          </cell>
          <cell r="M50" t="str">
            <v xml:space="preserve"> </v>
          </cell>
          <cell r="AK50" t="str">
            <v/>
          </cell>
          <cell r="AL50" t="str">
            <v/>
          </cell>
          <cell r="AM50" t="str">
            <v/>
          </cell>
        </row>
        <row r="51">
          <cell r="K51" t="str">
            <v/>
          </cell>
          <cell r="M51" t="str">
            <v xml:space="preserve"> </v>
          </cell>
          <cell r="AK51" t="str">
            <v/>
          </cell>
          <cell r="AL51" t="str">
            <v/>
          </cell>
          <cell r="AM51" t="str">
            <v/>
          </cell>
        </row>
        <row r="52">
          <cell r="K52" t="str">
            <v/>
          </cell>
          <cell r="AK52" t="str">
            <v/>
          </cell>
          <cell r="AL52" t="str">
            <v/>
          </cell>
          <cell r="AM52" t="str">
            <v/>
          </cell>
        </row>
      </sheetData>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ckeye Returns Data"/>
      <sheetName val="Wells Counts at CBR (22.10.29)"/>
      <sheetName val="Data at Age"/>
      <sheetName val="Annual Ok Sox Returns by RY"/>
      <sheetName val="Annual Ok Sox Returns by OEY"/>
      <sheetName val="Annual Bon to Wells Summary"/>
      <sheetName val="Returns by Year"/>
      <sheetName val="Returns at Age by OEY"/>
      <sheetName val="Returns by Year Plot"/>
      <sheetName val="Compare Tot OEY Returns at Age"/>
      <sheetName val="Compare Age Composition"/>
      <sheetName val="&quot;SIRE&quot; age comp"/>
      <sheetName val="&quot;Fryer&quot; age comp"/>
      <sheetName val="Marine Survival"/>
      <sheetName val="Marine Survival Plot"/>
    </sheetNames>
    <sheetDataSet>
      <sheetData sheetId="0">
        <row r="1">
          <cell r="A1" t="str">
            <v>Return Year</v>
          </cell>
          <cell r="B1" t="str">
            <v>Total Sox (Mouth)  [16-hour]</v>
          </cell>
          <cell r="C1" t="str">
            <v>Total Sox (Bonn)  [16-hour]</v>
          </cell>
          <cell r="D1" t="str">
            <v>Total Sox (Rock)  [24-hour]</v>
          </cell>
          <cell r="E1" t="str">
            <v>Total Sox (Wells) [orig]</v>
          </cell>
          <cell r="F1" t="str">
            <v>Total Sox (Wells) [16-hour]</v>
          </cell>
          <cell r="G1" t="str">
            <v>Total Sox (Wells) [24-hour]</v>
          </cell>
          <cell r="H1" t="str">
            <v>Ok Stock Composition (Wells:Rock [orig])</v>
          </cell>
          <cell r="I1" t="str">
            <v>Ok Stock Composition (Wells:Rock [adj])</v>
          </cell>
          <cell r="J1" t="str">
            <v>OK Sox at Mouth (Wells:Rock [obsolete])</v>
          </cell>
          <cell r="K1" t="str">
            <v>OK Sox at Mouth (Wells:Rock [adj])</v>
          </cell>
          <cell r="L1" t="str">
            <v>Ok Stock Composition (PIT&amp;DNA)</v>
          </cell>
          <cell r="M1" t="str">
            <v>OK Sox at Bonn (PIT&amp;DNA)</v>
          </cell>
          <cell r="N1" t="str">
            <v>OK Sox at Mouth (A)</v>
          </cell>
          <cell r="O1" t="str">
            <v>Total Harvest Below Bonn</v>
          </cell>
          <cell r="P1" t="str">
            <v>Total Harvest Bonn to Wells</v>
          </cell>
          <cell r="Q1" t="str">
            <v>Total Harvest Below Wells</v>
          </cell>
          <cell r="R1" t="str">
            <v>OK Sox Harvest Below Wells (F)</v>
          </cell>
          <cell r="S1" t="str">
            <v>Ok Sox @Wells (incl. Harvest)   (B)</v>
          </cell>
          <cell r="T1" t="str">
            <v>Ok Harvest Rate (below Wells)</v>
          </cell>
          <cell r="U1" t="str">
            <v>Ok Sox Nat Mort Rate Bonn-Wells (%)</v>
          </cell>
          <cell r="V1" t="str">
            <v>Ok Sox Nat Morts (#fish) Bonn-Wells (M)</v>
          </cell>
          <cell r="W1" t="str">
            <v>Ok Sox @ Mouth (Wells+F+M)   (C)</v>
          </cell>
          <cell r="X1" t="str">
            <v>Mainstem Ok Natural Mortality? (A-B)</v>
          </cell>
          <cell r="Y1" t="str">
            <v>Mouth to Wells %Mort</v>
          </cell>
          <cell r="Z1" t="str">
            <v>Mouth to Wells Survival (CR)</v>
          </cell>
          <cell r="AA1" t="str">
            <v>Bonn to Wells Survival (CR)</v>
          </cell>
        </row>
        <row r="2">
          <cell r="A2">
            <v>1980</v>
          </cell>
          <cell r="B2">
            <v>58886</v>
          </cell>
          <cell r="C2">
            <v>58882</v>
          </cell>
          <cell r="D2">
            <v>52657</v>
          </cell>
          <cell r="E2">
            <v>26573</v>
          </cell>
          <cell r="F2">
            <v>26573</v>
          </cell>
          <cell r="G2">
            <v>30080.635999999999</v>
          </cell>
          <cell r="H2">
            <v>0.50464325730672088</v>
          </cell>
          <cell r="I2">
            <v>0.57125616727120798</v>
          </cell>
          <cell r="J2">
            <v>29716.422849763567</v>
          </cell>
          <cell r="K2">
            <v>33638.990665932353</v>
          </cell>
          <cell r="N2">
            <v>33638.990665932353</v>
          </cell>
          <cell r="O2">
            <v>4</v>
          </cell>
          <cell r="P2">
            <v>636</v>
          </cell>
          <cell r="Q2">
            <v>640</v>
          </cell>
          <cell r="R2">
            <v>365.60394705357311</v>
          </cell>
          <cell r="S2">
            <v>30446.239947053571</v>
          </cell>
          <cell r="T2">
            <v>1.2008180573015366E-2</v>
          </cell>
          <cell r="U2">
            <v>0.19918512970320923</v>
          </cell>
          <cell r="V2">
            <v>6064.4382528288961</v>
          </cell>
          <cell r="W2">
            <v>36510.678199882466</v>
          </cell>
          <cell r="X2">
            <v>3192.7507188787822</v>
          </cell>
          <cell r="Y2">
            <v>9.4912203240158977E-2</v>
          </cell>
          <cell r="Z2">
            <v>0.4574704334995342</v>
          </cell>
          <cell r="AA2">
            <v>0.45750151059837596</v>
          </cell>
        </row>
        <row r="3">
          <cell r="A3">
            <v>1981</v>
          </cell>
          <cell r="B3">
            <v>56037</v>
          </cell>
          <cell r="C3">
            <v>56037</v>
          </cell>
          <cell r="D3">
            <v>47139</v>
          </cell>
          <cell r="E3">
            <v>28234</v>
          </cell>
          <cell r="F3">
            <v>28234</v>
          </cell>
          <cell r="G3">
            <v>31960.887999999995</v>
          </cell>
          <cell r="H3">
            <v>0.59895203546956877</v>
          </cell>
          <cell r="I3">
            <v>0.67801370415155171</v>
          </cell>
          <cell r="J3">
            <v>33563.475211608224</v>
          </cell>
          <cell r="K3">
            <v>37993.853939540502</v>
          </cell>
          <cell r="N3">
            <v>37993.853939540502</v>
          </cell>
          <cell r="O3">
            <v>0</v>
          </cell>
          <cell r="P3">
            <v>1507</v>
          </cell>
          <cell r="Q3">
            <v>1507</v>
          </cell>
          <cell r="R3">
            <v>1021.7666521563884</v>
          </cell>
          <cell r="S3">
            <v>32982.654652156387</v>
          </cell>
          <cell r="T3">
            <v>3.0978908851704148E-2</v>
          </cell>
          <cell r="U3">
            <v>0.22998686317237005</v>
          </cell>
          <cell r="V3">
            <v>7585.5772825470258</v>
          </cell>
          <cell r="W3">
            <v>40568.231934703414</v>
          </cell>
          <cell r="X3">
            <v>5011.1992873841155</v>
          </cell>
          <cell r="Y3">
            <v>0.13189499794778442</v>
          </cell>
          <cell r="Z3">
            <v>0.52207945914585696</v>
          </cell>
          <cell r="AA3">
            <v>0.52207945914585696</v>
          </cell>
        </row>
        <row r="4">
          <cell r="A4">
            <v>1982</v>
          </cell>
          <cell r="B4">
            <v>50319</v>
          </cell>
          <cell r="C4">
            <v>50219</v>
          </cell>
          <cell r="D4">
            <v>41111</v>
          </cell>
          <cell r="E4">
            <v>19005</v>
          </cell>
          <cell r="F4">
            <v>19005</v>
          </cell>
          <cell r="G4">
            <v>21513.659999999996</v>
          </cell>
          <cell r="H4">
            <v>0.46228503320279246</v>
          </cell>
          <cell r="I4">
            <v>0.52330665758556094</v>
          </cell>
          <cell r="J4">
            <v>23261.720585731313</v>
          </cell>
          <cell r="K4">
            <v>26332.267703047841</v>
          </cell>
          <cell r="N4">
            <v>26332.267703047841</v>
          </cell>
          <cell r="O4">
            <v>100</v>
          </cell>
          <cell r="P4">
            <v>775</v>
          </cell>
          <cell r="Q4">
            <v>875</v>
          </cell>
          <cell r="R4">
            <v>457.89332538736585</v>
          </cell>
          <cell r="S4">
            <v>21971.553325387362</v>
          </cell>
          <cell r="T4">
            <v>2.0840280093364454E-2</v>
          </cell>
          <cell r="U4">
            <v>0.26087287487455463</v>
          </cell>
          <cell r="V4">
            <v>5731.782281453382</v>
          </cell>
          <cell r="W4">
            <v>27703.335606840745</v>
          </cell>
          <cell r="X4">
            <v>4360.7143776604789</v>
          </cell>
          <cell r="Y4">
            <v>0.16560344998906973</v>
          </cell>
          <cell r="Z4">
            <v>0.3867901453802215</v>
          </cell>
          <cell r="AA4">
            <v>0.38756035216526347</v>
          </cell>
        </row>
        <row r="5">
          <cell r="A5">
            <v>1983</v>
          </cell>
          <cell r="B5">
            <v>100610</v>
          </cell>
          <cell r="C5">
            <v>100527</v>
          </cell>
          <cell r="D5">
            <v>86424</v>
          </cell>
          <cell r="E5">
            <v>27925</v>
          </cell>
          <cell r="F5">
            <v>27925</v>
          </cell>
          <cell r="G5">
            <v>31611.1</v>
          </cell>
          <cell r="H5">
            <v>0.32311626400074056</v>
          </cell>
          <cell r="I5">
            <v>0.36576761084883824</v>
          </cell>
          <cell r="J5">
            <v>32508.727321114508</v>
          </cell>
          <cell r="K5">
            <v>36799.879327501614</v>
          </cell>
          <cell r="N5">
            <v>36799.879327501614</v>
          </cell>
          <cell r="O5">
            <v>83</v>
          </cell>
          <cell r="P5">
            <v>3349</v>
          </cell>
          <cell r="Q5">
            <v>3432</v>
          </cell>
          <cell r="R5">
            <v>1255.3144404332129</v>
          </cell>
          <cell r="S5">
            <v>32866.414440433211</v>
          </cell>
          <cell r="T5">
            <v>3.8194444444444441E-2</v>
          </cell>
          <cell r="U5">
            <v>0.20705407263045236</v>
          </cell>
          <cell r="V5">
            <v>6805.1249626520066</v>
          </cell>
          <cell r="W5">
            <v>39671.539403085219</v>
          </cell>
          <cell r="X5">
            <v>3933.4648870684032</v>
          </cell>
          <cell r="Y5">
            <v>0.10688798330185857</v>
          </cell>
          <cell r="Z5">
            <v>0.29003393738627586</v>
          </cell>
          <cell r="AA5">
            <v>0.29027340356753123</v>
          </cell>
        </row>
        <row r="6">
          <cell r="A6">
            <v>1984</v>
          </cell>
          <cell r="B6">
            <v>161890</v>
          </cell>
          <cell r="C6">
            <v>152545</v>
          </cell>
          <cell r="D6">
            <v>109092</v>
          </cell>
          <cell r="E6">
            <v>81054</v>
          </cell>
          <cell r="F6">
            <v>81054</v>
          </cell>
          <cell r="G6">
            <v>91753.127999999997</v>
          </cell>
          <cell r="H6">
            <v>0.74298757012429872</v>
          </cell>
          <cell r="I6">
            <v>0.84106192938070612</v>
          </cell>
          <cell r="J6">
            <v>120282.25772742272</v>
          </cell>
          <cell r="K6">
            <v>136159.51574744252</v>
          </cell>
          <cell r="N6">
            <v>136159.51574744252</v>
          </cell>
          <cell r="O6">
            <v>9345</v>
          </cell>
          <cell r="P6">
            <v>24616</v>
          </cell>
          <cell r="Q6">
            <v>33961</v>
          </cell>
          <cell r="R6">
            <v>28563.304183698161</v>
          </cell>
          <cell r="S6">
            <v>120316.43218369815</v>
          </cell>
          <cell r="T6">
            <v>0.23740152251263519</v>
          </cell>
          <cell r="U6">
            <v>0.19493467950471105</v>
          </cell>
          <cell r="V6">
            <v>23453.845146879503</v>
          </cell>
          <cell r="W6">
            <v>143770.27733057766</v>
          </cell>
          <cell r="X6">
            <v>15843.083563744367</v>
          </cell>
          <cell r="Y6">
            <v>0.11635678547161657</v>
          </cell>
          <cell r="Z6">
            <v>0.67710979173326435</v>
          </cell>
          <cell r="AA6">
            <v>0.71858995171063067</v>
          </cell>
        </row>
        <row r="7">
          <cell r="A7">
            <v>1985</v>
          </cell>
          <cell r="B7">
            <v>200758</v>
          </cell>
          <cell r="C7">
            <v>166340</v>
          </cell>
          <cell r="D7">
            <v>103200</v>
          </cell>
          <cell r="E7">
            <v>52989</v>
          </cell>
          <cell r="F7">
            <v>52989</v>
          </cell>
          <cell r="G7">
            <v>59983.547999999995</v>
          </cell>
          <cell r="H7">
            <v>0.51345930232558135</v>
          </cell>
          <cell r="I7">
            <v>0.58123593023255804</v>
          </cell>
          <cell r="J7">
            <v>103081.06261627906</v>
          </cell>
          <cell r="K7">
            <v>116687.76288162789</v>
          </cell>
          <cell r="N7">
            <v>116687.76288162789</v>
          </cell>
          <cell r="O7">
            <v>32213</v>
          </cell>
          <cell r="P7">
            <v>49969</v>
          </cell>
          <cell r="Q7">
            <v>82182</v>
          </cell>
          <cell r="R7">
            <v>47767.131218372087</v>
          </cell>
          <cell r="S7">
            <v>107750.67921837208</v>
          </cell>
          <cell r="T7">
            <v>0.44331164838010162</v>
          </cell>
          <cell r="U7">
            <v>0.13653215444208491</v>
          </cell>
          <cell r="V7">
            <v>14711.432376282326</v>
          </cell>
          <cell r="W7">
            <v>122462.11159465442</v>
          </cell>
          <cell r="X7">
            <v>8937.0836632558057</v>
          </cell>
          <cell r="Y7">
            <v>7.658972494246799E-2</v>
          </cell>
          <cell r="Z7">
            <v>0.50187853643875757</v>
          </cell>
          <cell r="AA7">
            <v>0.6057240063627034</v>
          </cell>
        </row>
        <row r="8">
          <cell r="A8">
            <v>1986</v>
          </cell>
          <cell r="B8">
            <v>59963</v>
          </cell>
          <cell r="C8">
            <v>58123</v>
          </cell>
          <cell r="D8">
            <v>49788</v>
          </cell>
          <cell r="E8">
            <v>34788</v>
          </cell>
          <cell r="F8">
            <v>34788</v>
          </cell>
          <cell r="G8">
            <v>39380.015999999996</v>
          </cell>
          <cell r="H8">
            <v>0.69872258375512175</v>
          </cell>
          <cell r="I8">
            <v>0.79095396481079772</v>
          </cell>
          <cell r="J8">
            <v>41897.502289708369</v>
          </cell>
          <cell r="K8">
            <v>47427.972591949867</v>
          </cell>
          <cell r="N8">
            <v>47427.972591949867</v>
          </cell>
          <cell r="O8">
            <v>1840</v>
          </cell>
          <cell r="P8">
            <v>6672</v>
          </cell>
          <cell r="Q8">
            <v>8512</v>
          </cell>
          <cell r="R8">
            <v>6732.6001484695098</v>
          </cell>
          <cell r="S8">
            <v>46112.616148469504</v>
          </cell>
          <cell r="T8">
            <v>0.14600343053173243</v>
          </cell>
          <cell r="U8">
            <v>0.12455460608246705</v>
          </cell>
          <cell r="V8">
            <v>5743.5387398046278</v>
          </cell>
          <cell r="W8">
            <v>51856.154888274134</v>
          </cell>
          <cell r="X8">
            <v>1315.3564434803629</v>
          </cell>
          <cell r="Y8">
            <v>2.7733769157647348E-2</v>
          </cell>
          <cell r="Z8">
            <v>0.69243700529442331</v>
          </cell>
          <cell r="AA8">
            <v>0.71435748582264347</v>
          </cell>
        </row>
        <row r="9">
          <cell r="A9">
            <v>1987</v>
          </cell>
          <cell r="B9">
            <v>145546</v>
          </cell>
          <cell r="C9">
            <v>116993</v>
          </cell>
          <cell r="D9">
            <v>69868</v>
          </cell>
          <cell r="E9">
            <v>40120</v>
          </cell>
          <cell r="F9">
            <v>40120</v>
          </cell>
          <cell r="G9">
            <v>45415.839999999997</v>
          </cell>
          <cell r="H9">
            <v>0.57422568271597874</v>
          </cell>
          <cell r="I9">
            <v>0.6500234728344878</v>
          </cell>
          <cell r="J9">
            <v>83576.25121657984</v>
          </cell>
          <cell r="K9">
            <v>94608.316377168361</v>
          </cell>
          <cell r="L9">
            <v>0.44000000000000006</v>
          </cell>
          <cell r="M9">
            <v>51476.920000000006</v>
          </cell>
          <cell r="N9">
            <v>94608.316377168361</v>
          </cell>
          <cell r="O9">
            <v>28553</v>
          </cell>
          <cell r="P9">
            <v>39560</v>
          </cell>
          <cell r="Q9">
            <v>68113</v>
          </cell>
          <cell r="R9">
            <v>44275.048805175466</v>
          </cell>
          <cell r="S9">
            <v>89690.888805175462</v>
          </cell>
          <cell r="T9">
            <v>0.49364042875468361</v>
          </cell>
          <cell r="U9">
            <v>0.10795316905626326</v>
          </cell>
          <cell r="V9">
            <v>9682.415681991617</v>
          </cell>
          <cell r="W9">
            <v>99373.304487167072</v>
          </cell>
          <cell r="X9">
            <v>4917.4275719928992</v>
          </cell>
          <cell r="Y9">
            <v>5.1976694653236767E-2</v>
          </cell>
          <cell r="Z9">
            <v>0.57985137898104699</v>
          </cell>
          <cell r="AA9">
            <v>0.7213683622539423</v>
          </cell>
        </row>
        <row r="10">
          <cell r="A10">
            <v>1988</v>
          </cell>
          <cell r="B10">
            <v>99780</v>
          </cell>
          <cell r="C10">
            <v>79714</v>
          </cell>
          <cell r="D10">
            <v>49177</v>
          </cell>
          <cell r="E10">
            <v>33978</v>
          </cell>
          <cell r="F10">
            <v>33978</v>
          </cell>
          <cell r="G10">
            <v>38463.095999999998</v>
          </cell>
          <cell r="H10">
            <v>0.69093275311629421</v>
          </cell>
          <cell r="I10">
            <v>0.78213587652764505</v>
          </cell>
          <cell r="J10">
            <v>68941.27010594384</v>
          </cell>
          <cell r="K10">
            <v>78041.517759928422</v>
          </cell>
          <cell r="L10">
            <v>0.69</v>
          </cell>
          <cell r="M10">
            <v>55002.659999999996</v>
          </cell>
          <cell r="N10">
            <v>78041.517759928422</v>
          </cell>
          <cell r="O10">
            <v>17632</v>
          </cell>
          <cell r="P10">
            <v>30990</v>
          </cell>
          <cell r="Q10">
            <v>48622</v>
          </cell>
          <cell r="R10">
            <v>38029.010588527155</v>
          </cell>
          <cell r="S10">
            <v>76492.106588527153</v>
          </cell>
          <cell r="T10">
            <v>0.49716254767431162</v>
          </cell>
          <cell r="U10">
            <v>7.7324318447581072E-2</v>
          </cell>
          <cell r="V10">
            <v>5914.7000085775881</v>
          </cell>
          <cell r="W10">
            <v>82406.806597104747</v>
          </cell>
          <cell r="X10">
            <v>1549.4111714012688</v>
          </cell>
          <cell r="Y10">
            <v>1.9853678091802017E-2</v>
          </cell>
          <cell r="Z10">
            <v>0.7216577529417435</v>
          </cell>
          <cell r="AA10">
            <v>0.90331699059797732</v>
          </cell>
        </row>
        <row r="11">
          <cell r="A11">
            <v>1989</v>
          </cell>
          <cell r="B11">
            <v>47478</v>
          </cell>
          <cell r="C11">
            <v>41884</v>
          </cell>
          <cell r="D11">
            <v>37360</v>
          </cell>
          <cell r="E11">
            <v>15976</v>
          </cell>
          <cell r="F11">
            <v>15976</v>
          </cell>
          <cell r="G11">
            <v>18084.831999999999</v>
          </cell>
          <cell r="H11">
            <v>0.42762312633832977</v>
          </cell>
          <cell r="I11">
            <v>0.48406937901498925</v>
          </cell>
          <cell r="J11">
            <v>20302.690792291221</v>
          </cell>
          <cell r="K11">
            <v>22982.64597687366</v>
          </cell>
          <cell r="L11">
            <v>0.41499999999999992</v>
          </cell>
          <cell r="M11">
            <v>17381.859999999997</v>
          </cell>
          <cell r="N11">
            <v>22982.64597687366</v>
          </cell>
          <cell r="O11">
            <v>36</v>
          </cell>
          <cell r="P11">
            <v>2138</v>
          </cell>
          <cell r="Q11">
            <v>2174</v>
          </cell>
          <cell r="R11">
            <v>1052.3668299785866</v>
          </cell>
          <cell r="S11">
            <v>19137.198829978584</v>
          </cell>
          <cell r="T11">
            <v>5.4990640967268675E-2</v>
          </cell>
          <cell r="U11">
            <v>0.25907718166509552</v>
          </cell>
          <cell r="V11">
            <v>4958.0115378354149</v>
          </cell>
          <cell r="W11">
            <v>24095.210367813997</v>
          </cell>
          <cell r="X11">
            <v>3845.447146895076</v>
          </cell>
          <cell r="Y11">
            <v>0.16731960065714652</v>
          </cell>
          <cell r="Z11">
            <v>0.35865804856941291</v>
          </cell>
          <cell r="AA11">
            <v>0.40656018598936555</v>
          </cell>
        </row>
        <row r="12">
          <cell r="A12">
            <v>1990</v>
          </cell>
          <cell r="B12">
            <v>49754</v>
          </cell>
          <cell r="C12">
            <v>49581</v>
          </cell>
          <cell r="D12">
            <v>44143</v>
          </cell>
          <cell r="E12">
            <v>7609</v>
          </cell>
          <cell r="F12">
            <v>7609</v>
          </cell>
          <cell r="G12">
            <v>8613.387999999999</v>
          </cell>
          <cell r="H12">
            <v>0.17237161044786262</v>
          </cell>
          <cell r="I12">
            <v>0.19512466302698048</v>
          </cell>
          <cell r="J12">
            <v>8576.1771062229564</v>
          </cell>
          <cell r="K12">
            <v>9708.2324842443868</v>
          </cell>
          <cell r="L12">
            <v>0.25</v>
          </cell>
          <cell r="M12">
            <v>12395.25</v>
          </cell>
          <cell r="N12">
            <v>9708.2324842443868</v>
          </cell>
          <cell r="O12">
            <v>173</v>
          </cell>
          <cell r="P12">
            <v>2716</v>
          </cell>
          <cell r="Q12">
            <v>2889</v>
          </cell>
          <cell r="R12">
            <v>563.71515148494655</v>
          </cell>
          <cell r="S12">
            <v>9177.1031514849456</v>
          </cell>
          <cell r="T12">
            <v>6.1426262969892835E-2</v>
          </cell>
          <cell r="U12">
            <v>0.1581665184936033</v>
          </cell>
          <cell r="V12">
            <v>1451.5104553270487</v>
          </cell>
          <cell r="W12">
            <v>10628.613606811994</v>
          </cell>
          <cell r="X12">
            <v>531.12933275944124</v>
          </cell>
          <cell r="Y12">
            <v>5.4709169112031233E-2</v>
          </cell>
          <cell r="Z12">
            <v>0.16426247440376546</v>
          </cell>
          <cell r="AA12">
            <v>0.16483562557199222</v>
          </cell>
        </row>
        <row r="13">
          <cell r="A13">
            <v>1991</v>
          </cell>
          <cell r="B13">
            <v>76484</v>
          </cell>
          <cell r="C13">
            <v>76481</v>
          </cell>
          <cell r="D13">
            <v>62119</v>
          </cell>
          <cell r="E13">
            <v>27490</v>
          </cell>
          <cell r="F13">
            <v>27490</v>
          </cell>
          <cell r="G13">
            <v>31118.679999999997</v>
          </cell>
          <cell r="H13">
            <v>0.44253770987942498</v>
          </cell>
          <cell r="I13">
            <v>0.50095268758350897</v>
          </cell>
          <cell r="J13">
            <v>33847.054202417938</v>
          </cell>
          <cell r="K13">
            <v>38314.865357137103</v>
          </cell>
          <cell r="L13">
            <v>0.53000000000000014</v>
          </cell>
          <cell r="M13">
            <v>40534.930000000008</v>
          </cell>
          <cell r="N13">
            <v>38314.865357137103</v>
          </cell>
          <cell r="O13">
            <v>3</v>
          </cell>
          <cell r="P13">
            <v>3271</v>
          </cell>
          <cell r="Q13">
            <v>3274</v>
          </cell>
          <cell r="R13">
            <v>1640.1190991484084</v>
          </cell>
          <cell r="S13">
            <v>32758.799099148404</v>
          </cell>
          <cell r="T13">
            <v>5.006652088143991E-2</v>
          </cell>
          <cell r="U13">
            <v>0.2397175658162089</v>
          </cell>
          <cell r="V13">
            <v>7852.8595791100724</v>
          </cell>
          <cell r="W13">
            <v>40611.658678258478</v>
          </cell>
          <cell r="X13">
            <v>5556.0662579886994</v>
          </cell>
          <cell r="Y13">
            <v>0.14501072119659017</v>
          </cell>
          <cell r="Z13">
            <v>0.38086552872690244</v>
          </cell>
          <cell r="AA13">
            <v>0.38088046834048206</v>
          </cell>
        </row>
        <row r="14">
          <cell r="A14">
            <v>1992</v>
          </cell>
          <cell r="B14">
            <v>85000</v>
          </cell>
          <cell r="C14">
            <v>84992</v>
          </cell>
          <cell r="D14">
            <v>68359</v>
          </cell>
          <cell r="E14">
            <v>41951</v>
          </cell>
          <cell r="F14">
            <v>41951</v>
          </cell>
          <cell r="G14">
            <v>47488.531999999992</v>
          </cell>
          <cell r="H14">
            <v>0.61368656650916487</v>
          </cell>
          <cell r="I14">
            <v>0.69469319328837453</v>
          </cell>
          <cell r="J14">
            <v>52163.358153279012</v>
          </cell>
          <cell r="K14">
            <v>59048.921429511836</v>
          </cell>
          <cell r="L14">
            <v>0.63</v>
          </cell>
          <cell r="M14">
            <v>53544.959999999999</v>
          </cell>
          <cell r="N14">
            <v>59048.921429511836</v>
          </cell>
          <cell r="O14">
            <v>8</v>
          </cell>
          <cell r="P14">
            <v>2185</v>
          </cell>
          <cell r="Q14">
            <v>2193</v>
          </cell>
          <cell r="R14">
            <v>1523.4621728814054</v>
          </cell>
          <cell r="S14">
            <v>49011.994172881401</v>
          </cell>
          <cell r="T14">
            <v>3.1083456174169407E-2</v>
          </cell>
          <cell r="U14">
            <v>0.26375518603200987</v>
          </cell>
          <cell r="V14">
            <v>12927.167640868118</v>
          </cell>
          <cell r="W14">
            <v>61939.161813749517</v>
          </cell>
          <cell r="X14">
            <v>10036.927256630435</v>
          </cell>
          <cell r="Y14">
            <v>0.16997647058823528</v>
          </cell>
          <cell r="Z14">
            <v>0.51146426085742835</v>
          </cell>
          <cell r="AA14">
            <v>0.51151240320125901</v>
          </cell>
        </row>
        <row r="15">
          <cell r="A15">
            <v>1993</v>
          </cell>
          <cell r="B15">
            <v>88025</v>
          </cell>
          <cell r="C15">
            <v>80178</v>
          </cell>
          <cell r="D15">
            <v>65630</v>
          </cell>
          <cell r="E15">
            <v>27849</v>
          </cell>
          <cell r="F15">
            <v>27849</v>
          </cell>
          <cell r="G15">
            <v>31525.067999999996</v>
          </cell>
          <cell r="H15">
            <v>0.42433338412311444</v>
          </cell>
          <cell r="I15">
            <v>0.48034539082736549</v>
          </cell>
          <cell r="J15">
            <v>37351.946137437146</v>
          </cell>
          <cell r="K15">
            <v>42282.403027578846</v>
          </cell>
          <cell r="L15">
            <v>0.57999999999999996</v>
          </cell>
          <cell r="M15">
            <v>46503.24</v>
          </cell>
          <cell r="N15">
            <v>42282.403027578846</v>
          </cell>
          <cell r="O15">
            <v>64</v>
          </cell>
          <cell r="P15">
            <v>5020</v>
          </cell>
          <cell r="Q15">
            <v>5084</v>
          </cell>
          <cell r="R15">
            <v>2442.0759669663262</v>
          </cell>
          <cell r="S15">
            <v>33967.143966966323</v>
          </cell>
          <cell r="T15">
            <v>7.1895239980767606E-2</v>
          </cell>
          <cell r="U15">
            <v>0.28360088835989605</v>
          </cell>
          <cell r="V15">
            <v>9633.1122040801329</v>
          </cell>
          <cell r="W15">
            <v>43600.256171046458</v>
          </cell>
          <cell r="X15">
            <v>8315.2590606125232</v>
          </cell>
          <cell r="Y15">
            <v>0.1966600397614314</v>
          </cell>
          <cell r="Z15">
            <v>0.34411901126914318</v>
          </cell>
          <cell r="AA15">
            <v>0.37779784937222588</v>
          </cell>
        </row>
        <row r="16">
          <cell r="A16">
            <v>1994</v>
          </cell>
          <cell r="B16">
            <v>12873</v>
          </cell>
          <cell r="C16">
            <v>12678</v>
          </cell>
          <cell r="D16">
            <v>11367</v>
          </cell>
          <cell r="E16">
            <v>1666</v>
          </cell>
          <cell r="F16">
            <v>1666</v>
          </cell>
          <cell r="G16">
            <v>1885.9119999999998</v>
          </cell>
          <cell r="H16">
            <v>0.14656461687340547</v>
          </cell>
          <cell r="I16">
            <v>0.16591114630069498</v>
          </cell>
          <cell r="J16">
            <v>1886.7263130113486</v>
          </cell>
          <cell r="K16">
            <v>2135.7741863288466</v>
          </cell>
          <cell r="N16">
            <v>2135.7741863288466</v>
          </cell>
          <cell r="O16">
            <v>1</v>
          </cell>
          <cell r="P16">
            <v>472</v>
          </cell>
          <cell r="Q16">
            <v>473</v>
          </cell>
          <cell r="R16">
            <v>78.475972200228725</v>
          </cell>
          <cell r="S16">
            <v>1964.3879722002284</v>
          </cell>
          <cell r="T16">
            <v>3.9949324324324326E-2</v>
          </cell>
          <cell r="U16">
            <v>0.18321141655954515</v>
          </cell>
          <cell r="V16">
            <v>359.89830305933623</v>
          </cell>
          <cell r="W16">
            <v>2324.2862752595647</v>
          </cell>
          <cell r="X16">
            <v>171.38621412861812</v>
          </cell>
          <cell r="Y16">
            <v>8.0245475025246732E-2</v>
          </cell>
          <cell r="Z16">
            <v>0.13551433016392672</v>
          </cell>
          <cell r="AA16">
            <v>0.13759867267709644</v>
          </cell>
        </row>
        <row r="17">
          <cell r="A17">
            <v>1995</v>
          </cell>
          <cell r="B17">
            <v>9913</v>
          </cell>
          <cell r="C17">
            <v>8774</v>
          </cell>
          <cell r="D17">
            <v>9462</v>
          </cell>
          <cell r="E17">
            <v>4892</v>
          </cell>
          <cell r="F17">
            <v>4892</v>
          </cell>
          <cell r="G17">
            <v>5537.7439999999997</v>
          </cell>
          <cell r="H17">
            <v>0.5170154301416191</v>
          </cell>
          <cell r="I17">
            <v>0.58526146692031278</v>
          </cell>
          <cell r="J17">
            <v>5125.1739589938697</v>
          </cell>
          <cell r="K17">
            <v>5801.6969215810605</v>
          </cell>
          <cell r="N17">
            <v>5801.6969215810605</v>
          </cell>
          <cell r="O17">
            <v>1</v>
          </cell>
          <cell r="P17">
            <v>445</v>
          </cell>
          <cell r="Q17">
            <v>446</v>
          </cell>
          <cell r="R17">
            <v>261.02661424645947</v>
          </cell>
          <cell r="S17">
            <v>5798.7706142464594</v>
          </cell>
          <cell r="T17">
            <v>4.5014129995962854E-2</v>
          </cell>
          <cell r="U17">
            <v>0.11180699648781844</v>
          </cell>
          <cell r="V17">
            <v>648.3431257007187</v>
          </cell>
          <cell r="W17">
            <v>6447.1137399471781</v>
          </cell>
          <cell r="X17">
            <v>2.926307334601006</v>
          </cell>
          <cell r="Y17">
            <v>5.043881771410317E-4</v>
          </cell>
          <cell r="Z17">
            <v>0.51982514014389791</v>
          </cell>
          <cell r="AA17">
            <v>0.58730642970668567</v>
          </cell>
        </row>
        <row r="18">
          <cell r="A18">
            <v>1996</v>
          </cell>
          <cell r="B18">
            <v>30942</v>
          </cell>
          <cell r="C18">
            <v>30232</v>
          </cell>
          <cell r="D18">
            <v>29500</v>
          </cell>
          <cell r="E18">
            <v>17701</v>
          </cell>
          <cell r="F18">
            <v>17701</v>
          </cell>
          <cell r="G18">
            <v>20037.531999999999</v>
          </cell>
          <cell r="H18">
            <v>0.6000338983050848</v>
          </cell>
          <cell r="I18">
            <v>0.67923837288135591</v>
          </cell>
          <cell r="J18">
            <v>18566.248881355932</v>
          </cell>
          <cell r="K18">
            <v>21016.993733694915</v>
          </cell>
          <cell r="N18">
            <v>21016.993733694915</v>
          </cell>
          <cell r="O18">
            <v>25</v>
          </cell>
          <cell r="P18">
            <v>1414</v>
          </cell>
          <cell r="Q18">
            <v>1439</v>
          </cell>
          <cell r="R18">
            <v>977.42401857627112</v>
          </cell>
          <cell r="S18">
            <v>21014.956018576271</v>
          </cell>
          <cell r="T18">
            <v>4.6510876240343897E-2</v>
          </cell>
          <cell r="U18">
            <v>0.11127041977318554</v>
          </cell>
          <cell r="V18">
            <v>2338.3429777020137</v>
          </cell>
          <cell r="W18">
            <v>23353.298996278285</v>
          </cell>
          <cell r="X18">
            <v>2.0377151186439733</v>
          </cell>
          <cell r="Y18">
            <v>9.6955594337788792E-5</v>
          </cell>
          <cell r="Z18">
            <v>0.60365923400479193</v>
          </cell>
          <cell r="AA18">
            <v>0.61783620066738132</v>
          </cell>
        </row>
        <row r="19">
          <cell r="A19">
            <v>1997</v>
          </cell>
          <cell r="B19">
            <v>49979</v>
          </cell>
          <cell r="C19">
            <v>47008</v>
          </cell>
          <cell r="D19">
            <v>41504</v>
          </cell>
          <cell r="E19">
            <v>24621</v>
          </cell>
          <cell r="F19">
            <v>24621</v>
          </cell>
          <cell r="G19">
            <v>27870.971999999998</v>
          </cell>
          <cell r="H19">
            <v>0.59321993060909795</v>
          </cell>
          <cell r="I19">
            <v>0.6715249614494988</v>
          </cell>
          <cell r="J19">
            <v>29648.538911912106</v>
          </cell>
          <cell r="K19">
            <v>33562.1460482845</v>
          </cell>
          <cell r="N19">
            <v>33562.1460482845</v>
          </cell>
          <cell r="O19">
            <v>12</v>
          </cell>
          <cell r="P19">
            <v>2046</v>
          </cell>
          <cell r="Q19">
            <v>2058</v>
          </cell>
          <cell r="R19">
            <v>1381.9983706630685</v>
          </cell>
          <cell r="S19">
            <v>29252.970370663068</v>
          </cell>
          <cell r="T19">
            <v>4.7243009962811625E-2</v>
          </cell>
          <cell r="U19">
            <v>0.22522837683699934</v>
          </cell>
          <cell r="V19">
            <v>6588.5990342452778</v>
          </cell>
          <cell r="W19">
            <v>35841.569404908347</v>
          </cell>
          <cell r="X19">
            <v>4309.1756776214315</v>
          </cell>
          <cell r="Y19">
            <v>0.12839392544868838</v>
          </cell>
          <cell r="Z19">
            <v>0.52027848437669966</v>
          </cell>
          <cell r="AA19">
            <v>0.55316112939633832</v>
          </cell>
        </row>
        <row r="20">
          <cell r="A20">
            <v>1998</v>
          </cell>
          <cell r="B20">
            <v>13220</v>
          </cell>
          <cell r="C20">
            <v>13218</v>
          </cell>
          <cell r="D20">
            <v>9334</v>
          </cell>
          <cell r="E20">
            <v>4664</v>
          </cell>
          <cell r="F20">
            <v>4135</v>
          </cell>
          <cell r="G20">
            <v>4666</v>
          </cell>
          <cell r="H20">
            <v>0.49967859438611528</v>
          </cell>
          <cell r="I20">
            <v>0.49989286479537176</v>
          </cell>
          <cell r="J20">
            <v>6605.7510177844442</v>
          </cell>
          <cell r="K20">
            <v>6608.5836725948147</v>
          </cell>
          <cell r="N20">
            <v>6608.5836725948147</v>
          </cell>
          <cell r="O20">
            <v>2</v>
          </cell>
          <cell r="P20">
            <v>425</v>
          </cell>
          <cell r="Q20">
            <v>427</v>
          </cell>
          <cell r="R20">
            <v>213.45425326762376</v>
          </cell>
          <cell r="S20">
            <v>4879.4542532676242</v>
          </cell>
          <cell r="T20">
            <v>4.3745517877266674E-2</v>
          </cell>
          <cell r="U20">
            <v>0.34199906232552341</v>
          </cell>
          <cell r="V20">
            <v>1668.7687792778145</v>
          </cell>
          <cell r="W20">
            <v>6548.2230325454384</v>
          </cell>
          <cell r="X20">
            <v>1729.1294193271906</v>
          </cell>
          <cell r="Y20">
            <v>0.26164901664145229</v>
          </cell>
          <cell r="Z20">
            <v>0.32892997377213495</v>
          </cell>
          <cell r="AA20">
            <v>0.32897974377875805</v>
          </cell>
        </row>
        <row r="21">
          <cell r="A21">
            <v>1999</v>
          </cell>
          <cell r="B21">
            <v>19094</v>
          </cell>
          <cell r="C21">
            <v>17877</v>
          </cell>
          <cell r="D21">
            <v>18371</v>
          </cell>
          <cell r="E21">
            <v>12388</v>
          </cell>
          <cell r="F21">
            <v>11013</v>
          </cell>
          <cell r="G21">
            <v>12388</v>
          </cell>
          <cell r="H21">
            <v>0.67432366229383267</v>
          </cell>
          <cell r="I21">
            <v>0.67432366229383267</v>
          </cell>
          <cell r="J21">
            <v>12875.53600783844</v>
          </cell>
          <cell r="K21">
            <v>12875.53600783844</v>
          </cell>
          <cell r="N21">
            <v>12875.53600783844</v>
          </cell>
          <cell r="O21">
            <v>1</v>
          </cell>
          <cell r="P21">
            <v>704</v>
          </cell>
          <cell r="Q21">
            <v>705</v>
          </cell>
          <cell r="R21">
            <v>475.39818191715204</v>
          </cell>
          <cell r="S21">
            <v>12863.398181917151</v>
          </cell>
          <cell r="T21">
            <v>3.6957433424197945E-2</v>
          </cell>
          <cell r="U21">
            <v>0.10773437510304965</v>
          </cell>
          <cell r="V21">
            <v>1385.8301648305492</v>
          </cell>
          <cell r="W21">
            <v>14249.228346747701</v>
          </cell>
          <cell r="X21">
            <v>12.137825921288822</v>
          </cell>
          <cell r="Y21">
            <v>9.4270451450716218E-4</v>
          </cell>
          <cell r="Z21">
            <v>0.60167582391940666</v>
          </cell>
          <cell r="AA21">
            <v>0.64263568730307941</v>
          </cell>
        </row>
        <row r="22">
          <cell r="A22">
            <v>2000</v>
          </cell>
          <cell r="B22">
            <v>93764</v>
          </cell>
          <cell r="C22">
            <v>93398</v>
          </cell>
          <cell r="D22">
            <v>76512</v>
          </cell>
          <cell r="E22">
            <v>59944</v>
          </cell>
          <cell r="F22">
            <v>53351</v>
          </cell>
          <cell r="G22">
            <v>59944</v>
          </cell>
          <cell r="H22">
            <v>0.78345880384776245</v>
          </cell>
          <cell r="I22">
            <v>0.78345880384776245</v>
          </cell>
          <cell r="J22">
            <v>73460.2312839816</v>
          </cell>
          <cell r="K22">
            <v>73460.2312839816</v>
          </cell>
          <cell r="L22">
            <v>0.55000000000000004</v>
          </cell>
          <cell r="M22">
            <v>51368.9</v>
          </cell>
          <cell r="N22">
            <v>73460.2312839816</v>
          </cell>
          <cell r="O22">
            <v>366</v>
          </cell>
          <cell r="P22">
            <v>2910</v>
          </cell>
          <cell r="Q22">
            <v>3276</v>
          </cell>
          <cell r="R22">
            <v>2566.6110414052696</v>
          </cell>
          <cell r="S22">
            <v>62510.611041405267</v>
          </cell>
          <cell r="T22">
            <v>4.105880583546398E-2</v>
          </cell>
          <cell r="U22">
            <v>0.23880431542286196</v>
          </cell>
          <cell r="V22">
            <v>14927.80367640758</v>
          </cell>
          <cell r="W22">
            <v>77438.414717812848</v>
          </cell>
          <cell r="X22">
            <v>10949.620242576333</v>
          </cell>
          <cell r="Y22">
            <v>0.14905507444221669</v>
          </cell>
          <cell r="Z22">
            <v>0.59636546053288331</v>
          </cell>
          <cell r="AA22">
            <v>0.59870244589183141</v>
          </cell>
        </row>
        <row r="23">
          <cell r="A23">
            <v>2001</v>
          </cell>
          <cell r="B23">
            <v>117879</v>
          </cell>
          <cell r="C23">
            <v>114934</v>
          </cell>
          <cell r="D23">
            <v>104840</v>
          </cell>
          <cell r="E23">
            <v>74486</v>
          </cell>
          <cell r="F23">
            <v>64819</v>
          </cell>
          <cell r="G23">
            <v>74486</v>
          </cell>
          <cell r="H23">
            <v>0.7104731018695154</v>
          </cell>
          <cell r="I23">
            <v>0.7104731018695154</v>
          </cell>
          <cell r="J23">
            <v>83749.858775276603</v>
          </cell>
          <cell r="K23">
            <v>83749.858775276603</v>
          </cell>
          <cell r="L23">
            <v>0.56000000000000005</v>
          </cell>
          <cell r="M23">
            <v>64363.040000000008</v>
          </cell>
          <cell r="N23">
            <v>83749.858775276603</v>
          </cell>
          <cell r="O23">
            <v>1691</v>
          </cell>
          <cell r="P23">
            <v>7300</v>
          </cell>
          <cell r="Q23">
            <v>8991</v>
          </cell>
          <cell r="R23">
            <v>6387.8636589088128</v>
          </cell>
          <cell r="S23">
            <v>80873.863658908813</v>
          </cell>
          <cell r="T23">
            <v>7.8985513612284869E-2</v>
          </cell>
          <cell r="U23">
            <v>0.14976735841458574</v>
          </cell>
          <cell r="V23">
            <v>12112.264924976136</v>
          </cell>
          <cell r="W23">
            <v>92986.128583884944</v>
          </cell>
          <cell r="X23">
            <v>2875.9951163677906</v>
          </cell>
          <cell r="Y23">
            <v>3.4340298102291243E-2</v>
          </cell>
          <cell r="Z23">
            <v>0.60406742217790121</v>
          </cell>
          <cell r="AA23">
            <v>0.61954568412226851</v>
          </cell>
        </row>
        <row r="24">
          <cell r="A24">
            <v>2002</v>
          </cell>
          <cell r="B24">
            <v>50557</v>
          </cell>
          <cell r="C24">
            <v>49610</v>
          </cell>
          <cell r="D24">
            <v>44320</v>
          </cell>
          <cell r="E24">
            <v>10586</v>
          </cell>
          <cell r="F24">
            <v>9594</v>
          </cell>
          <cell r="G24">
            <v>10659</v>
          </cell>
          <cell r="H24">
            <v>0.23885379061371842</v>
          </cell>
          <cell r="I24">
            <v>0.24050090252707582</v>
          </cell>
          <cell r="J24">
            <v>12075.731092057762</v>
          </cell>
          <cell r="K24">
            <v>12159.004129061372</v>
          </cell>
          <cell r="L24">
            <v>0.27</v>
          </cell>
          <cell r="M24">
            <v>13394.7</v>
          </cell>
          <cell r="N24">
            <v>12159.004129061372</v>
          </cell>
          <cell r="O24">
            <v>24</v>
          </cell>
          <cell r="P24">
            <v>2564</v>
          </cell>
          <cell r="Q24">
            <v>2588</v>
          </cell>
          <cell r="R24">
            <v>622.41633574007221</v>
          </cell>
          <cell r="S24">
            <v>11281.416335740072</v>
          </cell>
          <cell r="T24">
            <v>5.5171825701372905E-2</v>
          </cell>
          <cell r="U24">
            <v>0.15976536998439689</v>
          </cell>
          <cell r="V24">
            <v>1802.3796548275316</v>
          </cell>
          <cell r="W24">
            <v>13083.795990567603</v>
          </cell>
          <cell r="X24">
            <v>877.58779332129961</v>
          </cell>
          <cell r="Y24">
            <v>7.217595980774176E-2</v>
          </cell>
          <cell r="Z24">
            <v>0.20207718685325618</v>
          </cell>
          <cell r="AA24">
            <v>0.20593461672525845</v>
          </cell>
        </row>
        <row r="25">
          <cell r="A25">
            <v>2003</v>
          </cell>
          <cell r="B25">
            <v>39291</v>
          </cell>
          <cell r="C25">
            <v>39291</v>
          </cell>
          <cell r="D25">
            <v>34779</v>
          </cell>
          <cell r="E25">
            <v>28977</v>
          </cell>
          <cell r="F25">
            <v>24684</v>
          </cell>
          <cell r="G25">
            <v>29374</v>
          </cell>
          <cell r="H25">
            <v>0.8331751919261623</v>
          </cell>
          <cell r="I25">
            <v>0.84459012622559593</v>
          </cell>
          <cell r="J25">
            <v>32736.286465970843</v>
          </cell>
          <cell r="K25">
            <v>33184.790649529888</v>
          </cell>
          <cell r="L25">
            <v>0.84000000000000008</v>
          </cell>
          <cell r="M25">
            <v>33004.44</v>
          </cell>
          <cell r="N25">
            <v>33184.790649529888</v>
          </cell>
          <cell r="O25">
            <v>0</v>
          </cell>
          <cell r="P25">
            <v>1090</v>
          </cell>
          <cell r="Q25">
            <v>1090</v>
          </cell>
          <cell r="R25">
            <v>920.60323758589959</v>
          </cell>
          <cell r="S25">
            <v>30294.603237585899</v>
          </cell>
          <cell r="T25">
            <v>3.0388357634726366E-2</v>
          </cell>
          <cell r="U25">
            <v>0.22842354173632171</v>
          </cell>
          <cell r="V25">
            <v>6920.0005670260098</v>
          </cell>
          <cell r="W25">
            <v>37214.603804611907</v>
          </cell>
          <cell r="X25">
            <v>2890.187411943989</v>
          </cell>
          <cell r="Y25">
            <v>8.7093736479091896E-2</v>
          </cell>
          <cell r="Z25">
            <v>0.65166585827761825</v>
          </cell>
          <cell r="AA25">
            <v>0.65166585827761825</v>
          </cell>
        </row>
        <row r="26">
          <cell r="A26">
            <v>2004</v>
          </cell>
          <cell r="B26">
            <v>130231</v>
          </cell>
          <cell r="C26">
            <v>123291</v>
          </cell>
          <cell r="D26">
            <v>106666</v>
          </cell>
          <cell r="E26">
            <v>78053</v>
          </cell>
          <cell r="F26">
            <v>64959</v>
          </cell>
          <cell r="G26">
            <v>78053</v>
          </cell>
          <cell r="H26">
            <v>0.73175144844655282</v>
          </cell>
          <cell r="I26">
            <v>0.73175144844655282</v>
          </cell>
          <cell r="J26">
            <v>95296.722882643022</v>
          </cell>
          <cell r="K26">
            <v>95296.722882643022</v>
          </cell>
          <cell r="L26">
            <v>0.77000000000000013</v>
          </cell>
          <cell r="M26">
            <v>94934.070000000022</v>
          </cell>
          <cell r="N26">
            <v>95296.722882643022</v>
          </cell>
          <cell r="O26">
            <v>682</v>
          </cell>
          <cell r="P26">
            <v>4317</v>
          </cell>
          <cell r="Q26">
            <v>4999</v>
          </cell>
          <cell r="R26">
            <v>3658.0254907843178</v>
          </cell>
          <cell r="S26">
            <v>81711.025490784319</v>
          </cell>
          <cell r="T26">
            <v>4.4767832355706805E-2</v>
          </cell>
          <cell r="U26">
            <v>0.27996447920580109</v>
          </cell>
          <cell r="V26">
            <v>22876.18469689937</v>
          </cell>
          <cell r="W26">
            <v>104587.2101876837</v>
          </cell>
          <cell r="X26">
            <v>13585.697391858703</v>
          </cell>
          <cell r="Y26">
            <v>0.14256206279610847</v>
          </cell>
          <cell r="Z26">
            <v>0.52688703527412306</v>
          </cell>
          <cell r="AA26">
            <v>0.55654529114683404</v>
          </cell>
        </row>
        <row r="27">
          <cell r="A27">
            <v>2005</v>
          </cell>
          <cell r="B27">
            <v>77399</v>
          </cell>
          <cell r="C27">
            <v>72971</v>
          </cell>
          <cell r="D27">
            <v>71226</v>
          </cell>
          <cell r="E27">
            <v>55559</v>
          </cell>
          <cell r="F27">
            <v>46891</v>
          </cell>
          <cell r="G27">
            <v>55559</v>
          </cell>
          <cell r="H27">
            <v>0.78003818830202454</v>
          </cell>
          <cell r="I27">
            <v>0.78003818830202454</v>
          </cell>
          <cell r="J27">
            <v>60374.175736388395</v>
          </cell>
          <cell r="K27">
            <v>60374.175736388395</v>
          </cell>
          <cell r="L27">
            <v>0.78000000000000014</v>
          </cell>
          <cell r="M27">
            <v>56917.380000000012</v>
          </cell>
          <cell r="N27">
            <v>60374.175736388395</v>
          </cell>
          <cell r="O27">
            <v>4</v>
          </cell>
          <cell r="P27">
            <v>2766</v>
          </cell>
          <cell r="Q27">
            <v>2770</v>
          </cell>
          <cell r="R27">
            <v>2160.7057815966082</v>
          </cell>
          <cell r="S27">
            <v>57719.705781596611</v>
          </cell>
          <cell r="T27">
            <v>3.7434455916536033E-2</v>
          </cell>
          <cell r="U27">
            <v>0.18753829458855148</v>
          </cell>
          <cell r="V27">
            <v>10824.655186433583</v>
          </cell>
          <cell r="W27">
            <v>68544.360968030189</v>
          </cell>
          <cell r="X27">
            <v>2654.4699547917844</v>
          </cell>
          <cell r="Y27">
            <v>4.3966976317523401E-2</v>
          </cell>
          <cell r="Z27">
            <v>0.63375115675391946</v>
          </cell>
          <cell r="AA27">
            <v>0.67220821671070163</v>
          </cell>
        </row>
        <row r="28">
          <cell r="A28">
            <v>2006</v>
          </cell>
          <cell r="B28">
            <v>37067</v>
          </cell>
          <cell r="C28">
            <v>37066</v>
          </cell>
          <cell r="D28">
            <v>35132</v>
          </cell>
          <cell r="E28">
            <v>22075</v>
          </cell>
          <cell r="F28">
            <v>18880</v>
          </cell>
          <cell r="G28">
            <v>22075</v>
          </cell>
          <cell r="H28">
            <v>0.62834452920414441</v>
          </cell>
          <cell r="I28">
            <v>0.62834452920414441</v>
          </cell>
          <cell r="J28">
            <v>23290.84666401002</v>
          </cell>
          <cell r="K28">
            <v>23290.84666401002</v>
          </cell>
          <cell r="L28">
            <v>0.72799999999999987</v>
          </cell>
          <cell r="M28">
            <v>26984.047999999995</v>
          </cell>
          <cell r="N28">
            <v>23290.84666401002</v>
          </cell>
          <cell r="O28">
            <v>1</v>
          </cell>
          <cell r="P28">
            <v>1596</v>
          </cell>
          <cell r="Q28">
            <v>1597</v>
          </cell>
          <cell r="R28">
            <v>1003.4662131390186</v>
          </cell>
          <cell r="S28">
            <v>23078.466213139018</v>
          </cell>
          <cell r="T28">
            <v>4.3480628386288765E-2</v>
          </cell>
          <cell r="U28">
            <v>0.14629697666320679</v>
          </cell>
          <cell r="V28">
            <v>3376.3098330062053</v>
          </cell>
          <cell r="W28">
            <v>26454.776046145224</v>
          </cell>
          <cell r="X28">
            <v>212.38045087100181</v>
          </cell>
          <cell r="Y28">
            <v>9.1186230339655658E-3</v>
          </cell>
          <cell r="Z28">
            <v>0.53641962427871204</v>
          </cell>
          <cell r="AA28">
            <v>0.53643409629145355</v>
          </cell>
        </row>
        <row r="29">
          <cell r="A29">
            <v>2007</v>
          </cell>
          <cell r="B29">
            <v>26604</v>
          </cell>
          <cell r="C29">
            <v>24376</v>
          </cell>
          <cell r="D29">
            <v>25122</v>
          </cell>
          <cell r="E29">
            <v>22273</v>
          </cell>
          <cell r="F29">
            <v>19106</v>
          </cell>
          <cell r="G29">
            <v>22273</v>
          </cell>
          <cell r="H29">
            <v>0.88659342409043862</v>
          </cell>
          <cell r="I29">
            <v>0.88659342409043862</v>
          </cell>
          <cell r="J29">
            <v>23586.931454502028</v>
          </cell>
          <cell r="K29">
            <v>23586.931454502028</v>
          </cell>
          <cell r="L29">
            <v>0.85299999999999987</v>
          </cell>
          <cell r="M29">
            <v>20792.727999999996</v>
          </cell>
          <cell r="N29">
            <v>23586.931454502028</v>
          </cell>
          <cell r="O29">
            <v>0</v>
          </cell>
          <cell r="P29">
            <v>1414</v>
          </cell>
          <cell r="Q29">
            <v>1414</v>
          </cell>
          <cell r="R29">
            <v>1253.6431016638803</v>
          </cell>
          <cell r="S29">
            <v>23526.643101663882</v>
          </cell>
          <cell r="T29">
            <v>5.3286101899306604E-2</v>
          </cell>
          <cell r="U29">
            <v>0.13682527373530629</v>
          </cell>
          <cell r="V29">
            <v>3219.039382458016</v>
          </cell>
          <cell r="W29">
            <v>26745.682484121899</v>
          </cell>
          <cell r="X29">
            <v>60.288352838146238</v>
          </cell>
          <cell r="Y29">
            <v>2.5560066155463825E-3</v>
          </cell>
          <cell r="Z29">
            <v>0.76528503614734178</v>
          </cell>
          <cell r="AA29">
            <v>0.83523314332392029</v>
          </cell>
        </row>
        <row r="30">
          <cell r="A30">
            <v>2008</v>
          </cell>
          <cell r="B30">
            <v>214465</v>
          </cell>
          <cell r="C30">
            <v>213607</v>
          </cell>
          <cell r="D30">
            <v>193739</v>
          </cell>
          <cell r="E30">
            <v>165334</v>
          </cell>
          <cell r="F30">
            <v>145067</v>
          </cell>
          <cell r="G30">
            <v>165334</v>
          </cell>
          <cell r="H30">
            <v>0.85338522445145271</v>
          </cell>
          <cell r="I30">
            <v>0.85338522445145271</v>
          </cell>
          <cell r="J30">
            <v>183021.26216198079</v>
          </cell>
          <cell r="K30">
            <v>183021.26216198079</v>
          </cell>
          <cell r="L30">
            <v>0.83299999999999996</v>
          </cell>
          <cell r="M30">
            <v>177934.63099999999</v>
          </cell>
          <cell r="N30">
            <v>183021.26216198079</v>
          </cell>
          <cell r="O30">
            <v>974</v>
          </cell>
          <cell r="P30">
            <v>9017</v>
          </cell>
          <cell r="Q30">
            <v>9991</v>
          </cell>
          <cell r="R30">
            <v>8526.1717774944645</v>
          </cell>
          <cell r="S30">
            <v>173860.17177749446</v>
          </cell>
          <cell r="T30">
            <v>4.9040396603347573E-2</v>
          </cell>
          <cell r="U30">
            <v>0.16079055535329745</v>
          </cell>
          <cell r="V30">
            <v>27955.073573923026</v>
          </cell>
          <cell r="W30">
            <v>201815.24535141748</v>
          </cell>
          <cell r="X30">
            <v>9161.0903844863351</v>
          </cell>
          <cell r="Y30">
            <v>5.0054787494462918E-2</v>
          </cell>
          <cell r="Z30">
            <v>0.71616894028160516</v>
          </cell>
          <cell r="AA30">
            <v>0.71904559203347485</v>
          </cell>
        </row>
        <row r="31">
          <cell r="A31">
            <v>2009</v>
          </cell>
          <cell r="B31">
            <v>179732</v>
          </cell>
          <cell r="C31">
            <v>177823</v>
          </cell>
          <cell r="D31">
            <v>162830</v>
          </cell>
          <cell r="E31">
            <v>134937</v>
          </cell>
          <cell r="F31">
            <v>116964</v>
          </cell>
          <cell r="G31">
            <v>134937</v>
          </cell>
          <cell r="H31">
            <v>0.82869864275624883</v>
          </cell>
          <cell r="I31">
            <v>0.82869864275624883</v>
          </cell>
          <cell r="J31">
            <v>148943.66445986612</v>
          </cell>
          <cell r="K31">
            <v>148943.66445986612</v>
          </cell>
          <cell r="L31">
            <v>0.82599999999999996</v>
          </cell>
          <cell r="M31">
            <v>146881.79799999998</v>
          </cell>
          <cell r="N31">
            <v>148943.66445986612</v>
          </cell>
          <cell r="O31">
            <v>1188</v>
          </cell>
          <cell r="P31">
            <v>9731</v>
          </cell>
          <cell r="Q31">
            <v>10919</v>
          </cell>
          <cell r="R31">
            <v>9048.5604802554808</v>
          </cell>
          <cell r="S31">
            <v>143985.56048025549</v>
          </cell>
          <cell r="T31">
            <v>6.2843527156990819E-2</v>
          </cell>
          <cell r="U31">
            <v>0.15395823691305496</v>
          </cell>
          <cell r="V31">
            <v>22167.763032478179</v>
          </cell>
          <cell r="W31">
            <v>166153.32351273368</v>
          </cell>
          <cell r="X31">
            <v>4958.1039796106343</v>
          </cell>
          <cell r="Y31">
            <v>3.3288451694745494E-2</v>
          </cell>
          <cell r="Z31">
            <v>0.70111366078525517</v>
          </cell>
          <cell r="AA31">
            <v>0.70864039230164544</v>
          </cell>
        </row>
        <row r="32">
          <cell r="A32">
            <v>2010</v>
          </cell>
          <cell r="B32">
            <v>392193</v>
          </cell>
          <cell r="C32">
            <v>386525</v>
          </cell>
          <cell r="D32">
            <v>338310</v>
          </cell>
          <cell r="E32">
            <v>291764</v>
          </cell>
          <cell r="F32">
            <v>255083</v>
          </cell>
          <cell r="G32">
            <v>291764</v>
          </cell>
          <cell r="H32">
            <v>0.86241612722059646</v>
          </cell>
          <cell r="I32">
            <v>0.86241612722059646</v>
          </cell>
          <cell r="J32">
            <v>338233.56818302738</v>
          </cell>
          <cell r="K32">
            <v>338233.56818302738</v>
          </cell>
          <cell r="L32">
            <v>0.81799999999999995</v>
          </cell>
          <cell r="M32">
            <v>316177.44999999995</v>
          </cell>
          <cell r="N32">
            <v>338233.56818302738</v>
          </cell>
          <cell r="O32">
            <v>468</v>
          </cell>
          <cell r="P32">
            <v>26125</v>
          </cell>
          <cell r="Q32">
            <v>26593</v>
          </cell>
          <cell r="R32">
            <v>22934.232071177321</v>
          </cell>
          <cell r="S32">
            <v>314698.23207117734</v>
          </cell>
          <cell r="T32">
            <v>7.2876901532736085E-2</v>
          </cell>
          <cell r="U32">
            <v>0.17803181521966899</v>
          </cell>
          <cell r="V32">
            <v>56026.297502052352</v>
          </cell>
          <cell r="W32">
            <v>370724.52957322967</v>
          </cell>
          <cell r="X32">
            <v>23535.336111850047</v>
          </cell>
          <cell r="Y32">
            <v>6.9583087918448222E-2</v>
          </cell>
          <cell r="Z32">
            <v>0.70887861861679669</v>
          </cell>
          <cell r="AA32">
            <v>0.71927360991184874</v>
          </cell>
        </row>
        <row r="33">
          <cell r="A33">
            <v>2011</v>
          </cell>
          <cell r="B33">
            <v>187365</v>
          </cell>
          <cell r="C33">
            <v>185796</v>
          </cell>
          <cell r="D33">
            <v>146111</v>
          </cell>
          <cell r="E33">
            <v>111508</v>
          </cell>
          <cell r="F33">
            <v>97386</v>
          </cell>
          <cell r="G33">
            <v>111508</v>
          </cell>
          <cell r="H33">
            <v>0.76317320393399535</v>
          </cell>
          <cell r="I33">
            <v>0.76317320393399535</v>
          </cell>
          <cell r="J33">
            <v>142991.94735509303</v>
          </cell>
          <cell r="K33">
            <v>142991.94735509303</v>
          </cell>
          <cell r="L33">
            <v>0.7679999999999999</v>
          </cell>
          <cell r="M33">
            <v>142691.32799999998</v>
          </cell>
          <cell r="N33">
            <v>142991.94735509303</v>
          </cell>
          <cell r="O33">
            <v>1873</v>
          </cell>
          <cell r="P33">
            <v>12853</v>
          </cell>
          <cell r="Q33">
            <v>14726</v>
          </cell>
          <cell r="R33">
            <v>11238.488601132016</v>
          </cell>
          <cell r="S33">
            <v>122746.48860113202</v>
          </cell>
          <cell r="T33">
            <v>9.1558534416831941E-2</v>
          </cell>
          <cell r="U33">
            <v>0.2403454137778544</v>
          </cell>
          <cell r="V33">
            <v>29501.555592617762</v>
          </cell>
          <cell r="W33">
            <v>152248.04419374978</v>
          </cell>
          <cell r="X33">
            <v>20245.458753961007</v>
          </cell>
          <cell r="Y33">
            <v>0.14158460758412711</v>
          </cell>
          <cell r="Z33">
            <v>0.57974802445030837</v>
          </cell>
          <cell r="AA33">
            <v>0.58464384917399737</v>
          </cell>
        </row>
        <row r="34">
          <cell r="A34">
            <v>2012</v>
          </cell>
          <cell r="B34">
            <v>521159</v>
          </cell>
          <cell r="C34">
            <v>515673</v>
          </cell>
          <cell r="D34">
            <v>410620</v>
          </cell>
          <cell r="E34">
            <v>326107</v>
          </cell>
          <cell r="F34">
            <v>300056</v>
          </cell>
          <cell r="G34">
            <v>326107</v>
          </cell>
          <cell r="H34">
            <v>0.79418196873021285</v>
          </cell>
          <cell r="I34">
            <v>0.79418196873021285</v>
          </cell>
          <cell r="J34">
            <v>413895.08064146899</v>
          </cell>
          <cell r="K34">
            <v>413895.08064146899</v>
          </cell>
          <cell r="L34">
            <v>0.82400000000000007</v>
          </cell>
          <cell r="M34">
            <v>424914.55200000003</v>
          </cell>
          <cell r="N34">
            <v>413895.08064146899</v>
          </cell>
          <cell r="O34">
            <v>5491</v>
          </cell>
          <cell r="P34">
            <v>45352</v>
          </cell>
          <cell r="Q34">
            <v>50843</v>
          </cell>
          <cell r="R34">
            <v>40378.593836150212</v>
          </cell>
          <cell r="S34">
            <v>366485.59383615019</v>
          </cell>
          <cell r="T34">
            <v>0.1101778474113851</v>
          </cell>
          <cell r="U34">
            <v>0.17748576931976862</v>
          </cell>
          <cell r="V34">
            <v>65045.977566621368</v>
          </cell>
          <cell r="W34">
            <v>431531.57140277157</v>
          </cell>
          <cell r="X34">
            <v>47409.486805318797</v>
          </cell>
          <cell r="Y34">
            <v>0.11454469749155251</v>
          </cell>
          <cell r="Z34">
            <v>0.6532259710302426</v>
          </cell>
          <cell r="AA34">
            <v>0.6601753317240775</v>
          </cell>
        </row>
        <row r="35">
          <cell r="A35">
            <v>2013</v>
          </cell>
          <cell r="B35">
            <v>186191</v>
          </cell>
          <cell r="C35">
            <v>185505</v>
          </cell>
          <cell r="D35">
            <v>159219</v>
          </cell>
          <cell r="E35">
            <v>129993</v>
          </cell>
          <cell r="F35">
            <v>113049</v>
          </cell>
          <cell r="G35">
            <v>129993</v>
          </cell>
          <cell r="H35">
            <v>0.81644150509675351</v>
          </cell>
          <cell r="I35">
            <v>0.81644150509675351</v>
          </cell>
          <cell r="J35">
            <v>152014.06027546964</v>
          </cell>
          <cell r="K35">
            <v>152014.06027546964</v>
          </cell>
          <cell r="L35">
            <v>0.72</v>
          </cell>
          <cell r="M35">
            <v>133563.6</v>
          </cell>
          <cell r="N35">
            <v>152014.06027546964</v>
          </cell>
          <cell r="O35">
            <v>718</v>
          </cell>
          <cell r="P35">
            <v>8046</v>
          </cell>
          <cell r="Q35">
            <v>8764</v>
          </cell>
          <cell r="R35">
            <v>7155.2933506679474</v>
          </cell>
          <cell r="S35">
            <v>137148.29335066795</v>
          </cell>
          <cell r="T35">
            <v>5.2171945970723221E-2</v>
          </cell>
          <cell r="U35">
            <v>0.20925542589388227</v>
          </cell>
          <cell r="V35">
            <v>28699.024535713124</v>
          </cell>
          <cell r="W35">
            <v>165847.31788638109</v>
          </cell>
          <cell r="X35">
            <v>14865.76692480169</v>
          </cell>
          <cell r="Y35">
            <v>9.779205224742335E-2</v>
          </cell>
          <cell r="Z35">
            <v>0.6455966902302902</v>
          </cell>
          <cell r="AA35">
            <v>0.64798411552609336</v>
          </cell>
        </row>
        <row r="36">
          <cell r="A36">
            <v>2014</v>
          </cell>
          <cell r="B36">
            <v>651146</v>
          </cell>
          <cell r="C36">
            <v>614179</v>
          </cell>
          <cell r="D36">
            <v>581121</v>
          </cell>
          <cell r="E36">
            <v>490804</v>
          </cell>
          <cell r="F36">
            <v>443068</v>
          </cell>
          <cell r="G36">
            <v>490804</v>
          </cell>
          <cell r="H36">
            <v>0.84458142108097967</v>
          </cell>
          <cell r="I36">
            <v>0.84458142108097967</v>
          </cell>
          <cell r="J36">
            <v>549945.81401119556</v>
          </cell>
          <cell r="K36">
            <v>549945.81401119556</v>
          </cell>
          <cell r="L36">
            <v>0.81100000000000017</v>
          </cell>
          <cell r="M36">
            <v>498099.16900000011</v>
          </cell>
          <cell r="N36">
            <v>549945.81401119556</v>
          </cell>
          <cell r="O36">
            <v>1738</v>
          </cell>
          <cell r="P36">
            <v>30702</v>
          </cell>
          <cell r="Q36">
            <v>32440</v>
          </cell>
          <cell r="R36">
            <v>27398.221299866982</v>
          </cell>
          <cell r="S36">
            <v>518202.22129986697</v>
          </cell>
          <cell r="T36">
            <v>5.2871678610602699E-2</v>
          </cell>
          <cell r="U36">
            <v>0.14452258874673529</v>
          </cell>
          <cell r="V36">
            <v>74891.926516565392</v>
          </cell>
          <cell r="W36">
            <v>593094.14781643241</v>
          </cell>
          <cell r="X36">
            <v>31743.592711328587</v>
          </cell>
          <cell r="Y36">
            <v>5.7721309813774428E-2</v>
          </cell>
          <cell r="Z36">
            <v>0.72252032769895991</v>
          </cell>
          <cell r="AA36">
            <v>0.76600831565368888</v>
          </cell>
        </row>
        <row r="37">
          <cell r="A37">
            <v>2015</v>
          </cell>
          <cell r="B37">
            <v>512455</v>
          </cell>
          <cell r="C37">
            <v>510706</v>
          </cell>
          <cell r="D37">
            <v>264678</v>
          </cell>
          <cell r="E37">
            <v>187055</v>
          </cell>
          <cell r="F37">
            <v>157149</v>
          </cell>
          <cell r="G37">
            <v>187055</v>
          </cell>
          <cell r="H37">
            <v>0.70672666409750717</v>
          </cell>
          <cell r="I37">
            <v>0.70672666409750717</v>
          </cell>
          <cell r="J37">
            <v>362165.61265008803</v>
          </cell>
          <cell r="K37">
            <v>362165.61265008803</v>
          </cell>
          <cell r="L37">
            <v>0.78400000000000003</v>
          </cell>
          <cell r="M37">
            <v>400393.50400000002</v>
          </cell>
          <cell r="N37">
            <v>362165.61265008803</v>
          </cell>
          <cell r="O37">
            <v>1547</v>
          </cell>
          <cell r="P37">
            <v>30095</v>
          </cell>
          <cell r="Q37">
            <v>31642</v>
          </cell>
          <cell r="R37">
            <v>22362.24510537332</v>
          </cell>
          <cell r="S37">
            <v>209417.24510537332</v>
          </cell>
          <cell r="T37">
            <v>0.10678320734341253</v>
          </cell>
          <cell r="U37">
            <v>0.50433934411434334</v>
          </cell>
          <cell r="V37">
            <v>105617.35604267666</v>
          </cell>
          <cell r="W37">
            <v>315034.60114804999</v>
          </cell>
          <cell r="X37">
            <v>152748.36754471471</v>
          </cell>
          <cell r="Y37">
            <v>0.42176386219277789</v>
          </cell>
          <cell r="Z37">
            <v>0.35029660185845257</v>
          </cell>
          <cell r="AA37">
            <v>0.35149625245321836</v>
          </cell>
        </row>
        <row r="38">
          <cell r="A38">
            <v>2016</v>
          </cell>
          <cell r="B38">
            <v>356606</v>
          </cell>
          <cell r="C38">
            <v>342498</v>
          </cell>
          <cell r="D38">
            <v>310341</v>
          </cell>
          <cell r="E38">
            <v>216036</v>
          </cell>
          <cell r="F38">
            <v>183730</v>
          </cell>
          <cell r="G38">
            <v>216036</v>
          </cell>
          <cell r="H38">
            <v>0.69612458553655499</v>
          </cell>
          <cell r="I38">
            <v>0.69612458553655499</v>
          </cell>
          <cell r="J38">
            <v>248242.20394984871</v>
          </cell>
          <cell r="K38">
            <v>248242.20394984871</v>
          </cell>
          <cell r="L38">
            <v>0.70099999999999996</v>
          </cell>
          <cell r="M38">
            <v>240091.098</v>
          </cell>
          <cell r="N38">
            <v>248242.20394984871</v>
          </cell>
          <cell r="O38">
            <v>1197</v>
          </cell>
          <cell r="P38">
            <v>16683</v>
          </cell>
          <cell r="Q38">
            <v>17880</v>
          </cell>
          <cell r="R38">
            <v>12446.707589393603</v>
          </cell>
          <cell r="S38">
            <v>228482.7075893936</v>
          </cell>
          <cell r="T38">
            <v>5.4475490599321802E-2</v>
          </cell>
          <cell r="U38">
            <v>0.20973668269144791</v>
          </cell>
          <cell r="V38">
            <v>47921.205142159524</v>
          </cell>
          <cell r="W38">
            <v>276403.91273155314</v>
          </cell>
          <cell r="X38">
            <v>19759.496360455116</v>
          </cell>
          <cell r="Y38">
            <v>7.9597651189267718E-2</v>
          </cell>
          <cell r="Z38">
            <v>0.55012172422615879</v>
          </cell>
          <cell r="AA38">
            <v>0.57278205300291851</v>
          </cell>
        </row>
        <row r="39">
          <cell r="A39">
            <v>2017</v>
          </cell>
          <cell r="B39">
            <v>88263</v>
          </cell>
          <cell r="C39">
            <v>87693</v>
          </cell>
          <cell r="D39">
            <v>73218</v>
          </cell>
          <cell r="E39">
            <v>42299</v>
          </cell>
          <cell r="F39">
            <v>36720</v>
          </cell>
          <cell r="G39">
            <v>42299</v>
          </cell>
          <cell r="H39">
            <v>0.57771313065093288</v>
          </cell>
          <cell r="I39">
            <v>0.57771313065093288</v>
          </cell>
          <cell r="J39">
            <v>50990.694050643287</v>
          </cell>
          <cell r="K39">
            <v>50990.694050643287</v>
          </cell>
          <cell r="L39">
            <v>0.59199999999999997</v>
          </cell>
          <cell r="M39">
            <v>51914.255999999994</v>
          </cell>
          <cell r="N39">
            <v>50990.694050643287</v>
          </cell>
          <cell r="O39">
            <v>429</v>
          </cell>
          <cell r="P39">
            <v>4480</v>
          </cell>
          <cell r="Q39">
            <v>4909</v>
          </cell>
          <cell r="R39">
            <v>2835.9937583654296</v>
          </cell>
          <cell r="S39">
            <v>45134.993758365432</v>
          </cell>
          <cell r="T39">
            <v>6.2833591460058624E-2</v>
          </cell>
          <cell r="U39">
            <v>0.22425072859218315</v>
          </cell>
          <cell r="V39">
            <v>10121.555235317086</v>
          </cell>
          <cell r="W39">
            <v>55256.548993682518</v>
          </cell>
          <cell r="X39">
            <v>5855.7002922778556</v>
          </cell>
          <cell r="Y39">
            <v>0.11483860734396066</v>
          </cell>
          <cell r="Z39">
            <v>0.44816054018519008</v>
          </cell>
          <cell r="AA39">
            <v>0.45107356069886345</v>
          </cell>
        </row>
        <row r="40">
          <cell r="A40">
            <v>2018</v>
          </cell>
          <cell r="B40">
            <v>210915</v>
          </cell>
          <cell r="C40">
            <v>193816</v>
          </cell>
          <cell r="D40">
            <v>172009</v>
          </cell>
          <cell r="E40">
            <v>153637</v>
          </cell>
          <cell r="F40">
            <v>129762</v>
          </cell>
          <cell r="G40">
            <v>153637</v>
          </cell>
          <cell r="H40">
            <v>0.89319163532140755</v>
          </cell>
          <cell r="I40">
            <v>0.89319163532140755</v>
          </cell>
          <cell r="J40">
            <v>188387.51376381467</v>
          </cell>
          <cell r="K40">
            <v>188387.51376381467</v>
          </cell>
          <cell r="L40">
            <v>0.90199999999999991</v>
          </cell>
          <cell r="M40">
            <v>174822.03199999998</v>
          </cell>
          <cell r="N40">
            <v>188387.51376381467</v>
          </cell>
          <cell r="O40">
            <v>112</v>
          </cell>
          <cell r="P40">
            <v>7724</v>
          </cell>
          <cell r="Q40">
            <v>7836</v>
          </cell>
          <cell r="R40">
            <v>6999.0496543785493</v>
          </cell>
          <cell r="S40">
            <v>160636.04965437856</v>
          </cell>
          <cell r="T40">
            <v>4.3570852678695537E-2</v>
          </cell>
          <cell r="U40">
            <v>0.27404398029352034</v>
          </cell>
          <cell r="V40">
            <v>44021.34242591347</v>
          </cell>
          <cell r="W40">
            <v>204657.39208029202</v>
          </cell>
          <cell r="X40">
            <v>27751.464109436114</v>
          </cell>
          <cell r="Y40">
            <v>0.14731052793779476</v>
          </cell>
          <cell r="Z40">
            <v>0.6484178444130505</v>
          </cell>
          <cell r="AA40">
            <v>0.70562311498730013</v>
          </cell>
        </row>
        <row r="41">
          <cell r="A41">
            <v>2019</v>
          </cell>
          <cell r="B41">
            <v>63222</v>
          </cell>
          <cell r="C41">
            <v>63046</v>
          </cell>
          <cell r="D41">
            <v>58562</v>
          </cell>
          <cell r="E41">
            <v>49862</v>
          </cell>
          <cell r="F41">
            <v>42140</v>
          </cell>
          <cell r="G41">
            <v>49862</v>
          </cell>
          <cell r="H41">
            <v>0.85143950001707591</v>
          </cell>
          <cell r="I41">
            <v>0.85143950001707591</v>
          </cell>
          <cell r="J41">
            <v>53829.70807007957</v>
          </cell>
          <cell r="K41">
            <v>53829.70807007957</v>
          </cell>
          <cell r="L41">
            <v>0.85500000000000009</v>
          </cell>
          <cell r="M41">
            <v>53904.330000000009</v>
          </cell>
          <cell r="N41">
            <v>53829.70807007957</v>
          </cell>
          <cell r="O41">
            <v>41</v>
          </cell>
          <cell r="P41">
            <v>1118</v>
          </cell>
          <cell r="Q41">
            <v>1159</v>
          </cell>
          <cell r="R41">
            <v>986.81838051979094</v>
          </cell>
          <cell r="S41">
            <v>50848.818380519791</v>
          </cell>
          <cell r="T41">
            <v>1.9406908792552031E-2</v>
          </cell>
          <cell r="U41">
            <v>0.19882867794166653</v>
          </cell>
          <cell r="V41">
            <v>10110.203333494663</v>
          </cell>
          <cell r="W41">
            <v>60959.021714014452</v>
          </cell>
          <cell r="X41">
            <v>2980.8896895597791</v>
          </cell>
          <cell r="Y41">
            <v>5.5376293062541451E-2</v>
          </cell>
          <cell r="Z41">
            <v>0.68214890988136712</v>
          </cell>
          <cell r="AA41">
            <v>0.68405320528693003</v>
          </cell>
        </row>
        <row r="42">
          <cell r="A42">
            <v>2020</v>
          </cell>
          <cell r="B42">
            <v>345018</v>
          </cell>
          <cell r="C42">
            <v>341739</v>
          </cell>
          <cell r="D42">
            <v>280440</v>
          </cell>
          <cell r="E42">
            <v>226107</v>
          </cell>
          <cell r="F42">
            <v>198627</v>
          </cell>
          <cell r="G42">
            <v>226107</v>
          </cell>
          <cell r="H42">
            <v>0.80625802310654682</v>
          </cell>
          <cell r="I42">
            <v>0.80625802310654682</v>
          </cell>
          <cell r="J42">
            <v>278173.53061617457</v>
          </cell>
          <cell r="K42">
            <v>278173.53061617457</v>
          </cell>
          <cell r="L42">
            <v>0.80700000000000005</v>
          </cell>
          <cell r="M42">
            <v>275783.37300000002</v>
          </cell>
          <cell r="N42">
            <v>278173.53061617457</v>
          </cell>
          <cell r="O42">
            <v>3357</v>
          </cell>
          <cell r="P42">
            <v>15258</v>
          </cell>
          <cell r="Q42">
            <v>18615</v>
          </cell>
          <cell r="R42">
            <v>15008.493100128369</v>
          </cell>
          <cell r="S42">
            <v>241115.49310012837</v>
          </cell>
          <cell r="T42">
            <v>6.224607513668054E-2</v>
          </cell>
          <cell r="U42">
            <v>0.23200639317871027</v>
          </cell>
          <cell r="V42">
            <v>55940.33589366699</v>
          </cell>
          <cell r="W42">
            <v>297055.82899379538</v>
          </cell>
          <cell r="X42">
            <v>37058.037516046199</v>
          </cell>
          <cell r="Y42">
            <v>0.1332191363928838</v>
          </cell>
          <cell r="Z42">
            <v>0.61920100719419968</v>
          </cell>
          <cell r="AA42">
            <v>0.62514226675951057</v>
          </cell>
        </row>
        <row r="43">
          <cell r="A43">
            <v>2021</v>
          </cell>
          <cell r="B43">
            <v>152309</v>
          </cell>
          <cell r="C43">
            <v>151765</v>
          </cell>
          <cell r="D43">
            <v>109367</v>
          </cell>
          <cell r="E43">
            <v>76255</v>
          </cell>
          <cell r="F43">
            <v>64035</v>
          </cell>
          <cell r="G43">
            <v>76255</v>
          </cell>
          <cell r="H43">
            <v>0.69723956952279942</v>
          </cell>
          <cell r="I43">
            <v>0.69723956952279942</v>
          </cell>
          <cell r="J43">
            <v>106195.86159444806</v>
          </cell>
          <cell r="K43">
            <v>106195.86159444806</v>
          </cell>
          <cell r="L43">
            <v>0.69262486130169598</v>
          </cell>
          <cell r="M43">
            <v>105116.21207545188</v>
          </cell>
          <cell r="N43">
            <v>106195.86159444806</v>
          </cell>
          <cell r="O43">
            <v>550</v>
          </cell>
          <cell r="P43">
            <v>9528</v>
          </cell>
          <cell r="Q43">
            <v>10078</v>
          </cell>
          <cell r="R43">
            <v>7026.7803816507721</v>
          </cell>
          <cell r="S43">
            <v>83281.780381650766</v>
          </cell>
          <cell r="T43">
            <v>8.4373561053204413E-2</v>
          </cell>
          <cell r="U43">
            <v>0.33084228222537543</v>
          </cell>
          <cell r="V43">
            <v>27553.134289257836</v>
          </cell>
          <cell r="W43">
            <v>110834.91467090861</v>
          </cell>
          <cell r="X43">
            <v>22914.081212797289</v>
          </cell>
          <cell r="Y43">
            <v>0.21577188478684789</v>
          </cell>
          <cell r="Z43">
            <v>0.46656323908403813</v>
          </cell>
          <cell r="AA43">
            <v>0.46823562996508261</v>
          </cell>
        </row>
        <row r="44">
          <cell r="A44">
            <v>2022</v>
          </cell>
          <cell r="B44">
            <v>663253</v>
          </cell>
          <cell r="C44">
            <v>663253</v>
          </cell>
          <cell r="D44">
            <v>659933</v>
          </cell>
          <cell r="F44">
            <v>421642</v>
          </cell>
          <cell r="G44">
            <v>478415</v>
          </cell>
          <cell r="I44">
            <v>0.72494480500293212</v>
          </cell>
          <cell r="K44">
            <v>480821.81675260974</v>
          </cell>
          <cell r="N44">
            <v>480821.81675260974</v>
          </cell>
          <cell r="S44">
            <v>478415</v>
          </cell>
          <cell r="U44">
            <v>0.12308055643627058</v>
          </cell>
          <cell r="V44">
            <v>58883.584407458387</v>
          </cell>
          <cell r="W44">
            <v>537298.58440745843</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Joint Staff Rprt 2022 Table 15"/>
      <sheetName val="Sockeye Returns"/>
      <sheetName val="Adult Returns by Return Year"/>
      <sheetName val="Marine Survival by Smolt Year"/>
    </sheetNames>
    <sheetDataSet>
      <sheetData sheetId="0"/>
      <sheetData sheetId="1">
        <row r="2">
          <cell r="C2">
            <v>4</v>
          </cell>
          <cell r="F2">
            <v>636</v>
          </cell>
        </row>
        <row r="3">
          <cell r="C3">
            <v>0</v>
          </cell>
          <cell r="F3">
            <v>1507</v>
          </cell>
        </row>
        <row r="4">
          <cell r="C4">
            <v>100</v>
          </cell>
          <cell r="F4">
            <v>775</v>
          </cell>
        </row>
        <row r="5">
          <cell r="C5">
            <v>83</v>
          </cell>
          <cell r="F5">
            <v>3349</v>
          </cell>
        </row>
        <row r="6">
          <cell r="C6">
            <v>9345</v>
          </cell>
          <cell r="F6">
            <v>24616</v>
          </cell>
        </row>
        <row r="7">
          <cell r="C7">
            <v>32213</v>
          </cell>
          <cell r="F7">
            <v>49969</v>
          </cell>
        </row>
        <row r="8">
          <cell r="C8">
            <v>1840</v>
          </cell>
          <cell r="F8">
            <v>6672</v>
          </cell>
        </row>
        <row r="9">
          <cell r="C9">
            <v>28553</v>
          </cell>
          <cell r="F9">
            <v>39560</v>
          </cell>
        </row>
        <row r="10">
          <cell r="C10">
            <v>17632</v>
          </cell>
          <cell r="F10">
            <v>30990</v>
          </cell>
        </row>
        <row r="11">
          <cell r="C11">
            <v>36</v>
          </cell>
          <cell r="F11">
            <v>2138</v>
          </cell>
        </row>
        <row r="12">
          <cell r="C12">
            <v>173</v>
          </cell>
          <cell r="F12">
            <v>2716</v>
          </cell>
        </row>
        <row r="13">
          <cell r="C13">
            <v>3</v>
          </cell>
          <cell r="F13">
            <v>3271</v>
          </cell>
        </row>
        <row r="14">
          <cell r="C14">
            <v>8</v>
          </cell>
          <cell r="F14">
            <v>2185</v>
          </cell>
        </row>
        <row r="15">
          <cell r="C15">
            <v>64</v>
          </cell>
          <cell r="F15">
            <v>5020</v>
          </cell>
        </row>
        <row r="16">
          <cell r="C16">
            <v>1</v>
          </cell>
          <cell r="F16">
            <v>472</v>
          </cell>
        </row>
        <row r="17">
          <cell r="C17">
            <v>1</v>
          </cell>
          <cell r="F17">
            <v>445</v>
          </cell>
        </row>
        <row r="18">
          <cell r="C18">
            <v>25</v>
          </cell>
          <cell r="F18">
            <v>1414</v>
          </cell>
        </row>
        <row r="19">
          <cell r="C19">
            <v>12</v>
          </cell>
          <cell r="F19">
            <v>2046</v>
          </cell>
        </row>
        <row r="20">
          <cell r="C20">
            <v>2</v>
          </cell>
          <cell r="F20">
            <v>425</v>
          </cell>
        </row>
        <row r="21">
          <cell r="C21">
            <v>1</v>
          </cell>
          <cell r="F21">
            <v>704</v>
          </cell>
        </row>
        <row r="22">
          <cell r="C22">
            <v>366</v>
          </cell>
          <cell r="F22">
            <v>2910</v>
          </cell>
        </row>
        <row r="23">
          <cell r="C23">
            <v>1691</v>
          </cell>
          <cell r="F23">
            <v>7300</v>
          </cell>
        </row>
        <row r="24">
          <cell r="C24">
            <v>24</v>
          </cell>
          <cell r="F24">
            <v>2564</v>
          </cell>
        </row>
        <row r="25">
          <cell r="C25">
            <v>0</v>
          </cell>
          <cell r="F25">
            <v>1090</v>
          </cell>
        </row>
        <row r="26">
          <cell r="C26">
            <v>682</v>
          </cell>
          <cell r="F26">
            <v>4317</v>
          </cell>
        </row>
        <row r="27">
          <cell r="C27">
            <v>4</v>
          </cell>
          <cell r="F27">
            <v>2766</v>
          </cell>
        </row>
        <row r="28">
          <cell r="C28">
            <v>1</v>
          </cell>
          <cell r="F28">
            <v>1596</v>
          </cell>
        </row>
        <row r="29">
          <cell r="C29">
            <v>0</v>
          </cell>
          <cell r="F29">
            <v>1414</v>
          </cell>
        </row>
        <row r="30">
          <cell r="C30">
            <v>974</v>
          </cell>
          <cell r="F30">
            <v>9017</v>
          </cell>
        </row>
        <row r="31">
          <cell r="C31">
            <v>1188</v>
          </cell>
          <cell r="F31">
            <v>9731</v>
          </cell>
        </row>
        <row r="32">
          <cell r="C32">
            <v>468</v>
          </cell>
          <cell r="F32">
            <v>26125</v>
          </cell>
        </row>
        <row r="33">
          <cell r="C33">
            <v>1873</v>
          </cell>
          <cell r="F33">
            <v>12853</v>
          </cell>
        </row>
        <row r="34">
          <cell r="C34">
            <v>5491</v>
          </cell>
          <cell r="F34">
            <v>45352</v>
          </cell>
        </row>
        <row r="35">
          <cell r="C35">
            <v>718</v>
          </cell>
          <cell r="F35">
            <v>8046</v>
          </cell>
        </row>
        <row r="36">
          <cell r="C36">
            <v>1738</v>
          </cell>
          <cell r="F36">
            <v>30702</v>
          </cell>
        </row>
        <row r="37">
          <cell r="C37">
            <v>1547</v>
          </cell>
          <cell r="F37">
            <v>30095</v>
          </cell>
        </row>
        <row r="38">
          <cell r="C38">
            <v>1197</v>
          </cell>
          <cell r="F38">
            <v>16683</v>
          </cell>
        </row>
        <row r="39">
          <cell r="C39">
            <v>429</v>
          </cell>
          <cell r="F39">
            <v>4480</v>
          </cell>
        </row>
        <row r="40">
          <cell r="C40">
            <v>112</v>
          </cell>
          <cell r="F40">
            <v>7724</v>
          </cell>
        </row>
        <row r="41">
          <cell r="C41">
            <v>41</v>
          </cell>
          <cell r="F41">
            <v>1118</v>
          </cell>
        </row>
        <row r="42">
          <cell r="C42">
            <v>3357</v>
          </cell>
          <cell r="F42">
            <v>15258</v>
          </cell>
        </row>
        <row r="43">
          <cell r="C43">
            <v>550</v>
          </cell>
          <cell r="F43">
            <v>9528</v>
          </cell>
        </row>
      </sheetData>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Stiff, Howard" id="{294E98C2-59BB-4772-9417-CDE16FB47E13}" userId="S::Howard.Stiff@dfo-mpo.gc.ca::e77cfe4f-0f36-4fe2-9cbe-130767b5bc4f"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ward Stiff (DFO)" refreshedDate="44866.44548923611" createdVersion="7" refreshedVersion="7" minRefreshableVersion="3" recordCount="245" xr:uid="{9F17A1F3-AAC3-4FA3-8F59-198EEB48B251}">
  <cacheSource type="worksheet">
    <worksheetSource ref="A1:AH248" sheet="Data at Age"/>
  </cacheSource>
  <cacheFields count="34">
    <cacheField name="Stock" numFmtId="0">
      <sharedItems containsBlank="1"/>
    </cacheField>
    <cacheField name="Decade" numFmtId="0">
      <sharedItems containsBlank="1"/>
    </cacheField>
    <cacheField name="Return Year" numFmtId="0">
      <sharedItems containsString="0" containsBlank="1" containsNumber="1" containsInteger="1" minValue="1980" maxValue="2022" count="44">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m/>
      </sharedItems>
    </cacheField>
    <cacheField name="Brood Year" numFmtId="0">
      <sharedItems containsString="0" containsBlank="1" containsNumber="1" containsInteger="1" minValue="1975" maxValue="2019"/>
    </cacheField>
    <cacheField name="Smolt Year" numFmtId="0">
      <sharedItems containsString="0" containsBlank="1" containsNumber="1" containsInteger="1" minValue="1977" maxValue="2021" count="46">
        <n v="1979"/>
        <n v="1978"/>
        <n v="1977"/>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m/>
      </sharedItems>
    </cacheField>
    <cacheField name="Total Sox (Mouth)  [16-hour]" numFmtId="0">
      <sharedItems containsString="0" containsBlank="1" containsNumber="1" containsInteger="1" minValue="9913" maxValue="663253"/>
    </cacheField>
    <cacheField name="Total Sox (Bonn)  [16-hour]" numFmtId="0">
      <sharedItems containsString="0" containsBlank="1" containsNumber="1" containsInteger="1" minValue="8774" maxValue="663253"/>
    </cacheField>
    <cacheField name="Total Sox (Rock)  [24-hour]" numFmtId="0">
      <sharedItems containsString="0" containsBlank="1" containsNumber="1" containsInteger="1" minValue="9334" maxValue="659933"/>
    </cacheField>
    <cacheField name="Total Sox (Wells) [24-hour]" numFmtId="0">
      <sharedItems containsString="0" containsBlank="1" containsNumber="1" minValue="1885.9119999999998" maxValue="490804"/>
    </cacheField>
    <cacheField name="Ok Stock Composition (Wells:Rock [adj])" numFmtId="0">
      <sharedItems containsString="0" containsBlank="1" containsNumber="1" minValue="0.16591114630069498" maxValue="0.89319163532140755"/>
    </cacheField>
    <cacheField name="OK Sox at Mouth" numFmtId="0">
      <sharedItems containsString="0" containsBlank="1" containsNumber="1" minValue="2324.2862752595647" maxValue="593094.14781643241"/>
    </cacheField>
    <cacheField name="OK Stock 1 (Bonn)" numFmtId="0">
      <sharedItems containsString="0" containsBlank="1" containsNumber="1" minValue="2103.4215128002111" maxValue="518724.17261809501"/>
    </cacheField>
    <cacheField name="Ok Stock Comp 2 (Bonn)" numFmtId="0">
      <sharedItems containsString="0" containsBlank="1" containsNumber="1" minValue="0" maxValue="0.90199999999999991"/>
    </cacheField>
    <cacheField name="OK Stock 2 (Bonn)" numFmtId="0">
      <sharedItems containsString="0" containsBlank="1" containsNumber="1" minValue="12395.25" maxValue="498099.16900000011"/>
    </cacheField>
    <cacheField name="Bon to Wells (CR)" numFmtId="0">
      <sharedItems containsString="0" containsBlank="1" containsNumber="1" minValue="0.13140873954882473" maxValue="0.78380374138496878"/>
    </cacheField>
    <cacheField name="OKSox Harvest Below Wells" numFmtId="3">
      <sharedItems containsString="0" containsBlank="1" containsNumber="1" minValue="0" maxValue="47767.131218372087"/>
    </cacheField>
    <cacheField name="Harvest Below Wells (%)" numFmtId="0">
      <sharedItems containsString="0" containsBlank="1" containsNumber="1" minValue="0" maxValue="0.49716254767431162"/>
    </cacheField>
    <cacheField name="Total B4 Harvest (Wells)" numFmtId="3">
      <sharedItems containsString="0" containsBlank="1" containsNumber="1" minValue="1964.3879722002284" maxValue="518202.22129986697"/>
    </cacheField>
    <cacheField name="Bon to Wells (Adj CR)" numFmtId="0">
      <sharedItems containsString="0" containsBlank="1" containsNumber="1" minValue="0" maxValue="152748.36754471471"/>
    </cacheField>
    <cacheField name="Age" numFmtId="0">
      <sharedItems containsString="0" containsBlank="1" containsNumber="1" minValue="1.1000000000000001" maxValue="4.0999999999999996" count="11">
        <n v="1.1000000000000001"/>
        <n v="1.2"/>
        <n v="1.3"/>
        <n v="2.1"/>
        <n v="2.2000000000000002"/>
        <n v="2.2999999999999998"/>
        <n v="3.1"/>
        <n v="3.2"/>
        <n v="3.3"/>
        <n v="4.0999999999999996"/>
        <m/>
      </sharedItems>
    </cacheField>
    <cacheField name="Total Age (Years)" numFmtId="0">
      <sharedItems containsString="0" containsBlank="1" containsNumber="1" minValue="3.0000000000000009" maxValue="6.9999999999999982"/>
    </cacheField>
    <cacheField name="FW Years" numFmtId="0">
      <sharedItems containsString="0" containsBlank="1" containsNumber="1" containsInteger="1" minValue="1" maxValue="4" count="5">
        <n v="1"/>
        <n v="2"/>
        <n v="3"/>
        <n v="4"/>
        <m/>
      </sharedItems>
    </cacheField>
    <cacheField name="Age Comp (Fryer)" numFmtId="0">
      <sharedItems containsString="0" containsBlank="1" containsNumber="1" minValue="0" maxValue="0.98599999999999999"/>
    </cacheField>
    <cacheField name="Returns at Age (Bonn)" numFmtId="0">
      <sharedItems containsString="0" containsBlank="1" containsNumber="1" minValue="0" maxValue="626110.83199999994"/>
    </cacheField>
    <cacheField name="Age Comp (SIRE)" numFmtId="0">
      <sharedItems containsString="0" containsBlank="1" containsNumber="1" minValue="0" maxValue="0.97099999999999997"/>
    </cacheField>
    <cacheField name="Ok Returns at Mouth (Best)" numFmtId="0">
      <sharedItems containsString="0" containsBlank="1" containsNumber="1" minValue="0" maxValue="524295.22666972619"/>
    </cacheField>
    <cacheField name="OK Returns at Age (Bonn)" numFmtId="0">
      <sharedItems containsString="0" containsBlank="1" containsNumber="1" minValue="0" maxValue="424835.0973742198"/>
    </cacheField>
    <cacheField name="OK Returns at Age 2 (Bonn)" numFmtId="0">
      <sharedItems containsBlank="1" containsMixedTypes="1" containsNumber="1" minValue="0" maxValue="407943.21941100009"/>
    </cacheField>
    <cacheField name="OK Returns at Age 3 (Bonn)" numFmtId="0">
      <sharedItems containsBlank="1" containsMixedTypes="1" containsNumber="1" minValue="0" maxValue="458552.16859439597"/>
    </cacheField>
    <cacheField name="OK Returns at Age BEST (Bonn)" numFmtId="0">
      <sharedItems containsString="0" containsBlank="1" containsNumber="1" minValue="0" maxValue="458552.16859439597"/>
    </cacheField>
    <cacheField name="Returns at Age (Wells)" numFmtId="0">
      <sharedItems containsString="0" containsBlank="1" containsNumber="1" minValue="0" maxValue="433870.73599999998"/>
    </cacheField>
    <cacheField name="Returns at Age (Wells b4 Harvest)" numFmtId="0">
      <sharedItems containsString="0" containsBlank="1" containsNumber="1" minValue="0" maxValue="458090.76362908242"/>
    </cacheField>
    <cacheField name="Bon To Wells (Adj)" numFmtId="0">
      <sharedItems containsString="0" containsBlank="1" containsNumber="1" minValue="0" maxValue="25.311947557627352"/>
    </cacheField>
    <cacheField name="Comments - final abund at age based on year-specific age comp, in the following order, where available: 1. Spawning Ground (biosample or deadpitch) (SIRE); 2. SPA/DNA/PIT analyses (Fryer); 3. Wells Dam biosample; 4. Fryer (thesis; pre-PIT); 5. SIRE multi-year avg " numFmtId="0">
      <sharedItems containsBlank="1" containsMixedTypes="1" containsNumber="1" minValue="0" maxValue="271396.863400032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ward Stiff (DFO)" refreshedDate="44866.445489467595" createdVersion="7" refreshedVersion="7" minRefreshableVersion="3" recordCount="249" xr:uid="{FF7DBD69-91D5-4E98-984C-A7BB97B5159B}">
  <cacheSource type="worksheet">
    <worksheetSource ref="A1:AH250" sheet="Data at Age"/>
  </cacheSource>
  <cacheFields count="34">
    <cacheField name="Stock" numFmtId="0">
      <sharedItems containsBlank="1" count="2">
        <s v="Okanagan Sockeye"/>
        <m/>
      </sharedItems>
    </cacheField>
    <cacheField name="Decade" numFmtId="0">
      <sharedItems containsBlank="1"/>
    </cacheField>
    <cacheField name="Return Year" numFmtId="0">
      <sharedItems containsString="0" containsBlank="1" containsNumber="1" containsInteger="1" minValue="1980" maxValue="2022" count="44">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m/>
      </sharedItems>
    </cacheField>
    <cacheField name="Brood Year" numFmtId="0">
      <sharedItems containsString="0" containsBlank="1" containsNumber="1" containsInteger="1" minValue="1975" maxValue="2019" count="46">
        <n v="1977"/>
        <n v="1976"/>
        <n v="1975"/>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m/>
      </sharedItems>
    </cacheField>
    <cacheField name="Smolt Year" numFmtId="0">
      <sharedItems containsString="0" containsBlank="1" containsNumber="1" containsInteger="1" minValue="1977" maxValue="2021" count="46">
        <n v="1979"/>
        <n v="1978"/>
        <n v="1977"/>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m/>
      </sharedItems>
    </cacheField>
    <cacheField name="Total Sox (Mouth)  [16-hour]" numFmtId="0">
      <sharedItems containsString="0" containsBlank="1" containsNumber="1" containsInteger="1" minValue="9913" maxValue="663253"/>
    </cacheField>
    <cacheField name="Total Sox (Bonn)  [16-hour]" numFmtId="0">
      <sharedItems containsString="0" containsBlank="1" containsNumber="1" containsInteger="1" minValue="8774" maxValue="663253"/>
    </cacheField>
    <cacheField name="Total Sox (Rock)  [24-hour]" numFmtId="0">
      <sharedItems containsString="0" containsBlank="1" containsNumber="1" containsInteger="1" minValue="9334" maxValue="659933"/>
    </cacheField>
    <cacheField name="Total Sox (Wells) [24-hour]" numFmtId="0">
      <sharedItems containsString="0" containsBlank="1" containsNumber="1" minValue="1885.9119999999998" maxValue="490804"/>
    </cacheField>
    <cacheField name="Ok Stock Composition (Wells:Rock [adj])" numFmtId="0">
      <sharedItems containsString="0" containsBlank="1" containsNumber="1" minValue="0.16591114630069498" maxValue="0.89319163532140755"/>
    </cacheField>
    <cacheField name="OK Sox at Mouth" numFmtId="0">
      <sharedItems containsString="0" containsBlank="1" containsNumber="1" minValue="2324.2862752595647" maxValue="593094.14781643241"/>
    </cacheField>
    <cacheField name="OK Stock 1 (Bonn)" numFmtId="0">
      <sharedItems containsString="0" containsBlank="1" containsNumber="1" minValue="2103.4215128002111" maxValue="518724.17261809501"/>
    </cacheField>
    <cacheField name="Ok Stock Comp 2 (Bonn)" numFmtId="0">
      <sharedItems containsString="0" containsBlank="1" containsNumber="1" minValue="0" maxValue="0.90199999999999991"/>
    </cacheField>
    <cacheField name="OK Stock 2 (Bonn)" numFmtId="0">
      <sharedItems containsString="0" containsBlank="1" containsNumber="1" minValue="12395.25" maxValue="498099.16900000011"/>
    </cacheField>
    <cacheField name="Bon to Wells (CR)" numFmtId="0">
      <sharedItems containsString="0" containsBlank="1" containsNumber="1" minValue="0.13140873954882473" maxValue="0.78380374138496878"/>
    </cacheField>
    <cacheField name="OKSox Harvest Below Wells" numFmtId="0">
      <sharedItems containsString="0" containsBlank="1" containsNumber="1" minValue="0" maxValue="47767.131218372087"/>
    </cacheField>
    <cacheField name="Harvest Below Wells (%)" numFmtId="0">
      <sharedItems containsString="0" containsBlank="1" containsNumber="1" minValue="0" maxValue="0.49716254767431162"/>
    </cacheField>
    <cacheField name="Total B4 Harvest (Wells)" numFmtId="3">
      <sharedItems containsString="0" containsBlank="1" containsNumber="1" minValue="1964.3879722002284" maxValue="518202.22129986697"/>
    </cacheField>
    <cacheField name="Bon to Wells (Adj CR)" numFmtId="0">
      <sharedItems containsString="0" containsBlank="1" containsNumber="1" minValue="0" maxValue="152748.36754471471"/>
    </cacheField>
    <cacheField name="Age" numFmtId="0">
      <sharedItems containsString="0" containsBlank="1" containsNumber="1" minValue="1.1000000000000001" maxValue="4.0999999999999996" count="11">
        <n v="1.1000000000000001"/>
        <n v="1.2"/>
        <n v="1.3"/>
        <n v="2.1"/>
        <n v="2.2000000000000002"/>
        <n v="2.2999999999999998"/>
        <n v="3.1"/>
        <n v="3.2"/>
        <n v="3.3"/>
        <n v="4.0999999999999996"/>
        <m/>
      </sharedItems>
    </cacheField>
    <cacheField name="Total Age (Years)" numFmtId="0">
      <sharedItems containsString="0" containsBlank="1" containsNumber="1" minValue="3.0000000000000009" maxValue="6.9999999999999982"/>
    </cacheField>
    <cacheField name="FW Years" numFmtId="0">
      <sharedItems containsString="0" containsBlank="1" containsNumber="1" containsInteger="1" minValue="1" maxValue="4" count="5">
        <n v="1"/>
        <n v="2"/>
        <n v="3"/>
        <n v="4"/>
        <m/>
      </sharedItems>
    </cacheField>
    <cacheField name="Age Comp (Fryer)" numFmtId="0">
      <sharedItems containsString="0" containsBlank="1" containsNumber="1" minValue="0" maxValue="0.98599999999999999"/>
    </cacheField>
    <cacheField name="Returns at Age (Bonn)" numFmtId="0">
      <sharedItems containsString="0" containsBlank="1" containsNumber="1" minValue="0" maxValue="626110.83199999994"/>
    </cacheField>
    <cacheField name="Age Comp (SIRE)" numFmtId="0">
      <sharedItems containsString="0" containsBlank="1" containsNumber="1" minValue="0" maxValue="0.97099999999999997"/>
    </cacheField>
    <cacheField name="Ok Returns at Mouth (Best)" numFmtId="0">
      <sharedItems containsString="0" containsBlank="1" containsNumber="1" minValue="0" maxValue="524295.22666972619"/>
    </cacheField>
    <cacheField name="OK Returns at Age (Bonn)" numFmtId="0">
      <sharedItems containsString="0" containsBlank="1" containsNumber="1" minValue="0" maxValue="424835.0973742198"/>
    </cacheField>
    <cacheField name="OK Returns at Age 2 (Bonn)" numFmtId="0">
      <sharedItems containsBlank="1" containsMixedTypes="1" containsNumber="1" minValue="0" maxValue="407943.21941100009"/>
    </cacheField>
    <cacheField name="OK Returns at Age 3 (Bonn)" numFmtId="0">
      <sharedItems containsBlank="1" containsMixedTypes="1" containsNumber="1" minValue="0" maxValue="458552.16859439597"/>
    </cacheField>
    <cacheField name="OK Returns at Age BEST (Bonn)" numFmtId="0">
      <sharedItems containsString="0" containsBlank="1" containsNumber="1" minValue="0" maxValue="458552.16859439597"/>
    </cacheField>
    <cacheField name="Returns at Age (Wells)" numFmtId="0">
      <sharedItems containsString="0" containsBlank="1" containsNumber="1" minValue="0" maxValue="433870.73599999998"/>
    </cacheField>
    <cacheField name="Returns at Age (Wells b4 Harvest)" numFmtId="0">
      <sharedItems containsString="0" containsBlank="1" containsNumber="1" minValue="0" maxValue="458090.76362908242"/>
    </cacheField>
    <cacheField name="Bon To Wells (Adj)" numFmtId="0">
      <sharedItems containsString="0" containsBlank="1" containsNumber="1" minValue="0" maxValue="25.311947557627352"/>
    </cacheField>
    <cacheField name="Comments - final abund at age based on year-specific age comp, in the following order, where available: 1. Spawning Ground (biosample or deadpitch) (SIRE); 2. SPA/DNA/PIT analyses (Fryer); 3. Wells Dam biosample; 4. Fryer (thesis; pre-PIT); 5. SIRE multi-year avg " numFmtId="0">
      <sharedItems containsBlank="1" containsMixedTypes="1" containsNumber="1" minValue="0" maxValue="271396.86340003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
  <r>
    <s v="Okanagan Sockeye"/>
    <s v="1980s"/>
    <x v="0"/>
    <n v="1977"/>
    <x v="0"/>
    <n v="58886"/>
    <n v="58882"/>
    <n v="52657"/>
    <n v="30080.635999999999"/>
    <n v="0.57125616727120798"/>
    <n v="36510.678199882466"/>
    <n v="33636.705641263266"/>
    <m/>
    <m/>
    <n v="0.45129241533915287"/>
    <n v="365.60394705357311"/>
    <n v="1.2008180573015366E-2"/>
    <n v="30446.239947053571"/>
    <n v="3192.7507188787822"/>
    <x v="0"/>
    <n v="3.0000000000000009"/>
    <x v="0"/>
    <m/>
    <m/>
    <n v="5.1999999999999998E-2"/>
    <n v="1898.5552663938881"/>
    <m/>
    <m/>
    <m/>
    <m/>
    <m/>
    <m/>
    <m/>
    <s v="Use SIRE default age comp"/>
  </r>
  <r>
    <s v="Okanagan Sockeye"/>
    <s v="1980s"/>
    <x v="0"/>
    <n v="1976"/>
    <x v="1"/>
    <n v="58886"/>
    <n v="58882"/>
    <n v="52657"/>
    <n v="30080.635999999999"/>
    <n v="0.57125616727120798"/>
    <n v="36510.678199882466"/>
    <n v="33636.705641263266"/>
    <m/>
    <m/>
    <n v="0.45129241533915287"/>
    <n v="365.60394705357311"/>
    <n v="1.2008180573015366E-2"/>
    <n v="30446.239947053571"/>
    <n v="3192.7507188787822"/>
    <x v="1"/>
    <n v="3.9999999999999996"/>
    <x v="0"/>
    <m/>
    <m/>
    <n v="0.82499999999999996"/>
    <n v="30121.309514903034"/>
    <m/>
    <m/>
    <m/>
    <m/>
    <m/>
    <m/>
    <m/>
    <s v="Use SIRE default age comp"/>
  </r>
  <r>
    <s v="Okanagan Sockeye"/>
    <s v="1980s"/>
    <x v="0"/>
    <n v="1975"/>
    <x v="2"/>
    <n v="58886"/>
    <n v="58882"/>
    <n v="52657"/>
    <n v="30080.635999999999"/>
    <n v="0.57125616727120798"/>
    <n v="36510.678199882466"/>
    <n v="33636.705641263266"/>
    <m/>
    <m/>
    <n v="0.45129241533915287"/>
    <n v="365.60394705357311"/>
    <n v="1.2008180573015366E-2"/>
    <n v="30446.239947053571"/>
    <n v="3192.7507188787822"/>
    <x v="2"/>
    <n v="5"/>
    <x v="0"/>
    <m/>
    <m/>
    <n v="8.3000000000000004E-2"/>
    <n v="3030.3862905902447"/>
    <m/>
    <m/>
    <m/>
    <m/>
    <m/>
    <m/>
    <m/>
    <s v="Use SIRE default age comp"/>
  </r>
  <r>
    <s v="Okanagan Sockeye"/>
    <s v="1980s"/>
    <x v="0"/>
    <n v="1976"/>
    <x v="0"/>
    <n v="58886"/>
    <n v="58882"/>
    <n v="52657"/>
    <n v="30080.635999999999"/>
    <n v="0.57125616727120798"/>
    <n v="36510.678199882466"/>
    <n v="33636.705641263266"/>
    <m/>
    <m/>
    <n v="0.45129241533915287"/>
    <n v="365.60394705357311"/>
    <n v="1.2008180573015366E-2"/>
    <n v="30446.239947053571"/>
    <n v="3192.7507188787822"/>
    <x v="3"/>
    <n v="4.0000000000000009"/>
    <x v="1"/>
    <m/>
    <m/>
    <n v="2.3E-2"/>
    <n v="839.74559859729675"/>
    <m/>
    <m/>
    <m/>
    <m/>
    <m/>
    <m/>
    <m/>
    <s v="Use SIRE default age comp"/>
  </r>
  <r>
    <s v="Okanagan Sockeye"/>
    <s v="1980s"/>
    <x v="0"/>
    <n v="1975"/>
    <x v="1"/>
    <n v="58886"/>
    <n v="58882"/>
    <n v="52657"/>
    <n v="30080.635999999999"/>
    <n v="0.57125616727120798"/>
    <n v="36510.678199882466"/>
    <n v="33636.705641263266"/>
    <m/>
    <m/>
    <n v="0.45129241533915287"/>
    <n v="365.60394705357311"/>
    <n v="1.2008180573015366E-2"/>
    <n v="30446.239947053571"/>
    <n v="3192.7507188787822"/>
    <x v="4"/>
    <n v="5.0000000000000018"/>
    <x v="1"/>
    <m/>
    <m/>
    <n v="1.6E-2"/>
    <n v="584.17085119811952"/>
    <m/>
    <m/>
    <m/>
    <m/>
    <m/>
    <m/>
    <m/>
    <s v="Use SIRE default age comp"/>
  </r>
  <r>
    <s v="Okanagan Sockeye"/>
    <s v="1980s"/>
    <x v="1"/>
    <n v="1978"/>
    <x v="3"/>
    <n v="56037"/>
    <n v="56037"/>
    <n v="47139"/>
    <n v="31960.887999999995"/>
    <n v="0.67801370415155171"/>
    <n v="40568.231934703414"/>
    <n v="37993.853939540502"/>
    <m/>
    <m/>
    <n v="0.50384567339436448"/>
    <n v="1021.7666521563884"/>
    <n v="3.0978908851704148E-2"/>
    <n v="32982.654652156387"/>
    <n v="5011.1992873841155"/>
    <x v="0"/>
    <n v="3.0000000000000009"/>
    <x v="0"/>
    <m/>
    <m/>
    <n v="5.1999999999999998E-2"/>
    <n v="2109.5480606045776"/>
    <m/>
    <m/>
    <m/>
    <m/>
    <m/>
    <m/>
    <m/>
    <s v="Use SIRE default age comp"/>
  </r>
  <r>
    <s v="Okanagan Sockeye"/>
    <s v="1980s"/>
    <x v="1"/>
    <n v="1977"/>
    <x v="0"/>
    <n v="56037"/>
    <n v="56037"/>
    <n v="47139"/>
    <n v="31960.887999999995"/>
    <n v="0.67801370415155171"/>
    <n v="40568.231934703414"/>
    <n v="37993.853939540502"/>
    <m/>
    <m/>
    <n v="0.50384567339436448"/>
    <n v="1021.7666521563884"/>
    <n v="3.0978908851704148E-2"/>
    <n v="32982.654652156387"/>
    <n v="5011.1992873841155"/>
    <x v="1"/>
    <n v="3.9999999999999996"/>
    <x v="0"/>
    <m/>
    <m/>
    <n v="0.82499999999999996"/>
    <n v="33468.791346130318"/>
    <m/>
    <m/>
    <m/>
    <m/>
    <m/>
    <m/>
    <m/>
    <s v="Use SIRE default age comp"/>
  </r>
  <r>
    <s v="Okanagan Sockeye"/>
    <s v="1980s"/>
    <x v="1"/>
    <n v="1976"/>
    <x v="1"/>
    <n v="56037"/>
    <n v="56037"/>
    <n v="47139"/>
    <n v="31960.887999999995"/>
    <n v="0.67801370415155171"/>
    <n v="40568.231934703414"/>
    <n v="37993.853939540502"/>
    <m/>
    <m/>
    <n v="0.50384567339436448"/>
    <n v="1021.7666521563884"/>
    <n v="3.0978908851704148E-2"/>
    <n v="32982.654652156387"/>
    <n v="5011.1992873841155"/>
    <x v="2"/>
    <n v="5"/>
    <x v="0"/>
    <m/>
    <m/>
    <n v="8.3000000000000004E-2"/>
    <n v="3367.1632505803836"/>
    <m/>
    <m/>
    <m/>
    <m/>
    <m/>
    <m/>
    <m/>
    <s v="Use SIRE default age comp"/>
  </r>
  <r>
    <s v="Okanagan Sockeye"/>
    <s v="1980s"/>
    <x v="1"/>
    <n v="1977"/>
    <x v="3"/>
    <n v="56037"/>
    <n v="56037"/>
    <n v="47139"/>
    <n v="31960.887999999995"/>
    <n v="0.67801370415155171"/>
    <n v="40568.231934703414"/>
    <n v="37993.853939540502"/>
    <m/>
    <m/>
    <n v="0.50384567339436448"/>
    <n v="1021.7666521563884"/>
    <n v="3.0978908851704148E-2"/>
    <n v="32982.654652156387"/>
    <n v="5011.1992873841155"/>
    <x v="3"/>
    <n v="4.0000000000000009"/>
    <x v="1"/>
    <m/>
    <m/>
    <n v="2.3E-2"/>
    <n v="933.06933449817848"/>
    <m/>
    <m/>
    <m/>
    <m/>
    <m/>
    <m/>
    <m/>
    <s v="Use SIRE default age comp"/>
  </r>
  <r>
    <s v="Okanagan Sockeye"/>
    <s v="1980s"/>
    <x v="1"/>
    <n v="1976"/>
    <x v="0"/>
    <n v="56037"/>
    <n v="56037"/>
    <n v="47139"/>
    <n v="31960.887999999995"/>
    <n v="0.67801370415155171"/>
    <n v="40568.231934703414"/>
    <n v="37993.853939540502"/>
    <m/>
    <m/>
    <n v="0.50384567339436448"/>
    <n v="1021.7666521563884"/>
    <n v="3.0978908851704148E-2"/>
    <n v="32982.654652156387"/>
    <n v="5011.1992873841155"/>
    <x v="4"/>
    <n v="5.0000000000000018"/>
    <x v="1"/>
    <m/>
    <m/>
    <n v="1.6E-2"/>
    <n v="649.0917109552546"/>
    <m/>
    <m/>
    <m/>
    <m/>
    <m/>
    <m/>
    <m/>
    <s v="Use SIRE default age comp"/>
  </r>
  <r>
    <s v="Okanagan Sockeye"/>
    <s v="1980s"/>
    <x v="2"/>
    <n v="1979"/>
    <x v="4"/>
    <n v="50319"/>
    <n v="50219"/>
    <n v="41111"/>
    <n v="21513.659999999996"/>
    <n v="0.52330665758556094"/>
    <n v="27703.335606840745"/>
    <n v="26279.937037289284"/>
    <m/>
    <m/>
    <n v="0.37844242219080426"/>
    <n v="457.89332538736585"/>
    <n v="2.0840280093364454E-2"/>
    <n v="21971.553325387362"/>
    <n v="4360.7143776604789"/>
    <x v="0"/>
    <n v="3.0000000000000009"/>
    <x v="0"/>
    <m/>
    <m/>
    <n v="5.1999999999999998E-2"/>
    <n v="1440.5734515557187"/>
    <m/>
    <m/>
    <m/>
    <m/>
    <m/>
    <m/>
    <m/>
    <s v="Use SIRE default age comp"/>
  </r>
  <r>
    <s v="Okanagan Sockeye"/>
    <s v="1980s"/>
    <x v="2"/>
    <n v="1978"/>
    <x v="3"/>
    <n v="50319"/>
    <n v="50219"/>
    <n v="41111"/>
    <n v="21513.659999999996"/>
    <n v="0.52330665758556094"/>
    <n v="27703.335606840745"/>
    <n v="26279.937037289284"/>
    <m/>
    <m/>
    <n v="0.37844242219080426"/>
    <n v="457.89332538736585"/>
    <n v="2.0840280093364454E-2"/>
    <n v="21971.553325387362"/>
    <n v="4360.7143776604789"/>
    <x v="1"/>
    <n v="3.9999999999999996"/>
    <x v="0"/>
    <m/>
    <m/>
    <n v="0.82499999999999996"/>
    <n v="22855.251875643615"/>
    <m/>
    <m/>
    <m/>
    <m/>
    <m/>
    <m/>
    <m/>
    <s v="Use SIRE default age comp"/>
  </r>
  <r>
    <s v="Okanagan Sockeye"/>
    <s v="1980s"/>
    <x v="2"/>
    <n v="1977"/>
    <x v="0"/>
    <n v="50319"/>
    <n v="50219"/>
    <n v="41111"/>
    <n v="21513.659999999996"/>
    <n v="0.52330665758556094"/>
    <n v="27703.335606840745"/>
    <n v="26279.937037289284"/>
    <m/>
    <m/>
    <n v="0.37844242219080426"/>
    <n v="457.89332538736585"/>
    <n v="2.0840280093364454E-2"/>
    <n v="21971.553325387362"/>
    <n v="4360.7143776604789"/>
    <x v="2"/>
    <n v="5"/>
    <x v="0"/>
    <m/>
    <m/>
    <n v="8.3000000000000004E-2"/>
    <n v="2299.3768553677819"/>
    <m/>
    <m/>
    <m/>
    <m/>
    <m/>
    <m/>
    <m/>
    <s v="Use SIRE default age comp"/>
  </r>
  <r>
    <s v="Okanagan Sockeye"/>
    <s v="1980s"/>
    <x v="2"/>
    <n v="1978"/>
    <x v="4"/>
    <n v="50319"/>
    <n v="50219"/>
    <n v="41111"/>
    <n v="21513.659999999996"/>
    <n v="0.52330665758556094"/>
    <n v="27703.335606840745"/>
    <n v="26279.937037289284"/>
    <m/>
    <m/>
    <n v="0.37844242219080426"/>
    <n v="457.89332538736585"/>
    <n v="2.0840280093364454E-2"/>
    <n v="21971.553325387362"/>
    <n v="4360.7143776604789"/>
    <x v="3"/>
    <n v="4.0000000000000009"/>
    <x v="1"/>
    <m/>
    <m/>
    <n v="2.3E-2"/>
    <n v="637.17671895733713"/>
    <m/>
    <m/>
    <m/>
    <m/>
    <m/>
    <m/>
    <m/>
    <s v="Use SIRE default age comp"/>
  </r>
  <r>
    <s v="Okanagan Sockeye"/>
    <s v="1980s"/>
    <x v="2"/>
    <n v="1977"/>
    <x v="3"/>
    <n v="50319"/>
    <n v="50219"/>
    <n v="41111"/>
    <n v="21513.659999999996"/>
    <n v="0.52330665758556094"/>
    <n v="27703.335606840745"/>
    <n v="26279.937037289284"/>
    <m/>
    <m/>
    <n v="0.37844242219080426"/>
    <n v="457.89332538736585"/>
    <n v="2.0840280093364454E-2"/>
    <n v="21971.553325387362"/>
    <n v="4360.7143776604789"/>
    <x v="4"/>
    <n v="5.0000000000000018"/>
    <x v="1"/>
    <m/>
    <m/>
    <n v="1.6E-2"/>
    <n v="443.25336970945193"/>
    <m/>
    <m/>
    <m/>
    <m/>
    <m/>
    <m/>
    <m/>
    <s v="Use SIRE default age comp"/>
  </r>
  <r>
    <s v="Okanagan Sockeye"/>
    <s v="1980s"/>
    <x v="3"/>
    <n v="1980"/>
    <x v="5"/>
    <n v="100610"/>
    <n v="100527"/>
    <n v="86424"/>
    <n v="31611.1"/>
    <n v="0.36576761084883824"/>
    <n v="39671.539403085219"/>
    <n v="36769.520615801164"/>
    <m/>
    <m/>
    <n v="0.27778606742467199"/>
    <n v="1255.3144404332129"/>
    <n v="3.8194444444444441E-2"/>
    <n v="32866.414440433211"/>
    <n v="3933.4648870684032"/>
    <x v="0"/>
    <n v="3.0000000000000009"/>
    <x v="0"/>
    <m/>
    <m/>
    <n v="5.1999999999999998E-2"/>
    <n v="2062.9200489604314"/>
    <m/>
    <m/>
    <m/>
    <m/>
    <m/>
    <m/>
    <m/>
    <s v="Use SIRE default age comp"/>
  </r>
  <r>
    <s v="Okanagan Sockeye"/>
    <s v="1980s"/>
    <x v="3"/>
    <n v="1979"/>
    <x v="4"/>
    <n v="100610"/>
    <n v="100527"/>
    <n v="86424"/>
    <n v="31611.1"/>
    <n v="0.36576761084883824"/>
    <n v="39671.539403085219"/>
    <n v="36769.520615801164"/>
    <m/>
    <m/>
    <n v="0.27778606742467199"/>
    <n v="1255.3144404332129"/>
    <n v="3.8194444444444441E-2"/>
    <n v="32866.414440433211"/>
    <n v="3933.4648870684032"/>
    <x v="1"/>
    <n v="3.9999999999999996"/>
    <x v="0"/>
    <m/>
    <m/>
    <n v="0.82499999999999996"/>
    <n v="32729.020007545303"/>
    <m/>
    <m/>
    <m/>
    <m/>
    <m/>
    <m/>
    <m/>
    <s v="Use SIRE default age comp"/>
  </r>
  <r>
    <s v="Okanagan Sockeye"/>
    <s v="1980s"/>
    <x v="3"/>
    <n v="1978"/>
    <x v="3"/>
    <n v="100610"/>
    <n v="100527"/>
    <n v="86424"/>
    <n v="31611.1"/>
    <n v="0.36576761084883824"/>
    <n v="39671.539403085219"/>
    <n v="36769.520615801164"/>
    <m/>
    <m/>
    <n v="0.27778606742467199"/>
    <n v="1255.3144404332129"/>
    <n v="3.8194444444444441E-2"/>
    <n v="32866.414440433211"/>
    <n v="3933.4648870684032"/>
    <x v="2"/>
    <n v="5"/>
    <x v="0"/>
    <m/>
    <m/>
    <n v="8.3000000000000004E-2"/>
    <n v="3292.7377704560731"/>
    <m/>
    <m/>
    <m/>
    <m/>
    <m/>
    <m/>
    <m/>
    <s v="Use SIRE default age comp"/>
  </r>
  <r>
    <s v="Okanagan Sockeye"/>
    <s v="1980s"/>
    <x v="3"/>
    <n v="1979"/>
    <x v="5"/>
    <n v="100610"/>
    <n v="100527"/>
    <n v="86424"/>
    <n v="31611.1"/>
    <n v="0.36576761084883824"/>
    <n v="39671.539403085219"/>
    <n v="36769.520615801164"/>
    <m/>
    <m/>
    <n v="0.27778606742467199"/>
    <n v="1255.3144404332129"/>
    <n v="3.8194444444444441E-2"/>
    <n v="32866.414440433211"/>
    <n v="3933.4648870684032"/>
    <x v="3"/>
    <n v="4.0000000000000009"/>
    <x v="1"/>
    <m/>
    <m/>
    <n v="2.3E-2"/>
    <n v="912.44540627096001"/>
    <m/>
    <m/>
    <m/>
    <m/>
    <m/>
    <m/>
    <m/>
    <s v="Use SIRE default age comp"/>
  </r>
  <r>
    <s v="Okanagan Sockeye"/>
    <s v="1980s"/>
    <x v="3"/>
    <n v="1978"/>
    <x v="4"/>
    <n v="100610"/>
    <n v="100527"/>
    <n v="86424"/>
    <n v="31611.1"/>
    <n v="0.36576761084883824"/>
    <n v="39671.539403085219"/>
    <n v="36769.520615801164"/>
    <m/>
    <m/>
    <n v="0.27778606742467199"/>
    <n v="1255.3144404332129"/>
    <n v="3.8194444444444441E-2"/>
    <n v="32866.414440433211"/>
    <n v="3933.4648870684032"/>
    <x v="4"/>
    <n v="5.0000000000000018"/>
    <x v="1"/>
    <m/>
    <m/>
    <n v="1.6E-2"/>
    <n v="634.74463044936351"/>
    <m/>
    <m/>
    <m/>
    <m/>
    <m/>
    <m/>
    <m/>
    <s v="Use SIRE default age comp"/>
  </r>
  <r>
    <s v="Okanagan Sockeye"/>
    <s v="1980s"/>
    <x v="4"/>
    <n v="1981"/>
    <x v="6"/>
    <n v="161890"/>
    <n v="152545"/>
    <n v="109092"/>
    <n v="91753.127999999997"/>
    <n v="0.84106192938070612"/>
    <n v="143770.27733057766"/>
    <n v="128299.79201737982"/>
    <m/>
    <m/>
    <n v="0.53134484906093282"/>
    <n v="28563.304183698161"/>
    <n v="0.23740152251263519"/>
    <n v="120316.43218369815"/>
    <n v="15843.083563744367"/>
    <x v="0"/>
    <n v="3.0000000000000009"/>
    <x v="0"/>
    <m/>
    <m/>
    <n v="5.1999999999999998E-2"/>
    <n v="7476.0544211900378"/>
    <m/>
    <m/>
    <m/>
    <m/>
    <m/>
    <m/>
    <m/>
    <s v="Use SIRE default age comp"/>
  </r>
  <r>
    <s v="Okanagan Sockeye"/>
    <s v="1980s"/>
    <x v="4"/>
    <n v="1980"/>
    <x v="5"/>
    <n v="161890"/>
    <n v="152545"/>
    <n v="109092"/>
    <n v="91753.127999999997"/>
    <n v="0.84106192938070612"/>
    <n v="143770.27733057766"/>
    <n v="128299.79201737982"/>
    <m/>
    <m/>
    <n v="0.53134484906093282"/>
    <n v="28563.304183698161"/>
    <n v="0.23740152251263519"/>
    <n v="120316.43218369815"/>
    <n v="15843.083563744367"/>
    <x v="1"/>
    <n v="3.9999999999999996"/>
    <x v="0"/>
    <m/>
    <m/>
    <n v="0.82499999999999996"/>
    <n v="118610.47879772657"/>
    <m/>
    <m/>
    <m/>
    <m/>
    <m/>
    <m/>
    <m/>
    <s v="Use SIRE default age comp"/>
  </r>
  <r>
    <s v="Okanagan Sockeye"/>
    <s v="1980s"/>
    <x v="4"/>
    <n v="1979"/>
    <x v="4"/>
    <n v="161890"/>
    <n v="152545"/>
    <n v="109092"/>
    <n v="91753.127999999997"/>
    <n v="0.84106192938070612"/>
    <n v="143770.27733057766"/>
    <n v="128299.79201737982"/>
    <m/>
    <m/>
    <n v="0.53134484906093282"/>
    <n v="28563.304183698161"/>
    <n v="0.23740152251263519"/>
    <n v="120316.43218369815"/>
    <n v="15843.083563744367"/>
    <x v="2"/>
    <n v="5"/>
    <x v="0"/>
    <m/>
    <m/>
    <n v="8.3000000000000004E-2"/>
    <n v="11932.933018437947"/>
    <m/>
    <m/>
    <m/>
    <m/>
    <m/>
    <m/>
    <m/>
    <s v="Use SIRE default age comp"/>
  </r>
  <r>
    <s v="Okanagan Sockeye"/>
    <s v="1980s"/>
    <x v="4"/>
    <n v="1980"/>
    <x v="6"/>
    <n v="161890"/>
    <n v="152545"/>
    <n v="109092"/>
    <n v="91753.127999999997"/>
    <n v="0.84106192938070612"/>
    <n v="143770.27733057766"/>
    <n v="128299.79201737982"/>
    <m/>
    <m/>
    <n v="0.53134484906093282"/>
    <n v="28563.304183698161"/>
    <n v="0.23740152251263519"/>
    <n v="120316.43218369815"/>
    <n v="15843.083563744367"/>
    <x v="3"/>
    <n v="4.0000000000000009"/>
    <x v="1"/>
    <m/>
    <m/>
    <n v="2.3E-2"/>
    <n v="3306.7163786032861"/>
    <m/>
    <m/>
    <m/>
    <m/>
    <m/>
    <m/>
    <m/>
    <s v="Use SIRE default age comp"/>
  </r>
  <r>
    <s v="Okanagan Sockeye"/>
    <s v="1980s"/>
    <x v="4"/>
    <n v="1979"/>
    <x v="5"/>
    <n v="161890"/>
    <n v="152545"/>
    <n v="109092"/>
    <n v="91753.127999999997"/>
    <n v="0.84106192938070612"/>
    <n v="143770.27733057766"/>
    <n v="128299.79201737982"/>
    <m/>
    <m/>
    <n v="0.53134484906093282"/>
    <n v="28563.304183698161"/>
    <n v="0.23740152251263519"/>
    <n v="120316.43218369815"/>
    <n v="15843.083563744367"/>
    <x v="4"/>
    <n v="5.0000000000000018"/>
    <x v="1"/>
    <m/>
    <m/>
    <n v="1.6E-2"/>
    <n v="2300.3244372892427"/>
    <m/>
    <m/>
    <m/>
    <m/>
    <m/>
    <m/>
    <m/>
    <s v="Use SIRE default age comp"/>
  </r>
  <r>
    <s v="Okanagan Sockeye"/>
    <s v="1980s"/>
    <x v="5"/>
    <n v="1982"/>
    <x v="7"/>
    <n v="200758"/>
    <n v="166340"/>
    <n v="103200"/>
    <n v="59983.547999999995"/>
    <n v="0.58123593023255804"/>
    <n v="122462.11159465442"/>
    <n v="96682.784634883705"/>
    <m/>
    <m/>
    <n v="0.31855837441385115"/>
    <n v="47767.131218372087"/>
    <n v="0.44331164838010162"/>
    <n v="107750.67921837208"/>
    <n v="8937.0836632558057"/>
    <x v="0"/>
    <n v="3.0000000000000009"/>
    <x v="0"/>
    <n v="6.9000000000000006E-2"/>
    <n v="11477.460000000001"/>
    <n v="5.1999999999999998E-2"/>
    <n v="8449.8857000311546"/>
    <n v="6671.1121398069763"/>
    <s v=""/>
    <n v="5027.5048010139526"/>
    <n v="6671.1121398069763"/>
    <n v="3119.1444959999994"/>
    <n v="5603.0353193553483"/>
    <n v="0.48817729004111954"/>
    <s v="Fryer thesis: freshwater aged, marine ages based on length"/>
  </r>
  <r>
    <s v="Okanagan Sockeye"/>
    <s v="1980s"/>
    <x v="5"/>
    <n v="1981"/>
    <x v="6"/>
    <n v="200758"/>
    <n v="166340"/>
    <n v="103200"/>
    <n v="59983.547999999995"/>
    <n v="0.58123593023255804"/>
    <n v="122462.11159465442"/>
    <n v="96682.784634883705"/>
    <m/>
    <m/>
    <n v="0.31855837441385115"/>
    <n v="47767.131218372087"/>
    <n v="0.44331164838010162"/>
    <n v="107750.67921837208"/>
    <n v="8937.0836632558057"/>
    <x v="1"/>
    <n v="3.9999999999999996"/>
    <x v="0"/>
    <n v="0.88"/>
    <n v="146379.20000000001"/>
    <n v="0.82499999999999996"/>
    <n v="107766.65820329588"/>
    <n v="85080.850478697655"/>
    <s v=""/>
    <n v="79763.297323779057"/>
    <n v="85080.850478697655"/>
    <n v="49486.427099999994"/>
    <n v="88894.310355156966"/>
    <n v="0.60728785479874847"/>
    <s v="Fryer thesis: freshwater aged, marine ages based on length"/>
  </r>
  <r>
    <s v="Okanagan Sockeye"/>
    <s v="1980s"/>
    <x v="5"/>
    <n v="1980"/>
    <x v="5"/>
    <n v="200758"/>
    <n v="166340"/>
    <n v="103200"/>
    <n v="59983.547999999995"/>
    <n v="0.58123593023255804"/>
    <n v="122462.11159465442"/>
    <n v="96682.784634883705"/>
    <m/>
    <m/>
    <n v="0.31855837441385115"/>
    <n v="47767.131218372087"/>
    <n v="0.44331164838010162"/>
    <n v="107750.67921837208"/>
    <n v="8937.0836632558057"/>
    <x v="2"/>
    <n v="5"/>
    <x v="0"/>
    <n v="6.0000000000000001E-3"/>
    <n v="998.04000000000008"/>
    <n v="8.3000000000000004E-2"/>
    <n v="734.77266956792653"/>
    <n v="580.09670780930219"/>
    <s v=""/>
    <n v="8024.6711246953482"/>
    <n v="580.09670780930219"/>
    <n v="4978.6344840000002"/>
    <n v="8943.3063751248828"/>
    <n v="8.9608696796970886"/>
    <s v="Fryer thesis: freshwater aged, marine ages based on length"/>
  </r>
  <r>
    <s v="Okanagan Sockeye"/>
    <s v="1980s"/>
    <x v="5"/>
    <n v="1981"/>
    <x v="7"/>
    <n v="200758"/>
    <n v="166340"/>
    <n v="103200"/>
    <n v="59983.547999999995"/>
    <n v="0.58123593023255804"/>
    <n v="122462.11159465442"/>
    <n v="96682.784634883705"/>
    <m/>
    <m/>
    <n v="0.31855837441385115"/>
    <n v="47767.131218372087"/>
    <n v="0.44331164838010162"/>
    <n v="107750.67921837208"/>
    <n v="8937.0836632558057"/>
    <x v="3"/>
    <n v="4.0000000000000009"/>
    <x v="1"/>
    <n v="1.0999999999999999E-2"/>
    <n v="1829.7399999999998"/>
    <n v="2.3E-2"/>
    <n v="1347.0832275411985"/>
    <n v="1063.5106309837206"/>
    <s v=""/>
    <n v="2223.704046602325"/>
    <n v="1063.5106309837206"/>
    <n v="1379.6216039999999"/>
    <n v="2478.2656220225576"/>
    <n v="1.3544359428238755"/>
    <s v="Fryer thesis: freshwater aged, marine ages based on length"/>
  </r>
  <r>
    <s v="Okanagan Sockeye"/>
    <s v="1980s"/>
    <x v="5"/>
    <n v="1980"/>
    <x v="6"/>
    <n v="200758"/>
    <n v="166340"/>
    <n v="103200"/>
    <n v="59983.547999999995"/>
    <n v="0.58123593023255804"/>
    <n v="122462.11159465442"/>
    <n v="96682.784634883705"/>
    <m/>
    <m/>
    <n v="0.31855837441385115"/>
    <n v="47767.131218372087"/>
    <n v="0.44331164838010162"/>
    <n v="107750.67921837208"/>
    <n v="8937.0836632558057"/>
    <x v="4"/>
    <n v="5.0000000000000018"/>
    <x v="1"/>
    <n v="3.4000000000000002E-2"/>
    <n v="5655.56"/>
    <n v="1.6E-2"/>
    <n v="4163.7117942182504"/>
    <n v="3287.214677586046"/>
    <s v=""/>
    <n v="1546.9245541581392"/>
    <n v="3287.214677586046"/>
    <n v="959.73676799999998"/>
    <n v="1724.0108674939534"/>
    <n v="0.30483468789897961"/>
    <s v="Fryer thesis: freshwater aged, marine ages based on length"/>
  </r>
  <r>
    <s v="Okanagan Sockeye"/>
    <s v="1980s"/>
    <x v="6"/>
    <n v="1983"/>
    <x v="8"/>
    <n v="59963"/>
    <n v="58123"/>
    <n v="49788"/>
    <n v="39380.015999999996"/>
    <n v="0.79095396481079772"/>
    <n v="51856.154888274134"/>
    <n v="45972.617296697994"/>
    <m/>
    <m/>
    <n v="0.5985238201744576"/>
    <n v="6732.6001484695098"/>
    <n v="0.14600343053173243"/>
    <n v="46112.616148469504"/>
    <n v="1315.3564434803629"/>
    <x v="0"/>
    <n v="3.0000000000000009"/>
    <x v="0"/>
    <n v="5.1999999999999998E-2"/>
    <n v="3022.3959999999997"/>
    <n v="5.1999999999999998E-2"/>
    <n v="2696.520054190255"/>
    <n v="2390.5760994282955"/>
    <s v=""/>
    <n v="2390.5760994282955"/>
    <n v="2390.5760994282955"/>
    <n v="2047.7608319999997"/>
    <n v="2397.8560397204142"/>
    <n v="0.79336263008567187"/>
    <s v="no age comp data - multi-year mean applied"/>
  </r>
  <r>
    <s v="Okanagan Sockeye"/>
    <s v="1980s"/>
    <x v="6"/>
    <n v="1982"/>
    <x v="7"/>
    <n v="59963"/>
    <n v="58123"/>
    <n v="49788"/>
    <n v="39380.015999999996"/>
    <n v="0.79095396481079772"/>
    <n v="51856.154888274134"/>
    <n v="45972.617296697994"/>
    <m/>
    <m/>
    <n v="0.5985238201744576"/>
    <n v="6732.6001484695098"/>
    <n v="0.14600343053173243"/>
    <n v="46112.616148469504"/>
    <n v="1315.3564434803629"/>
    <x v="1"/>
    <n v="3.9999999999999996"/>
    <x v="0"/>
    <n v="0.82499999999999996"/>
    <n v="47951.474999999999"/>
    <n v="0.82499999999999996"/>
    <n v="42781.327782826156"/>
    <n v="37927.409269775846"/>
    <s v=""/>
    <n v="37927.409269775846"/>
    <n v="37927.409269775846"/>
    <n v="32488.513199999994"/>
    <n v="38042.908322487339"/>
    <n v="0.79336263008567187"/>
    <s v="no age comp data - multi-year mean applied"/>
  </r>
  <r>
    <s v="Okanagan Sockeye"/>
    <s v="1980s"/>
    <x v="6"/>
    <n v="1981"/>
    <x v="6"/>
    <n v="59963"/>
    <n v="58123"/>
    <n v="49788"/>
    <n v="39380.015999999996"/>
    <n v="0.79095396481079772"/>
    <n v="51856.154888274134"/>
    <n v="45972.617296697994"/>
    <m/>
    <m/>
    <n v="0.5985238201744576"/>
    <n v="6732.6001484695098"/>
    <n v="0.14600343053173243"/>
    <n v="46112.616148469504"/>
    <n v="1315.3564434803629"/>
    <x v="2"/>
    <n v="5"/>
    <x v="0"/>
    <n v="8.3000000000000004E-2"/>
    <n v="4824.2089999999998"/>
    <n v="8.3000000000000004E-2"/>
    <n v="4304.0608557267533"/>
    <n v="3815.7272356259336"/>
    <s v=""/>
    <n v="3815.7272356259336"/>
    <n v="3815.7272356259336"/>
    <n v="3268.5413279999998"/>
    <n v="3827.3471403229692"/>
    <n v="0.79336263008567198"/>
    <s v="no age comp data - multi-year mean applied"/>
  </r>
  <r>
    <s v="Okanagan Sockeye"/>
    <s v="1980s"/>
    <x v="6"/>
    <n v="1982"/>
    <x v="8"/>
    <n v="59963"/>
    <n v="58123"/>
    <n v="49788"/>
    <n v="39380.015999999996"/>
    <n v="0.79095396481079772"/>
    <n v="51856.154888274134"/>
    <n v="45972.617296697994"/>
    <m/>
    <m/>
    <n v="0.5985238201744576"/>
    <n v="6732.6001484695098"/>
    <n v="0.14600343053173243"/>
    <n v="46112.616148469504"/>
    <n v="1315.3564434803629"/>
    <x v="3"/>
    <n v="4.0000000000000009"/>
    <x v="1"/>
    <n v="2.3E-2"/>
    <n v="1336.829"/>
    <n v="2.3E-2"/>
    <n v="1192.6915624303051"/>
    <n v="1057.3701978240538"/>
    <s v=""/>
    <n v="1057.3701978240538"/>
    <n v="1057.3701978240538"/>
    <n v="905.74036799999988"/>
    <n v="1060.5901714147985"/>
    <n v="0.79336263008567187"/>
    <s v="no age comp data - multi-year mean applied"/>
  </r>
  <r>
    <s v="Okanagan Sockeye"/>
    <s v="1980s"/>
    <x v="6"/>
    <n v="1981"/>
    <x v="7"/>
    <n v="59963"/>
    <n v="58123"/>
    <n v="49788"/>
    <n v="39380.015999999996"/>
    <n v="0.79095396481079772"/>
    <n v="51856.154888274134"/>
    <n v="45972.617296697994"/>
    <m/>
    <m/>
    <n v="0.5985238201744576"/>
    <n v="6732.6001484695098"/>
    <n v="0.14600343053173243"/>
    <n v="46112.616148469504"/>
    <n v="1315.3564434803629"/>
    <x v="4"/>
    <n v="5.0000000000000018"/>
    <x v="1"/>
    <n v="1.6E-2"/>
    <n v="929.96800000000007"/>
    <n v="1.6E-2"/>
    <n v="829.69847821238614"/>
    <n v="735.56187674716796"/>
    <s v=""/>
    <n v="735.56187674716796"/>
    <n v="735.56187674716796"/>
    <n v="630.08025599999996"/>
    <n v="737.8018583755121"/>
    <n v="0.79336263008567176"/>
    <s v="no age comp data - multi-year mean applied"/>
  </r>
  <r>
    <s v="Okanagan Sockeye"/>
    <s v="1980s"/>
    <x v="7"/>
    <n v="1984"/>
    <x v="9"/>
    <n v="145546"/>
    <n v="116993"/>
    <n v="69868"/>
    <n v="45415.839999999997"/>
    <n v="0.6500234728344878"/>
    <n v="99373.304487167072"/>
    <n v="76048.196157325234"/>
    <n v="0.44000000000000006"/>
    <n v="51476.920000000006"/>
    <n v="0.34292649987606094"/>
    <n v="44275.048805175466"/>
    <n v="0.49364042875468361"/>
    <n v="89690.888805175462"/>
    <n v="4917.4275719928992"/>
    <x v="0"/>
    <n v="3.0000000000000009"/>
    <x v="0"/>
    <n v="0.49199999999999999"/>
    <n v="57560.555999999997"/>
    <n v="5.1999999999999998E-2"/>
    <n v="48891.6658076862"/>
    <n v="37415.712509404017"/>
    <n v="25326.644640000002"/>
    <n v="3954.5062001809119"/>
    <n v="37415.712509404017"/>
    <n v="2361.6236799999997"/>
    <n v="4663.9262178691242"/>
    <n v="8.1026427504785128E-2"/>
    <s v="Fryer thesis: freshwater aged, marine ages based on length"/>
  </r>
  <r>
    <s v="Okanagan Sockeye"/>
    <s v="1980s"/>
    <x v="7"/>
    <n v="1983"/>
    <x v="8"/>
    <n v="145546"/>
    <n v="116993"/>
    <n v="69868"/>
    <n v="45415.839999999997"/>
    <n v="0.6500234728344878"/>
    <n v="99373.304487167072"/>
    <n v="76048.196157325234"/>
    <n v="0.44000000000000006"/>
    <n v="51476.920000000006"/>
    <n v="0.34292649987606094"/>
    <n v="44275.048805175466"/>
    <n v="0.49364042875468361"/>
    <n v="89690.888805175462"/>
    <n v="4917.4275719928992"/>
    <x v="1"/>
    <n v="3.9999999999999996"/>
    <x v="0"/>
    <n v="0.46"/>
    <n v="53816.78"/>
    <n v="0.82499999999999996"/>
    <n v="45711.720064096859"/>
    <n v="34982.170232369608"/>
    <n v="23679.383200000004"/>
    <n v="62739.761829793315"/>
    <n v="34982.170232369608"/>
    <n v="37468.067999999992"/>
    <n v="73994.983264269758"/>
    <n v="1.3749425971652292"/>
    <s v="Fryer thesis: freshwater aged, marine ages based on length"/>
  </r>
  <r>
    <s v="Okanagan Sockeye"/>
    <s v="1980s"/>
    <x v="7"/>
    <n v="1982"/>
    <x v="7"/>
    <n v="145546"/>
    <n v="116993"/>
    <n v="69868"/>
    <n v="45415.839999999997"/>
    <n v="0.6500234728344878"/>
    <n v="99373.304487167072"/>
    <n v="76048.196157325234"/>
    <n v="0.44000000000000006"/>
    <n v="51476.920000000006"/>
    <n v="0.34292649987606094"/>
    <n v="44275.048805175466"/>
    <n v="0.49364042875468361"/>
    <n v="89690.888805175462"/>
    <n v="4917.4275719928992"/>
    <x v="2"/>
    <n v="5"/>
    <x v="0"/>
    <n v="2.8000000000000001E-2"/>
    <n v="3275.8040000000001"/>
    <n v="8.3000000000000004E-2"/>
    <n v="2782.4525256406782"/>
    <n v="2129.3494924051065"/>
    <n v="1441.3537600000002"/>
    <n v="6312.0002810579945"/>
    <n v="2129.3494924051065"/>
    <n v="3769.5147200000001"/>
    <n v="7444.3437708295642"/>
    <n v="2.2725241714185476"/>
    <s v="Fryer thesis: freshwater aged, marine ages based on length"/>
  </r>
  <r>
    <s v="Okanagan Sockeye"/>
    <s v="1980s"/>
    <x v="7"/>
    <n v="1983"/>
    <x v="9"/>
    <n v="145546"/>
    <n v="116993"/>
    <n v="69868"/>
    <n v="45415.839999999997"/>
    <n v="0.6500234728344878"/>
    <n v="99373.304487167072"/>
    <n v="76048.196157325234"/>
    <n v="0.44000000000000006"/>
    <n v="51476.920000000006"/>
    <n v="0.34292649987606094"/>
    <n v="44275.048805175466"/>
    <n v="0.49364042875468361"/>
    <n v="89690.888805175462"/>
    <n v="4917.4275719928992"/>
    <x v="3"/>
    <n v="4.0000000000000009"/>
    <x v="1"/>
    <n v="0.01"/>
    <n v="1169.93"/>
    <n v="2.3E-2"/>
    <n v="993.7330448716707"/>
    <n v="760.48196157325231"/>
    <n v="514.76920000000007"/>
    <n v="1749.1085116184804"/>
    <n v="760.48196157325231"/>
    <n v="1044.56432"/>
    <n v="2062.8904425190358"/>
    <n v="1.7632597185464391"/>
    <s v="Fryer thesis: freshwater aged, marine ages based on length"/>
  </r>
  <r>
    <s v="Okanagan Sockeye"/>
    <s v="1980s"/>
    <x v="7"/>
    <n v="1982"/>
    <x v="8"/>
    <n v="145546"/>
    <n v="116993"/>
    <n v="69868"/>
    <n v="45415.839999999997"/>
    <n v="0.6500234728344878"/>
    <n v="99373.304487167072"/>
    <n v="76048.196157325234"/>
    <n v="0.44000000000000006"/>
    <n v="51476.920000000006"/>
    <n v="0.34292649987606094"/>
    <n v="44275.048805175466"/>
    <n v="0.49364042875468361"/>
    <n v="89690.888805175462"/>
    <n v="4917.4275719928992"/>
    <x v="4"/>
    <n v="5.0000000000000018"/>
    <x v="1"/>
    <n v="0.01"/>
    <n v="1169.93"/>
    <n v="1.6E-2"/>
    <n v="993.7330448716707"/>
    <n v="760.48196157325231"/>
    <n v="514.76920000000007"/>
    <n v="1216.7711385172038"/>
    <n v="760.48196157325231"/>
    <n v="726.65343999999993"/>
    <n v="1435.0542208828074"/>
    <n v="1.2266154563801315"/>
    <s v="Fryer thesis: freshwater aged, marine ages based on length"/>
  </r>
  <r>
    <s v="Okanagan Sockeye"/>
    <s v="1980s"/>
    <x v="8"/>
    <n v="1985"/>
    <x v="10"/>
    <n v="99780"/>
    <n v="79714"/>
    <n v="49177"/>
    <n v="38463.095999999998"/>
    <n v="0.78213587652764505"/>
    <n v="82406.806597104747"/>
    <n v="62347.179261524696"/>
    <n v="0.69"/>
    <n v="55002.659999999996"/>
    <n v="0.42624883960157561"/>
    <n v="38029.010588527155"/>
    <n v="0.49716254767431162"/>
    <n v="76492.106588527153"/>
    <n v="1549.4111714012688"/>
    <x v="0"/>
    <n v="3.0000000000000009"/>
    <x v="0"/>
    <n v="2E-3"/>
    <n v="159.428"/>
    <n v="2.1052631578947368E-3"/>
    <n v="164.81361319420949"/>
    <n v="124.69435852304939"/>
    <n v="110.00532"/>
    <n v="131.25721949794672"/>
    <n v="124.69435852304939"/>
    <n v="80.974938947368415"/>
    <n v="161.03601387058347"/>
    <n v="1.0100861446583"/>
    <s v="Fryer pers. data; Schwartzberg and Fryer 1989"/>
  </r>
  <r>
    <s v="Okanagan Sockeye"/>
    <s v="1980s"/>
    <x v="8"/>
    <n v="1984"/>
    <x v="9"/>
    <n v="99780"/>
    <n v="79714"/>
    <n v="49177"/>
    <n v="38463.095999999998"/>
    <n v="0.78213587652764505"/>
    <n v="82406.806597104747"/>
    <n v="62347.179261524696"/>
    <n v="0.69"/>
    <n v="55002.659999999996"/>
    <n v="0.42624883960157561"/>
    <n v="38029.010588527155"/>
    <n v="0.49716254767431162"/>
    <n v="76492.106588527153"/>
    <n v="1549.4111714012688"/>
    <x v="1"/>
    <n v="3.9999999999999996"/>
    <x v="0"/>
    <n v="0.96899999999999997"/>
    <n v="77242.865999999995"/>
    <n v="0.96210526315789469"/>
    <n v="79852.195592594493"/>
    <n v="60414.416704417432"/>
    <n v="53297.577539999998"/>
    <n v="59984.549310561655"/>
    <n v="60414.416704417432"/>
    <n v="37005.547098947362"/>
    <n v="73593.458338856653"/>
    <n v="0.95275411374374253"/>
    <s v="Fryer pers. data; Schwartzberg and Fryer 1991"/>
  </r>
  <r>
    <s v="Okanagan Sockeye"/>
    <s v="1980s"/>
    <x v="8"/>
    <n v="1983"/>
    <x v="8"/>
    <n v="99780"/>
    <n v="79714"/>
    <n v="49177"/>
    <n v="38463.095999999998"/>
    <n v="0.78213587652764505"/>
    <n v="82406.806597104747"/>
    <n v="62347.179261524696"/>
    <n v="0.69"/>
    <n v="55002.659999999996"/>
    <n v="0.42624883960157561"/>
    <n v="38029.010588527155"/>
    <n v="0.49716254767431162"/>
    <n v="76492.106588527153"/>
    <n v="1549.4111714012688"/>
    <x v="2"/>
    <n v="5"/>
    <x v="0"/>
    <n v="1.2999999999999999E-2"/>
    <n v="1036.2819999999999"/>
    <n v="1.6842105263157894E-2"/>
    <n v="1071.2884857623617"/>
    <n v="810.51333039982103"/>
    <n v="715.03457999999989"/>
    <n v="1050.0577559835738"/>
    <n v="810.51333039982103"/>
    <n v="647.79951157894732"/>
    <n v="1288.2881109646678"/>
    <n v="1.2431829472717542"/>
    <s v="Fryer pers. data; Schwartzberg and Fryer 1993"/>
  </r>
  <r>
    <s v="Okanagan Sockeye"/>
    <s v="1980s"/>
    <x v="8"/>
    <n v="1984"/>
    <x v="10"/>
    <n v="99780"/>
    <n v="79714"/>
    <n v="49177"/>
    <n v="38463.095999999998"/>
    <n v="0.78213587652764505"/>
    <n v="82406.806597104747"/>
    <n v="62347.179261524696"/>
    <n v="0.69"/>
    <n v="55002.659999999996"/>
    <n v="0.42624883960157561"/>
    <n v="38029.010588527155"/>
    <n v="0.49716254767431162"/>
    <n v="76492.106588527153"/>
    <n v="1549.4111714012688"/>
    <x v="3"/>
    <n v="4.0000000000000009"/>
    <x v="1"/>
    <n v="0.01"/>
    <n v="797.14"/>
    <n v="1.2631578947368421E-2"/>
    <n v="824.06806597104753"/>
    <n v="623.47179261524695"/>
    <n v="550.02660000000003"/>
    <n v="787.54331698768033"/>
    <n v="623.47179261524695"/>
    <n v="485.84963368421046"/>
    <n v="966.21608322350085"/>
    <n v="1.2121033735899602"/>
    <s v="Fryer pers. data; Schwartzberg and Fryer 1990"/>
  </r>
  <r>
    <s v="Okanagan Sockeye"/>
    <s v="1980s"/>
    <x v="8"/>
    <n v="1983"/>
    <x v="9"/>
    <n v="99780"/>
    <n v="79714"/>
    <n v="49177"/>
    <n v="38463.095999999998"/>
    <n v="0.78213587652764505"/>
    <n v="82406.806597104747"/>
    <n v="62347.179261524696"/>
    <n v="0.69"/>
    <n v="55002.659999999996"/>
    <n v="0.42624883960157561"/>
    <n v="38029.010588527155"/>
    <n v="0.49716254767431162"/>
    <n v="76492.106588527153"/>
    <n v="1549.4111714012688"/>
    <x v="4"/>
    <n v="5.0000000000000018"/>
    <x v="1"/>
    <n v="6.0000000000000001E-3"/>
    <n v="478.28399999999999"/>
    <n v="6.3157894736842104E-3"/>
    <n v="494.44083958262848"/>
    <n v="374.08307556914821"/>
    <n v="330.01596000000001"/>
    <n v="393.77165849384016"/>
    <n v="374.08307556914821"/>
    <n v="242.92481684210523"/>
    <n v="483.10804161175042"/>
    <n v="1.0100861446583"/>
    <s v="Fryer pers. data; Schwartzberg and Fryer 1992"/>
  </r>
  <r>
    <s v="Okanagan Sockeye"/>
    <s v="1980s"/>
    <x v="9"/>
    <n v="1986"/>
    <x v="11"/>
    <n v="47478"/>
    <n v="41884"/>
    <n v="37360"/>
    <n v="18084.831999999999"/>
    <n v="0.48406937901498925"/>
    <n v="24095.210367813997"/>
    <n v="20274.76187066381"/>
    <n v="0.41499999999999992"/>
    <n v="17381.859999999997"/>
    <n v="0.38143443797154042"/>
    <n v="1052.3668299785866"/>
    <n v="5.4990640967268675E-2"/>
    <n v="19137.198829978584"/>
    <n v="3845.447146895076"/>
    <x v="0"/>
    <n v="3.0000000000000009"/>
    <x v="0"/>
    <n v="0.03"/>
    <n v="1256.52"/>
    <n v="3.325942350332594E-2"/>
    <n v="722.85631103441995"/>
    <n v="608.24285611991422"/>
    <n v="521.45579999999984"/>
    <n v="674.32689148549252"/>
    <n v="608.24285611991422"/>
    <n v="601.491086474501"/>
    <n v="636.49220055361138"/>
    <n v="0.5065515873632026"/>
    <s v="Fryer pers. data: Fryer and Schwartzberg 1990"/>
  </r>
  <r>
    <s v="Okanagan Sockeye"/>
    <s v="1980s"/>
    <x v="9"/>
    <n v="1985"/>
    <x v="10"/>
    <n v="47478"/>
    <n v="41884"/>
    <n v="37360"/>
    <n v="18084.831999999999"/>
    <n v="0.48406937901498925"/>
    <n v="24095.210367813997"/>
    <n v="20274.76187066381"/>
    <n v="0.41499999999999992"/>
    <n v="17381.859999999997"/>
    <n v="0.38143443797154042"/>
    <n v="1052.3668299785866"/>
    <n v="5.4990640967268675E-2"/>
    <n v="19137.198829978584"/>
    <n v="3845.447146895076"/>
    <x v="1"/>
    <n v="3.9999999999999996"/>
    <x v="0"/>
    <n v="0.93100000000000005"/>
    <n v="38994.004000000001"/>
    <n v="0.92904656319290468"/>
    <n v="22432.640852434834"/>
    <n v="18875.803301588006"/>
    <n v="16182.511659999998"/>
    <n v="18836.197835494761"/>
    <n v="18875.803301588006"/>
    <n v="16801.651015521064"/>
    <n v="17779.34880213088"/>
    <n v="0.4559508380347625"/>
    <s v="Fryer pers. data: Fryer and Schwartzberg 1990"/>
  </r>
  <r>
    <s v="Okanagan Sockeye"/>
    <s v="1980s"/>
    <x v="9"/>
    <n v="1984"/>
    <x v="9"/>
    <n v="47478"/>
    <n v="41884"/>
    <n v="37360"/>
    <n v="18084.831999999999"/>
    <n v="0.48406937901498925"/>
    <n v="24095.210367813997"/>
    <n v="20274.76187066381"/>
    <n v="0.41499999999999992"/>
    <n v="17381.859999999997"/>
    <n v="0.38143443797154042"/>
    <n v="1052.3668299785866"/>
    <n v="5.4990640967268675E-2"/>
    <n v="19137.198829978584"/>
    <n v="3845.447146895076"/>
    <x v="2"/>
    <n v="5"/>
    <x v="0"/>
    <n v="2.7E-2"/>
    <n v="1130.8679999999999"/>
    <n v="2.6607538802660754E-2"/>
    <n v="650.57067993097792"/>
    <n v="547.41857050792282"/>
    <n v="469.3102199999999"/>
    <n v="539.46151318839406"/>
    <n v="547.41857050792282"/>
    <n v="481.19286917960085"/>
    <n v="509.19376044288919"/>
    <n v="0.45026807765618021"/>
    <s v="Fryer pers. data: Fryer and Schwartzberg 1990"/>
  </r>
  <r>
    <s v="Okanagan Sockeye"/>
    <s v="1980s"/>
    <x v="9"/>
    <n v="1985"/>
    <x v="11"/>
    <n v="47478"/>
    <n v="41884"/>
    <n v="37360"/>
    <n v="18084.831999999999"/>
    <n v="0.48406937901498925"/>
    <n v="24095.210367813997"/>
    <n v="20274.76187066381"/>
    <n v="0.41499999999999992"/>
    <n v="17381.859999999997"/>
    <n v="0.38143443797154042"/>
    <n v="1052.3668299785866"/>
    <n v="5.4990640967268675E-2"/>
    <n v="19137.198829978584"/>
    <n v="3845.447146895076"/>
    <x v="3"/>
    <n v="4.0000000000000009"/>
    <x v="1"/>
    <n v="6.0000000000000001E-3"/>
    <n v="251.304"/>
    <n v="6.6518847006651885E-3"/>
    <n v="144.571262206884"/>
    <n v="121.64857122398286"/>
    <n v="104.29115999999999"/>
    <n v="134.86537829709852"/>
    <n v="121.64857122398286"/>
    <n v="120.29821729490021"/>
    <n v="127.2984401107223"/>
    <n v="0.50655158736320272"/>
    <s v="Fryer pers. data: Fryer and Schwartzberg 1990"/>
  </r>
  <r>
    <s v="Okanagan Sockeye"/>
    <s v="1980s"/>
    <x v="9"/>
    <n v="1984"/>
    <x v="10"/>
    <n v="47478"/>
    <n v="41884"/>
    <n v="37360"/>
    <n v="18084.831999999999"/>
    <n v="0.48406937901498925"/>
    <n v="24095.210367813997"/>
    <n v="20274.76187066381"/>
    <n v="0.41499999999999992"/>
    <n v="17381.859999999997"/>
    <n v="0.38143443797154042"/>
    <n v="1052.3668299785866"/>
    <n v="5.4990640967268675E-2"/>
    <n v="19137.198829978584"/>
    <n v="3845.447146895076"/>
    <x v="4"/>
    <n v="5.0000000000000018"/>
    <x v="1"/>
    <n v="5.0000000000000001E-3"/>
    <n v="209.42000000000002"/>
    <n v="4.434589800443459E-3"/>
    <n v="120.47605183907"/>
    <n v="101.37380935331905"/>
    <n v="86.909299999999988"/>
    <n v="89.910252198065677"/>
    <n v="101.37380935331905"/>
    <n v="80.198811529933479"/>
    <n v="84.865626740481531"/>
    <n v="0.40524126989056214"/>
    <s v="Fryer pers. data: Fryer and Schwartzberg 1990"/>
  </r>
  <r>
    <s v="Okanagan Sockeye"/>
    <s v="1980s"/>
    <x v="10"/>
    <n v="1987"/>
    <x v="12"/>
    <n v="49754"/>
    <n v="49581"/>
    <n v="44143"/>
    <n v="8613.387999999999"/>
    <n v="0.19512466302698048"/>
    <n v="10628.613606811994"/>
    <n v="9674.4759175407198"/>
    <n v="0.25"/>
    <n v="12395.25"/>
    <n v="0.15346604546096287"/>
    <n v="563.71515148494655"/>
    <n v="6.1426262969892835E-2"/>
    <n v="9177.1031514849456"/>
    <n v="531.12933275944124"/>
    <x v="0"/>
    <n v="3.0000000000000009"/>
    <x v="0"/>
    <n v="0.45200000000000001"/>
    <n v="22410.612000000001"/>
    <n v="0.58128078817733986"/>
    <n v="4804.1333502790212"/>
    <n v="4372.8631147284059"/>
    <n v="5602.6530000000002"/>
    <n v="5623.586986550763"/>
    <n v="4372.8631147284059"/>
    <n v="5006.7969655172401"/>
    <n v="5334.4737530799184"/>
    <n v="0.2380333813766406"/>
    <s v="Fryer pers. data: Fryer and Schwartzberg 1991"/>
  </r>
  <r>
    <s v="Okanagan Sockeye"/>
    <s v="1980s"/>
    <x v="10"/>
    <n v="1986"/>
    <x v="11"/>
    <n v="49754"/>
    <n v="49581"/>
    <n v="44143"/>
    <n v="8613.387999999999"/>
    <n v="0.19512466302698048"/>
    <n v="10628.613606811994"/>
    <n v="9674.4759175407198"/>
    <n v="0.25"/>
    <n v="12395.25"/>
    <n v="0.15346604546096287"/>
    <n v="563.71515148494655"/>
    <n v="6.1426262969892835E-2"/>
    <n v="9177.1031514849456"/>
    <n v="531.12933275944124"/>
    <x v="1"/>
    <n v="3.9999999999999996"/>
    <x v="0"/>
    <n v="0.26200000000000001"/>
    <n v="12990.222"/>
    <n v="0.25123152709359609"/>
    <n v="2784.6967649847425"/>
    <n v="2534.7126903956687"/>
    <n v="3247.5554999999999"/>
    <n v="2430.5333585939743"/>
    <n v="2534.7126903956687"/>
    <n v="2163.9546206896553"/>
    <n v="2305.577639043016"/>
    <n v="0.17748562257388797"/>
    <s v="Fryer pers. data: Fryer and Schwartzberg 1991"/>
  </r>
  <r>
    <s v="Okanagan Sockeye"/>
    <s v="1980s"/>
    <x v="10"/>
    <n v="1985"/>
    <x v="10"/>
    <n v="49754"/>
    <n v="49581"/>
    <n v="44143"/>
    <n v="8613.387999999999"/>
    <n v="0.19512466302698048"/>
    <n v="10628.613606811994"/>
    <n v="9674.4759175407198"/>
    <n v="0.25"/>
    <n v="12395.25"/>
    <n v="0.15346604546096287"/>
    <n v="563.71515148494655"/>
    <n v="6.1426262969892835E-2"/>
    <n v="9177.1031514849456"/>
    <n v="531.12933275944124"/>
    <x v="2"/>
    <n v="5"/>
    <x v="0"/>
    <n v="0.22600000000000001"/>
    <n v="11205.306"/>
    <n v="0.10591133004926108"/>
    <n v="2402.0666751395106"/>
    <n v="2186.4315573642029"/>
    <n v="2801.3265000000001"/>
    <n v="1024.6366119562831"/>
    <n v="2186.4315573642029"/>
    <n v="912.25537931034467"/>
    <n v="971.95920077303606"/>
    <n v="8.6740977959284288E-2"/>
    <s v="Fryer pers. data: Fryer and Schwartzberg 1991"/>
  </r>
  <r>
    <s v="Okanagan Sockeye"/>
    <s v="1980s"/>
    <x v="10"/>
    <n v="1986"/>
    <x v="12"/>
    <n v="49754"/>
    <n v="49581"/>
    <n v="44143"/>
    <n v="8613.387999999999"/>
    <n v="0.19512466302698048"/>
    <n v="10628.613606811994"/>
    <n v="9674.4759175407198"/>
    <n v="0.25"/>
    <n v="12395.25"/>
    <n v="0.15346604546096287"/>
    <n v="563.71515148494655"/>
    <n v="6.1426262969892835E-2"/>
    <n v="9177.1031514849456"/>
    <n v="531.12933275944124"/>
    <x v="3"/>
    <n v="4.0000000000000009"/>
    <x v="1"/>
    <n v="1.9E-2"/>
    <n v="942.03899999999999"/>
    <n v="2.4630541871921183E-2"/>
    <n v="201.94365852942789"/>
    <n v="183.81504243327367"/>
    <n v="235.50975"/>
    <n v="238.2875841758798"/>
    <n v="183.81504243327367"/>
    <n v="212.15241379310342"/>
    <n v="226.03702343558982"/>
    <n v="0.23994444331454412"/>
    <s v="Fryer pers. data: Fryer and Schwartzberg 1991"/>
  </r>
  <r>
    <s v="Okanagan Sockeye"/>
    <s v="1980s"/>
    <x v="10"/>
    <n v="1985"/>
    <x v="11"/>
    <n v="49754"/>
    <n v="49581"/>
    <n v="44143"/>
    <n v="8613.387999999999"/>
    <n v="0.19512466302698048"/>
    <n v="10628.613606811994"/>
    <n v="9674.4759175407198"/>
    <n v="0.25"/>
    <n v="12395.25"/>
    <n v="0.15346604546096287"/>
    <n v="563.71515148494655"/>
    <n v="6.1426262969892835E-2"/>
    <n v="9177.1031514849456"/>
    <n v="531.12933275944124"/>
    <x v="4"/>
    <n v="5.0000000000000018"/>
    <x v="1"/>
    <n v="3.5000000000000003E-2"/>
    <n v="1735.3350000000003"/>
    <n v="2.9556650246305417E-2"/>
    <n v="372.00147623841985"/>
    <n v="338.60665711392522"/>
    <n v="433.83375000000007"/>
    <n v="285.94510101105573"/>
    <n v="338.60665711392522"/>
    <n v="254.5828965517241"/>
    <n v="271.24442812270775"/>
    <n v="0.15630666593061726"/>
    <s v="Fryer pers. data: Fryer and Schwartzberg 1991"/>
  </r>
  <r>
    <s v="Okanagan Sockeye"/>
    <s v="1980s"/>
    <x v="10"/>
    <n v="1984"/>
    <x v="10"/>
    <n v="49754"/>
    <n v="49581"/>
    <n v="44143"/>
    <n v="8613.387999999999"/>
    <n v="0.19512466302698048"/>
    <n v="10628.613606811994"/>
    <n v="9674.4759175407198"/>
    <n v="0.25"/>
    <n v="12395.25"/>
    <n v="0.15346604546096287"/>
    <n v="563.71515148494655"/>
    <n v="6.1426262969892835E-2"/>
    <n v="9177.1031514849456"/>
    <n v="531.12933275944124"/>
    <x v="5"/>
    <n v="5.9999999999999982"/>
    <x v="1"/>
    <n v="6.0000000000000001E-3"/>
    <n v="297.48599999999999"/>
    <n v="5.6650246305418716E-3"/>
    <n v="63.771681640871968"/>
    <n v="58.046855505244324"/>
    <n v="74.371499999999997"/>
    <n v="54.80614436045235"/>
    <n v="58.046855505244324"/>
    <n v="48.795055172413782"/>
    <n v="51.988515390185647"/>
    <n v="0.17475953621409293"/>
    <s v="Fryer pers. data: Fryer and Schwartzberg 1991"/>
  </r>
  <r>
    <s v="Okanagan Sockeye"/>
    <s v="1990s"/>
    <x v="11"/>
    <n v="1988"/>
    <x v="13"/>
    <n v="76484"/>
    <n v="76481"/>
    <n v="62119"/>
    <n v="31118.679999999997"/>
    <n v="0.50095268758350897"/>
    <n v="40611.658678258478"/>
    <n v="38313.362499074348"/>
    <n v="0.53000000000000014"/>
    <n v="40534.930000000008"/>
    <n v="0.3594356768347694"/>
    <n v="1640.1190991484084"/>
    <n v="5.006652088143991E-2"/>
    <n v="32758.799099148404"/>
    <n v="5556.0662579886994"/>
    <x v="0"/>
    <n v="3.0000000000000009"/>
    <x v="0"/>
    <n v="0.154"/>
    <n v="11778.074000000001"/>
    <n v="0.14497041420118342"/>
    <n v="6254.1954364518051"/>
    <n v="5900.2578248574491"/>
    <n v="6242.3792200000007"/>
    <n v="5554.3040309308963"/>
    <n v="5900.2578248574491"/>
    <n v="4511.287928994082"/>
    <n v="4749.0566741368984"/>
    <n v="0.40321165193366065"/>
    <s v="Fryer pers data; Fryer et al 1992"/>
  </r>
  <r>
    <s v="Okanagan Sockeye"/>
    <s v="1980s"/>
    <x v="11"/>
    <n v="1987"/>
    <x v="12"/>
    <n v="76484"/>
    <n v="76481"/>
    <n v="62119"/>
    <n v="31118.679999999997"/>
    <n v="0.50095268758350897"/>
    <n v="40611.658678258478"/>
    <n v="38313.362499074348"/>
    <n v="0.53000000000000014"/>
    <n v="40534.930000000008"/>
    <n v="0.3594356768347694"/>
    <n v="1640.1190991484084"/>
    <n v="5.006652088143991E-2"/>
    <n v="32758.799099148404"/>
    <n v="5556.0662579886994"/>
    <x v="1"/>
    <n v="3.9999999999999996"/>
    <x v="0"/>
    <n v="0.76"/>
    <n v="58125.56"/>
    <n v="0.78402366863905326"/>
    <n v="30864.860595476443"/>
    <n v="29118.155499296507"/>
    <n v="30806.546800000007"/>
    <n v="30038.583024422198"/>
    <n v="29118.155499296507"/>
    <n v="24397.781656804731"/>
    <n v="25683.673849924045"/>
    <n v="0.44186540052128609"/>
    <s v="Fryer pers data; Fryer et al 1992"/>
  </r>
  <r>
    <s v="Okanagan Sockeye"/>
    <s v="1980s"/>
    <x v="11"/>
    <n v="1986"/>
    <x v="11"/>
    <n v="76484"/>
    <n v="76481"/>
    <n v="62119"/>
    <n v="31118.679999999997"/>
    <n v="0.50095268758350897"/>
    <n v="40611.658678258478"/>
    <n v="38313.362499074348"/>
    <n v="0.53000000000000014"/>
    <n v="40534.930000000008"/>
    <n v="0.3594356768347694"/>
    <n v="1640.1190991484084"/>
    <n v="5.006652088143991E-2"/>
    <n v="32758.799099148404"/>
    <n v="5556.0662579886994"/>
    <x v="2"/>
    <n v="5"/>
    <x v="0"/>
    <n v="1.4999999999999999E-2"/>
    <n v="1147.2149999999999"/>
    <n v="1.7751479289940829E-2"/>
    <n v="609.17488017387711"/>
    <n v="574.70043748611522"/>
    <n v="608.02395000000013"/>
    <n v="680.11886093031387"/>
    <n v="574.70043748611522"/>
    <n v="552.40260355029579"/>
    <n v="581.51714377186522"/>
    <n v="0.50689464814517349"/>
    <s v="Fryer pers data; Fryer et al 1992"/>
  </r>
  <r>
    <s v="Okanagan Sockeye"/>
    <s v="1990s"/>
    <x v="11"/>
    <n v="1987"/>
    <x v="13"/>
    <n v="76484"/>
    <n v="76481"/>
    <n v="62119"/>
    <n v="31118.679999999997"/>
    <n v="0.50095268758350897"/>
    <n v="40611.658678258478"/>
    <n v="38313.362499074348"/>
    <n v="0.53000000000000014"/>
    <n v="40534.930000000008"/>
    <n v="0.3594356768347694"/>
    <n v="1640.1190991484084"/>
    <n v="5.006652088143991E-2"/>
    <n v="32758.799099148404"/>
    <n v="5556.0662579886994"/>
    <x v="3"/>
    <n v="4.0000000000000009"/>
    <x v="1"/>
    <n v="6.7000000000000004E-2"/>
    <n v="5124.2269999999999"/>
    <n v="5.0295857988165681E-2"/>
    <n v="2720.9811314433182"/>
    <n v="2566.9952874379815"/>
    <n v="2715.8403100000005"/>
    <n v="1927.003439302556"/>
    <n v="2566.9952874379815"/>
    <n v="1565.1407100591714"/>
    <n v="1647.6319073536179"/>
    <n v="0.3215376499428339"/>
    <s v="Fryer pers data; Fryer et al 1992"/>
  </r>
  <r>
    <s v="Okanagan Sockeye"/>
    <s v="1980s"/>
    <x v="11"/>
    <n v="1986"/>
    <x v="12"/>
    <n v="76484"/>
    <n v="76481"/>
    <n v="62119"/>
    <n v="31118.679999999997"/>
    <n v="0.50095268758350897"/>
    <n v="40611.658678258478"/>
    <n v="38313.362499074348"/>
    <n v="0.53000000000000014"/>
    <n v="40534.930000000008"/>
    <n v="0.3594356768347694"/>
    <n v="1640.1190991484084"/>
    <n v="5.006652088143991E-2"/>
    <n v="32758.799099148404"/>
    <n v="5556.0662579886994"/>
    <x v="4"/>
    <n v="5.0000000000000018"/>
    <x v="1"/>
    <n v="1E-3"/>
    <n v="76.480999999999995"/>
    <n v="2.9585798816568047E-3"/>
    <n v="40.611658678258479"/>
    <n v="38.313362499074351"/>
    <n v="40.53493000000001"/>
    <n v="113.35314348838564"/>
    <n v="38.313362499074351"/>
    <n v="92.06710059171597"/>
    <n v="96.919523961977518"/>
    <n v="1.2672366203629335"/>
    <s v="Fryer pers data; Fryer et al 1992"/>
  </r>
  <r>
    <s v="Okanagan Sockeye"/>
    <s v="1980s"/>
    <x v="11"/>
    <n v="1986"/>
    <x v="12"/>
    <n v="76484"/>
    <n v="76481"/>
    <n v="62119"/>
    <n v="31118.679999999997"/>
    <n v="0.50095268758350897"/>
    <n v="40611.658678258478"/>
    <n v="38313.362499074348"/>
    <n v="0.53000000000000014"/>
    <n v="40534.930000000008"/>
    <n v="0.3594356768347694"/>
    <n v="1640.1190991484084"/>
    <n v="5.006652088143991E-2"/>
    <n v="32758.799099148404"/>
    <n v="5556.0662579886994"/>
    <x v="5"/>
    <n v="5.9999999999999982"/>
    <x v="1"/>
    <n v="3.0000000000000001E-3"/>
    <n v="229.44300000000001"/>
    <n v="1.7751479289940801E-2"/>
    <n v="121.83497603477544"/>
    <n v="114.94008749722305"/>
    <n v="121.60479000000002"/>
    <n v="680.11886093031285"/>
    <n v="114.94008749722305"/>
    <n v="552.402603550295"/>
    <n v="581.51714377186431"/>
    <n v="2.5344732407258634"/>
    <s v="Fryer pers data; Fryer et al 1992"/>
  </r>
  <r>
    <s v="Okanagan Sockeye"/>
    <s v="1990s"/>
    <x v="12"/>
    <n v="1989"/>
    <x v="14"/>
    <n v="85000"/>
    <n v="84992"/>
    <n v="68359"/>
    <n v="47488.531999999992"/>
    <n v="0.69469319328837453"/>
    <n v="61939.161813749517"/>
    <n v="59043.363883965525"/>
    <n v="0.63"/>
    <n v="53544.959999999999"/>
    <n v="0.49358763177710846"/>
    <n v="1523.4621728814054"/>
    <n v="3.1083456174169407E-2"/>
    <n v="49011.994172881401"/>
    <n v="10036.927256630435"/>
    <x v="0"/>
    <n v="3.0000000000000009"/>
    <x v="0"/>
    <n v="0.16900000000000001"/>
    <n v="14363.648000000001"/>
    <n v="0.182"/>
    <n v="10467.718346523669"/>
    <n v="9978.3284963901751"/>
    <n v="9049.0982400000012"/>
    <n v="10745.892226881726"/>
    <n v="9978.3284963901751"/>
    <n v="8642.9128239999991"/>
    <n v="8920.1829394644155"/>
    <n v="0.62102489141090167"/>
    <s v="Fryer personal data; Fryer and Schwartzberg 1993"/>
  </r>
  <r>
    <s v="Okanagan Sockeye"/>
    <s v="1990s"/>
    <x v="12"/>
    <n v="1988"/>
    <x v="13"/>
    <n v="85000"/>
    <n v="84992"/>
    <n v="68359"/>
    <n v="47488.531999999992"/>
    <n v="0.69469319328837453"/>
    <n v="61939.161813749517"/>
    <n v="59043.363883965525"/>
    <n v="0.63"/>
    <n v="53544.959999999999"/>
    <n v="0.49358763177710846"/>
    <n v="1523.4621728814054"/>
    <n v="3.1083456174169407E-2"/>
    <n v="49011.994172881401"/>
    <n v="10036.927256630435"/>
    <x v="1"/>
    <n v="3.9999999999999996"/>
    <x v="0"/>
    <n v="0.73299999999999998"/>
    <n v="62299.135999999999"/>
    <n v="0.72199999999999998"/>
    <n v="45401.405609478395"/>
    <n v="43278.785726946728"/>
    <n v="39248.455679999999"/>
    <n v="42629.308724223105"/>
    <n v="43278.785726946728"/>
    <n v="34286.720103999993"/>
    <n v="35386.65979282037"/>
    <n v="0.56801204743546319"/>
    <s v="Fryer personal data; Fryer and Schwartzberg 1993"/>
  </r>
  <r>
    <s v="Okanagan Sockeye"/>
    <s v="1980s"/>
    <x v="12"/>
    <n v="1987"/>
    <x v="12"/>
    <n v="85000"/>
    <n v="84992"/>
    <n v="68359"/>
    <n v="47488.531999999992"/>
    <n v="0.69469319328837453"/>
    <n v="61939.161813749517"/>
    <n v="59043.363883965525"/>
    <n v="0.63"/>
    <n v="53544.959999999999"/>
    <n v="0.49358763177710846"/>
    <n v="1523.4621728814054"/>
    <n v="3.1083456174169407E-2"/>
    <n v="49011.994172881401"/>
    <n v="10036.927256630435"/>
    <x v="2"/>
    <n v="5"/>
    <x v="0"/>
    <n v="1.4E-2"/>
    <n v="1189.8879999999999"/>
    <n v="1.6E-2"/>
    <n v="867.14826539249327"/>
    <n v="826.60709437551736"/>
    <n v="749.62944000000005"/>
    <n v="944.69382214344841"/>
    <n v="826.60709437551736"/>
    <n v="759.81651199999988"/>
    <n v="784.19190676610242"/>
    <n v="0.65904682353809974"/>
    <s v="Fryer personal data; Fryer and Schwartzberg 1993"/>
  </r>
  <r>
    <s v="Okanagan Sockeye"/>
    <s v="1990s"/>
    <x v="12"/>
    <n v="1988"/>
    <x v="14"/>
    <n v="85000"/>
    <n v="84992"/>
    <n v="68359"/>
    <n v="47488.531999999992"/>
    <n v="0.69469319328837453"/>
    <n v="61939.161813749517"/>
    <n v="59043.363883965525"/>
    <n v="0.63"/>
    <n v="53544.959999999999"/>
    <n v="0.49358763177710846"/>
    <n v="1523.4621728814054"/>
    <n v="3.1083456174169407E-2"/>
    <n v="49011.994172881401"/>
    <n v="10036.927256630435"/>
    <x v="3"/>
    <n v="4.0000000000000009"/>
    <x v="1"/>
    <n v="7.0000000000000007E-2"/>
    <n v="5949.4400000000005"/>
    <n v="6.9000000000000006E-2"/>
    <n v="4335.7413269624667"/>
    <n v="4133.035471877587"/>
    <n v="3748.1472000000003"/>
    <n v="4073.9921079936216"/>
    <n v="4133.035471877587"/>
    <n v="3276.7087079999997"/>
    <n v="3381.8275979288169"/>
    <n v="0.56842788530161104"/>
    <s v="Fryer personal data; Fryer and Schwartzberg 1993"/>
  </r>
  <r>
    <s v="Okanagan Sockeye"/>
    <s v="1990s"/>
    <x v="12"/>
    <n v="1987"/>
    <x v="13"/>
    <n v="85000"/>
    <n v="84992"/>
    <n v="68359"/>
    <n v="47488.531999999992"/>
    <n v="0.69469319328837453"/>
    <n v="61939.161813749517"/>
    <n v="59043.363883965525"/>
    <n v="0.63"/>
    <n v="53544.959999999999"/>
    <n v="0.49358763177710846"/>
    <n v="1523.4621728814054"/>
    <n v="3.1083456174169407E-2"/>
    <n v="49011.994172881401"/>
    <n v="10036.927256630435"/>
    <x v="4"/>
    <n v="5.0000000000000018"/>
    <x v="1"/>
    <n v="1.4E-2"/>
    <n v="1189.8879999999999"/>
    <n v="1.0999999999999999E-2"/>
    <n v="867.14826539249327"/>
    <n v="826.60709437551736"/>
    <n v="749.62944000000005"/>
    <n v="649.47700272362079"/>
    <n v="826.60709437551736"/>
    <n v="522.37385199999983"/>
    <n v="539.13193590169533"/>
    <n v="0.45309469118244355"/>
    <s v="Fryer personal data; Fryer and Schwartzberg 1993"/>
  </r>
  <r>
    <s v="Okanagan Sockeye"/>
    <s v="1990s"/>
    <x v="13"/>
    <n v="1990"/>
    <x v="15"/>
    <n v="88025"/>
    <n v="80178"/>
    <n v="65630"/>
    <n v="31525.067999999996"/>
    <n v="0.48034539082736549"/>
    <n v="43600.256171046458"/>
    <n v="38513.132745756513"/>
    <n v="0.57999999999999996"/>
    <n v="46503.24"/>
    <n v="0.34733966923595"/>
    <n v="2442.0759669663262"/>
    <n v="7.1895239980767606E-2"/>
    <n v="33967.143966966323"/>
    <n v="8315.2590606125232"/>
    <x v="0"/>
    <n v="3.0000000000000009"/>
    <x v="0"/>
    <n v="0"/>
    <n v="0"/>
    <n v="0"/>
    <n v="0"/>
    <n v="0"/>
    <n v="0"/>
    <n v="0"/>
    <n v="0"/>
    <n v="0"/>
    <n v="0"/>
    <n v="0"/>
    <s v="Jeff Fryer, pers.data &amp; Fryer &amp; Schwartzberg 1994"/>
  </r>
  <r>
    <s v="Okanagan Sockeye"/>
    <s v="1990s"/>
    <x v="13"/>
    <n v="1989"/>
    <x v="14"/>
    <n v="88025"/>
    <n v="80178"/>
    <n v="65630"/>
    <n v="31525.067999999996"/>
    <n v="0.48034539082736549"/>
    <n v="43600.256171046458"/>
    <n v="38513.132745756513"/>
    <n v="0.57999999999999996"/>
    <n v="46503.24"/>
    <n v="0.34733966923595"/>
    <n v="2442.0759669663262"/>
    <n v="7.1895239980767606E-2"/>
    <n v="33967.143966966323"/>
    <n v="8315.2590606125232"/>
    <x v="1"/>
    <n v="3.9999999999999996"/>
    <x v="0"/>
    <n v="0.88700000000000001"/>
    <n v="71117.885999999999"/>
    <n v="0.89700000000000002"/>
    <n v="38673.427223718209"/>
    <n v="34161.148745486025"/>
    <n v="41248.373879999999"/>
    <n v="34546.280072943591"/>
    <n v="34161.148745486025"/>
    <n v="28277.985995999996"/>
    <n v="30468.528138368794"/>
    <n v="0.42842286029661786"/>
    <s v="Jeff Fryer, pers.data &amp; Fryer &amp; Schwartzberg 1994"/>
  </r>
  <r>
    <s v="Okanagan Sockeye"/>
    <s v="1990s"/>
    <x v="13"/>
    <n v="1988"/>
    <x v="13"/>
    <n v="88025"/>
    <n v="80178"/>
    <n v="65630"/>
    <n v="31525.067999999996"/>
    <n v="0.48034539082736549"/>
    <n v="43600.256171046458"/>
    <n v="38513.132745756513"/>
    <n v="0.57999999999999996"/>
    <n v="46503.24"/>
    <n v="0.34733966923595"/>
    <n v="2442.0759669663262"/>
    <n v="7.1895239980767606E-2"/>
    <n v="33967.143966966323"/>
    <n v="8315.2590606125232"/>
    <x v="2"/>
    <n v="5"/>
    <x v="0"/>
    <n v="5.2999999999999999E-2"/>
    <n v="4249.4340000000002"/>
    <n v="4.8000000000000001E-2"/>
    <n v="2310.8135770654621"/>
    <n v="2041.1960355250951"/>
    <n v="2464.6717199999998"/>
    <n v="1848.6303717963126"/>
    <n v="2041.1960355250951"/>
    <n v="1513.2032639999998"/>
    <n v="1630.4229104143835"/>
    <n v="0.3836800172480343"/>
    <s v="Jeff Fryer, pers.data &amp; Fryer &amp; Schwartzberg 1994"/>
  </r>
  <r>
    <s v="Okanagan Sockeye"/>
    <s v="1990s"/>
    <x v="13"/>
    <n v="1989"/>
    <x v="15"/>
    <n v="88025"/>
    <n v="80178"/>
    <n v="65630"/>
    <n v="31525.067999999996"/>
    <n v="0.48034539082736549"/>
    <n v="43600.256171046458"/>
    <n v="38513.132745756513"/>
    <n v="0.57999999999999996"/>
    <n v="46503.24"/>
    <n v="0.34733966923595"/>
    <n v="2442.0759669663262"/>
    <n v="7.1895239980767606E-2"/>
    <n v="33967.143966966323"/>
    <n v="8315.2590606125232"/>
    <x v="3"/>
    <n v="4.0000000000000009"/>
    <x v="1"/>
    <n v="2E-3"/>
    <n v="160.35599999999999"/>
    <n v="4.0000000000000001E-3"/>
    <n v="87.200512342092921"/>
    <n v="77.02626549151303"/>
    <n v="93.006479999999996"/>
    <n v="154.05253098302606"/>
    <n v="77.02626549151303"/>
    <n v="126.10027199999999"/>
    <n v="135.8685758678653"/>
    <n v="0.84729337142274253"/>
    <s v="Jeff Fryer, pers.data &amp; Fryer &amp; Schwartzberg 1994"/>
  </r>
  <r>
    <s v="Okanagan Sockeye"/>
    <s v="1990s"/>
    <x v="13"/>
    <n v="1988"/>
    <x v="14"/>
    <n v="88025"/>
    <n v="80178"/>
    <n v="65630"/>
    <n v="31525.067999999996"/>
    <n v="0.48034539082736549"/>
    <n v="43600.256171046458"/>
    <n v="38513.132745756513"/>
    <n v="0.57999999999999996"/>
    <n v="46503.24"/>
    <n v="0.34733966923595"/>
    <n v="2442.0759669663262"/>
    <n v="7.1895239980767606E-2"/>
    <n v="33967.143966966323"/>
    <n v="8315.2590606125232"/>
    <x v="4"/>
    <n v="5.0000000000000018"/>
    <x v="1"/>
    <n v="5.7000000000000002E-2"/>
    <n v="4570.1459999999997"/>
    <n v="0.05"/>
    <n v="2485.2146017496484"/>
    <n v="2195.2485665081213"/>
    <n v="2650.6846799999998"/>
    <n v="1925.6566372878258"/>
    <n v="2195.2485665081213"/>
    <n v="1576.2533999999998"/>
    <n v="1698.3571983483162"/>
    <n v="0.37161989974681692"/>
    <s v="Jeff Fryer, pers.data &amp; Fryer &amp; Schwartzberg 1994"/>
  </r>
  <r>
    <s v="Okanagan Sockeye"/>
    <s v="1990s"/>
    <x v="13"/>
    <n v="1987"/>
    <x v="13"/>
    <n v="88025"/>
    <n v="80178"/>
    <n v="65630"/>
    <n v="31525.067999999996"/>
    <n v="0.48034539082736549"/>
    <n v="43600.256171046458"/>
    <n v="38513.132745756513"/>
    <n v="0.57999999999999996"/>
    <n v="46503.24"/>
    <n v="0.34733966923595"/>
    <n v="2442.0759669663262"/>
    <n v="7.1895239980767606E-2"/>
    <n v="33967.143966966323"/>
    <n v="8315.2590606125232"/>
    <x v="5"/>
    <n v="5.9999999999999982"/>
    <x v="1"/>
    <n v="2E-3"/>
    <n v="160.35599999999999"/>
    <n v="2E-3"/>
    <n v="87.200512342092921"/>
    <n v="77.02626549151303"/>
    <n v="93.006479999999996"/>
    <n v="77.02626549151303"/>
    <n v="77.02626549151303"/>
    <n v="63.050135999999995"/>
    <n v="67.934287933932652"/>
    <n v="0.42364668571137126"/>
    <s v="Jeff Fryer, pers.data &amp; Fryer &amp; Schwartzberg 1994"/>
  </r>
  <r>
    <s v="Okanagan Sockeye"/>
    <s v="1990s"/>
    <x v="14"/>
    <n v="1991"/>
    <x v="16"/>
    <n v="12873"/>
    <n v="12678"/>
    <n v="11367"/>
    <n v="1885.9119999999998"/>
    <n v="0.16591114630069498"/>
    <n v="2324.2862752595647"/>
    <n v="2103.4215128002111"/>
    <m/>
    <m/>
    <n v="0.13140873954882473"/>
    <n v="78.475972200228725"/>
    <n v="3.9949324324324326E-2"/>
    <n v="1964.3879722002284"/>
    <n v="171.38621412861812"/>
    <x v="0"/>
    <n v="3.0000000000000009"/>
    <x v="0"/>
    <n v="0.14299999999999999"/>
    <n v="1812.954"/>
    <n v="5.1999999999999998E-2"/>
    <n v="332.37293736211774"/>
    <n v="300.78927633043014"/>
    <s v=""/>
    <n v="109.37791866561098"/>
    <n v="300.78927633043014"/>
    <n v="98.067423999999988"/>
    <n v="102.14817455441188"/>
    <n v="5.6343500471833195E-2"/>
    <m/>
  </r>
  <r>
    <s v="Okanagan Sockeye"/>
    <s v="1990s"/>
    <x v="14"/>
    <n v="1990"/>
    <x v="15"/>
    <n v="12873"/>
    <n v="12678"/>
    <n v="11367"/>
    <n v="1885.9119999999998"/>
    <n v="0.16591114630069498"/>
    <n v="2324.2862752595647"/>
    <n v="2103.4215128002111"/>
    <m/>
    <m/>
    <n v="0.13140873954882473"/>
    <n v="78.475972200228725"/>
    <n v="3.9949324324324326E-2"/>
    <n v="1964.3879722002284"/>
    <n v="171.38621412861812"/>
    <x v="1"/>
    <n v="3.9999999999999996"/>
    <x v="0"/>
    <n v="0.126"/>
    <n v="1597.4280000000001"/>
    <n v="0.82499999999999996"/>
    <n v="292.86007068270516"/>
    <n v="265.03111061282658"/>
    <s v=""/>
    <n v="1735.322748060174"/>
    <n v="265.03111061282658"/>
    <n v="1555.8773999999999"/>
    <n v="1620.6200770651883"/>
    <n v="1.0145183864719964"/>
    <m/>
  </r>
  <r>
    <s v="Okanagan Sockeye"/>
    <s v="1990s"/>
    <x v="14"/>
    <n v="1989"/>
    <x v="14"/>
    <n v="12873"/>
    <n v="12678"/>
    <n v="11367"/>
    <n v="1885.9119999999998"/>
    <n v="0.16591114630069498"/>
    <n v="2324.2862752595647"/>
    <n v="2103.4215128002111"/>
    <m/>
    <m/>
    <n v="0.13140873954882473"/>
    <n v="78.475972200228725"/>
    <n v="3.9949324324324326E-2"/>
    <n v="1964.3879722002284"/>
    <n v="171.38621412861812"/>
    <x v="2"/>
    <n v="5"/>
    <x v="0"/>
    <n v="0.69799999999999995"/>
    <n v="8849.2439999999988"/>
    <n v="8.3000000000000004E-2"/>
    <n v="1622.3518201311761"/>
    <n v="1468.1882159345473"/>
    <s v=""/>
    <n v="174.58398556241752"/>
    <n v="1468.1882159345473"/>
    <n v="156.53069600000001"/>
    <n v="163.04420169261897"/>
    <n v="1.8424647539678981E-2"/>
    <m/>
  </r>
  <r>
    <s v="Okanagan Sockeye"/>
    <s v="1990s"/>
    <x v="14"/>
    <n v="1990"/>
    <x v="16"/>
    <n v="12873"/>
    <n v="12678"/>
    <n v="11367"/>
    <n v="1885.9119999999998"/>
    <n v="0.16591114630069498"/>
    <n v="2324.2862752595647"/>
    <n v="2103.4215128002111"/>
    <m/>
    <m/>
    <n v="0.13140873954882473"/>
    <n v="78.475972200228725"/>
    <n v="3.9949324324324326E-2"/>
    <n v="1964.3879722002284"/>
    <n v="171.38621412861812"/>
    <x v="3"/>
    <n v="4.0000000000000009"/>
    <x v="1"/>
    <n v="1.6E-2"/>
    <n v="202.84800000000001"/>
    <n v="2.3E-2"/>
    <n v="37.188580404153036"/>
    <n v="33.654744204803379"/>
    <s v=""/>
    <n v="48.378694794404851"/>
    <n v="33.654744204803379"/>
    <n v="43.375975999999994"/>
    <n v="45.180923360605256"/>
    <n v="0.22273290030271559"/>
    <m/>
  </r>
  <r>
    <s v="Okanagan Sockeye"/>
    <s v="1990s"/>
    <x v="14"/>
    <n v="1989"/>
    <x v="15"/>
    <n v="12873"/>
    <n v="12678"/>
    <n v="11367"/>
    <n v="1885.9119999999998"/>
    <n v="0.16591114630069498"/>
    <n v="2324.2862752595647"/>
    <n v="2103.4215128002111"/>
    <m/>
    <m/>
    <n v="0.13140873954882473"/>
    <n v="78.475972200228725"/>
    <n v="3.9949324324324326E-2"/>
    <n v="1964.3879722002284"/>
    <n v="171.38621412861812"/>
    <x v="4"/>
    <n v="5.0000000000000018"/>
    <x v="1"/>
    <n v="1.7000000000000001E-2"/>
    <n v="215.52600000000001"/>
    <n v="1.6E-2"/>
    <n v="39.512866679412603"/>
    <n v="35.758165717603589"/>
    <s v=""/>
    <n v="33.654744204803379"/>
    <n v="35.758165717603589"/>
    <n v="30.174591999999997"/>
    <n v="31.430207555203655"/>
    <n v="0.14583023651533297"/>
    <m/>
  </r>
  <r>
    <s v="Okanagan Sockeye"/>
    <s v="1990s"/>
    <x v="15"/>
    <n v="1992"/>
    <x v="17"/>
    <n v="9913"/>
    <n v="8774"/>
    <n v="9462"/>
    <n v="5537.7439999999997"/>
    <n v="0.58526146692031278"/>
    <n v="6447.1137399471781"/>
    <n v="5135.084110758824"/>
    <m/>
    <m/>
    <n v="0.55755641668566214"/>
    <n v="261.02661424645947"/>
    <n v="4.5014129995962854E-2"/>
    <n v="5798.7706142464594"/>
    <n v="2.926307334601006"/>
    <x v="0"/>
    <n v="3.0000000000000009"/>
    <x v="0"/>
    <n v="0.41299999999999998"/>
    <n v="3623.6619999999998"/>
    <n v="5.1999999999999998E-2"/>
    <n v="2662.6579745981844"/>
    <n v="2120.7897377433942"/>
    <s v=""/>
    <n v="267.02437375945885"/>
    <n v="2120.7897377433942"/>
    <n v="287.96268799999996"/>
    <n v="301.53607194081587"/>
    <n v="8.3213078907694998E-2"/>
    <m/>
  </r>
  <r>
    <s v="Okanagan Sockeye"/>
    <s v="1990s"/>
    <x v="15"/>
    <n v="1991"/>
    <x v="16"/>
    <n v="9913"/>
    <n v="8774"/>
    <n v="9462"/>
    <n v="5537.7439999999997"/>
    <n v="0.58526146692031278"/>
    <n v="6447.1137399471781"/>
    <n v="5135.084110758824"/>
    <m/>
    <m/>
    <n v="0.55755641668566214"/>
    <n v="261.02661424645947"/>
    <n v="4.5014129995962854E-2"/>
    <n v="5798.7706142464594"/>
    <n v="2.926307334601006"/>
    <x v="1"/>
    <n v="3.9999999999999996"/>
    <x v="0"/>
    <n v="0.51400000000000001"/>
    <n v="4509.8360000000002"/>
    <n v="0.82499999999999996"/>
    <n v="3313.8164623328498"/>
    <n v="2639.4332329300355"/>
    <s v=""/>
    <n v="4236.4443913760297"/>
    <n v="2639.4332329300355"/>
    <n v="4568.6387999999997"/>
    <n v="4783.985756753329"/>
    <n v="1.0607892962744829"/>
    <m/>
  </r>
  <r>
    <s v="Okanagan Sockeye"/>
    <s v="1990s"/>
    <x v="15"/>
    <n v="1990"/>
    <x v="15"/>
    <n v="9913"/>
    <n v="8774"/>
    <n v="9462"/>
    <n v="5537.7439999999997"/>
    <n v="0.58526146692031278"/>
    <n v="6447.1137399471781"/>
    <n v="5135.084110758824"/>
    <m/>
    <m/>
    <n v="0.55755641668566214"/>
    <n v="261.02661424645947"/>
    <n v="4.5014129995962854E-2"/>
    <n v="5798.7706142464594"/>
    <n v="2.926307334601006"/>
    <x v="2"/>
    <n v="5"/>
    <x v="0"/>
    <n v="1.2999999999999999E-2"/>
    <n v="114.062"/>
    <n v="8.3000000000000004E-2"/>
    <n v="83.81247861931331"/>
    <n v="66.756093439864713"/>
    <s v=""/>
    <n v="426.21198119298242"/>
    <n v="66.756093439864713"/>
    <n v="459.63275199999998"/>
    <n v="481.29796098245617"/>
    <n v="4.2196170589894635"/>
    <m/>
  </r>
  <r>
    <s v="Okanagan Sockeye"/>
    <s v="1990s"/>
    <x v="15"/>
    <n v="1991"/>
    <x v="17"/>
    <n v="9913"/>
    <n v="8774"/>
    <n v="9462"/>
    <n v="5537.7439999999997"/>
    <n v="0.58526146692031278"/>
    <n v="6447.1137399471781"/>
    <n v="5135.084110758824"/>
    <m/>
    <m/>
    <n v="0.55755641668566214"/>
    <n v="261.02661424645947"/>
    <n v="4.5014129995962854E-2"/>
    <n v="5798.7706142464594"/>
    <n v="2.926307334601006"/>
    <x v="3"/>
    <n v="4.0000000000000009"/>
    <x v="1"/>
    <n v="5.8000000000000003E-2"/>
    <n v="508.89200000000005"/>
    <n v="2.3E-2"/>
    <n v="373.93259691693635"/>
    <n v="297.83487842401178"/>
    <s v=""/>
    <n v="118.10693454745295"/>
    <n v="297.83487842401178"/>
    <n v="127.368112"/>
    <n v="133.37172412766856"/>
    <n v="0.26208257179847305"/>
    <m/>
  </r>
  <r>
    <s v="Okanagan Sockeye"/>
    <s v="1990s"/>
    <x v="15"/>
    <n v="1990"/>
    <x v="16"/>
    <n v="9913"/>
    <n v="8774"/>
    <n v="9462"/>
    <n v="5537.7439999999997"/>
    <n v="0.58526146692031278"/>
    <n v="6447.1137399471781"/>
    <n v="5135.084110758824"/>
    <m/>
    <m/>
    <n v="0.55755641668566214"/>
    <n v="261.02661424645947"/>
    <n v="4.5014129995962854E-2"/>
    <n v="5798.7706142464594"/>
    <n v="2.926307334601006"/>
    <x v="4"/>
    <n v="5.0000000000000018"/>
    <x v="1"/>
    <n v="0"/>
    <n v="0"/>
    <n v="1.6E-2"/>
    <n v="0"/>
    <n v="0"/>
    <s v=""/>
    <n v="82.161345772141189"/>
    <n v="0"/>
    <n v="88.603904"/>
    <n v="92.780329827943348"/>
    <n v="0"/>
    <m/>
  </r>
  <r>
    <s v="Okanagan Sockeye"/>
    <s v="1990s"/>
    <x v="16"/>
    <n v="1993"/>
    <x v="18"/>
    <n v="30942"/>
    <n v="30232"/>
    <n v="29500"/>
    <n v="20037.531999999999"/>
    <n v="0.67923837288135591"/>
    <n v="23353.298996278285"/>
    <n v="20534.734488949151"/>
    <m/>
    <m/>
    <n v="0.58550542471553324"/>
    <n v="977.42401857627112"/>
    <n v="4.6510876240343897E-2"/>
    <n v="21014.956018576271"/>
    <n v="2.0377151186439733"/>
    <x v="0"/>
    <n v="3.0000000000000009"/>
    <x v="0"/>
    <n v="7.5999999999999998E-2"/>
    <n v="2297.6320000000001"/>
    <n v="7.5999999999999998E-2"/>
    <n v="1774.8507237171495"/>
    <n v="1560.6398211601354"/>
    <s v=""/>
    <n v="1560.6398211601354"/>
    <n v="1560.6398211601354"/>
    <n v="1522.8524319999999"/>
    <n v="1597.1366574117965"/>
    <n v="0.69512291672983162"/>
    <s v="Fryer: pers data (Wells Dam)) used for SIRE age comps"/>
  </r>
  <r>
    <s v="Okanagan Sockeye"/>
    <s v="1990s"/>
    <x v="16"/>
    <n v="1992"/>
    <x v="17"/>
    <n v="30942"/>
    <n v="30232"/>
    <n v="29500"/>
    <n v="20037.531999999999"/>
    <n v="0.67923837288135591"/>
    <n v="23353.298996278285"/>
    <n v="20534.734488949151"/>
    <m/>
    <m/>
    <n v="0.58550542471553324"/>
    <n v="977.42401857627112"/>
    <n v="4.6510876240343897E-2"/>
    <n v="21014.956018576271"/>
    <n v="2.0377151186439733"/>
    <x v="1"/>
    <n v="3.9999999999999996"/>
    <x v="0"/>
    <n v="0.85899999999999999"/>
    <n v="25969.288"/>
    <n v="0.85899999999999999"/>
    <n v="20060.483837803047"/>
    <n v="17639.33692600732"/>
    <s v=""/>
    <n v="17639.33692600732"/>
    <n v="17639.33692600732"/>
    <n v="17212.239987999998"/>
    <n v="18051.847219957017"/>
    <n v="0.69512291672983162"/>
    <s v="Fryer: pers data (Wells Dam)) used for SIRE age comps"/>
  </r>
  <r>
    <s v="Okanagan Sockeye"/>
    <s v="1990s"/>
    <x v="16"/>
    <n v="1991"/>
    <x v="16"/>
    <n v="30942"/>
    <n v="30232"/>
    <n v="29500"/>
    <n v="20037.531999999999"/>
    <n v="0.67923837288135591"/>
    <n v="23353.298996278285"/>
    <n v="20534.734488949151"/>
    <m/>
    <m/>
    <n v="0.58550542471553324"/>
    <n v="977.42401857627112"/>
    <n v="4.6510876240343897E-2"/>
    <n v="21014.956018576271"/>
    <n v="2.0377151186439733"/>
    <x v="2"/>
    <n v="5"/>
    <x v="0"/>
    <n v="3.7999999999999999E-2"/>
    <n v="1148.816"/>
    <n v="3.7999999999999999E-2"/>
    <n v="887.42536185857477"/>
    <n v="780.3199105800677"/>
    <s v=""/>
    <n v="780.3199105800677"/>
    <n v="780.3199105800677"/>
    <n v="761.42621599999995"/>
    <n v="798.56832870589824"/>
    <n v="0.69512291672983162"/>
    <s v="Fryer: pers data (Wells Dam)) used for SIRE age comps"/>
  </r>
  <r>
    <s v="Okanagan Sockeye"/>
    <s v="1990s"/>
    <x v="16"/>
    <n v="1992"/>
    <x v="18"/>
    <n v="30942"/>
    <n v="30232"/>
    <n v="29500"/>
    <n v="20037.531999999999"/>
    <n v="0.67923837288135591"/>
    <n v="23353.298996278285"/>
    <n v="20534.734488949151"/>
    <m/>
    <m/>
    <n v="0.58550542471553324"/>
    <n v="977.42401857627112"/>
    <n v="4.6510876240343897E-2"/>
    <n v="21014.956018576271"/>
    <n v="2.0377151186439733"/>
    <x v="3"/>
    <n v="4.0000000000000009"/>
    <x v="1"/>
    <n v="0"/>
    <n v="0"/>
    <n v="0"/>
    <n v="0"/>
    <n v="0"/>
    <s v=""/>
    <n v="0"/>
    <n v="0"/>
    <n v="0"/>
    <n v="0"/>
    <n v="0"/>
    <s v="Fryer: pers data (Wells Dam)) used for SIRE age comps"/>
  </r>
  <r>
    <s v="Okanagan Sockeye"/>
    <s v="1990s"/>
    <x v="16"/>
    <n v="1991"/>
    <x v="17"/>
    <n v="30942"/>
    <n v="30232"/>
    <n v="29500"/>
    <n v="20037.531999999999"/>
    <n v="0.67923837288135591"/>
    <n v="23353.298996278285"/>
    <n v="20534.734488949151"/>
    <m/>
    <m/>
    <n v="0.58550542471553324"/>
    <n v="977.42401857627112"/>
    <n v="4.6510876240343897E-2"/>
    <n v="21014.956018576271"/>
    <n v="2.0377151186439733"/>
    <x v="4"/>
    <n v="5.0000000000000018"/>
    <x v="1"/>
    <n v="2.7E-2"/>
    <n v="816.26400000000001"/>
    <n v="2.7E-2"/>
    <n v="630.53907289951371"/>
    <n v="554.43783120162709"/>
    <s v=""/>
    <n v="554.43783120162709"/>
    <n v="554.43783120162709"/>
    <n v="541.01336400000002"/>
    <n v="567.40381250155929"/>
    <n v="0.69512291672983162"/>
    <s v="Fryer: pers data (Wells Dam)) used for SIRE age comps"/>
  </r>
  <r>
    <s v="Okanagan Sockeye"/>
    <s v="1990s"/>
    <x v="17"/>
    <n v="1994"/>
    <x v="19"/>
    <n v="49979"/>
    <n v="47008"/>
    <n v="41504"/>
    <n v="27870.971999999998"/>
    <n v="0.6715249614494988"/>
    <n v="35841.569404908347"/>
    <n v="31567.045387818041"/>
    <m/>
    <m/>
    <n v="0.52376191286589513"/>
    <n v="1381.9983706630685"/>
    <n v="4.7243009962811625E-2"/>
    <n v="29252.970370663068"/>
    <n v="4309.1756776214315"/>
    <x v="0"/>
    <n v="3.0000000000000009"/>
    <x v="0"/>
    <n v="0"/>
    <n v="0"/>
    <n v="5.1999999999999998E-2"/>
    <n v="0"/>
    <n v="0"/>
    <s v=""/>
    <n v="1641.4863601665381"/>
    <n v="0"/>
    <n v="1449.2905439999997"/>
    <n v="1521.1544592744794"/>
    <n v="0"/>
    <m/>
  </r>
  <r>
    <s v="Okanagan Sockeye"/>
    <s v="1990s"/>
    <x v="17"/>
    <n v="1993"/>
    <x v="18"/>
    <n v="49979"/>
    <n v="47008"/>
    <n v="41504"/>
    <n v="27870.971999999998"/>
    <n v="0.6715249614494988"/>
    <n v="35841.569404908347"/>
    <n v="31567.045387818041"/>
    <m/>
    <m/>
    <n v="0.52376191286589513"/>
    <n v="1381.9983706630685"/>
    <n v="4.7243009962811625E-2"/>
    <n v="29252.970370663068"/>
    <n v="4309.1756776214315"/>
    <x v="1"/>
    <n v="3.9999999999999996"/>
    <x v="0"/>
    <n v="0.95699999999999996"/>
    <n v="44986.655999999995"/>
    <n v="0.82499999999999996"/>
    <n v="34300.38192049729"/>
    <n v="30209.662436141865"/>
    <s v=""/>
    <n v="26042.812444949883"/>
    <n v="30209.662436141865"/>
    <n v="22993.551899999999"/>
    <n v="24133.70055579703"/>
    <n v="0.5364635361160659"/>
    <m/>
  </r>
  <r>
    <s v="Okanagan Sockeye"/>
    <s v="1990s"/>
    <x v="17"/>
    <n v="1992"/>
    <x v="17"/>
    <n v="49979"/>
    <n v="47008"/>
    <n v="41504"/>
    <n v="27870.971999999998"/>
    <n v="0.6715249614494988"/>
    <n v="35841.569404908347"/>
    <n v="31567.045387818041"/>
    <m/>
    <m/>
    <n v="0.52376191286589513"/>
    <n v="1381.9983706630685"/>
    <n v="4.7243009962811625E-2"/>
    <n v="29252.970370663068"/>
    <n v="4309.1756776214315"/>
    <x v="2"/>
    <n v="5"/>
    <x v="0"/>
    <n v="3.4000000000000002E-2"/>
    <n v="1598.2720000000002"/>
    <n v="8.3000000000000004E-2"/>
    <n v="1218.6133597668838"/>
    <n v="1073.2795431858135"/>
    <s v=""/>
    <n v="2620.0647671888978"/>
    <n v="1073.2795431858135"/>
    <n v="2313.2906760000001"/>
    <n v="2427.9965407650348"/>
    <n v="1.5191385075663182"/>
    <m/>
  </r>
  <r>
    <s v="Okanagan Sockeye"/>
    <s v="1990s"/>
    <x v="17"/>
    <n v="1993"/>
    <x v="19"/>
    <n v="49979"/>
    <n v="47008"/>
    <n v="41504"/>
    <n v="27870.971999999998"/>
    <n v="0.6715249614494988"/>
    <n v="35841.569404908347"/>
    <n v="31567.045387818041"/>
    <m/>
    <m/>
    <n v="0.52376191286589513"/>
    <n v="1381.9983706630685"/>
    <n v="4.7243009962811625E-2"/>
    <n v="29252.970370663068"/>
    <n v="4309.1756776214315"/>
    <x v="3"/>
    <n v="4.0000000000000009"/>
    <x v="1"/>
    <n v="8.9999999999999993E-3"/>
    <n v="423.07199999999995"/>
    <n v="2.3E-2"/>
    <n v="322.57412464417507"/>
    <n v="284.10340849036237"/>
    <s v=""/>
    <n v="726.04204391981489"/>
    <n v="284.10340849036237"/>
    <n v="641.03235599999994"/>
    <n v="672.81831852525056"/>
    <n v="1.5903163492862933"/>
    <m/>
  </r>
  <r>
    <s v="Okanagan Sockeye"/>
    <s v="1990s"/>
    <x v="17"/>
    <n v="1992"/>
    <x v="18"/>
    <n v="49979"/>
    <n v="47008"/>
    <n v="41504"/>
    <n v="27870.971999999998"/>
    <n v="0.6715249614494988"/>
    <n v="35841.569404908347"/>
    <n v="31567.045387818041"/>
    <m/>
    <m/>
    <n v="0.52376191286589513"/>
    <n v="1381.9983706630685"/>
    <n v="4.7243009962811625E-2"/>
    <n v="29252.970370663068"/>
    <n v="4309.1756776214315"/>
    <x v="4"/>
    <n v="5.0000000000000018"/>
    <x v="1"/>
    <n v="0"/>
    <n v="0"/>
    <n v="1.6E-2"/>
    <n v="0"/>
    <n v="0"/>
    <s v=""/>
    <n v="505.07272620508866"/>
    <n v="0"/>
    <n v="445.93555199999997"/>
    <n v="468.04752593060908"/>
    <n v="0"/>
    <m/>
  </r>
  <r>
    <s v="Okanagan Sockeye"/>
    <s v="1990s"/>
    <x v="18"/>
    <n v="1995"/>
    <x v="20"/>
    <n v="13220"/>
    <n v="13218"/>
    <n v="9334"/>
    <n v="4666"/>
    <n v="0.49989286479537176"/>
    <n v="6548.2230325454384"/>
    <n v="6607.5838868652236"/>
    <m/>
    <m/>
    <n v="0.31283098804660314"/>
    <n v="213.45425326762376"/>
    <n v="4.3745517877266674E-2"/>
    <n v="4879.4542532676242"/>
    <n v="1729.1294193271906"/>
    <x v="0"/>
    <n v="3.0000000000000009"/>
    <x v="0"/>
    <n v="5.2999999999999999E-2"/>
    <n v="700.55399999999997"/>
    <n v="5.1999999999999998E-2"/>
    <n v="347.05582072490824"/>
    <n v="350.20194600385685"/>
    <s v=""/>
    <n v="343.59436211699159"/>
    <n v="350.20194600385685"/>
    <n v="242.63199999999998"/>
    <n v="253.73162116991645"/>
    <n v="0.36218709930985543"/>
    <m/>
  </r>
  <r>
    <s v="Okanagan Sockeye"/>
    <s v="1990s"/>
    <x v="18"/>
    <n v="1994"/>
    <x v="19"/>
    <n v="13220"/>
    <n v="13218"/>
    <n v="9334"/>
    <n v="4666"/>
    <n v="0.49989286479537176"/>
    <n v="6548.2230325454384"/>
    <n v="6607.5838868652236"/>
    <m/>
    <m/>
    <n v="0.31283098804660314"/>
    <n v="213.45425326762376"/>
    <n v="4.3745517877266674E-2"/>
    <n v="4879.4542532676242"/>
    <n v="1729.1294193271906"/>
    <x v="1"/>
    <n v="3.9999999999999996"/>
    <x v="0"/>
    <n v="0.78900000000000003"/>
    <n v="10429.002"/>
    <n v="0.82499999999999996"/>
    <n v="5166.5479726783515"/>
    <n v="5213.3836867366617"/>
    <s v=""/>
    <n v="5451.2567066638094"/>
    <n v="5213.3836867366617"/>
    <n v="3849.45"/>
    <n v="4025.5497589457896"/>
    <n v="0.3859956838579367"/>
    <m/>
  </r>
  <r>
    <s v="Okanagan Sockeye"/>
    <s v="1990s"/>
    <x v="18"/>
    <n v="1993"/>
    <x v="18"/>
    <n v="13220"/>
    <n v="13218"/>
    <n v="9334"/>
    <n v="4666"/>
    <n v="0.49989286479537176"/>
    <n v="6548.2230325454384"/>
    <n v="6607.5838868652236"/>
    <m/>
    <m/>
    <n v="0.31283098804660314"/>
    <n v="213.45425326762376"/>
    <n v="4.3745517877266674E-2"/>
    <n v="4879.4542532676242"/>
    <n v="1729.1294193271906"/>
    <x v="2"/>
    <n v="5"/>
    <x v="0"/>
    <n v="0.158"/>
    <n v="2088.444"/>
    <n v="8.3000000000000004E-2"/>
    <n v="1034.6192391421794"/>
    <n v="1043.9982541247052"/>
    <s v=""/>
    <n v="548.42946260981364"/>
    <n v="1043.9982541247052"/>
    <n v="387.27800000000002"/>
    <n v="404.99470302121284"/>
    <n v="0.19392174414119451"/>
    <m/>
  </r>
  <r>
    <s v="Okanagan Sockeye"/>
    <s v="1990s"/>
    <x v="18"/>
    <n v="1994"/>
    <x v="20"/>
    <n v="13220"/>
    <n v="13218"/>
    <n v="9334"/>
    <n v="4666"/>
    <n v="0.49989286479537176"/>
    <n v="6548.2230325454384"/>
    <n v="6607.5838868652236"/>
    <m/>
    <m/>
    <n v="0.31283098804660314"/>
    <n v="213.45425326762376"/>
    <n v="4.3745517877266674E-2"/>
    <n v="4879.4542532676242"/>
    <n v="1729.1294193271906"/>
    <x v="3"/>
    <n v="4.0000000000000009"/>
    <x v="1"/>
    <n v="0"/>
    <n v="0"/>
    <n v="2.3E-2"/>
    <n v="0"/>
    <n v="0"/>
    <s v=""/>
    <n v="151.97442939790014"/>
    <n v="0"/>
    <n v="107.318"/>
    <n v="112.22744782515535"/>
    <n v="0"/>
    <m/>
  </r>
  <r>
    <s v="Okanagan Sockeye"/>
    <s v="1990s"/>
    <x v="18"/>
    <n v="1993"/>
    <x v="19"/>
    <n v="13220"/>
    <n v="13218"/>
    <n v="9334"/>
    <n v="4666"/>
    <n v="0.49989286479537176"/>
    <n v="6548.2230325454384"/>
    <n v="6607.5838868652236"/>
    <m/>
    <m/>
    <n v="0.31283098804660314"/>
    <n v="213.45425326762376"/>
    <n v="4.3745517877266674E-2"/>
    <n v="4879.4542532676242"/>
    <n v="1729.1294193271906"/>
    <x v="4"/>
    <n v="5.0000000000000018"/>
    <x v="1"/>
    <n v="0"/>
    <n v="0"/>
    <n v="1.6E-2"/>
    <n v="0"/>
    <n v="0"/>
    <s v=""/>
    <n v="105.72134218984358"/>
    <n v="0"/>
    <n v="74.656000000000006"/>
    <n v="78.071268052281994"/>
    <n v="0"/>
    <m/>
  </r>
  <r>
    <s v="Okanagan Sockeye"/>
    <s v="1990s"/>
    <x v="19"/>
    <n v="1996"/>
    <x v="21"/>
    <n v="19094"/>
    <n v="17877"/>
    <n v="18371"/>
    <n v="12388"/>
    <n v="0.67432366229383267"/>
    <n v="14249.228346747701"/>
    <n v="12054.884110826846"/>
    <m/>
    <m/>
    <n v="0.61604296022822624"/>
    <n v="475.39818191715204"/>
    <n v="3.6957433424197945E-2"/>
    <n v="12863.398181917151"/>
    <n v="12.137825921288822"/>
    <x v="0"/>
    <n v="3.0000000000000009"/>
    <x v="0"/>
    <n v="0.114"/>
    <n v="2037.9780000000001"/>
    <n v="5.1999999999999998E-2"/>
    <n v="1624.412031529238"/>
    <n v="1374.2567886342606"/>
    <s v=""/>
    <n v="626.85397376299602"/>
    <n v="1374.2567886342606"/>
    <n v="644.17599999999993"/>
    <n v="668.89670545969182"/>
    <n v="0.3282158617314278"/>
    <m/>
  </r>
  <r>
    <s v="Okanagan Sockeye"/>
    <s v="1990s"/>
    <x v="19"/>
    <n v="1995"/>
    <x v="20"/>
    <n v="19094"/>
    <n v="17877"/>
    <n v="18371"/>
    <n v="12388"/>
    <n v="0.67432366229383267"/>
    <n v="14249.228346747701"/>
    <n v="12054.884110826846"/>
    <m/>
    <m/>
    <n v="0.61604296022822624"/>
    <n v="475.39818191715204"/>
    <n v="3.6957433424197945E-2"/>
    <n v="12863.398181917151"/>
    <n v="12.137825921288822"/>
    <x v="1"/>
    <n v="3.9999999999999996"/>
    <x v="0"/>
    <n v="0.84899999999999998"/>
    <n v="15177.573"/>
    <n v="0.82499999999999996"/>
    <n v="12097.594866388798"/>
    <n v="10234.596610091992"/>
    <s v=""/>
    <n v="9945.2793914321483"/>
    <n v="10234.596610091992"/>
    <n v="10220.099999999999"/>
    <n v="10612.303500081649"/>
    <n v="0.69920951789074903"/>
    <m/>
  </r>
  <r>
    <s v="Okanagan Sockeye"/>
    <s v="1990s"/>
    <x v="19"/>
    <n v="1994"/>
    <x v="19"/>
    <n v="19094"/>
    <n v="17877"/>
    <n v="18371"/>
    <n v="12388"/>
    <n v="0.67432366229383267"/>
    <n v="14249.228346747701"/>
    <n v="12054.884110826846"/>
    <m/>
    <m/>
    <n v="0.61604296022822624"/>
    <n v="475.39818191715204"/>
    <n v="3.6957433424197945E-2"/>
    <n v="12863.398181917151"/>
    <n v="12.137825921288822"/>
    <x v="2"/>
    <n v="5"/>
    <x v="0"/>
    <n v="0"/>
    <n v="0"/>
    <n v="8.3000000000000004E-2"/>
    <n v="0"/>
    <n v="0"/>
    <s v=""/>
    <n v="1000.5553811986283"/>
    <n v="0"/>
    <n v="1028.204"/>
    <n v="1067.6620490991236"/>
    <n v="0"/>
    <m/>
  </r>
  <r>
    <s v="Okanagan Sockeye"/>
    <s v="1990s"/>
    <x v="19"/>
    <n v="1995"/>
    <x v="21"/>
    <n v="19094"/>
    <n v="17877"/>
    <n v="18371"/>
    <n v="12388"/>
    <n v="0.67432366229383267"/>
    <n v="14249.228346747701"/>
    <n v="12054.884110826846"/>
    <m/>
    <m/>
    <n v="0.61604296022822624"/>
    <n v="475.39818191715204"/>
    <n v="3.6957433424197945E-2"/>
    <n v="12863.398181917151"/>
    <n v="12.137825921288822"/>
    <x v="3"/>
    <n v="4.0000000000000009"/>
    <x v="1"/>
    <n v="3.7999999999999999E-2"/>
    <n v="679.32600000000002"/>
    <n v="2.3E-2"/>
    <n v="541.47067717641266"/>
    <n v="458.08559621142012"/>
    <s v=""/>
    <n v="277.26233454901745"/>
    <n v="458.08559621142012"/>
    <n v="284.92399999999998"/>
    <n v="295.85815818409446"/>
    <n v="0.43551720114362535"/>
    <m/>
  </r>
  <r>
    <s v="Okanagan Sockeye"/>
    <s v="1990s"/>
    <x v="19"/>
    <n v="1994"/>
    <x v="20"/>
    <n v="19094"/>
    <n v="17877"/>
    <n v="18371"/>
    <n v="12388"/>
    <n v="0.67432366229383267"/>
    <n v="14249.228346747701"/>
    <n v="12054.884110826846"/>
    <m/>
    <m/>
    <n v="0.61604296022822624"/>
    <n v="475.39818191715204"/>
    <n v="3.6957433424197945E-2"/>
    <n v="12863.398181917151"/>
    <n v="12.137825921288822"/>
    <x v="4"/>
    <n v="5.0000000000000018"/>
    <x v="1"/>
    <n v="0"/>
    <n v="0"/>
    <n v="1.6E-2"/>
    <n v="0"/>
    <n v="0"/>
    <s v=""/>
    <n v="192.87814577322953"/>
    <n v="0"/>
    <n v="198.208"/>
    <n v="205.81437091067443"/>
    <n v="0"/>
    <m/>
  </r>
  <r>
    <s v="Okanagan Sockeye"/>
    <s v="1990s"/>
    <x v="20"/>
    <n v="1997"/>
    <x v="22"/>
    <n v="93764"/>
    <n v="93398"/>
    <n v="76512"/>
    <n v="59944"/>
    <n v="0.78345880384776245"/>
    <n v="77438.414717812848"/>
    <n v="73173.485361773317"/>
    <n v="0.55000000000000004"/>
    <n v="51368.9"/>
    <n v="0.57122208184329426"/>
    <n v="2566.6110414052696"/>
    <n v="4.105880583546398E-2"/>
    <n v="62510.611041405267"/>
    <n v="10949.620242576333"/>
    <x v="0"/>
    <n v="3.0000000000000009"/>
    <x v="0"/>
    <n v="0.13"/>
    <n v="12141.74"/>
    <n v="7.1999999999999995E-2"/>
    <n v="10066.993913315671"/>
    <n v="9512.5530970305317"/>
    <n v="6677.9570000000003"/>
    <n v="5268.4909460476783"/>
    <n v="9512.5530970305317"/>
    <n v="4315.9679999999998"/>
    <n v="4500.7639949811792"/>
    <n v="0.37068525557137438"/>
    <s v="SIRE = Fryer &amp; Kelsey 2001 (CRITFC 01-2), but FRYER may be Sp/Grd? [hs 10/21/2020]"/>
  </r>
  <r>
    <s v="Okanagan Sockeye"/>
    <s v="1990s"/>
    <x v="20"/>
    <n v="1996"/>
    <x v="21"/>
    <n v="93764"/>
    <n v="93398"/>
    <n v="76512"/>
    <n v="59944"/>
    <n v="0.78345880384776245"/>
    <n v="77438.414717812848"/>
    <n v="73173.485361773317"/>
    <n v="0.55000000000000004"/>
    <n v="51368.9"/>
    <n v="0.57122208184329426"/>
    <n v="2566.6110414052696"/>
    <n v="4.105880583546398E-2"/>
    <n v="62510.611041405267"/>
    <n v="10949.620242576333"/>
    <x v="1"/>
    <n v="3.9999999999999996"/>
    <x v="0"/>
    <n v="0.84"/>
    <n v="78454.319999999992"/>
    <n v="0.874"/>
    <n v="65048.268362962786"/>
    <n v="61465.727703889585"/>
    <n v="43149.875999999997"/>
    <n v="63953.626206189881"/>
    <n v="61465.727703889585"/>
    <n v="52391.055999999997"/>
    <n v="54634.274050188207"/>
    <n v="0.69638324632968862"/>
    <s v="SIRE = Fryer &amp; Kelsey 2001 (CRITFC 01-2) (Wells Dam, Table 3)"/>
  </r>
  <r>
    <s v="Okanagan Sockeye"/>
    <s v="1990s"/>
    <x v="20"/>
    <n v="1995"/>
    <x v="20"/>
    <n v="93764"/>
    <n v="93398"/>
    <n v="76512"/>
    <n v="59944"/>
    <n v="0.78345880384776245"/>
    <n v="77438.414717812848"/>
    <n v="73173.485361773317"/>
    <n v="0.55000000000000004"/>
    <n v="51368.9"/>
    <n v="0.57122208184329426"/>
    <n v="2566.6110414052696"/>
    <n v="4.105880583546398E-2"/>
    <n v="62510.611041405267"/>
    <n v="10949.620242576333"/>
    <x v="2"/>
    <n v="5"/>
    <x v="0"/>
    <n v="0.01"/>
    <n v="933.98"/>
    <n v="3.5999999999999997E-2"/>
    <n v="774.3841471781285"/>
    <n v="731.73485361773317"/>
    <n v="513.68900000000008"/>
    <n v="2634.2454730238392"/>
    <n v="731.73485361773317"/>
    <n v="2157.9839999999999"/>
    <n v="2250.3819974905896"/>
    <n v="2.4094541612139335"/>
    <s v="SIRE = Fryer &amp; Kelsey 2001 (CRITFC 01-2) (Wells Dam, Table 3)"/>
  </r>
  <r>
    <s v="Okanagan Sockeye"/>
    <s v="1990s"/>
    <x v="20"/>
    <n v="1996"/>
    <x v="22"/>
    <n v="93764"/>
    <n v="93398"/>
    <n v="76512"/>
    <n v="59944"/>
    <n v="0.78345880384776245"/>
    <n v="77438.414717812848"/>
    <n v="73173.485361773317"/>
    <n v="0.55000000000000004"/>
    <n v="51368.9"/>
    <n v="0.57122208184329426"/>
    <n v="2566.6110414052696"/>
    <n v="4.105880583546398E-2"/>
    <n v="62510.611041405267"/>
    <n v="10949.620242576333"/>
    <x v="3"/>
    <n v="4.0000000000000009"/>
    <x v="1"/>
    <n v="0.01"/>
    <n v="933.98"/>
    <n v="1E-3"/>
    <n v="774.3841471781285"/>
    <n v="731.73485361773317"/>
    <n v="513.68900000000008"/>
    <n v="73.173485361773317"/>
    <n v="731.73485361773317"/>
    <n v="59.944000000000003"/>
    <n v="62.510611041405269"/>
    <n v="6.6929282255942593E-2"/>
    <s v="SIRE = Fryer &amp; Kelsey 2001 (CRITFC 01-2) (Wells Dam, Table 3)"/>
  </r>
  <r>
    <s v="Okanagan Sockeye"/>
    <s v="1990s"/>
    <x v="20"/>
    <n v="1995"/>
    <x v="21"/>
    <n v="93764"/>
    <n v="93398"/>
    <n v="76512"/>
    <n v="59944"/>
    <n v="0.78345880384776245"/>
    <n v="77438.414717812848"/>
    <n v="73173.485361773317"/>
    <n v="0.55000000000000004"/>
    <n v="51368.9"/>
    <n v="0.57122208184329426"/>
    <n v="2566.6110414052696"/>
    <n v="4.105880583546398E-2"/>
    <n v="62510.611041405267"/>
    <n v="10949.620242576333"/>
    <x v="4"/>
    <n v="5.0000000000000018"/>
    <x v="1"/>
    <n v="0.01"/>
    <n v="933.98"/>
    <n v="1.7000000000000001E-2"/>
    <n v="774.3841471781285"/>
    <n v="731.73485361773317"/>
    <n v="513.68900000000008"/>
    <n v="1243.9492511501464"/>
    <n v="731.73485361773317"/>
    <n v="1019.0480000000001"/>
    <n v="1062.6803877038897"/>
    <n v="1.1377977983510243"/>
    <s v="SIRE = Fryer &amp; Kelsey 2001 (CRITFC 01-2) (Wells Dam, Table 3)"/>
  </r>
  <r>
    <s v="Okanagan Sockeye"/>
    <s v="2000s"/>
    <x v="21"/>
    <n v="1998"/>
    <x v="23"/>
    <n v="117879"/>
    <n v="114934"/>
    <n v="104840"/>
    <n v="74486"/>
    <n v="0.7104731018695154"/>
    <n v="92986.128583884944"/>
    <n v="81657.515490270889"/>
    <n v="0.56000000000000005"/>
    <n v="64363.040000000008"/>
    <n v="0.56396714636226009"/>
    <n v="6387.8636589088128"/>
    <n v="7.8985513612284869E-2"/>
    <n v="80873.863658908813"/>
    <n v="2875.9951163677906"/>
    <x v="0"/>
    <n v="3.0000000000000009"/>
    <x v="0"/>
    <n v="2.5999999999999999E-2"/>
    <n v="2988.2839999999997"/>
    <n v="3.3000000000000002E-2"/>
    <n v="3068.5422432682035"/>
    <n v="2123.095402747043"/>
    <n v="1673.4390400000002"/>
    <n v="2694.6980111789394"/>
    <n v="2694.6980111789394"/>
    <n v="2458.038"/>
    <n v="2668.8375007439909"/>
    <n v="0.89310035483374106"/>
    <s v="SIRE = spawning grounds; Wells = 0.031 CRITFC 02_02 Table 3"/>
  </r>
  <r>
    <s v="Okanagan Sockeye"/>
    <s v="1990s"/>
    <x v="21"/>
    <n v="1997"/>
    <x v="22"/>
    <n v="117879"/>
    <n v="114934"/>
    <n v="104840"/>
    <n v="74486"/>
    <n v="0.7104731018695154"/>
    <n v="92986.128583884944"/>
    <n v="81657.515490270889"/>
    <n v="0.56000000000000005"/>
    <n v="64363.040000000008"/>
    <n v="0.56396714636226009"/>
    <n v="6387.8636589088128"/>
    <n v="7.8985513612284869E-2"/>
    <n v="80873.863658908813"/>
    <n v="2875.9951163677906"/>
    <x v="1"/>
    <n v="3.9999999999999996"/>
    <x v="0"/>
    <n v="0.94599999999999995"/>
    <n v="108727.564"/>
    <n v="0.94399999999999995"/>
    <n v="87778.905383187375"/>
    <n v="77248.009653796253"/>
    <n v="60887.435840000006"/>
    <n v="77084.694622815718"/>
    <n v="77084.694622815718"/>
    <n v="70314.784"/>
    <n v="76344.927294009918"/>
    <n v="0.70216718268432754"/>
    <s v="spawning grounds; Wells = 0.940"/>
  </r>
  <r>
    <s v="Okanagan Sockeye"/>
    <s v="1990s"/>
    <x v="21"/>
    <n v="1996"/>
    <x v="21"/>
    <n v="117879"/>
    <n v="114934"/>
    <n v="104840"/>
    <n v="74486"/>
    <n v="0.7104731018695154"/>
    <n v="92986.128583884944"/>
    <n v="81657.515490270889"/>
    <n v="0.56000000000000005"/>
    <n v="64363.040000000008"/>
    <n v="0.56396714636226009"/>
    <n v="6387.8636589088128"/>
    <n v="7.8985513612284869E-2"/>
    <n v="80873.863658908813"/>
    <n v="2875.9951163677906"/>
    <x v="2"/>
    <n v="5"/>
    <x v="0"/>
    <n v="0.02"/>
    <n v="2298.6799999999998"/>
    <n v="2.1999999999999999E-2"/>
    <n v="2045.6948288454687"/>
    <n v="1633.1503098054179"/>
    <n v="1287.2608000000002"/>
    <n v="1796.4653407859594"/>
    <n v="1796.4653407859594"/>
    <n v="1638.692"/>
    <n v="1779.2250004959938"/>
    <n v="0.77402030752257556"/>
    <s v="spawning grounds; Wells = 0.020"/>
  </r>
  <r>
    <s v="Okanagan Sockeye"/>
    <s v="2000s"/>
    <x v="21"/>
    <n v="1997"/>
    <x v="23"/>
    <n v="117879"/>
    <n v="114934"/>
    <n v="104840"/>
    <n v="74486"/>
    <n v="0.7104731018695154"/>
    <n v="92986.128583884944"/>
    <n v="81657.515490270889"/>
    <n v="0.56000000000000005"/>
    <n v="64363.040000000008"/>
    <n v="0.56396714636226009"/>
    <n v="6387.8636589088128"/>
    <n v="7.8985513612284869E-2"/>
    <n v="80873.863658908813"/>
    <n v="2875.9951163677906"/>
    <x v="3"/>
    <n v="4.0000000000000009"/>
    <x v="1"/>
    <n v="3.0000000000000001E-3"/>
    <n v="344.80200000000002"/>
    <n v="4.8999999999999998E-4"/>
    <n v="45.56320300610362"/>
    <n v="244.97254647081266"/>
    <n v="193.08912000000004"/>
    <n v="40.012182590232733"/>
    <n v="40.012182590232733"/>
    <n v="36.498139999999999"/>
    <n v="39.628193192865318"/>
    <n v="0.11493028808668544"/>
    <s v="spawning grounds; Wells = 0.006"/>
  </r>
  <r>
    <s v="Okanagan Sockeye"/>
    <s v="1990s"/>
    <x v="21"/>
    <n v="1996"/>
    <x v="22"/>
    <n v="117879"/>
    <n v="114934"/>
    <n v="104840"/>
    <n v="74486"/>
    <n v="0.7104731018695154"/>
    <n v="92986.128583884944"/>
    <n v="81657.515490270889"/>
    <n v="0.56000000000000005"/>
    <n v="64363.040000000008"/>
    <n v="0.56396714636226009"/>
    <n v="6387.8636589088128"/>
    <n v="7.8985513612284869E-2"/>
    <n v="80873.863658908813"/>
    <n v="2875.9951163677906"/>
    <x v="4"/>
    <n v="5.0000000000000018"/>
    <x v="1"/>
    <n v="3.0000000000000001E-3"/>
    <n v="344.80200000000002"/>
    <n v="4.8999999999999998E-4"/>
    <n v="45.56320300610362"/>
    <n v="244.97254647081266"/>
    <n v="193.08912000000004"/>
    <n v="40.012182590232733"/>
    <n v="40.012182590232733"/>
    <n v="36.498139999999999"/>
    <n v="39.628193192865318"/>
    <n v="0.11493028808668544"/>
    <s v="spawning grounds; Wells = 0.003"/>
  </r>
  <r>
    <s v="Okanagan Sockeye"/>
    <s v="2000s"/>
    <x v="22"/>
    <n v="1999"/>
    <x v="24"/>
    <n v="50557"/>
    <n v="49610"/>
    <n v="44320"/>
    <n v="10659"/>
    <n v="0.24050090252707582"/>
    <n v="13083.795990567603"/>
    <n v="11931.249774368231"/>
    <n v="0.27"/>
    <n v="13394.7"/>
    <n v="0.1933884297520661"/>
    <n v="622.41633574007221"/>
    <n v="5.5171825701372905E-2"/>
    <n v="11281.416335740072"/>
    <n v="877.58779332129961"/>
    <x v="0"/>
    <n v="3.0000000000000009"/>
    <x v="0"/>
    <n v="0.02"/>
    <n v="992.2"/>
    <n v="9.0999999999999998E-2"/>
    <n v="261.67591981135206"/>
    <n v="238.62499548736463"/>
    <n v="267.89400000000001"/>
    <n v="1085.743729467509"/>
    <n v="238.62499548736463"/>
    <n v="969.96899999999994"/>
    <n v="1026.6088865523466"/>
    <n v="1.0346793857612846"/>
    <s v="Use Fryer; SIRE = spawning grounds no 53s; Wells = 0.015"/>
  </r>
  <r>
    <s v="Okanagan Sockeye"/>
    <s v="2000s"/>
    <x v="22"/>
    <n v="1998"/>
    <x v="23"/>
    <n v="50557"/>
    <n v="49610"/>
    <n v="44320"/>
    <n v="10659"/>
    <n v="0.24050090252707582"/>
    <n v="13083.795990567603"/>
    <n v="11931.249774368231"/>
    <n v="0.27"/>
    <n v="13394.7"/>
    <n v="0.1933884297520661"/>
    <n v="622.41633574007221"/>
    <n v="5.5171825701372905E-2"/>
    <n v="11281.416335740072"/>
    <n v="877.58779332129961"/>
    <x v="1"/>
    <n v="3.9999999999999996"/>
    <x v="0"/>
    <n v="0.497"/>
    <n v="24656.17"/>
    <n v="0.55400000000000005"/>
    <n v="6502.6466073120991"/>
    <n v="5929.8311378610106"/>
    <n v="6657.1659"/>
    <n v="6609.9123750000008"/>
    <n v="5929.8311378610106"/>
    <n v="5905.0860000000002"/>
    <n v="6249.9046500000004"/>
    <n v="0.2534823798667839"/>
    <s v="Use Fryer; SIRE = spawning grounds no 53s; Wells = 0.441"/>
  </r>
  <r>
    <s v="Okanagan Sockeye"/>
    <s v="1990s"/>
    <x v="22"/>
    <n v="1997"/>
    <x v="22"/>
    <n v="50557"/>
    <n v="49610"/>
    <n v="44320"/>
    <n v="10659"/>
    <n v="0.24050090252707582"/>
    <n v="13083.795990567603"/>
    <n v="11931.249774368231"/>
    <n v="0.27"/>
    <n v="13394.7"/>
    <n v="0.1933884297520661"/>
    <n v="622.41633574007221"/>
    <n v="5.5171825701372905E-2"/>
    <n v="11281.416335740072"/>
    <n v="877.58779332129961"/>
    <x v="2"/>
    <n v="5"/>
    <x v="0"/>
    <n v="0.14799999999999999"/>
    <n v="7342.28"/>
    <n v="0.35399999999999998"/>
    <n v="1936.4018066040053"/>
    <n v="1765.824966606498"/>
    <n v="1982.4156"/>
    <n v="4223.662420126353"/>
    <n v="1765.824966606498"/>
    <n v="3773.2859999999996"/>
    <n v="3993.6213828519853"/>
    <n v="0.54392115022199994"/>
    <s v="Use Fryer; SIRE = spawning grounds no 53s; Wells = 0.160"/>
  </r>
  <r>
    <s v="Okanagan Sockeye"/>
    <s v="2000s"/>
    <x v="22"/>
    <n v="1998"/>
    <x v="24"/>
    <n v="50557"/>
    <n v="49610"/>
    <n v="44320"/>
    <n v="10659"/>
    <n v="0.24050090252707582"/>
    <n v="13083.795990567603"/>
    <n v="11931.249774368231"/>
    <n v="0.27"/>
    <n v="13394.7"/>
    <n v="0.1933884297520661"/>
    <n v="622.41633574007221"/>
    <n v="5.5171825701372905E-2"/>
    <n v="11281.416335740072"/>
    <n v="877.58779332129961"/>
    <x v="3"/>
    <n v="4.0000000000000009"/>
    <x v="1"/>
    <n v="1.2999999999999999E-2"/>
    <n v="644.92999999999995"/>
    <n v="0"/>
    <n v="170.08934787737883"/>
    <n v="155.10624706678698"/>
    <n v="174.1311"/>
    <n v="0"/>
    <n v="155.10624706678698"/>
    <n v="0"/>
    <n v="0"/>
    <n v="0"/>
    <s v="Use Fryer; SIRE = spawning grounds no 53s; Wells = 0.015"/>
  </r>
  <r>
    <s v="Okanagan Sockeye"/>
    <s v="2000s"/>
    <x v="22"/>
    <n v="1997"/>
    <x v="23"/>
    <n v="50557"/>
    <n v="49610"/>
    <n v="44320"/>
    <n v="10659"/>
    <n v="0.24050090252707582"/>
    <n v="13083.795990567603"/>
    <n v="11931.249774368231"/>
    <n v="0.27"/>
    <n v="13394.7"/>
    <n v="0.1933884297520661"/>
    <n v="622.41633574007221"/>
    <n v="5.5171825701372905E-2"/>
    <n v="11281.416335740072"/>
    <n v="877.58779332129961"/>
    <x v="4"/>
    <n v="5.0000000000000018"/>
    <x v="1"/>
    <n v="0.221"/>
    <n v="10963.81"/>
    <n v="0"/>
    <n v="2891.5189139154404"/>
    <n v="2636.8062001353792"/>
    <n v="2960.2287000000001"/>
    <n v="0"/>
    <n v="2636.8062001353792"/>
    <n v="0"/>
    <n v="0"/>
    <n v="0"/>
    <s v="Use Fryer; SIRE = spawning grounds no 53s; Wells = 0.236"/>
  </r>
  <r>
    <s v="Okanagan Sockeye"/>
    <s v="1990s"/>
    <x v="22"/>
    <n v="1996"/>
    <x v="22"/>
    <n v="50557"/>
    <n v="49610"/>
    <n v="44320"/>
    <n v="10659"/>
    <n v="0.24050090252707582"/>
    <n v="13083.795990567603"/>
    <n v="11931.249774368231"/>
    <n v="0.27"/>
    <n v="13394.7"/>
    <n v="0.1933884297520661"/>
    <n v="622.41633574007221"/>
    <n v="5.5171825701372905E-2"/>
    <n v="11281.416335740072"/>
    <n v="877.58779332129961"/>
    <x v="5"/>
    <n v="5.9999999999999982"/>
    <x v="1"/>
    <n v="0.10100000000000001"/>
    <n v="5010.6100000000006"/>
    <m/>
    <n v="1321.463395047328"/>
    <n v="1205.0562272111913"/>
    <n v="1352.8647000000001"/>
    <n v="0"/>
    <n v="1205.0562272111913"/>
    <m/>
    <m/>
    <m/>
    <m/>
  </r>
  <r>
    <s v="Okanagan Sockeye"/>
    <s v="2000s"/>
    <x v="23"/>
    <n v="2000"/>
    <x v="25"/>
    <n v="39291"/>
    <n v="39291"/>
    <n v="34779"/>
    <n v="29374"/>
    <n v="0.84459012622559593"/>
    <n v="37214.603804611907"/>
    <n v="33184.790649529888"/>
    <n v="0.84000000000000008"/>
    <n v="33004.44"/>
    <n v="0.62823547377261968"/>
    <n v="920.60323758589959"/>
    <n v="3.0388357634726366E-2"/>
    <n v="30294.603237585899"/>
    <n v="2890.187411943989"/>
    <x v="0"/>
    <n v="3.0000000000000009"/>
    <x v="0"/>
    <n v="0.27400000000000002"/>
    <n v="10765.734"/>
    <n v="0.27"/>
    <n v="10196.801442463664"/>
    <n v="9092.63263797119"/>
    <n v="9043.2165600000008"/>
    <n v="8959.89347537307"/>
    <n v="9092.63263797119"/>
    <n v="7930.9800000000005"/>
    <n v="8179.5428741481937"/>
    <n v="0.7597756803343082"/>
    <s v="SIRE = Broodstock (hatchery highgrading?), use Fryer"/>
  </r>
  <r>
    <s v="Okanagan Sockeye"/>
    <s v="2000s"/>
    <x v="23"/>
    <n v="1999"/>
    <x v="24"/>
    <n v="39291"/>
    <n v="39291"/>
    <n v="34779"/>
    <n v="29374"/>
    <n v="0.84459012622559593"/>
    <n v="37214.603804611907"/>
    <n v="33184.790649529888"/>
    <n v="0.84000000000000008"/>
    <n v="33004.44"/>
    <n v="0.62823547377261968"/>
    <n v="920.60323758589959"/>
    <n v="3.0388357634726366E-2"/>
    <n v="30294.603237585899"/>
    <n v="2890.187411943989"/>
    <x v="1"/>
    <n v="3.9999999999999996"/>
    <x v="0"/>
    <n v="0.49"/>
    <n v="19252.59"/>
    <n v="0.51700000000000002"/>
    <n v="18235.155864259836"/>
    <n v="16260.547418269645"/>
    <n v="16172.1756"/>
    <n v="17156.536765806952"/>
    <n v="16260.547418269645"/>
    <n v="15186.358"/>
    <n v="15662.309873831911"/>
    <n v="0.81351703193346514"/>
    <m/>
  </r>
  <r>
    <s v="Okanagan Sockeye"/>
    <s v="2000s"/>
    <x v="23"/>
    <n v="1998"/>
    <x v="23"/>
    <n v="39291"/>
    <n v="39291"/>
    <n v="34779"/>
    <n v="29374"/>
    <n v="0.84459012622559593"/>
    <n v="37214.603804611907"/>
    <n v="33184.790649529888"/>
    <n v="0.84000000000000008"/>
    <n v="33004.44"/>
    <n v="0.62823547377261968"/>
    <n v="920.60323758589959"/>
    <n v="3.0388357634726366E-2"/>
    <n v="30294.603237585899"/>
    <n v="2890.187411943989"/>
    <x v="2"/>
    <n v="5"/>
    <x v="0"/>
    <n v="1.9E-2"/>
    <n v="746.529"/>
    <n v="0.125"/>
    <n v="707.07747228762616"/>
    <n v="630.51102234106781"/>
    <n v="627.08436000000006"/>
    <n v="4148.0988311912361"/>
    <n v="630.51102234106781"/>
    <n v="3671.75"/>
    <n v="3786.8254046982374"/>
    <n v="5.0725764232846116"/>
    <s v="Fryer age 1.3 comp (0.4%) is quite low relative to spawning ground data; Fryer age comp only adds up to 98.5%, so adding 1.5% to age 1.3 composition [2022-10-30]"/>
  </r>
  <r>
    <s v="Okanagan Sockeye"/>
    <s v="2000s"/>
    <x v="23"/>
    <n v="1999"/>
    <x v="25"/>
    <n v="39291"/>
    <n v="39291"/>
    <n v="34779"/>
    <n v="29374"/>
    <n v="0.84459012622559593"/>
    <n v="37214.603804611907"/>
    <n v="33184.790649529888"/>
    <n v="0.84000000000000008"/>
    <n v="33004.44"/>
    <n v="0.62823547377261968"/>
    <n v="920.60323758589959"/>
    <n v="3.0388357634726366E-2"/>
    <n v="30294.603237585899"/>
    <n v="2890.187411943989"/>
    <x v="3"/>
    <n v="4.0000000000000009"/>
    <x v="1"/>
    <n v="5.2999999999999999E-2"/>
    <n v="2082.4229999999998"/>
    <n v="5.0999999999999997E-2"/>
    <n v="1972.374001644431"/>
    <n v="1758.7939044250841"/>
    <n v="1749.23532"/>
    <n v="1692.4243231260241"/>
    <n v="1758.7939044250841"/>
    <n v="1498.0739999999998"/>
    <n v="1545.0247651168809"/>
    <n v="0.74193608364721342"/>
    <m/>
  </r>
  <r>
    <s v="Okanagan Sockeye"/>
    <s v="2000s"/>
    <x v="23"/>
    <n v="1998"/>
    <x v="24"/>
    <n v="39291"/>
    <n v="39291"/>
    <n v="34779"/>
    <n v="29374"/>
    <n v="0.84459012622559593"/>
    <n v="37214.603804611907"/>
    <n v="33184.790649529888"/>
    <n v="0.84000000000000008"/>
    <n v="33004.44"/>
    <n v="0.62823547377261968"/>
    <n v="920.60323758589959"/>
    <n v="3.0388357634726366E-2"/>
    <n v="30294.603237585899"/>
    <n v="2890.187411943989"/>
    <x v="4"/>
    <n v="5.0000000000000018"/>
    <x v="1"/>
    <n v="8.0000000000000002E-3"/>
    <n v="314.32800000000003"/>
    <n v="0"/>
    <n v="297.71683043689524"/>
    <n v="265.4783251962391"/>
    <n v="264.03552000000002"/>
    <n v="0"/>
    <n v="265.4783251962391"/>
    <n v="0"/>
    <n v="0"/>
    <n v="0"/>
    <m/>
  </r>
  <r>
    <s v="Okanagan Sockeye"/>
    <s v="2000s"/>
    <x v="23"/>
    <n v="1997"/>
    <x v="23"/>
    <n v="39291"/>
    <n v="39291"/>
    <n v="34779"/>
    <n v="29374"/>
    <n v="0.84459012622559593"/>
    <n v="37214.603804611907"/>
    <n v="33184.790649529888"/>
    <n v="0.84000000000000008"/>
    <n v="33004.44"/>
    <n v="0.62823547377261968"/>
    <n v="920.60323758589959"/>
    <n v="3.0388357634726366E-2"/>
    <n v="30294.603237585899"/>
    <n v="2890.187411943989"/>
    <x v="5"/>
    <n v="5.9999999999999982"/>
    <x v="1"/>
    <n v="8.9999999999999993E-3"/>
    <n v="353.61899999999997"/>
    <m/>
    <n v="334.93143424150713"/>
    <n v="298.66311584576897"/>
    <n v="297.03996000000001"/>
    <n v="0"/>
    <n v="298.66311584576897"/>
    <n v="0"/>
    <n v="0"/>
    <n v="0"/>
    <s v="check age comp for 2003 with Jeff? DONE [10/21/2020]"/>
  </r>
  <r>
    <s v="Okanagan Sockeye"/>
    <s v="2000s"/>
    <x v="23"/>
    <n v="1998"/>
    <x v="25"/>
    <n v="39291"/>
    <n v="39291"/>
    <n v="34779"/>
    <n v="29374"/>
    <n v="0.84459012622559593"/>
    <n v="37214.603804611907"/>
    <n v="33184.790649529888"/>
    <n v="0.84000000000000008"/>
    <n v="33004.44"/>
    <n v="0.62823547377261968"/>
    <n v="920.60323758589959"/>
    <n v="3.0388357634726366E-2"/>
    <n v="30294.603237585899"/>
    <n v="2890.187411943989"/>
    <x v="6"/>
    <n v="5.0000000000000009"/>
    <x v="2"/>
    <n v="6.9999999999999993E-2"/>
    <n v="2750.37"/>
    <m/>
    <n v="2605.0222663228333"/>
    <n v="2322.9353454670918"/>
    <n v="2310.3107999999997"/>
    <n v="0"/>
    <n v="2322.9353454670918"/>
    <n v="0"/>
    <n v="0"/>
    <n v="0"/>
    <m/>
  </r>
  <r>
    <s v="Okanagan Sockeye"/>
    <s v="2000s"/>
    <x v="23"/>
    <n v="1997"/>
    <x v="24"/>
    <n v="39291"/>
    <n v="39291"/>
    <n v="34779"/>
    <n v="29374"/>
    <n v="0.84459012622559593"/>
    <n v="37214.603804611907"/>
    <n v="33184.790649529888"/>
    <n v="0.84000000000000008"/>
    <n v="33004.44"/>
    <n v="0.62823547377261968"/>
    <n v="920.60323758589959"/>
    <n v="3.0388357634726366E-2"/>
    <n v="30294.603237585899"/>
    <n v="2890.187411943989"/>
    <x v="7"/>
    <n v="6.0000000000000018"/>
    <x v="2"/>
    <n v="2.8000000000000001E-2"/>
    <n v="1100.1479999999999"/>
    <m/>
    <n v="1042.0089065291334"/>
    <n v="929.1741381868369"/>
    <n v="924.12432000000013"/>
    <n v="0"/>
    <n v="929.1741381868369"/>
    <m/>
    <n v="0"/>
    <m/>
    <s v="a lot of older fish"/>
  </r>
  <r>
    <s v="Okanagan Sockeye"/>
    <s v="2000s"/>
    <x v="23"/>
    <n v="1996"/>
    <x v="23"/>
    <n v="39291"/>
    <n v="39291"/>
    <n v="34779"/>
    <n v="29374"/>
    <n v="0.84459012622559593"/>
    <n v="37214.603804611907"/>
    <n v="33184.790649529888"/>
    <n v="0.84000000000000008"/>
    <n v="33004.44"/>
    <n v="0.62823547377261968"/>
    <n v="920.60323758589959"/>
    <n v="3.0388357634726366E-2"/>
    <n v="30294.603237585899"/>
    <n v="2890.187411943989"/>
    <x v="8"/>
    <n v="6.9999999999999982"/>
    <x v="2"/>
    <n v="1E-3"/>
    <n v="39.291000000000004"/>
    <m/>
    <n v="37.214603804611905"/>
    <n v="33.184790649529887"/>
    <n v="33.004440000000002"/>
    <n v="0"/>
    <n v="33.184790649529887"/>
    <m/>
    <n v="0"/>
    <m/>
    <m/>
  </r>
  <r>
    <s v="Okanagan Sockeye"/>
    <s v="2000s"/>
    <x v="23"/>
    <n v="1997"/>
    <x v="25"/>
    <n v="39291"/>
    <n v="39291"/>
    <n v="34779"/>
    <n v="29374"/>
    <n v="0.84459012622559593"/>
    <n v="37214.603804611907"/>
    <n v="33184.790649529888"/>
    <n v="0.84000000000000008"/>
    <n v="33004.44"/>
    <n v="0.62823547377261968"/>
    <n v="920.60323758589959"/>
    <n v="3.0388357634726366E-2"/>
    <n v="30294.603237585899"/>
    <n v="2890.187411943989"/>
    <x v="9"/>
    <n v="5.9999999999999964"/>
    <x v="3"/>
    <n v="4.8000000000000001E-2"/>
    <n v="1885.9680000000001"/>
    <m/>
    <n v="1786.3009826213715"/>
    <n v="1592.8699511774346"/>
    <n v="1584.2131200000001"/>
    <n v="0"/>
    <n v="1592.8699511774346"/>
    <m/>
    <n v="0"/>
    <m/>
    <m/>
  </r>
  <r>
    <s v="Okanagan Sockeye"/>
    <s v="2000s"/>
    <x v="24"/>
    <n v="2001"/>
    <x v="26"/>
    <n v="130231"/>
    <n v="123291"/>
    <n v="106666"/>
    <n v="78053"/>
    <n v="0.73175144844655282"/>
    <n v="104587.2101876837"/>
    <n v="90218.367830423944"/>
    <n v="0.77000000000000013"/>
    <n v="94934.070000000022"/>
    <n v="0.52687544102975892"/>
    <n v="3658.0254907843178"/>
    <n v="4.4767832355706805E-2"/>
    <n v="81711.025490784319"/>
    <n v="13585.697391858703"/>
    <x v="0"/>
    <n v="3.0000000000000009"/>
    <x v="0"/>
    <n v="3.1E-2"/>
    <n v="3822.0210000000002"/>
    <n v="2.6365348399246705E-2"/>
    <n v="3242.2035158181948"/>
    <n v="2796.7694027431421"/>
    <n v="2942.9561700000008"/>
    <n v="2378.6386998605185"/>
    <n v="2796.7694027431421"/>
    <n v="2057.8945386064029"/>
    <n v="2154.3396551242572"/>
    <n v="0.56366504923030436"/>
    <s v="SIRE = broodstock?  Wells = 0.016, Use Fryer"/>
  </r>
  <r>
    <s v="Okanagan Sockeye"/>
    <s v="2000s"/>
    <x v="24"/>
    <n v="2000"/>
    <x v="25"/>
    <n v="130231"/>
    <n v="123291"/>
    <n v="106666"/>
    <n v="78053"/>
    <n v="0.73175144844655282"/>
    <n v="104587.2101876837"/>
    <n v="90218.367830423944"/>
    <n v="0.77000000000000013"/>
    <n v="94934.070000000022"/>
    <n v="0.52687544102975892"/>
    <n v="3658.0254907843178"/>
    <n v="4.4767832355706805E-2"/>
    <n v="81711.025490784319"/>
    <n v="13585.697391858703"/>
    <x v="1"/>
    <n v="3.9999999999999996"/>
    <x v="0"/>
    <n v="0.93400000000000005"/>
    <n v="115153.79400000001"/>
    <n v="0.95291902071563084"/>
    <n v="97684.454315296578"/>
    <n v="84263.955553615975"/>
    <n v="88668.421380000029"/>
    <n v="85970.798723530155"/>
    <n v="84263.955553615975"/>
    <n v="74378.188323917129"/>
    <n v="77863.990392348147"/>
    <n v="0.67617390350463091"/>
    <s v="broodstock; Wells = 0.951"/>
  </r>
  <r>
    <s v="Okanagan Sockeye"/>
    <s v="2000s"/>
    <x v="24"/>
    <n v="1999"/>
    <x v="24"/>
    <n v="130231"/>
    <n v="123291"/>
    <n v="106666"/>
    <n v="78053"/>
    <n v="0.73175144844655282"/>
    <n v="104587.2101876837"/>
    <n v="90218.367830423944"/>
    <n v="0.77000000000000013"/>
    <n v="94934.070000000022"/>
    <n v="0.52687544102975892"/>
    <n v="3658.0254907843178"/>
    <n v="4.4767832355706805E-2"/>
    <n v="81711.025490784319"/>
    <n v="13585.697391858703"/>
    <x v="2"/>
    <n v="5"/>
    <x v="0"/>
    <n v="0"/>
    <n v="0"/>
    <n v="1.8832391713747645E-2"/>
    <n v="0"/>
    <n v="0"/>
    <n v="0"/>
    <n v="1699.0276427575129"/>
    <n v="0"/>
    <n v="1469.9246704331449"/>
    <n v="1538.8140393744691"/>
    <n v="0"/>
    <s v="broodstock; Wells = na"/>
  </r>
  <r>
    <s v="Okanagan Sockeye"/>
    <s v="2000s"/>
    <x v="24"/>
    <n v="2000"/>
    <x v="26"/>
    <n v="130231"/>
    <n v="123291"/>
    <n v="106666"/>
    <n v="78053"/>
    <n v="0.73175144844655282"/>
    <n v="104587.2101876837"/>
    <n v="90218.367830423944"/>
    <n v="0.77000000000000013"/>
    <n v="94934.070000000022"/>
    <n v="0.52687544102975892"/>
    <n v="3658.0254907843178"/>
    <n v="4.4767832355706805E-2"/>
    <n v="81711.025490784319"/>
    <n v="13585.697391858703"/>
    <x v="3"/>
    <n v="4.0000000000000009"/>
    <x v="1"/>
    <n v="3.0000000000000001E-3"/>
    <n v="369.87299999999999"/>
    <n v="0"/>
    <n v="313.76163056305109"/>
    <n v="270.65510349127186"/>
    <n v="284.80221000000006"/>
    <n v="0"/>
    <n v="270.65510349127186"/>
    <n v="0"/>
    <n v="0"/>
    <n v="0"/>
    <s v="broodstock; Wells = 0.001"/>
  </r>
  <r>
    <s v="Okanagan Sockeye"/>
    <s v="2000s"/>
    <x v="24"/>
    <n v="1999"/>
    <x v="25"/>
    <n v="130231"/>
    <n v="123291"/>
    <n v="106666"/>
    <n v="78053"/>
    <n v="0.73175144844655282"/>
    <n v="104587.2101876837"/>
    <n v="90218.367830423944"/>
    <n v="0.77000000000000013"/>
    <n v="94934.070000000022"/>
    <n v="0.52687544102975892"/>
    <n v="3658.0254907843178"/>
    <n v="4.4767832355706805E-2"/>
    <n v="81711.025490784319"/>
    <n v="13585.697391858703"/>
    <x v="4"/>
    <n v="5.0000000000000018"/>
    <x v="1"/>
    <n v="1.4999999999999999E-2"/>
    <n v="1849.365"/>
    <n v="1.8832391713747645E-3"/>
    <n v="1568.8081528152554"/>
    <n v="1353.275517456359"/>
    <n v="1424.0110500000003"/>
    <n v="169.90276427575131"/>
    <n v="1353.275517456359"/>
    <n v="146.99246704331449"/>
    <n v="153.88140393744692"/>
    <n v="8.3207697743521117E-2"/>
    <s v="broodstock; Wells = 0.017"/>
  </r>
  <r>
    <s v="Okanagan Sockeye"/>
    <s v="2000s"/>
    <x v="24"/>
    <n v="1998"/>
    <x v="24"/>
    <n v="130231"/>
    <n v="123291"/>
    <n v="106666"/>
    <n v="78053"/>
    <n v="0.73175144844655282"/>
    <n v="104587.2101876837"/>
    <n v="90218.367830423944"/>
    <n v="0.77000000000000013"/>
    <n v="94934.070000000022"/>
    <n v="0.52687544102975892"/>
    <n v="3658.0254907843178"/>
    <n v="4.4767832355706805E-2"/>
    <n v="81711.025490784319"/>
    <n v="13585.697391858703"/>
    <x v="5"/>
    <n v="5.9999999999999982"/>
    <x v="1"/>
    <n v="0"/>
    <n v="0"/>
    <m/>
    <n v="0"/>
    <n v="0"/>
    <n v="0"/>
    <n v="0"/>
    <n v="0"/>
    <m/>
    <m/>
    <m/>
    <m/>
  </r>
  <r>
    <s v="Okanagan Sockeye"/>
    <s v="2000s"/>
    <x v="24"/>
    <n v="1999"/>
    <x v="26"/>
    <n v="130231"/>
    <n v="123291"/>
    <n v="106666"/>
    <n v="78053"/>
    <n v="0.73175144844655282"/>
    <n v="104587.2101876837"/>
    <n v="90218.367830423944"/>
    <n v="0.77000000000000013"/>
    <n v="94934.070000000022"/>
    <n v="0.52687544102975892"/>
    <n v="3658.0254907843178"/>
    <n v="4.4767832355706805E-2"/>
    <n v="81711.025490784319"/>
    <n v="13585.697391858703"/>
    <x v="6"/>
    <n v="5.0000000000000009"/>
    <x v="2"/>
    <n v="1.7999999999999999E-2"/>
    <n v="2219.2379999999998"/>
    <m/>
    <n v="1882.5697833783065"/>
    <n v="1623.9306209476308"/>
    <n v="1708.8132600000004"/>
    <n v="0"/>
    <n v="1623.9306209476308"/>
    <m/>
    <m/>
    <m/>
    <m/>
  </r>
  <r>
    <s v="Okanagan Sockeye"/>
    <s v="2000s"/>
    <x v="25"/>
    <n v="2002"/>
    <x v="27"/>
    <n v="77399"/>
    <n v="72971"/>
    <n v="71226"/>
    <n v="55559"/>
    <n v="0.78003818830202454"/>
    <n v="68544.360968030189"/>
    <n v="56920.166638587034"/>
    <n v="0.78000000000000014"/>
    <n v="56917.380000000012"/>
    <n v="0.64259774430938321"/>
    <n v="2160.7057815966082"/>
    <n v="3.7434455916536033E-2"/>
    <n v="57719.705781596611"/>
    <n v="2654.4699547917844"/>
    <x v="0"/>
    <n v="3.0000000000000009"/>
    <x v="0"/>
    <n v="1.4999999999999999E-2"/>
    <n v="1094.5650000000001"/>
    <n v="1.4999999999999999E-2"/>
    <n v="1028.1654145204527"/>
    <n v="853.80249957880551"/>
    <n v="853.76070000000016"/>
    <n v="853.80249957880551"/>
    <n v="853.80249957880551"/>
    <n v="833.38499999999999"/>
    <n v="865.7955867239491"/>
    <n v="0.7909951320606351"/>
    <s v="broodstock: Wells = 0.015"/>
  </r>
  <r>
    <s v="Okanagan Sockeye"/>
    <s v="2000s"/>
    <x v="25"/>
    <n v="2001"/>
    <x v="26"/>
    <n v="77399"/>
    <n v="72971"/>
    <n v="71226"/>
    <n v="55559"/>
    <n v="0.78003818830202454"/>
    <n v="68544.360968030189"/>
    <n v="56920.166638587034"/>
    <n v="0.78000000000000014"/>
    <n v="56917.380000000012"/>
    <n v="0.64259774430938321"/>
    <n v="2160.7057815966082"/>
    <n v="3.7434455916536033E-2"/>
    <n v="57719.705781596611"/>
    <n v="2654.4699547917844"/>
    <x v="1"/>
    <n v="3.9999999999999996"/>
    <x v="0"/>
    <n v="0.89100000000000001"/>
    <n v="65017.161"/>
    <n v="0.88700000000000001"/>
    <n v="61073.025622514899"/>
    <n v="50715.868474981049"/>
    <n v="50713.385580000009"/>
    <n v="50488.187808426701"/>
    <n v="50715.868474981049"/>
    <n v="49280.832999999999"/>
    <n v="51197.379028276191"/>
    <n v="0.78744408769672658"/>
    <s v="broodstock; Wells = 0.887"/>
  </r>
  <r>
    <s v="Okanagan Sockeye"/>
    <s v="2000s"/>
    <x v="25"/>
    <n v="2000"/>
    <x v="25"/>
    <n v="77399"/>
    <n v="72971"/>
    <n v="71226"/>
    <n v="55559"/>
    <n v="0.78003818830202454"/>
    <n v="68544.360968030189"/>
    <n v="56920.166638587034"/>
    <n v="0.78000000000000014"/>
    <n v="56917.380000000012"/>
    <n v="0.64259774430938321"/>
    <n v="2160.7057815966082"/>
    <n v="3.7434455916536033E-2"/>
    <n v="57719.705781596611"/>
    <n v="2654.4699547917844"/>
    <x v="2"/>
    <n v="5"/>
    <x v="0"/>
    <n v="3.9E-2"/>
    <n v="2845.8690000000001"/>
    <n v="3.9E-2"/>
    <n v="2673.2300777531773"/>
    <n v="2219.8864989048943"/>
    <n v="2219.7778200000002"/>
    <n v="2219.8864989048943"/>
    <n v="2219.8864989048943"/>
    <n v="2166.8009999999999"/>
    <n v="2251.0685254822679"/>
    <n v="0.79099513206063521"/>
    <s v="broodstock; Wells = 0.039"/>
  </r>
  <r>
    <s v="Okanagan Sockeye"/>
    <s v="2000s"/>
    <x v="25"/>
    <n v="2001"/>
    <x v="27"/>
    <n v="77399"/>
    <n v="72971"/>
    <n v="71226"/>
    <n v="55559"/>
    <n v="0.78003818830202454"/>
    <n v="68544.360968030189"/>
    <n v="56920.166638587034"/>
    <n v="0.78000000000000014"/>
    <n v="56917.380000000012"/>
    <n v="0.64259774430938321"/>
    <n v="2160.7057815966082"/>
    <n v="3.7434455916536033E-2"/>
    <n v="57719.705781596611"/>
    <n v="2654.4699547917844"/>
    <x v="3"/>
    <n v="4.0000000000000009"/>
    <x v="1"/>
    <n v="2.3E-2"/>
    <n v="1678.3330000000001"/>
    <n v="2.3E-2"/>
    <n v="1576.5203022646942"/>
    <n v="1309.1638326875018"/>
    <n v="1309.0997400000003"/>
    <n v="1309.1638326875018"/>
    <n v="1309.1638326875018"/>
    <n v="1277.857"/>
    <n v="1327.553232976722"/>
    <n v="0.7909951320606351"/>
    <s v="broodstock; Wells = 0.023"/>
  </r>
  <r>
    <s v="Okanagan Sockeye"/>
    <s v="2000s"/>
    <x v="25"/>
    <n v="2000"/>
    <x v="26"/>
    <n v="77399"/>
    <n v="72971"/>
    <n v="71226"/>
    <n v="55559"/>
    <n v="0.78003818830202454"/>
    <n v="68544.360968030189"/>
    <n v="56920.166638587034"/>
    <n v="0.78000000000000014"/>
    <n v="56917.380000000012"/>
    <n v="0.64259774430938321"/>
    <n v="2160.7057815966082"/>
    <n v="3.7434455916536033E-2"/>
    <n v="57719.705781596611"/>
    <n v="2654.4699547917844"/>
    <x v="4"/>
    <n v="5.0000000000000018"/>
    <x v="1"/>
    <n v="1.9E-2"/>
    <n v="1386.4490000000001"/>
    <n v="2.3E-2"/>
    <n v="1302.3428583925736"/>
    <n v="1081.4831661331536"/>
    <n v="1081.4302200000002"/>
    <n v="1309.1638326875018"/>
    <n v="1081.4831661331536"/>
    <n v="1277.857"/>
    <n v="1327.553232976722"/>
    <n v="0.9575204230207689"/>
    <s v="broodstock; Wells = 0.023"/>
  </r>
  <r>
    <s v="Okanagan Sockeye"/>
    <s v="2000s"/>
    <x v="25"/>
    <n v="1999"/>
    <x v="25"/>
    <n v="77399"/>
    <n v="72971"/>
    <n v="71226"/>
    <n v="55559"/>
    <n v="0.78003818830202454"/>
    <n v="68544.360968030189"/>
    <n v="56920.166638587034"/>
    <n v="0.78000000000000014"/>
    <n v="56917.380000000012"/>
    <n v="0.64259774430938321"/>
    <n v="2160.7057815966082"/>
    <n v="3.7434455916536033E-2"/>
    <n v="57719.705781596611"/>
    <n v="2654.4699547917844"/>
    <x v="5"/>
    <n v="5.9999999999999982"/>
    <x v="1"/>
    <n v="1.4E-2"/>
    <n v="1021.5940000000001"/>
    <m/>
    <n v="959.62105355242261"/>
    <n v="796.88233294021848"/>
    <n v="796.84332000000018"/>
    <n v="0"/>
    <n v="796.88233294021848"/>
    <n v="0"/>
    <n v="0"/>
    <n v="0"/>
    <m/>
  </r>
  <r>
    <s v="Okanagan Sockeye"/>
    <s v="2000s"/>
    <x v="26"/>
    <n v="2003"/>
    <x v="28"/>
    <n v="37067"/>
    <n v="37066"/>
    <n v="35132"/>
    <n v="22075"/>
    <n v="0.62834452920414441"/>
    <n v="26454.776046145224"/>
    <n v="23290.218319480817"/>
    <n v="0.72799999999999987"/>
    <n v="26984.047999999995"/>
    <n v="0.50936167916689146"/>
    <n v="1003.4662131390186"/>
    <n v="4.3480628386288765E-2"/>
    <n v="23078.466213139018"/>
    <n v="212.38045087100181"/>
    <x v="0"/>
    <n v="3.0000000000000009"/>
    <x v="0"/>
    <n v="8.0000000000000002E-3"/>
    <n v="296.52800000000002"/>
    <n v="2.3809523809523812E-3"/>
    <n v="62.987562014631493"/>
    <n v="186.32174655584654"/>
    <n v="215.87238399999995"/>
    <n v="55.452900760668619"/>
    <n v="55.452900760668619"/>
    <n v="52.559523809523817"/>
    <n v="54.948729078902431"/>
    <n v="0.18530705052778296"/>
    <s v="CNAT - deadpitch ages &lt;-- use"/>
  </r>
  <r>
    <s v="Okanagan Sockeye"/>
    <s v="2000s"/>
    <x v="26"/>
    <n v="2002"/>
    <x v="27"/>
    <n v="37067"/>
    <n v="37066"/>
    <n v="35132"/>
    <n v="22075"/>
    <n v="0.62834452920414441"/>
    <n v="26454.776046145224"/>
    <n v="23290.218319480817"/>
    <n v="0.72799999999999987"/>
    <n v="26984.047999999995"/>
    <n v="0.50936167916689146"/>
    <n v="1003.4662131390186"/>
    <n v="4.3480628386288765E-2"/>
    <n v="23078.466213139018"/>
    <n v="212.38045087100181"/>
    <x v="1"/>
    <n v="3.9999999999999996"/>
    <x v="0"/>
    <n v="0.72399999999999998"/>
    <n v="26835.784"/>
    <n v="0.8833333333333333"/>
    <n v="23368.38550742828"/>
    <n v="16862.118063304111"/>
    <n v="19536.450751999997"/>
    <n v="20573.026182208054"/>
    <n v="20573.026182208054"/>
    <n v="19499.583333333332"/>
    <n v="20385.978488272798"/>
    <n v="0.75965652757798308"/>
    <s v="CNAT - deadpitch ages"/>
  </r>
  <r>
    <s v="Okanagan Sockeye"/>
    <s v="2000s"/>
    <x v="26"/>
    <n v="2001"/>
    <x v="26"/>
    <n v="37067"/>
    <n v="37066"/>
    <n v="35132"/>
    <n v="22075"/>
    <n v="0.62834452920414441"/>
    <n v="26454.776046145224"/>
    <n v="23290.218319480817"/>
    <n v="0.72799999999999987"/>
    <n v="26984.047999999995"/>
    <n v="0.50936167916689146"/>
    <n v="1003.4662131390186"/>
    <n v="4.3480628386288765E-2"/>
    <n v="23078.466213139018"/>
    <n v="212.38045087100181"/>
    <x v="2"/>
    <n v="5"/>
    <x v="0"/>
    <n v="8.4000000000000005E-2"/>
    <n v="3113.5440000000003"/>
    <n v="0.10952380952380952"/>
    <n v="2897.4278526730482"/>
    <n v="1956.3783388363888"/>
    <n v="2266.6600319999998"/>
    <n v="2550.8334349907559"/>
    <n v="2550.8334349907559"/>
    <n v="2417.7380952380954"/>
    <n v="2527.6415376295113"/>
    <n v="0.81182136421695372"/>
    <s v="CNAT - deadpitch ages"/>
  </r>
  <r>
    <s v="Okanagan Sockeye"/>
    <s v="2000s"/>
    <x v="26"/>
    <n v="2002"/>
    <x v="28"/>
    <n v="37067"/>
    <n v="37066"/>
    <n v="35132"/>
    <n v="22075"/>
    <n v="0.62834452920414441"/>
    <n v="26454.776046145224"/>
    <n v="23290.218319480817"/>
    <n v="0.72799999999999987"/>
    <n v="26984.047999999995"/>
    <n v="0.50936167916689146"/>
    <n v="1003.4662131390186"/>
    <n v="4.3480628386288765E-2"/>
    <n v="23078.466213139018"/>
    <n v="212.38045087100181"/>
    <x v="3"/>
    <n v="4.0000000000000009"/>
    <x v="1"/>
    <n v="1.7000000000000001E-2"/>
    <n v="630.12200000000007"/>
    <n v="0"/>
    <n v="0"/>
    <n v="395.93371143117389"/>
    <n v="458.72881599999994"/>
    <n v="0"/>
    <n v="0"/>
    <n v="0"/>
    <n v="0"/>
    <n v="0"/>
    <s v="CNAT - deadpitch ages"/>
  </r>
  <r>
    <s v="Okanagan Sockeye"/>
    <s v="2000s"/>
    <x v="26"/>
    <n v="2001"/>
    <x v="27"/>
    <n v="37067"/>
    <n v="37066"/>
    <n v="35132"/>
    <n v="22075"/>
    <n v="0.62834452920414441"/>
    <n v="26454.776046145224"/>
    <n v="23290.218319480817"/>
    <n v="0.72799999999999987"/>
    <n v="26984.047999999995"/>
    <n v="0.50936167916689146"/>
    <n v="1003.4662131390186"/>
    <n v="4.3480628386288765E-2"/>
    <n v="23078.466213139018"/>
    <n v="212.38045087100181"/>
    <x v="4"/>
    <n v="5.0000000000000018"/>
    <x v="1"/>
    <n v="0.14799999999999999"/>
    <n v="5485.768"/>
    <n v="4.7619047619047623E-3"/>
    <n v="125.97512402926299"/>
    <n v="3446.9523112831607"/>
    <n v="3993.639103999999"/>
    <n v="110.90580152133724"/>
    <n v="110.90580152133724"/>
    <n v="105.11904761904763"/>
    <n v="109.89745815780486"/>
    <n v="2.0033194651652216E-2"/>
    <s v="CNAT - deadpitch ages"/>
  </r>
  <r>
    <s v="Okanagan Sockeye"/>
    <s v="2000s"/>
    <x v="26"/>
    <n v="2000"/>
    <x v="26"/>
    <n v="37067"/>
    <n v="37066"/>
    <n v="35132"/>
    <n v="22075"/>
    <n v="0.62834452920414441"/>
    <n v="26454.776046145224"/>
    <n v="23290.218319480817"/>
    <n v="0.72799999999999987"/>
    <n v="26984.047999999995"/>
    <n v="0.50936167916689146"/>
    <n v="1003.4662131390186"/>
    <n v="4.3480628386288765E-2"/>
    <n v="23078.466213139018"/>
    <n v="212.38045087100181"/>
    <x v="5"/>
    <n v="5.9999999999999982"/>
    <x v="1"/>
    <n v="2E-3"/>
    <n v="74.132000000000005"/>
    <m/>
    <n v="0"/>
    <n v="46.580436638961636"/>
    <n v="53.968095999999989"/>
    <n v="0"/>
    <n v="0"/>
    <m/>
    <m/>
    <m/>
    <m/>
  </r>
  <r>
    <s v="Okanagan Sockeye"/>
    <s v="2000s"/>
    <x v="27"/>
    <n v="2004"/>
    <x v="29"/>
    <n v="26604"/>
    <n v="24376"/>
    <n v="25122"/>
    <n v="22273"/>
    <n v="0.88659342409043862"/>
    <n v="26745.682484121899"/>
    <n v="21611.60130562853"/>
    <n v="0.85299999999999987"/>
    <n v="20792.727999999996"/>
    <n v="0.78380374138496878"/>
    <n v="1253.6431016638803"/>
    <n v="5.3286101899306604E-2"/>
    <n v="23526.643101663882"/>
    <n v="60.288352838146238"/>
    <x v="0"/>
    <n v="3.0000000000000009"/>
    <x v="0"/>
    <n v="0.42399999999999999"/>
    <n v="10335.423999999999"/>
    <n v="0.2831168831168831"/>
    <n v="7572.1542617384075"/>
    <n v="9163.3189535864967"/>
    <n v="8816.1166719999983"/>
    <n v="6118.6092008143105"/>
    <n v="6118.6092008143105"/>
    <n v="6305.8623376623373"/>
    <n v="6660.7898651463975"/>
    <n v="0.64446217834376196"/>
    <s v="CNAT - deadpitch ages &lt;-- use"/>
  </r>
  <r>
    <s v="Okanagan Sockeye"/>
    <s v="2000s"/>
    <x v="27"/>
    <n v="2003"/>
    <x v="28"/>
    <n v="26604"/>
    <n v="24376"/>
    <n v="25122"/>
    <n v="22273"/>
    <n v="0.88659342409043862"/>
    <n v="26745.682484121899"/>
    <n v="21611.60130562853"/>
    <n v="0.85299999999999987"/>
    <n v="20792.727999999996"/>
    <n v="0.78380374138496878"/>
    <n v="1253.6431016638803"/>
    <n v="5.3286101899306604E-2"/>
    <n v="23526.643101663882"/>
    <n v="60.288352838146238"/>
    <x v="1"/>
    <n v="3.9999999999999996"/>
    <x v="0"/>
    <n v="0.38200000000000001"/>
    <n v="9311.6319999999996"/>
    <n v="0.51168831168831164"/>
    <n v="13685.453115251983"/>
    <n v="8255.6316987500995"/>
    <n v="7942.8220959999981"/>
    <n v="11058.403784957974"/>
    <n v="11058.403784957974"/>
    <n v="11396.833766233765"/>
    <n v="12038.308288383854"/>
    <n v="1.2928247474109646"/>
    <s v="CNAT - deadpitch ages"/>
  </r>
  <r>
    <s v="Okanagan Sockeye"/>
    <s v="2000s"/>
    <x v="27"/>
    <n v="2002"/>
    <x v="27"/>
    <n v="26604"/>
    <n v="24376"/>
    <n v="25122"/>
    <n v="22273"/>
    <n v="0.88659342409043862"/>
    <n v="26745.682484121899"/>
    <n v="21611.60130562853"/>
    <n v="0.85299999999999987"/>
    <n v="20792.727999999996"/>
    <n v="0.78380374138496878"/>
    <n v="1253.6431016638803"/>
    <n v="5.3286101899306604E-2"/>
    <n v="23526.643101663882"/>
    <n v="60.288352838146238"/>
    <x v="2"/>
    <n v="5"/>
    <x v="0"/>
    <n v="3.2000000000000001E-2"/>
    <n v="780.03200000000004"/>
    <n v="0.12987012987012986"/>
    <n v="3473.4652576781682"/>
    <n v="691.57124178011293"/>
    <n v="665.3672959999999"/>
    <n v="2806.7014682634453"/>
    <n v="2806.7014682634453"/>
    <n v="2892.5974025974024"/>
    <n v="3055.4081950212831"/>
    <n v="3.9170292949792866"/>
    <s v="CNAT - deadpitch ages"/>
  </r>
  <r>
    <s v="Okanagan Sockeye"/>
    <s v="2000s"/>
    <x v="27"/>
    <n v="2003"/>
    <x v="29"/>
    <n v="26604"/>
    <n v="24376"/>
    <n v="25122"/>
    <n v="22273"/>
    <n v="0.88659342409043862"/>
    <n v="26745.682484121899"/>
    <n v="21611.60130562853"/>
    <n v="0.85299999999999987"/>
    <n v="20792.727999999996"/>
    <n v="0.78380374138496878"/>
    <n v="1253.6431016638803"/>
    <n v="5.3286101899306604E-2"/>
    <n v="23526.643101663882"/>
    <n v="60.288352838146238"/>
    <x v="3"/>
    <n v="4.0000000000000009"/>
    <x v="1"/>
    <n v="5.8000000000000003E-2"/>
    <n v="1413.808"/>
    <n v="6.4935064935064901E-2"/>
    <n v="1736.7326288390834"/>
    <n v="1253.4728757264547"/>
    <n v="1205.9782239999997"/>
    <n v="1403.350734131722"/>
    <n v="1403.350734131722"/>
    <n v="1446.2987012987005"/>
    <n v="1527.7040975106408"/>
    <n v="1.0805598055115269"/>
    <s v="CNAT - deadpitch ages"/>
  </r>
  <r>
    <s v="Okanagan Sockeye"/>
    <s v="2000s"/>
    <x v="27"/>
    <n v="2002"/>
    <x v="28"/>
    <n v="26604"/>
    <n v="24376"/>
    <n v="25122"/>
    <n v="22273"/>
    <n v="0.88659342409043862"/>
    <n v="26745.682484121899"/>
    <n v="21611.60130562853"/>
    <n v="0.85299999999999987"/>
    <n v="20792.727999999996"/>
    <n v="0.78380374138496878"/>
    <n v="1253.6431016638803"/>
    <n v="5.3286101899306604E-2"/>
    <n v="23526.643101663882"/>
    <n v="60.288352838146238"/>
    <x v="4"/>
    <n v="5.0000000000000018"/>
    <x v="1"/>
    <n v="9.2999999999999999E-2"/>
    <n v="2266.9679999999998"/>
    <n v="1.038961038961039E-2"/>
    <n v="277.87722061425347"/>
    <n v="2009.8789214234532"/>
    <n v="1933.7237039999995"/>
    <n v="224.53611746107563"/>
    <n v="224.53611746107563"/>
    <n v="231.4077922077922"/>
    <n v="244.43265560170266"/>
    <n v="0.10782360209835458"/>
    <s v="CNAT - deadpitch ages"/>
  </r>
  <r>
    <s v="Okanagan Sockeye"/>
    <s v="2000s"/>
    <x v="27"/>
    <n v="2001"/>
    <x v="27"/>
    <n v="26604"/>
    <n v="24376"/>
    <n v="25122"/>
    <n v="22273"/>
    <n v="0.88659342409043862"/>
    <n v="26745.682484121899"/>
    <n v="21611.60130562853"/>
    <n v="0.85299999999999987"/>
    <n v="20792.727999999996"/>
    <n v="0.78380374138496878"/>
    <n v="1253.6431016638803"/>
    <n v="5.3286101899306604E-2"/>
    <n v="23526.643101663882"/>
    <n v="60.288352838146238"/>
    <x v="5"/>
    <n v="5.9999999999999982"/>
    <x v="1"/>
    <n v="1.0999999999999999E-2"/>
    <n v="268.13599999999997"/>
    <m/>
    <n v="0"/>
    <n v="237.72761436191382"/>
    <n v="228.72000799999995"/>
    <n v="0"/>
    <n v="0"/>
    <m/>
    <m/>
    <m/>
    <m/>
  </r>
  <r>
    <s v="Okanagan Sockeye"/>
    <s v="2000s"/>
    <x v="28"/>
    <n v="2005"/>
    <x v="30"/>
    <n v="214465"/>
    <n v="213607"/>
    <n v="193739"/>
    <n v="165334"/>
    <n v="0.85338522445145271"/>
    <n v="201815.24535141748"/>
    <n v="182289.05763940146"/>
    <n v="0.83299999999999996"/>
    <n v="177934.63099999999"/>
    <n v="0.67913036557790707"/>
    <n v="8526.1717774944645"/>
    <n v="4.9040396603347573E-2"/>
    <n v="173860.17177749446"/>
    <n v="9161.0903844863351"/>
    <x v="0"/>
    <n v="3.0000000000000009"/>
    <x v="0"/>
    <n v="7.3999999999999996E-2"/>
    <n v="15806.918"/>
    <n v="4.6382189239332093E-2"/>
    <n v="9360.6329012716815"/>
    <n v="13489.390265315707"/>
    <n v="13167.162693999999"/>
    <n v="8454.9655676902348"/>
    <n v="8454.9655676902348"/>
    <n v="7668.5528756957319"/>
    <n v="8064.0153885665322"/>
    <n v="0.51015734936858237"/>
    <s v="CNAT - deadpitch ages"/>
  </r>
  <r>
    <s v="Okanagan Sockeye"/>
    <s v="2000s"/>
    <x v="28"/>
    <n v="2004"/>
    <x v="29"/>
    <n v="214465"/>
    <n v="213607"/>
    <n v="193739"/>
    <n v="165334"/>
    <n v="0.85338522445145271"/>
    <n v="201815.24535141748"/>
    <n v="182289.05763940146"/>
    <n v="0.83299999999999996"/>
    <n v="177934.63099999999"/>
    <n v="0.67913036557790707"/>
    <n v="8526.1717774944645"/>
    <n v="4.9040396603347573E-2"/>
    <n v="173860.17177749446"/>
    <n v="9161.0903844863351"/>
    <x v="1"/>
    <n v="3.9999999999999996"/>
    <x v="0"/>
    <n v="0.86399999999999999"/>
    <n v="184556.448"/>
    <n v="0.94063079777365488"/>
    <n v="189833.63523778971"/>
    <n v="157497.74580044288"/>
    <n v="153735.52118399998"/>
    <n v="171466.70171275796"/>
    <n v="171466.70171275796"/>
    <n v="155518.25231910945"/>
    <n v="163538.2320801293"/>
    <n v="0.88611497377826265"/>
    <s v="CNAT - deadpitch ages"/>
  </r>
  <r>
    <s v="Okanagan Sockeye"/>
    <s v="2000s"/>
    <x v="28"/>
    <n v="2003"/>
    <x v="28"/>
    <n v="214465"/>
    <n v="213607"/>
    <n v="193739"/>
    <n v="165334"/>
    <n v="0.85338522445145271"/>
    <n v="201815.24535141748"/>
    <n v="182289.05763940146"/>
    <n v="0.83299999999999996"/>
    <n v="177934.63099999999"/>
    <n v="0.67913036557790707"/>
    <n v="8526.1717774944645"/>
    <n v="4.9040396603347573E-2"/>
    <n v="173860.17177749446"/>
    <n v="9161.0903844863351"/>
    <x v="2"/>
    <n v="5"/>
    <x v="0"/>
    <n v="7.0000000000000001E-3"/>
    <n v="1495.249"/>
    <n v="9.2764378478664197E-3"/>
    <n v="1872.1265802543367"/>
    <n v="1276.0234034758103"/>
    <n v="1245.5424169999999"/>
    <n v="1690.9931135380471"/>
    <n v="1690.9931135380471"/>
    <n v="1533.7105751391466"/>
    <n v="1612.8030777133067"/>
    <n v="1.0786183958078599"/>
    <s v="CNAT - deadpitch ages"/>
  </r>
  <r>
    <s v="Okanagan Sockeye"/>
    <s v="2000s"/>
    <x v="28"/>
    <n v="2004"/>
    <x v="30"/>
    <n v="214465"/>
    <n v="213607"/>
    <n v="193739"/>
    <n v="165334"/>
    <n v="0.85338522445145271"/>
    <n v="201815.24535141748"/>
    <n v="182289.05763940146"/>
    <n v="0.83299999999999996"/>
    <n v="177934.63099999999"/>
    <n v="0.67913036557790707"/>
    <n v="8526.1717774944645"/>
    <n v="4.9040396603347573E-2"/>
    <n v="173860.17177749446"/>
    <n v="9161.0903844863351"/>
    <x v="3"/>
    <n v="4.0000000000000009"/>
    <x v="1"/>
    <n v="2.3E-2"/>
    <n v="4912.9610000000002"/>
    <n v="0"/>
    <n v="0"/>
    <n v="4192.6483257062337"/>
    <n v="4092.4965129999996"/>
    <n v="0"/>
    <n v="0"/>
    <n v="0"/>
    <n v="0"/>
    <n v="0"/>
    <s v="CNAT - deadpitch ages"/>
  </r>
  <r>
    <s v="Okanagan Sockeye"/>
    <s v="2000s"/>
    <x v="28"/>
    <n v="2003"/>
    <x v="29"/>
    <n v="214465"/>
    <n v="213607"/>
    <n v="193739"/>
    <n v="165334"/>
    <n v="0.85338522445145271"/>
    <n v="201815.24535141748"/>
    <n v="182289.05763940146"/>
    <n v="0.83299999999999996"/>
    <n v="177934.63099999999"/>
    <n v="0.67913036557790707"/>
    <n v="8526.1717774944645"/>
    <n v="4.9040396603347573E-2"/>
    <n v="173860.17177749446"/>
    <n v="9161.0903844863351"/>
    <x v="4"/>
    <n v="5.0000000000000018"/>
    <x v="1"/>
    <n v="3.2000000000000001E-2"/>
    <n v="6835.424"/>
    <n v="3.7105751391465678E-3"/>
    <n v="748.85063210173462"/>
    <n v="5833.2498444608473"/>
    <n v="5693.9081919999999"/>
    <n v="676.39724541521878"/>
    <n v="676.39724541521878"/>
    <n v="613.4842300556586"/>
    <n v="645.12123108532262"/>
    <n v="9.4379109633187727E-2"/>
    <s v="CNAT - deadpitch ages"/>
  </r>
  <r>
    <s v="Okanagan Sockeye"/>
    <s v="2000s"/>
    <x v="29"/>
    <n v="2006"/>
    <x v="31"/>
    <n v="179732"/>
    <n v="177823"/>
    <n v="162830"/>
    <n v="134937"/>
    <n v="0.82869864275624883"/>
    <n v="166153.32351273368"/>
    <n v="147361.67875084444"/>
    <n v="0.82599999999999996"/>
    <n v="146881.79799999998"/>
    <n v="0.6577551835251908"/>
    <n v="9048.5604802554808"/>
    <n v="6.2843527156990819E-2"/>
    <n v="143985.56048025549"/>
    <n v="4958.1039796106343"/>
    <x v="0"/>
    <n v="3.0000000000000009"/>
    <x v="0"/>
    <n v="0.125"/>
    <n v="22227.875"/>
    <n v="3.4979423868312758E-2"/>
    <n v="5811.9475302808078"/>
    <n v="18420.209843855555"/>
    <n v="18360.224749999998"/>
    <n v="5154.6266229719249"/>
    <n v="5154.6266229719249"/>
    <n v="4720.0185185185182"/>
    <n v="5036.5319509554392"/>
    <n v="0.22658629990295695"/>
    <s v="CNAT - deadpitch ages"/>
  </r>
  <r>
    <s v="Okanagan Sockeye"/>
    <s v="2000s"/>
    <x v="29"/>
    <n v="2005"/>
    <x v="30"/>
    <n v="179732"/>
    <n v="177823"/>
    <n v="162830"/>
    <n v="134937"/>
    <n v="0.82869864275624883"/>
    <n v="166153.32351273368"/>
    <n v="147361.67875084444"/>
    <n v="0.82599999999999996"/>
    <n v="146881.79799999998"/>
    <n v="0.6577551835251908"/>
    <n v="9048.5604802554808"/>
    <n v="6.2843527156990819E-2"/>
    <n v="143985.56048025549"/>
    <n v="4958.1039796106343"/>
    <x v="1"/>
    <n v="3.9999999999999996"/>
    <x v="0"/>
    <n v="0.79200000000000004"/>
    <n v="140835.81600000002"/>
    <n v="0.87860082304526754"/>
    <n v="145982.44678999443"/>
    <n v="116710.4495706688"/>
    <n v="116330.384016"/>
    <n v="129472.09223582424"/>
    <n v="129472.09223582424"/>
    <n v="118555.75925925927"/>
    <n v="126505.83194458662"/>
    <n v="0.89825042760846152"/>
    <s v="CNAT - deadpitch ages"/>
  </r>
  <r>
    <s v="Okanagan Sockeye"/>
    <s v="2000s"/>
    <x v="29"/>
    <n v="2004"/>
    <x v="29"/>
    <n v="179732"/>
    <n v="177823"/>
    <n v="162830"/>
    <n v="134937"/>
    <n v="0.82869864275624883"/>
    <n v="166153.32351273368"/>
    <n v="147361.67875084444"/>
    <n v="0.82599999999999996"/>
    <n v="146881.79799999998"/>
    <n v="0.6577551835251908"/>
    <n v="9048.5604802554808"/>
    <n v="6.2843527156990819E-2"/>
    <n v="143985.56048025549"/>
    <n v="4958.1039796106343"/>
    <x v="2"/>
    <n v="5"/>
    <x v="0"/>
    <n v="2.5999999999999999E-2"/>
    <n v="4623.3980000000001"/>
    <n v="5.3497942386831275E-2"/>
    <n v="8888.8609286647643"/>
    <n v="3831.4036475219555"/>
    <n v="3818.9267479999994"/>
    <n v="7883.5465998394147"/>
    <n v="7883.5465998394147"/>
    <n v="7218.8518518518522"/>
    <n v="7702.9312191083181"/>
    <n v="1.6660757345805657"/>
    <s v="CNAT - deadpitch ages"/>
  </r>
  <r>
    <s v="Okanagan Sockeye"/>
    <s v="2000s"/>
    <x v="29"/>
    <n v="2005"/>
    <x v="31"/>
    <n v="179732"/>
    <n v="177823"/>
    <n v="162830"/>
    <n v="134937"/>
    <n v="0.82869864275624883"/>
    <n v="166153.32351273368"/>
    <n v="147361.67875084444"/>
    <n v="0.82599999999999996"/>
    <n v="146881.79799999998"/>
    <n v="0.6577551835251908"/>
    <n v="9048.5604802554808"/>
    <n v="6.2843527156990819E-2"/>
    <n v="143985.56048025549"/>
    <n v="4958.1039796106343"/>
    <x v="3"/>
    <n v="4.0000000000000009"/>
    <x v="1"/>
    <n v="0.01"/>
    <n v="1778.23"/>
    <n v="0"/>
    <n v="0"/>
    <n v="1473.6167875084445"/>
    <n v="1468.8179799999998"/>
    <n v="0"/>
    <n v="0"/>
    <n v="0"/>
    <n v="0"/>
    <n v="0"/>
    <s v="CNAT - deadpitch ages"/>
  </r>
  <r>
    <s v="Okanagan Sockeye"/>
    <s v="2000s"/>
    <x v="29"/>
    <n v="2004"/>
    <x v="30"/>
    <n v="179732"/>
    <n v="177823"/>
    <n v="162830"/>
    <n v="134937"/>
    <n v="0.82869864275624883"/>
    <n v="166153.32351273368"/>
    <n v="147361.67875084444"/>
    <n v="0.82599999999999996"/>
    <n v="146881.79799999998"/>
    <n v="0.6577551835251908"/>
    <n v="9048.5604802554808"/>
    <n v="6.2843527156990819E-2"/>
    <n v="143985.56048025549"/>
    <n v="4958.1039796106343"/>
    <x v="4"/>
    <n v="5.0000000000000018"/>
    <x v="1"/>
    <n v="4.5999999999999999E-2"/>
    <n v="8179.8580000000002"/>
    <n v="3.292181069958848E-2"/>
    <n v="5470.0682637937016"/>
    <n v="6778.6372225388441"/>
    <n v="6756.5627079999986"/>
    <n v="4851.4132922088711"/>
    <n v="4851.4132922088711"/>
    <n v="4442.3703703703704"/>
    <n v="4740.2653656051198"/>
    <n v="0.57950460333237075"/>
    <s v="CNAT - deadpitch ages"/>
  </r>
  <r>
    <s v="Okanagan Sockeye"/>
    <s v="2000s"/>
    <x v="29"/>
    <n v="2003"/>
    <x v="29"/>
    <n v="179732"/>
    <n v="177823"/>
    <n v="162830"/>
    <n v="134937"/>
    <n v="0.82869864275624883"/>
    <n v="166153.32351273368"/>
    <n v="147361.67875084444"/>
    <n v="0.82599999999999996"/>
    <n v="146881.79799999998"/>
    <n v="0.6577551835251908"/>
    <n v="9048.5604802554808"/>
    <n v="6.2843527156990819E-2"/>
    <n v="143985.56048025549"/>
    <n v="4958.1039796106343"/>
    <x v="5"/>
    <n v="5.9999999999999982"/>
    <x v="1"/>
    <n v="1E-3"/>
    <n v="177.82300000000001"/>
    <n v="0"/>
    <n v="0"/>
    <n v="147.36167875084445"/>
    <n v="146.88179799999997"/>
    <n v="0"/>
    <n v="0"/>
    <n v="0"/>
    <n v="0"/>
    <n v="0"/>
    <m/>
  </r>
  <r>
    <s v="Okanagan Sockeye"/>
    <s v="2000s"/>
    <x v="30"/>
    <n v="2007"/>
    <x v="32"/>
    <n v="392193"/>
    <n v="386525"/>
    <n v="338310"/>
    <n v="291764"/>
    <n v="0.86241612722059646"/>
    <n v="370724.52957322967"/>
    <n v="333345.39357394102"/>
    <n v="0.81799999999999995"/>
    <n v="316177.44999999995"/>
    <n v="0.65993920186275146"/>
    <n v="22934.232071177321"/>
    <n v="7.2876901532736085E-2"/>
    <n v="314698.23207117734"/>
    <n v="23535.336111850047"/>
    <x v="0"/>
    <n v="3.0000000000000009"/>
    <x v="0"/>
    <n v="1.7999999999999999E-2"/>
    <n v="6957.45"/>
    <n v="8.8183421516754845E-3"/>
    <n v="3269.175745795676"/>
    <n v="6000.2170843309377"/>
    <n v="5691.1940999999988"/>
    <n v="2939.5537352199385"/>
    <n v="2939.5537352199385"/>
    <n v="2572.8747795414461"/>
    <n v="2775.1166849310171"/>
    <n v="0.39886979926999361"/>
    <s v="CNAT - deadpitch ages"/>
  </r>
  <r>
    <s v="Okanagan Sockeye"/>
    <s v="2000s"/>
    <x v="30"/>
    <n v="2006"/>
    <x v="31"/>
    <n v="392193"/>
    <n v="386525"/>
    <n v="338310"/>
    <n v="291764"/>
    <n v="0.86241612722059646"/>
    <n v="370724.52957322967"/>
    <n v="333345.39357394102"/>
    <n v="0.81799999999999995"/>
    <n v="316177.44999999995"/>
    <n v="0.65993920186275146"/>
    <n v="22934.232071177321"/>
    <n v="7.2876901532736085E-2"/>
    <n v="314698.23207117734"/>
    <n v="23535.336111850047"/>
    <x v="1"/>
    <n v="3.9999999999999996"/>
    <x v="0"/>
    <n v="0.95399999999999996"/>
    <n v="368744.85"/>
    <n v="0.89400000000000002"/>
    <n v="331427.7294384673"/>
    <n v="318011.50546953973"/>
    <n v="301633.28729999997"/>
    <n v="298010.78185510327"/>
    <n v="298010.78185510327"/>
    <n v="260837.016"/>
    <n v="281340.21947163256"/>
    <n v="0.76296718305796696"/>
    <s v="CNAT - deadpitch ages"/>
  </r>
  <r>
    <s v="Okanagan Sockeye"/>
    <s v="2000s"/>
    <x v="30"/>
    <n v="2005"/>
    <x v="30"/>
    <n v="392193"/>
    <n v="386525"/>
    <n v="338310"/>
    <n v="291764"/>
    <n v="0.86241612722059646"/>
    <n v="370724.52957322967"/>
    <n v="333345.39357394102"/>
    <n v="0.81799999999999995"/>
    <n v="316177.44999999995"/>
    <n v="0.65993920186275146"/>
    <n v="22934.232071177321"/>
    <n v="7.2876901532736085E-2"/>
    <n v="314698.23207117734"/>
    <n v="23535.336111850047"/>
    <x v="2"/>
    <n v="5"/>
    <x v="0"/>
    <n v="5.0000000000000001E-3"/>
    <n v="1932.625"/>
    <n v="7.3999999999999996E-2"/>
    <n v="27433.615188418993"/>
    <n v="1666.726967869705"/>
    <n v="1580.8872499999998"/>
    <n v="24667.559124471634"/>
    <n v="24667.559124471634"/>
    <n v="21590.536"/>
    <n v="23287.669173267121"/>
    <n v="12.049760907194681"/>
    <s v="CNAT - deadpitch ages"/>
  </r>
  <r>
    <s v="Okanagan Sockeye"/>
    <s v="2000s"/>
    <x v="30"/>
    <n v="2006"/>
    <x v="32"/>
    <n v="392193"/>
    <n v="386525"/>
    <n v="338310"/>
    <n v="291764"/>
    <n v="0.86241612722059646"/>
    <n v="370724.52957322967"/>
    <n v="333345.39357394102"/>
    <n v="0.81799999999999995"/>
    <n v="316177.44999999995"/>
    <n v="0.65993920186275146"/>
    <n v="22934.232071177321"/>
    <n v="7.2876901532736085E-2"/>
    <n v="314698.23207117734"/>
    <n v="23535.336111850047"/>
    <x v="3"/>
    <n v="4.0000000000000009"/>
    <x v="1"/>
    <n v="6.0000000000000001E-3"/>
    <n v="2319.15"/>
    <n v="1.7000000000000001E-2"/>
    <n v="6302.317002744905"/>
    <n v="2000.0723614436463"/>
    <n v="1897.0646999999997"/>
    <n v="5666.8716907569979"/>
    <n v="5666.8716907569979"/>
    <n v="4959.9880000000003"/>
    <n v="5349.8699452100154"/>
    <n v="2.3068235970980813"/>
    <s v="CNAT - deadpitch ages"/>
  </r>
  <r>
    <s v="Okanagan Sockeye"/>
    <s v="2000s"/>
    <x v="30"/>
    <n v="2005"/>
    <x v="31"/>
    <n v="392193"/>
    <n v="386525"/>
    <n v="338310"/>
    <n v="291764"/>
    <n v="0.86241612722059646"/>
    <n v="370724.52957322967"/>
    <n v="333345.39357394102"/>
    <n v="0.81799999999999995"/>
    <n v="316177.44999999995"/>
    <n v="0.65993920186275146"/>
    <n v="22934.232071177321"/>
    <n v="7.2876901532736085E-2"/>
    <n v="314698.23207117734"/>
    <n v="23535.336111850047"/>
    <x v="4"/>
    <n v="5.0000000000000018"/>
    <x v="1"/>
    <n v="1.6E-2"/>
    <n v="6184.4000000000005"/>
    <n v="6.0000000000000001E-3"/>
    <n v="2224.3471774393779"/>
    <n v="5333.5262971830562"/>
    <n v="5058.8391999999994"/>
    <n v="2000.0723614436463"/>
    <n v="2000.0723614436463"/>
    <n v="1750.5840000000001"/>
    <n v="1888.1893924270641"/>
    <n v="0.30531488785121663"/>
    <s v="CNAT - deadpitch ages"/>
  </r>
  <r>
    <s v="Okanagan Sockeye"/>
    <s v="2010s"/>
    <x v="31"/>
    <n v="2008"/>
    <x v="33"/>
    <n v="187365"/>
    <n v="185796"/>
    <n v="146111"/>
    <n v="111508"/>
    <n v="0.76317320393399535"/>
    <n v="152248.04419374978"/>
    <n v="141794.52859812061"/>
    <n v="0.7679999999999999"/>
    <n v="142691.32799999998"/>
    <n v="0.52415552541497124"/>
    <n v="11238.488601132016"/>
    <n v="9.1558534416831941E-2"/>
    <n v="122746.48860113202"/>
    <n v="20245.458753961007"/>
    <x v="0"/>
    <n v="3.0000000000000009"/>
    <x v="0"/>
    <n v="0.26100000000000001"/>
    <n v="48492.756000000001"/>
    <n v="0.182"/>
    <n v="27709.144043262459"/>
    <n v="37008.371964109479"/>
    <n v="37242.436607999996"/>
    <n v="25806.604204857951"/>
    <n v="25806.604204857951"/>
    <n v="20294.455999999998"/>
    <n v="22339.860925406028"/>
    <n v="0.46068449740010708"/>
    <s v="CNAT - deadpitch ages"/>
  </r>
  <r>
    <s v="Okanagan Sockeye"/>
    <s v="2000s"/>
    <x v="31"/>
    <n v="2007"/>
    <x v="32"/>
    <n v="187365"/>
    <n v="185796"/>
    <n v="146111"/>
    <n v="111508"/>
    <n v="0.76317320393399535"/>
    <n v="152248.04419374978"/>
    <n v="141794.52859812061"/>
    <n v="0.7679999999999999"/>
    <n v="142691.32799999998"/>
    <n v="0.52415552541497124"/>
    <n v="11238.488601132016"/>
    <n v="9.1558534416831941E-2"/>
    <n v="122746.48860113202"/>
    <n v="20245.458753961007"/>
    <x v="1"/>
    <n v="3.9999999999999996"/>
    <x v="0"/>
    <n v="0.59199999999999997"/>
    <n v="109991.23199999999"/>
    <n v="0.66400000000000003"/>
    <n v="101092.70134464986"/>
    <n v="83942.360930087394"/>
    <n v="84473.26617599999"/>
    <n v="94151.566989152096"/>
    <n v="94151.566989152096"/>
    <n v="74041.312000000005"/>
    <n v="81503.668431151658"/>
    <n v="0.74100150483950999"/>
    <s v="CNAT - deadpitch ages"/>
  </r>
  <r>
    <s v="Okanagan Sockeye"/>
    <s v="2000s"/>
    <x v="31"/>
    <n v="2006"/>
    <x v="31"/>
    <n v="187365"/>
    <n v="185796"/>
    <n v="146111"/>
    <n v="111508"/>
    <n v="0.76317320393399535"/>
    <n v="152248.04419374978"/>
    <n v="141794.52859812061"/>
    <n v="0.7679999999999999"/>
    <n v="142691.32799999998"/>
    <n v="0.52415552541497124"/>
    <n v="11238.488601132016"/>
    <n v="9.1558534416831941E-2"/>
    <n v="122746.48860113202"/>
    <n v="20245.458753961007"/>
    <x v="2"/>
    <n v="5"/>
    <x v="0"/>
    <n v="7.6999999999999999E-2"/>
    <n v="14306.291999999999"/>
    <n v="7.0999999999999994E-2"/>
    <n v="10809.611137756234"/>
    <n v="10918.178702055287"/>
    <n v="10987.232255999998"/>
    <n v="10067.411530466563"/>
    <n v="10067.411530466563"/>
    <n v="7917.0679999999993"/>
    <n v="8715.0006906803719"/>
    <n v="0.60917257180829054"/>
    <s v="CNAT - deadpitch ages"/>
  </r>
  <r>
    <s v="Okanagan Sockeye"/>
    <s v="2010s"/>
    <x v="31"/>
    <n v="2007"/>
    <x v="33"/>
    <n v="187365"/>
    <n v="185796"/>
    <n v="146111"/>
    <n v="111508"/>
    <n v="0.76317320393399535"/>
    <n v="152248.04419374978"/>
    <n v="141794.52859812061"/>
    <n v="0.7679999999999999"/>
    <n v="142691.32799999998"/>
    <n v="0.52415552541497124"/>
    <n v="11238.488601132016"/>
    <n v="9.1558534416831941E-2"/>
    <n v="122746.48860113202"/>
    <n v="20245.458753961007"/>
    <x v="3"/>
    <n v="4.0000000000000009"/>
    <x v="1"/>
    <n v="3.1E-2"/>
    <n v="5759.6760000000004"/>
    <n v="4.2999999999999997E-2"/>
    <n v="6546.6659003312398"/>
    <n v="4395.6303865417385"/>
    <n v="4423.4311679999992"/>
    <n v="6097.1647297191857"/>
    <n v="6097.1647297191857"/>
    <n v="4794.8440000000001"/>
    <n v="5278.0990098486764"/>
    <n v="0.9163881804894366"/>
    <s v="CNAT - deadpitch ages"/>
  </r>
  <r>
    <s v="Okanagan Sockeye"/>
    <s v="2000s"/>
    <x v="31"/>
    <n v="2006"/>
    <x v="32"/>
    <n v="187365"/>
    <n v="185796"/>
    <n v="146111"/>
    <n v="111508"/>
    <n v="0.76317320393399535"/>
    <n v="152248.04419374978"/>
    <n v="141794.52859812061"/>
    <n v="0.7679999999999999"/>
    <n v="142691.32799999998"/>
    <n v="0.52415552541497124"/>
    <n v="11238.488601132016"/>
    <n v="9.1558534416831941E-2"/>
    <n v="122746.48860113202"/>
    <n v="20245.458753961007"/>
    <x v="4"/>
    <n v="5.0000000000000018"/>
    <x v="1"/>
    <n v="3.6999999999999998E-2"/>
    <n v="6874.4519999999993"/>
    <n v="0.04"/>
    <n v="6089.921767749991"/>
    <n v="5246.3975581304621"/>
    <n v="5279.5791359999994"/>
    <n v="5671.7811439248244"/>
    <n v="5671.7811439248244"/>
    <n v="4460.32"/>
    <n v="4909.8595440452809"/>
    <n v="0.71421831791760004"/>
    <s v="CNAT - deadpitch ages"/>
  </r>
  <r>
    <s v="Okanagan Sockeye"/>
    <s v="2000s"/>
    <x v="31"/>
    <n v="2005"/>
    <x v="31"/>
    <n v="187365"/>
    <n v="185796"/>
    <n v="146111"/>
    <n v="111508"/>
    <n v="0.76317320393399535"/>
    <n v="152248.04419374978"/>
    <n v="141794.52859812061"/>
    <n v="0.7679999999999999"/>
    <n v="142691.32799999998"/>
    <n v="0.52415552541497124"/>
    <n v="11238.488601132016"/>
    <n v="9.1558534416831941E-2"/>
    <n v="122746.48860113202"/>
    <n v="20245.458753961007"/>
    <x v="5"/>
    <n v="5.9999999999999982"/>
    <x v="1"/>
    <n v="2E-3"/>
    <n v="371.59199999999998"/>
    <n v="0"/>
    <n v="0"/>
    <n v="283.58905719624124"/>
    <n v="285.38265599999994"/>
    <n v="0"/>
    <n v="0"/>
    <n v="0"/>
    <n v="0"/>
    <n v="0"/>
    <m/>
  </r>
  <r>
    <s v="Okanagan Sockeye"/>
    <s v="2010s"/>
    <x v="32"/>
    <n v="2009"/>
    <x v="34"/>
    <n v="521159"/>
    <n v="515673"/>
    <n v="410620"/>
    <n v="326107"/>
    <n v="0.79418196873021285"/>
    <n v="431531.57140277157"/>
    <n v="409538.19836101506"/>
    <n v="0.82400000000000007"/>
    <n v="424914.55200000003"/>
    <n v="0.58187262082753999"/>
    <n v="40378.593836150212"/>
    <n v="0.1101778474113851"/>
    <n v="366485.59383615019"/>
    <n v="47409.486805318797"/>
    <x v="0"/>
    <n v="3.0000000000000009"/>
    <x v="0"/>
    <n v="1.7000000000000001E-2"/>
    <n v="8766.4410000000007"/>
    <n v="3.0000000000000001E-3"/>
    <n v="1294.5947142083148"/>
    <n v="6962.1493721372563"/>
    <n v="7223.5473840000013"/>
    <n v="1228.6145950830453"/>
    <n v="1228.6145950830453"/>
    <n v="978.32100000000003"/>
    <n v="1099.4567815084506"/>
    <n v="0.12541654948780817"/>
    <s v="CNAT - deadpitch ages"/>
  </r>
  <r>
    <s v="Okanagan Sockeye"/>
    <s v="2010s"/>
    <x v="32"/>
    <n v="2008"/>
    <x v="33"/>
    <n v="521159"/>
    <n v="515673"/>
    <n v="410620"/>
    <n v="326107"/>
    <n v="0.79418196873021285"/>
    <n v="431531.57140277157"/>
    <n v="409538.19836101506"/>
    <n v="0.82400000000000007"/>
    <n v="424914.55200000003"/>
    <n v="0.58187262082753999"/>
    <n v="40378.593836150212"/>
    <n v="0.1101778474113851"/>
    <n v="366485.59383615019"/>
    <n v="47409.486805318797"/>
    <x v="1"/>
    <n v="3.9999999999999996"/>
    <x v="0"/>
    <n v="0.96"/>
    <n v="495046.07999999996"/>
    <n v="0.97099999999999997"/>
    <n v="419017.15583209117"/>
    <n v="393156.67042657442"/>
    <n v="407917.96992"/>
    <n v="397661.59060854564"/>
    <n v="397661.59060854564"/>
    <n v="316649.897"/>
    <n v="355857.51161490183"/>
    <n v="0.71883714666501719"/>
    <s v="CNAT - deadpitch ages"/>
  </r>
  <r>
    <s v="Okanagan Sockeye"/>
    <s v="2000s"/>
    <x v="32"/>
    <n v="2007"/>
    <x v="32"/>
    <n v="521159"/>
    <n v="515673"/>
    <n v="410620"/>
    <n v="326107"/>
    <n v="0.79418196873021285"/>
    <n v="431531.57140277157"/>
    <n v="409538.19836101506"/>
    <n v="0.82400000000000007"/>
    <n v="424914.55200000003"/>
    <n v="0.58187262082753999"/>
    <n v="40378.593836150212"/>
    <n v="0.1101778474113851"/>
    <n v="366485.59383615019"/>
    <n v="47409.486805318797"/>
    <x v="2"/>
    <n v="5"/>
    <x v="0"/>
    <n v="1.7000000000000001E-2"/>
    <n v="8766.4410000000007"/>
    <n v="7.0000000000000001E-3"/>
    <n v="3020.7209998194012"/>
    <n v="6962.1493721372563"/>
    <n v="7223.5473840000013"/>
    <n v="2866.7673885271056"/>
    <n v="2866.7673885271056"/>
    <n v="2282.7490000000003"/>
    <n v="2565.3991568530514"/>
    <n v="0.2926386154715524"/>
    <s v="CNAT - deadpitch ages"/>
  </r>
  <r>
    <s v="Okanagan Sockeye"/>
    <s v="2010s"/>
    <x v="32"/>
    <n v="2008"/>
    <x v="34"/>
    <n v="521159"/>
    <n v="515673"/>
    <n v="410620"/>
    <n v="326107"/>
    <n v="0.79418196873021285"/>
    <n v="431531.57140277157"/>
    <n v="409538.19836101506"/>
    <n v="0.82400000000000007"/>
    <n v="424914.55200000003"/>
    <n v="0.58187262082753999"/>
    <n v="40378.593836150212"/>
    <n v="0.1101778474113851"/>
    <n v="366485.59383615019"/>
    <n v="47409.486805318797"/>
    <x v="3"/>
    <n v="4.0000000000000009"/>
    <x v="1"/>
    <n v="1E-3"/>
    <n v="515.673"/>
    <n v="7.0000000000000001E-3"/>
    <n v="3020.7209998194012"/>
    <n v="409.53819836101508"/>
    <n v="424.91455200000001"/>
    <n v="2866.7673885271056"/>
    <n v="2866.7673885271056"/>
    <n v="2282.7490000000003"/>
    <n v="2565.3991568530514"/>
    <n v="4.9748564630163914"/>
    <s v="CNAT - deadpitch ages"/>
  </r>
  <r>
    <s v="Okanagan Sockeye"/>
    <s v="2010s"/>
    <x v="32"/>
    <n v="2007"/>
    <x v="33"/>
    <n v="521159"/>
    <n v="515673"/>
    <n v="410620"/>
    <n v="326107"/>
    <n v="0.79418196873021285"/>
    <n v="431531.57140277157"/>
    <n v="409538.19836101506"/>
    <n v="0.82400000000000007"/>
    <n v="424914.55200000003"/>
    <n v="0.58187262082753999"/>
    <n v="40378.593836150212"/>
    <n v="0.1101778474113851"/>
    <n v="366485.59383615019"/>
    <n v="47409.486805318797"/>
    <x v="4"/>
    <n v="5.0000000000000018"/>
    <x v="1"/>
    <n v="6.0000000000000001E-3"/>
    <n v="3094.038"/>
    <n v="1.2E-2"/>
    <n v="5178.3788568332593"/>
    <n v="2457.2291901660906"/>
    <n v="2549.4873120000002"/>
    <n v="4914.4583803321812"/>
    <n v="4914.4583803321812"/>
    <n v="3913.2840000000001"/>
    <n v="4397.8271260338024"/>
    <n v="1.421387560861826"/>
    <s v="CNAT - deadpitch ages"/>
  </r>
  <r>
    <s v="Okanagan Sockeye"/>
    <s v="2010s"/>
    <x v="33"/>
    <n v="2010"/>
    <x v="35"/>
    <n v="186191"/>
    <n v="185505"/>
    <n v="159219"/>
    <n v="129993"/>
    <n v="0.81644150509675351"/>
    <n v="165847.31788638109"/>
    <n v="151453.98140297327"/>
    <n v="0.72"/>
    <n v="133563.6"/>
    <n v="0.60941214522519604"/>
    <n v="7155.2933506679474"/>
    <n v="5.2171945970723221E-2"/>
    <n v="137148.29335066795"/>
    <n v="14865.76692480169"/>
    <x v="0"/>
    <n v="3.0000000000000009"/>
    <x v="0"/>
    <n v="0.23499999999999999"/>
    <n v="43593.674999999996"/>
    <n v="0.17100000000000001"/>
    <n v="38974.119703299555"/>
    <n v="35591.685629698717"/>
    <n v="31387.446"/>
    <n v="25898.630819908431"/>
    <n v="25898.630819908431"/>
    <n v="22228.803"/>
    <n v="23452.358162964221"/>
    <n v="0.53797616656462721"/>
    <s v="Using Fryer, since SIRE age comp does not add up to 100%"/>
  </r>
  <r>
    <s v="Okanagan Sockeye"/>
    <s v="2010s"/>
    <x v="33"/>
    <n v="2009"/>
    <x v="34"/>
    <n v="186191"/>
    <n v="185505"/>
    <n v="159219"/>
    <n v="129993"/>
    <n v="0.81644150509675351"/>
    <n v="165847.31788638109"/>
    <n v="151453.98140297327"/>
    <n v="0.72"/>
    <n v="133563.6"/>
    <n v="0.60941214522519604"/>
    <n v="7155.2933506679474"/>
    <n v="5.2171945970723221E-2"/>
    <n v="137148.29335066795"/>
    <n v="14865.76692480169"/>
    <x v="1"/>
    <n v="3.9999999999999996"/>
    <x v="0"/>
    <n v="0.63400000000000001"/>
    <n v="117610.17"/>
    <n v="0.57299999999999995"/>
    <n v="105147.19953996562"/>
    <n v="96021.824209485058"/>
    <n v="84679.322400000005"/>
    <n v="86783.131343903675"/>
    <n v="86783.131343903675"/>
    <n v="74485.988999999987"/>
    <n v="78585.972089932737"/>
    <n v="0.66819027716678525"/>
    <s v="Using Fryer, since SIRE age comp does not add up to 100%"/>
  </r>
  <r>
    <s v="Okanagan Sockeye"/>
    <s v="2010s"/>
    <x v="33"/>
    <n v="2008"/>
    <x v="33"/>
    <n v="186191"/>
    <n v="185505"/>
    <n v="159219"/>
    <n v="129993"/>
    <n v="0.81644150509675351"/>
    <n v="165847.31788638109"/>
    <n v="151453.98140297327"/>
    <n v="0.72"/>
    <n v="133563.6"/>
    <n v="0.60941214522519604"/>
    <n v="7155.2933506679474"/>
    <n v="5.2171945970723221E-2"/>
    <n v="137148.29335066795"/>
    <n v="14865.76692480169"/>
    <x v="2"/>
    <n v="5"/>
    <x v="0"/>
    <n v="8.1000000000000003E-2"/>
    <n v="15025.905000000001"/>
    <n v="2.4E-2"/>
    <n v="13433.632748796868"/>
    <n v="12267.772493640836"/>
    <n v="10818.651600000001"/>
    <n v="3634.8955536713584"/>
    <n v="3634.8955536713584"/>
    <n v="3119.8319999999999"/>
    <n v="3291.5590404160312"/>
    <n v="0.21905895454656682"/>
    <s v="Using Fryer, since SIRE age comp does not add up to 100%"/>
  </r>
  <r>
    <s v="Okanagan Sockeye"/>
    <s v="2010s"/>
    <x v="33"/>
    <n v="2009"/>
    <x v="35"/>
    <n v="186191"/>
    <n v="185505"/>
    <n v="159219"/>
    <n v="129993"/>
    <n v="0.81644150509675351"/>
    <n v="165847.31788638109"/>
    <n v="151453.98140297327"/>
    <n v="0.72"/>
    <n v="133563.6"/>
    <n v="0.60941214522519604"/>
    <n v="7155.2933506679474"/>
    <n v="5.2171945970723221E-2"/>
    <n v="137148.29335066795"/>
    <n v="14865.76692480169"/>
    <x v="3"/>
    <n v="4.0000000000000009"/>
    <x v="1"/>
    <n v="0"/>
    <n v="0"/>
    <n v="1.2E-2"/>
    <n v="0"/>
    <n v="0"/>
    <n v="0"/>
    <n v="1817.4477768356792"/>
    <n v="1817.4477768356792"/>
    <n v="1559.9159999999999"/>
    <n v="1645.7795202080156"/>
    <n v="0"/>
    <s v="Using Fryer, since SIRE age comp does not add up to 100%"/>
  </r>
  <r>
    <s v="Okanagan Sockeye"/>
    <s v="2010s"/>
    <x v="33"/>
    <n v="2008"/>
    <x v="34"/>
    <n v="186191"/>
    <n v="185505"/>
    <n v="159219"/>
    <n v="129993"/>
    <n v="0.81644150509675351"/>
    <n v="165847.31788638109"/>
    <n v="151453.98140297327"/>
    <n v="0.72"/>
    <n v="133563.6"/>
    <n v="0.60941214522519604"/>
    <n v="7155.2933506679474"/>
    <n v="5.2171945970723221E-2"/>
    <n v="137148.29335066795"/>
    <n v="14865.76692480169"/>
    <x v="4"/>
    <n v="5.0000000000000018"/>
    <x v="1"/>
    <n v="0.05"/>
    <n v="9275.25"/>
    <n v="0.11"/>
    <n v="8292.3658943190549"/>
    <n v="7572.6990701486638"/>
    <n v="6678.18"/>
    <n v="16659.937954327059"/>
    <n v="16659.937954327059"/>
    <n v="14299.23"/>
    <n v="15086.312268573474"/>
    <n v="1.6265127375082584"/>
    <s v="Using Fryer, since SIRE age comp does not add up to 100%"/>
  </r>
  <r>
    <s v="Okanagan Sockeye"/>
    <s v="2010s"/>
    <x v="34"/>
    <n v="2011"/>
    <x v="36"/>
    <n v="651146"/>
    <n v="614179"/>
    <n v="581121"/>
    <n v="490804"/>
    <n v="0.84458142108097967"/>
    <n v="593094.14781643241"/>
    <n v="518724.17261809501"/>
    <n v="0.81100000000000017"/>
    <n v="498099.16900000011"/>
    <n v="0.72139881044451215"/>
    <n v="27398.221299866982"/>
    <n v="5.2871678610602699E-2"/>
    <n v="518202.22129986697"/>
    <n v="31743.592711328587"/>
    <x v="0"/>
    <n v="3.0000000000000009"/>
    <x v="0"/>
    <n v="0.17499999999999999"/>
    <n v="107481.325"/>
    <n v="8.2199999999999995E-2"/>
    <n v="48752.338950510741"/>
    <n v="90776.730208166628"/>
    <n v="87167.354575000019"/>
    <n v="42639.126989207405"/>
    <n v="42639.126989207405"/>
    <n v="40344.088799999998"/>
    <n v="42596.222590849065"/>
    <n v="0.39631277890227967"/>
    <s v="CNAT - deadpitch ages"/>
  </r>
  <r>
    <s v="Okanagan Sockeye"/>
    <s v="2010s"/>
    <x v="34"/>
    <n v="2010"/>
    <x v="35"/>
    <n v="651146"/>
    <n v="614179"/>
    <n v="581121"/>
    <n v="490804"/>
    <n v="0.84458142108097967"/>
    <n v="593094.14781643241"/>
    <n v="518724.17261809501"/>
    <n v="0.81100000000000017"/>
    <n v="498099.16900000011"/>
    <n v="0.72139881044451215"/>
    <n v="27398.221299866982"/>
    <n v="5.2871678610602699E-2"/>
    <n v="518202.22129986697"/>
    <n v="31743.592711328587"/>
    <x v="1"/>
    <n v="3.9999999999999996"/>
    <x v="0"/>
    <n v="0.81899999999999995"/>
    <n v="503012.60099999997"/>
    <n v="0.88400000000000001"/>
    <n v="524295.22666972619"/>
    <n v="424835.0973742198"/>
    <n v="407943.21941100009"/>
    <n v="458552.16859439597"/>
    <n v="458552.16859439597"/>
    <n v="433870.73599999998"/>
    <n v="458090.76362908242"/>
    <n v="0.91069440948077252"/>
    <s v="CNAT - deadpitch ages"/>
  </r>
  <r>
    <s v="Okanagan Sockeye"/>
    <s v="2010s"/>
    <x v="34"/>
    <n v="2009"/>
    <x v="34"/>
    <n v="651146"/>
    <n v="614179"/>
    <n v="581121"/>
    <n v="490804"/>
    <n v="0.84458142108097967"/>
    <n v="593094.14781643241"/>
    <n v="518724.17261809501"/>
    <n v="0.81100000000000017"/>
    <n v="498099.16900000011"/>
    <n v="0.72139881044451215"/>
    <n v="27398.221299866982"/>
    <n v="5.2871678610602699E-2"/>
    <n v="518202.22129986697"/>
    <n v="31743.592711328587"/>
    <x v="2"/>
    <n v="5"/>
    <x v="0"/>
    <n v="1E-3"/>
    <n v="614.17899999999997"/>
    <n v="0.03"/>
    <n v="17792.82443449297"/>
    <n v="518.72417261809505"/>
    <n v="498.09916900000013"/>
    <n v="15561.725178542849"/>
    <n v="15561.725178542849"/>
    <n v="14724.119999999999"/>
    <n v="15546.066638996008"/>
    <n v="25.311947557627352"/>
    <s v="CNAT - deadpitch ages"/>
  </r>
  <r>
    <s v="Okanagan Sockeye"/>
    <s v="2010s"/>
    <x v="34"/>
    <n v="2010"/>
    <x v="36"/>
    <n v="651146"/>
    <n v="614179"/>
    <n v="581121"/>
    <n v="490804"/>
    <n v="0.84458142108097967"/>
    <n v="593094.14781643241"/>
    <n v="518724.17261809501"/>
    <n v="0.81100000000000017"/>
    <n v="498099.16900000011"/>
    <n v="0.72139881044451215"/>
    <n v="27398.221299866982"/>
    <n v="5.2871678610602699E-2"/>
    <n v="518202.22129986697"/>
    <n v="31743.592711328587"/>
    <x v="3"/>
    <n v="4.0000000000000009"/>
    <x v="1"/>
    <n v="1E-3"/>
    <n v="614.17899999999997"/>
    <n v="0"/>
    <n v="0"/>
    <n v="518.72417261809505"/>
    <n v="498.09916900000013"/>
    <n v="0"/>
    <n v="0"/>
    <n v="0"/>
    <n v="0"/>
    <n v="0"/>
    <s v="CNAT - deadpitch ages"/>
  </r>
  <r>
    <s v="Okanagan Sockeye"/>
    <s v="2010s"/>
    <x v="34"/>
    <n v="2009"/>
    <x v="35"/>
    <n v="651146"/>
    <n v="614179"/>
    <n v="581121"/>
    <n v="490804"/>
    <n v="0.84458142108097967"/>
    <n v="593094.14781643241"/>
    <n v="518724.17261809501"/>
    <n v="0.81100000000000017"/>
    <n v="498099.16900000011"/>
    <n v="0.72139881044451215"/>
    <n v="27398.221299866982"/>
    <n v="5.2871678610602699E-2"/>
    <n v="518202.22129986697"/>
    <n v="31743.592711328587"/>
    <x v="4"/>
    <n v="5.0000000000000018"/>
    <x v="1"/>
    <n v="4.0000000000000001E-3"/>
    <n v="2456.7159999999999"/>
    <n v="4.0000000000000001E-3"/>
    <n v="2372.3765912657295"/>
    <n v="2074.8966904723802"/>
    <n v="1992.3966760000005"/>
    <n v="2074.8966904723802"/>
    <n v="2074.8966904723802"/>
    <n v="1963.2160000000001"/>
    <n v="2072.808885199468"/>
    <n v="0.84373158525424519"/>
    <s v="CNAT - deadpitch ages"/>
  </r>
  <r>
    <s v="Okanagan Sockeye"/>
    <s v="2010s"/>
    <x v="35"/>
    <n v="2012"/>
    <x v="37"/>
    <n v="512455"/>
    <n v="510706"/>
    <n v="264678"/>
    <n v="187055"/>
    <n v="0.70672666409750717"/>
    <n v="315034.60114804999"/>
    <n v="360929.54771458148"/>
    <n v="0.78400000000000003"/>
    <n v="400393.50400000002"/>
    <n v="0.30770932787161304"/>
    <n v="22362.24510537332"/>
    <n v="0.10678320734341253"/>
    <n v="209417.24510537332"/>
    <n v="152748.36754471471"/>
    <x v="0"/>
    <n v="3.0000000000000009"/>
    <x v="0"/>
    <n v="1E-3"/>
    <n v="510.70600000000002"/>
    <n v="2E-3"/>
    <n v="315.03460114805"/>
    <n v="360.92954771458147"/>
    <n v="400.39350400000001"/>
    <n v="721.85909542916295"/>
    <n v="721.85909542916295"/>
    <n v="374.11"/>
    <n v="418.83449021074665"/>
    <n v="0.82010881056957752"/>
    <s v="NB: 2015 was DEATH year for Columbia sox because of high temps"/>
  </r>
  <r>
    <s v="Okanagan Sockeye"/>
    <s v="2010s"/>
    <x v="35"/>
    <n v="2011"/>
    <x v="36"/>
    <n v="512455"/>
    <n v="510706"/>
    <n v="264678"/>
    <n v="187055"/>
    <n v="0.70672666409750717"/>
    <n v="315034.60114804999"/>
    <n v="360929.54771458148"/>
    <n v="0.78400000000000003"/>
    <n v="400393.50400000002"/>
    <n v="0.30770932787161304"/>
    <n v="22362.24510537332"/>
    <n v="0.10678320734341253"/>
    <n v="209417.24510537332"/>
    <n v="152748.36754471471"/>
    <x v="1"/>
    <n v="3.9999999999999996"/>
    <x v="0"/>
    <n v="0.97499999999999998"/>
    <n v="497938.35"/>
    <n v="0.94699999999999995"/>
    <n v="307158.73611934873"/>
    <n v="351906.30902171694"/>
    <n v="390383.66639999999"/>
    <n v="341800.28168570867"/>
    <n v="341800.28168570867"/>
    <n v="177141.08499999999"/>
    <n v="198318.13111478853"/>
    <n v="0.39827848390225123"/>
    <s v="mortalities between BON and Wells unknown"/>
  </r>
  <r>
    <s v="Okanagan Sockeye"/>
    <s v="2010s"/>
    <x v="35"/>
    <n v="2010"/>
    <x v="35"/>
    <n v="512455"/>
    <n v="510706"/>
    <n v="264678"/>
    <n v="187055"/>
    <n v="0.70672666409750717"/>
    <n v="315034.60114804999"/>
    <n v="360929.54771458148"/>
    <n v="0.78400000000000003"/>
    <n v="400393.50400000002"/>
    <n v="0.30770932787161304"/>
    <n v="22362.24510537332"/>
    <n v="0.10678320734341253"/>
    <n v="209417.24510537332"/>
    <n v="152748.36754471471"/>
    <x v="2"/>
    <n v="5"/>
    <x v="0"/>
    <n v="1E-3"/>
    <n v="510.70600000000002"/>
    <n v="0.03"/>
    <n v="315.03460114805"/>
    <n v="360.92954771458147"/>
    <n v="400.39350400000001"/>
    <n v="10827.886431437444"/>
    <n v="10827.886431437444"/>
    <n v="5611.65"/>
    <n v="6282.5173531611999"/>
    <n v="12.301632158543663"/>
    <m/>
  </r>
  <r>
    <s v="Okanagan Sockeye"/>
    <s v="2010s"/>
    <x v="35"/>
    <n v="2011"/>
    <x v="37"/>
    <n v="512455"/>
    <n v="510706"/>
    <n v="264678"/>
    <n v="187055"/>
    <n v="0.70672666409750717"/>
    <n v="315034.60114804999"/>
    <n v="360929.54771458148"/>
    <n v="0.78400000000000003"/>
    <n v="400393.50400000002"/>
    <n v="0.30770932787161304"/>
    <n v="22362.24510537332"/>
    <n v="0.10678320734341253"/>
    <n v="209417.24510537332"/>
    <n v="152748.36754471471"/>
    <x v="3"/>
    <n v="4.0000000000000009"/>
    <x v="1"/>
    <n v="0"/>
    <n v="0"/>
    <n v="3.0000000000000001E-3"/>
    <n v="0"/>
    <n v="0"/>
    <n v="0"/>
    <n v="1082.7886431437444"/>
    <n v="1082.7886431437444"/>
    <n v="561.16499999999996"/>
    <n v="628.25173531611995"/>
    <n v="0"/>
    <s v="~10% of Ok Sox returned to spawning grounds"/>
  </r>
  <r>
    <s v="Okanagan Sockeye"/>
    <s v="2010s"/>
    <x v="35"/>
    <n v="2010"/>
    <x v="36"/>
    <n v="512455"/>
    <n v="510706"/>
    <n v="264678"/>
    <n v="187055"/>
    <n v="0.70672666409750717"/>
    <n v="315034.60114804999"/>
    <n v="360929.54771458148"/>
    <n v="0.78400000000000003"/>
    <n v="400393.50400000002"/>
    <n v="0.30770932787161304"/>
    <n v="22362.24510537332"/>
    <n v="0.10678320734341253"/>
    <n v="209417.24510537332"/>
    <n v="152748.36754471471"/>
    <x v="4"/>
    <n v="5.0000000000000018"/>
    <x v="1"/>
    <n v="2.1999999999999999E-2"/>
    <n v="11235.531999999999"/>
    <n v="1E-3"/>
    <n v="6930.7612252570989"/>
    <n v="7940.4500497207919"/>
    <n v="8808.6570879999999"/>
    <n v="360.92954771458147"/>
    <n v="360.92954771458147"/>
    <n v="187.05500000000001"/>
    <n v="209.41724510537333"/>
    <n v="1.8638836603854035E-2"/>
    <s v="* sample sizes for ages extremely small - use Fryer age comp"/>
  </r>
  <r>
    <s v="Okanagan Sockeye"/>
    <s v="2010s"/>
    <x v="36"/>
    <n v="2013"/>
    <x v="38"/>
    <n v="356606"/>
    <n v="342498"/>
    <n v="310341"/>
    <n v="216036"/>
    <n v="0.69612458553655499"/>
    <n v="276403.91273155314"/>
    <n v="238421.27829709902"/>
    <n v="0.70099999999999996"/>
    <n v="240091.098"/>
    <n v="0.53644108870708729"/>
    <n v="12446.707589393603"/>
    <n v="5.4475490599321802E-2"/>
    <n v="228482.7075893936"/>
    <n v="19759.496360455116"/>
    <x v="0"/>
    <n v="3.0000000000000009"/>
    <x v="0"/>
    <n v="8.9999999999999993E-3"/>
    <n v="3082.482"/>
    <n v="0.01"/>
    <n v="2764.0391273155315"/>
    <n v="2145.7915046738913"/>
    <n v="2160.8198819999998"/>
    <n v="2384.2127829709902"/>
    <n v="2384.2127829709902"/>
    <n v="2160.36"/>
    <n v="2284.8270758939361"/>
    <n v="0.74122965710551958"/>
    <m/>
  </r>
  <r>
    <s v="Okanagan Sockeye"/>
    <s v="2010s"/>
    <x v="36"/>
    <n v="2012"/>
    <x v="37"/>
    <n v="356606"/>
    <n v="342498"/>
    <n v="310341"/>
    <n v="216036"/>
    <n v="0.69612458553655499"/>
    <n v="276403.91273155314"/>
    <n v="238421.27829709902"/>
    <n v="0.70099999999999996"/>
    <n v="240091.098"/>
    <n v="0.53644108870708729"/>
    <n v="12446.707589393603"/>
    <n v="5.4475490599321802E-2"/>
    <n v="228482.7075893936"/>
    <n v="19759.496360455116"/>
    <x v="1"/>
    <n v="3.9999999999999996"/>
    <x v="0"/>
    <n v="0.96"/>
    <n v="328798.08000000002"/>
    <n v="0.95699999999999996"/>
    <n v="264518.54448409635"/>
    <n v="228884.42716521505"/>
    <n v="230487.45408"/>
    <n v="228169.16333032376"/>
    <n v="228169.16333032376"/>
    <n v="206746.45199999999"/>
    <n v="218657.95116304967"/>
    <n v="0.66502198298435822"/>
    <s v="presuming SIRE age comp from Sp Grds in 2016"/>
  </r>
  <r>
    <s v="Okanagan Sockeye"/>
    <s v="2010s"/>
    <x v="36"/>
    <n v="2011"/>
    <x v="36"/>
    <n v="356606"/>
    <n v="342498"/>
    <n v="310341"/>
    <n v="216036"/>
    <n v="0.69612458553655499"/>
    <n v="276403.91273155314"/>
    <n v="238421.27829709902"/>
    <n v="0.70099999999999996"/>
    <n v="240091.098"/>
    <n v="0.53644108870708729"/>
    <n v="12446.707589393603"/>
    <n v="5.4475490599321802E-2"/>
    <n v="228482.7075893936"/>
    <n v="19759.496360455116"/>
    <x v="2"/>
    <n v="5"/>
    <x v="0"/>
    <n v="7.0000000000000001E-3"/>
    <n v="2397.4859999999999"/>
    <n v="2.5000000000000001E-2"/>
    <n v="6910.0978182888284"/>
    <n v="1668.9489480796931"/>
    <n v="1680.637686"/>
    <n v="5960.5319574274763"/>
    <n v="5960.5319574274763"/>
    <n v="5400.9000000000005"/>
    <n v="5712.0676897348403"/>
    <n v="2.3825238978391701"/>
    <m/>
  </r>
  <r>
    <s v="Okanagan Sockeye"/>
    <s v="2010s"/>
    <x v="36"/>
    <n v="2012"/>
    <x v="38"/>
    <n v="356606"/>
    <n v="342498"/>
    <n v="310341"/>
    <n v="216036"/>
    <n v="0.69612458553655499"/>
    <n v="276403.91273155314"/>
    <n v="238421.27829709902"/>
    <n v="0.70099999999999996"/>
    <n v="240091.098"/>
    <n v="0.53644108870708729"/>
    <n v="12446.707589393603"/>
    <n v="5.4475490599321802E-2"/>
    <n v="228482.7075893936"/>
    <n v="19759.496360455116"/>
    <x v="3"/>
    <n v="4.0000000000000009"/>
    <x v="1"/>
    <n v="0"/>
    <n v="0"/>
    <n v="3.0000000000000001E-3"/>
    <n v="829.21173819465946"/>
    <n v="0"/>
    <n v="0"/>
    <n v="715.26383489129705"/>
    <n v="715.26383489129705"/>
    <n v="648.10800000000006"/>
    <n v="685.44812276818084"/>
    <n v="0"/>
    <m/>
  </r>
  <r>
    <s v="Okanagan Sockeye"/>
    <s v="2010s"/>
    <x v="36"/>
    <n v="2011"/>
    <x v="37"/>
    <n v="356606"/>
    <n v="342498"/>
    <n v="310341"/>
    <n v="216036"/>
    <n v="0.69612458553655499"/>
    <n v="276403.91273155314"/>
    <n v="238421.27829709902"/>
    <n v="0.70099999999999996"/>
    <n v="240091.098"/>
    <n v="0.53644108870708729"/>
    <n v="12446.707589393603"/>
    <n v="5.4475490599321802E-2"/>
    <n v="228482.7075893936"/>
    <n v="19759.496360455116"/>
    <x v="4"/>
    <n v="5.0000000000000018"/>
    <x v="1"/>
    <n v="2.4E-2"/>
    <n v="8219.9519999999993"/>
    <n v="5.0000000000000001E-3"/>
    <n v="1382.0195636577657"/>
    <n v="5722.1106791303764"/>
    <n v="5762.1863519999997"/>
    <n v="1192.1063914854951"/>
    <n v="1192.1063914854951"/>
    <n v="1080.18"/>
    <n v="1142.4135379469681"/>
    <n v="0.13898056070728493"/>
    <m/>
  </r>
  <r>
    <s v="Okanagan Sockeye"/>
    <s v="2010s"/>
    <x v="37"/>
    <n v="2014"/>
    <x v="39"/>
    <n v="88263"/>
    <n v="87693"/>
    <n v="73218"/>
    <n v="42299"/>
    <n v="0.57771313065093288"/>
    <n v="55256.548993682518"/>
    <n v="50661.397566172258"/>
    <n v="0.59199999999999997"/>
    <n v="51914.255999999994"/>
    <n v="0.41873353631418697"/>
    <n v="2835.9937583654296"/>
    <n v="6.2833591460058624E-2"/>
    <n v="45134.993758365432"/>
    <n v="5855.7002922778556"/>
    <x v="0"/>
    <n v="3.0000000000000009"/>
    <x v="0"/>
    <n v="0.19"/>
    <n v="16661.670000000002"/>
    <n v="3.7999999999999999E-2"/>
    <n v="2099.7488617599356"/>
    <n v="9625.6655375727296"/>
    <n v="9863.7086399999989"/>
    <n v="1925.1331075145458"/>
    <n v="1925.1331075145458"/>
    <n v="1607.3619999999999"/>
    <n v="1715.1297628178863"/>
    <n v="0.10293864677537642"/>
    <s v="presuming SIRE age comp from Sp Grds in 2017"/>
  </r>
  <r>
    <s v="Okanagan Sockeye"/>
    <s v="2010s"/>
    <x v="37"/>
    <n v="2013"/>
    <x v="38"/>
    <n v="88263"/>
    <n v="87693"/>
    <n v="73218"/>
    <n v="42299"/>
    <n v="0.57771313065093288"/>
    <n v="55256.548993682518"/>
    <n v="50661.397566172258"/>
    <n v="0.59199999999999997"/>
    <n v="51914.255999999994"/>
    <n v="0.41873353631418697"/>
    <n v="2835.9937583654296"/>
    <n v="6.2833591460058624E-2"/>
    <n v="45134.993758365432"/>
    <n v="5855.7002922778556"/>
    <x v="1"/>
    <n v="3.9999999999999996"/>
    <x v="0"/>
    <n v="0.52700000000000002"/>
    <n v="46214.211000000003"/>
    <n v="0.75900000000000001"/>
    <n v="41939.72068620503"/>
    <n v="26698.556517372781"/>
    <n v="27358.812911999998"/>
    <n v="38452.000752724744"/>
    <n v="38452.000752724744"/>
    <n v="32104.940999999999"/>
    <n v="34257.460262599365"/>
    <n v="0.7412754544830239"/>
    <m/>
  </r>
  <r>
    <s v="Okanagan Sockeye"/>
    <s v="2010s"/>
    <x v="37"/>
    <n v="2012"/>
    <x v="37"/>
    <n v="88263"/>
    <n v="87693"/>
    <n v="73218"/>
    <n v="42299"/>
    <n v="0.57771313065093288"/>
    <n v="55256.548993682518"/>
    <n v="50661.397566172258"/>
    <n v="0.59199999999999997"/>
    <n v="51914.255999999994"/>
    <n v="0.41873353631418697"/>
    <n v="2835.9937583654296"/>
    <n v="6.2833591460058624E-2"/>
    <n v="45134.993758365432"/>
    <n v="5855.7002922778556"/>
    <x v="2"/>
    <n v="5"/>
    <x v="0"/>
    <n v="0.221"/>
    <n v="19380.152999999998"/>
    <n v="0.18099999999999999"/>
    <n v="10001.435367856535"/>
    <n v="11196.168862124068"/>
    <n v="11473.050576"/>
    <n v="9169.7129594771777"/>
    <n v="9169.7129594771777"/>
    <n v="7656.1189999999997"/>
    <n v="8169.4338702641426"/>
    <n v="0.42153608747382659"/>
    <m/>
  </r>
  <r>
    <s v="Okanagan Sockeye"/>
    <s v="2010s"/>
    <x v="37"/>
    <n v="2013"/>
    <x v="39"/>
    <n v="88263"/>
    <n v="87693"/>
    <n v="73218"/>
    <n v="42299"/>
    <n v="0.57771313065093288"/>
    <n v="55256.548993682518"/>
    <n v="50661.397566172258"/>
    <n v="0.59199999999999997"/>
    <n v="51914.255999999994"/>
    <n v="0.41873353631418697"/>
    <n v="2835.9937583654296"/>
    <n v="6.2833591460058624E-2"/>
    <n v="45134.993758365432"/>
    <n v="5855.7002922778556"/>
    <x v="3"/>
    <n v="4.0000000000000009"/>
    <x v="1"/>
    <n v="3.5999999999999997E-2"/>
    <n v="3156.9479999999999"/>
    <n v="1.4999999999999999E-2"/>
    <n v="828.84823490523775"/>
    <n v="1823.8103123822011"/>
    <n v="1868.9132159999997"/>
    <n v="759.92096349258384"/>
    <n v="759.92096349258384"/>
    <n v="634.48500000000001"/>
    <n v="677.02490637548146"/>
    <n v="0.21445551411536759"/>
    <m/>
  </r>
  <r>
    <s v="Okanagan Sockeye"/>
    <s v="2010s"/>
    <x v="37"/>
    <n v="2012"/>
    <x v="38"/>
    <n v="88263"/>
    <n v="87693"/>
    <n v="73218"/>
    <n v="42299"/>
    <n v="0.57771313065093288"/>
    <n v="55256.548993682518"/>
    <n v="50661.397566172258"/>
    <n v="0.59199999999999997"/>
    <n v="51914.255999999994"/>
    <n v="0.41873353631418697"/>
    <n v="2835.9937583654296"/>
    <n v="6.2833591460058624E-2"/>
    <n v="45134.993758365432"/>
    <n v="5855.7002922778556"/>
    <x v="4"/>
    <n v="5.0000000000000018"/>
    <x v="1"/>
    <n v="2.1999999999999999E-2"/>
    <n v="1929.2459999999999"/>
    <n v="7.0000000000000001E-3"/>
    <n v="386.79584295577763"/>
    <n v="1114.5507464557895"/>
    <n v="1142.1136319999998"/>
    <n v="354.6297829632058"/>
    <n v="354.6297829632058"/>
    <n v="296.09300000000002"/>
    <n v="315.94495630855801"/>
    <n v="0.16376602896082615"/>
    <m/>
  </r>
  <r>
    <s v="Okanagan Sockeye"/>
    <s v="2010s"/>
    <x v="37"/>
    <n v="2011"/>
    <x v="37"/>
    <n v="88263"/>
    <n v="87693"/>
    <n v="73218"/>
    <n v="42299"/>
    <n v="0.57771313065093288"/>
    <n v="55256.548993682518"/>
    <n v="50661.397566172258"/>
    <n v="0.59199999999999997"/>
    <n v="51914.255999999994"/>
    <n v="0.41873353631418697"/>
    <n v="2835.9937583654296"/>
    <n v="6.2833591460058624E-2"/>
    <n v="45134.993758365432"/>
    <n v="5855.7002922778556"/>
    <x v="5"/>
    <n v="5.9999999999999982"/>
    <x v="1"/>
    <n v="4.0000000000000001E-3"/>
    <n v="350.77199999999999"/>
    <n v="0"/>
    <n v="0"/>
    <n v="202.64559026468905"/>
    <n v="207.65702399999998"/>
    <n v="0"/>
    <n v="0"/>
    <n v="0"/>
    <n v="0"/>
    <n v="0"/>
    <m/>
  </r>
  <r>
    <s v="Okanagan Sockeye"/>
    <s v="2010s"/>
    <x v="38"/>
    <n v="2015"/>
    <x v="40"/>
    <n v="210915"/>
    <n v="193816"/>
    <n v="172009"/>
    <n v="153637"/>
    <n v="0.89319163532140755"/>
    <n v="204657.39208029202"/>
    <n v="173114.82999145394"/>
    <n v="0.90199999999999991"/>
    <n v="174822.03199999998"/>
    <n v="0.66951128905766288"/>
    <n v="6999.0496543785493"/>
    <n v="4.3570852678695537E-2"/>
    <n v="160636.04965437856"/>
    <n v="27751.464109436114"/>
    <x v="0"/>
    <n v="3.0000000000000009"/>
    <x v="0"/>
    <n v="4.0000000000000001E-3"/>
    <n v="775.26400000000001"/>
    <n v="2.5999999999999999E-3"/>
    <n v="532.10921940875926"/>
    <n v="692.45931996581578"/>
    <n v="699.28812799999992"/>
    <n v="450.09855797778022"/>
    <n v="450.09855797778022"/>
    <n v="399.45619999999997"/>
    <n v="417.65372910138422"/>
    <n v="0.53872452364792411"/>
    <s v="based on deadpitch of natural spawners in &quot;2018 Deadpiitch Adult Sockeye BioData.xlsx 10/21/2020"/>
  </r>
  <r>
    <s v="Okanagan Sockeye"/>
    <s v="2010s"/>
    <x v="38"/>
    <n v="2014"/>
    <x v="39"/>
    <n v="210915"/>
    <n v="193816"/>
    <n v="172009"/>
    <n v="153637"/>
    <n v="0.89319163532140755"/>
    <n v="204657.39208029202"/>
    <n v="173114.82999145394"/>
    <n v="0.90199999999999991"/>
    <n v="174822.03199999998"/>
    <n v="0.66951128905766288"/>
    <n v="6999.0496543785493"/>
    <n v="4.3570852678695537E-2"/>
    <n v="160636.04965437856"/>
    <n v="27751.464109436114"/>
    <x v="1"/>
    <n v="3.9999999999999996"/>
    <x v="0"/>
    <n v="0.95599999999999996"/>
    <n v="185288.09599999999"/>
    <n v="0.97099999999999997"/>
    <n v="198722.32770996355"/>
    <n v="165497.77747182996"/>
    <n v="167129.86259199996"/>
    <n v="168094.49992170176"/>
    <n v="168094.49992170176"/>
    <n v="149181.527"/>
    <n v="155977.60421440157"/>
    <n v="0.84181125275528534"/>
    <s v="based on deadpitch of natural spawners in &quot;2018 Deadpiitch Adult Sockeye BioData.xlsx 10/21/2021"/>
  </r>
  <r>
    <s v="Okanagan Sockeye"/>
    <s v="2010s"/>
    <x v="38"/>
    <n v="2013"/>
    <x v="38"/>
    <n v="210915"/>
    <n v="193816"/>
    <n v="172009"/>
    <n v="153637"/>
    <n v="0.89319163532140755"/>
    <n v="204657.39208029202"/>
    <n v="173114.82999145394"/>
    <n v="0.90199999999999991"/>
    <n v="174822.03199999998"/>
    <n v="0.66951128905766288"/>
    <n v="6999.0496543785493"/>
    <n v="4.3570852678695537E-2"/>
    <n v="160636.04965437856"/>
    <n v="27751.464109436114"/>
    <x v="2"/>
    <n v="5"/>
    <x v="0"/>
    <n v="1.0999999999999999E-2"/>
    <n v="2131.9759999999997"/>
    <n v="2.1000000000000001E-2"/>
    <n v="4297.8052336861329"/>
    <n v="1904.2631299059933"/>
    <n v="1923.0423519999997"/>
    <n v="3635.4114298205332"/>
    <n v="3635.4114298205332"/>
    <n v="3226.3770000000004"/>
    <n v="3373.35704274195"/>
    <n v="1.5822678316932042"/>
    <s v="based on deadpitch of natural spawners in &quot;2018 Deadpiitch Adult Sockeye BioData.xlsx 10/21/2022"/>
  </r>
  <r>
    <s v="Okanagan Sockeye"/>
    <s v="2010s"/>
    <x v="38"/>
    <n v="2014"/>
    <x v="40"/>
    <n v="210915"/>
    <n v="193816"/>
    <n v="172009"/>
    <n v="153637"/>
    <n v="0.89319163532140755"/>
    <n v="204657.39208029202"/>
    <n v="173114.82999145394"/>
    <n v="0.90199999999999991"/>
    <n v="174822.03199999998"/>
    <n v="0.66951128905766288"/>
    <n v="6999.0496543785493"/>
    <n v="4.3570852678695537E-2"/>
    <n v="160636.04965437856"/>
    <n v="27751.464109436114"/>
    <x v="3"/>
    <n v="4.0000000000000009"/>
    <x v="1"/>
    <n v="2.1999999999999999E-2"/>
    <n v="4263.9519999999993"/>
    <n v="2.5999999999999999E-3"/>
    <n v="532.10921940875926"/>
    <n v="3808.5262598119866"/>
    <n v="3846.0847039999994"/>
    <n v="450.09855797778022"/>
    <n v="450.09855797778022"/>
    <n v="399.45619999999997"/>
    <n v="417.65372910138422"/>
    <n v="9.7949913390531662E-2"/>
    <s v="based on deadpitch of natural spawners in &quot;2018 Deadpiitch Adult Sockeye BioData.xlsx 10/21/2023"/>
  </r>
  <r>
    <s v="Okanagan Sockeye"/>
    <s v="2010s"/>
    <x v="38"/>
    <n v="2013"/>
    <x v="39"/>
    <n v="210915"/>
    <n v="193816"/>
    <n v="172009"/>
    <n v="153637"/>
    <n v="0.89319163532140755"/>
    <n v="204657.39208029202"/>
    <n v="173114.82999145394"/>
    <n v="0.90199999999999991"/>
    <n v="174822.03199999998"/>
    <n v="0.66951128905766288"/>
    <n v="6999.0496543785493"/>
    <n v="4.3570852678695537E-2"/>
    <n v="160636.04965437856"/>
    <n v="27751.464109436114"/>
    <x v="4"/>
    <n v="5.0000000000000018"/>
    <x v="1"/>
    <n v="6.0000000000000001E-3"/>
    <n v="1162.896"/>
    <n v="2.5999999999999999E-3"/>
    <n v="532.10921940875926"/>
    <n v="1038.6889799487237"/>
    <n v="1048.932192"/>
    <n v="450.09855797778022"/>
    <n v="450.09855797778022"/>
    <n v="399.45619999999997"/>
    <n v="417.65372910138422"/>
    <n v="0.35914968243194939"/>
    <s v="based on deadpitch of natural spawners in &quot;2018 Deadpiitch Adult Sockeye BioData.xlsx 10/21/2024"/>
  </r>
  <r>
    <s v="Okanagan Sockeye"/>
    <s v="2010s"/>
    <x v="39"/>
    <n v="2016"/>
    <x v="41"/>
    <n v="63222"/>
    <n v="63046"/>
    <n v="58562"/>
    <n v="49862"/>
    <n v="0.85143950001707591"/>
    <n v="60959.021714014452"/>
    <n v="53679.854718076567"/>
    <n v="0.85500000000000009"/>
    <n v="53904.330000000009"/>
    <n v="0.66840085017288964"/>
    <n v="986.81838051979094"/>
    <n v="1.9406908792552031E-2"/>
    <n v="50848.818380519791"/>
    <n v="2980.8896895597791"/>
    <x v="0"/>
    <n v="3.0000000000000009"/>
    <x v="0"/>
    <n v="0.54300000000000004"/>
    <n v="34233.978000000003"/>
    <n v="0.185"/>
    <n v="11277.419017092674"/>
    <n v="29148.161111915579"/>
    <n v="29270.051190000006"/>
    <n v="9930.7731228441644"/>
    <n v="9930.7731228441644"/>
    <n v="9224.4699999999993"/>
    <n v="9407.0314003961612"/>
    <n v="0.27478639497858415"/>
    <s v="Mean %OK = 85.7% from CNAT_Escapement Units _2020.xlsx!%Okanagan - avg of Wells/RIS &amp; RRH/RIS estimates [HS July 2020]"/>
  </r>
  <r>
    <s v="Okanagan Sockeye"/>
    <s v="2010s"/>
    <x v="39"/>
    <n v="2015"/>
    <x v="40"/>
    <n v="63222"/>
    <n v="63046"/>
    <n v="58562"/>
    <n v="49862"/>
    <n v="0.85143950001707591"/>
    <n v="60959.021714014452"/>
    <n v="53679.854718076567"/>
    <n v="0.85500000000000009"/>
    <n v="53904.330000000009"/>
    <n v="0.66840085017288964"/>
    <n v="986.81838051979094"/>
    <n v="1.9406908792552031E-2"/>
    <n v="50848.818380519791"/>
    <n v="2980.8896895597791"/>
    <x v="1"/>
    <n v="3.9999999999999996"/>
    <x v="0"/>
    <n v="0.17199999999999999"/>
    <n v="10843.911999999998"/>
    <n v="0.54200000000000004"/>
    <n v="33039.789768995834"/>
    <n v="9232.9350115091693"/>
    <n v="9271.5447600000007"/>
    <n v="29094.481257197502"/>
    <n v="29094.481257197502"/>
    <n v="27025.204000000002"/>
    <n v="27560.059562241728"/>
    <n v="2.541523719690987"/>
    <s v="Fryer's sampling at BON -- 85% OK; 11% Wenatchee; 4% other [prelim. 14/09/2020]"/>
  </r>
  <r>
    <s v="Okanagan Sockeye"/>
    <s v="2010s"/>
    <x v="39"/>
    <n v="2014"/>
    <x v="39"/>
    <n v="63222"/>
    <n v="63046"/>
    <n v="58562"/>
    <n v="49862"/>
    <n v="0.85143950001707591"/>
    <n v="60959.021714014452"/>
    <n v="53679.854718076567"/>
    <n v="0.85500000000000009"/>
    <n v="53904.330000000009"/>
    <n v="0.66840085017288964"/>
    <n v="986.81838051979094"/>
    <n v="1.9406908792552031E-2"/>
    <n v="50848.818380519791"/>
    <n v="2980.8896895597791"/>
    <x v="2"/>
    <n v="5"/>
    <x v="0"/>
    <n v="0.224"/>
    <n v="14122.304"/>
    <n v="0.26700000000000002"/>
    <n v="16276.058797641859"/>
    <n v="12024.287456849152"/>
    <n v="12074.569920000002"/>
    <n v="14332.521209726445"/>
    <n v="14332.521209726445"/>
    <n v="13313.154"/>
    <n v="13576.634507598785"/>
    <n v="0.96136115662138311"/>
    <m/>
  </r>
  <r>
    <s v="Okanagan Sockeye"/>
    <s v="2010s"/>
    <x v="39"/>
    <n v="2015"/>
    <x v="41"/>
    <n v="63222"/>
    <n v="63046"/>
    <n v="58562"/>
    <n v="49862"/>
    <n v="0.85143950001707591"/>
    <n v="60959.021714014452"/>
    <n v="53679.854718076567"/>
    <n v="0.85500000000000009"/>
    <n v="53904.330000000009"/>
    <n v="0.66840085017288964"/>
    <n v="986.81838051979094"/>
    <n v="1.9406908792552031E-2"/>
    <n v="50848.818380519791"/>
    <n v="2980.8896895597791"/>
    <x v="3"/>
    <n v="4.0000000000000009"/>
    <x v="1"/>
    <n v="1.2E-2"/>
    <n v="756.55200000000002"/>
    <n v="2E-3"/>
    <n v="121.91804342802891"/>
    <n v="644.15825661691883"/>
    <n v="646.85196000000008"/>
    <n v="107.35970943615314"/>
    <n v="107.35970943615314"/>
    <n v="99.724000000000004"/>
    <n v="101.69763676103959"/>
    <n v="0.13442253375979388"/>
    <s v="Ages for 2019 Return year are from Fryer's sampling at BON [prelim, report not finalized, 14/09/2020]"/>
  </r>
  <r>
    <s v="Okanagan Sockeye"/>
    <s v="2010s"/>
    <x v="39"/>
    <n v="2014"/>
    <x v="40"/>
    <n v="63222"/>
    <n v="63046"/>
    <n v="58562"/>
    <n v="49862"/>
    <n v="0.85143950001707591"/>
    <n v="60959.021714014452"/>
    <n v="53679.854718076567"/>
    <n v="0.85500000000000009"/>
    <n v="53904.330000000009"/>
    <n v="0.66840085017288964"/>
    <n v="986.81838051979094"/>
    <n v="1.9406908792552031E-2"/>
    <n v="50848.818380519791"/>
    <n v="2980.8896895597791"/>
    <x v="4"/>
    <n v="5.0000000000000018"/>
    <x v="1"/>
    <n v="4.8000000000000001E-2"/>
    <n v="3026.2080000000001"/>
    <n v="4.0000000000000001E-3"/>
    <n v="243.83608685605782"/>
    <n v="2576.6330264676753"/>
    <n v="2587.4078400000003"/>
    <n v="214.71941887230628"/>
    <n v="214.71941887230628"/>
    <n v="199.44800000000001"/>
    <n v="203.39527352207918"/>
    <n v="6.7211266879896939E-2"/>
    <s v="Ages for 2019 now from deadpitch [11/3/2020]"/>
  </r>
  <r>
    <s v="Okanagan Sockeye"/>
    <s v="2010s"/>
    <x v="39"/>
    <n v="2013"/>
    <x v="39"/>
    <n v="63222"/>
    <n v="63046"/>
    <n v="58562"/>
    <n v="49862"/>
    <n v="0.85143950001707591"/>
    <n v="60959.021714014452"/>
    <n v="53679.854718076567"/>
    <n v="0.85500000000000009"/>
    <n v="53904.330000000009"/>
    <n v="0.66840085017288964"/>
    <n v="986.81838051979094"/>
    <n v="1.9406908792552031E-2"/>
    <n v="50848.818380519791"/>
    <n v="2980.8896895597791"/>
    <x v="5"/>
    <n v="5.9999999999999982"/>
    <x v="1"/>
    <n v="1E-3"/>
    <n v="63.045999999999999"/>
    <n v="0"/>
    <n v="0"/>
    <n v="53.679854718076569"/>
    <n v="53.904330000000009"/>
    <s v=""/>
    <n v="0"/>
    <n v="0"/>
    <n v="0"/>
    <n v="0"/>
    <m/>
  </r>
  <r>
    <s v="Okanagan Sockeye"/>
    <s v="2010s"/>
    <x v="40"/>
    <n v="2017"/>
    <x v="42"/>
    <n v="345018"/>
    <n v="341739"/>
    <n v="280440"/>
    <n v="226107"/>
    <n v="0.80625802310654682"/>
    <n v="297055.82899379538"/>
    <n v="275529.81055840821"/>
    <n v="0.80700000000000005"/>
    <n v="275783.37300000002"/>
    <n v="0.58122426764285029"/>
    <n v="15008.493100128369"/>
    <n v="6.224607513668054E-2"/>
    <n v="241115.49310012837"/>
    <n v="37058.037516046199"/>
    <x v="0"/>
    <n v="3.0000000000000009"/>
    <x v="0"/>
    <n v="8.9999999999999993E-3"/>
    <n v="3075.6509999999998"/>
    <m/>
    <n v="2673.5024609441584"/>
    <n v="2479.7682950256735"/>
    <n v="2482.0503570000001"/>
    <s v=""/>
    <n v="2479.7682950256735"/>
    <n v="0"/>
    <n v="0"/>
    <n v="0"/>
    <s v="Age comp not yet available from ONA?  Use JF's biosampling estimates from Bonneville"/>
  </r>
  <r>
    <s v="Okanagan Sockeye"/>
    <s v="2010s"/>
    <x v="40"/>
    <n v="2016"/>
    <x v="41"/>
    <n v="345018"/>
    <n v="341739"/>
    <n v="280440"/>
    <n v="226107"/>
    <n v="0.80625802310654682"/>
    <n v="297055.82899379538"/>
    <n v="275529.81055840821"/>
    <n v="0.80700000000000005"/>
    <n v="275783.37300000002"/>
    <n v="0.58122426764285029"/>
    <n v="15008.493100128369"/>
    <n v="6.224607513668054E-2"/>
    <n v="241115.49310012837"/>
    <n v="37058.037516046199"/>
    <x v="1"/>
    <n v="3.9999999999999996"/>
    <x v="0"/>
    <n v="0.98599999999999999"/>
    <n v="336954.65399999998"/>
    <m/>
    <n v="292897.04738788225"/>
    <n v="271672.39321059047"/>
    <n v="271922.40577800001"/>
    <s v=""/>
    <n v="271672.39321059047"/>
    <n v="0"/>
    <n v="0"/>
    <n v="0"/>
    <n v="275.5298105584082"/>
  </r>
  <r>
    <s v="Okanagan Sockeye"/>
    <s v="2010s"/>
    <x v="40"/>
    <n v="2015"/>
    <x v="40"/>
    <n v="345018"/>
    <n v="341739"/>
    <n v="280440"/>
    <n v="226107"/>
    <n v="0.80625802310654682"/>
    <n v="297055.82899379538"/>
    <n v="275529.81055840821"/>
    <n v="0.80700000000000005"/>
    <n v="275783.37300000002"/>
    <n v="0.58122426764285029"/>
    <n v="15008.493100128369"/>
    <n v="6.224607513668054E-2"/>
    <n v="241115.49310012837"/>
    <n v="37058.037516046199"/>
    <x v="2"/>
    <n v="5"/>
    <x v="0"/>
    <n v="2E-3"/>
    <n v="683.47800000000007"/>
    <m/>
    <n v="594.11165798759077"/>
    <n v="551.0596211168164"/>
    <n v="551.56674600000008"/>
    <s v=""/>
    <n v="551.0596211168164"/>
    <n v="0"/>
    <n v="0"/>
    <n v="0"/>
    <n v="271396.8634000321"/>
  </r>
  <r>
    <s v="Okanagan Sockeye"/>
    <s v="2010s"/>
    <x v="40"/>
    <n v="2016"/>
    <x v="42"/>
    <n v="345018"/>
    <n v="341739"/>
    <n v="280440"/>
    <n v="226107"/>
    <n v="0.80625802310654682"/>
    <n v="297055.82899379538"/>
    <n v="275529.81055840821"/>
    <n v="0.80700000000000005"/>
    <n v="275783.37300000002"/>
    <n v="0.58122426764285029"/>
    <n v="15008.493100128369"/>
    <n v="6.224607513668054E-2"/>
    <n v="241115.49310012837"/>
    <n v="37058.037516046199"/>
    <x v="3"/>
    <n v="4.0000000000000009"/>
    <x v="1"/>
    <n v="1E-3"/>
    <n v="341.73900000000003"/>
    <m/>
    <n v="297.05582899379539"/>
    <n v="275.5298105584082"/>
    <n v="275.78337300000004"/>
    <s v=""/>
    <n v="275.5298105584082"/>
    <n v="0"/>
    <n v="0"/>
    <n v="0"/>
    <n v="0"/>
  </r>
  <r>
    <s v="Okanagan Sockeye"/>
    <s v="2010s"/>
    <x v="40"/>
    <n v="2015"/>
    <x v="41"/>
    <n v="345018"/>
    <n v="341739"/>
    <n v="280440"/>
    <n v="226107"/>
    <n v="0.80625802310654682"/>
    <n v="297055.82899379538"/>
    <n v="275529.81055840821"/>
    <n v="0.80700000000000005"/>
    <n v="275783.37300000002"/>
    <n v="0.58122426764285029"/>
    <n v="15008.493100128369"/>
    <n v="6.224607513668054E-2"/>
    <n v="241115.49310012837"/>
    <n v="37058.037516046199"/>
    <x v="4"/>
    <n v="5.0000000000000018"/>
    <x v="1"/>
    <n v="2E-3"/>
    <n v="683.47800000000007"/>
    <m/>
    <n v="594.11165798759077"/>
    <n v="551.0596211168164"/>
    <n v="551.56674600000008"/>
    <s v=""/>
    <n v="551.0596211168164"/>
    <n v="0"/>
    <n v="0"/>
    <n v="0"/>
    <n v="275.5298105584082"/>
  </r>
  <r>
    <s v="Okanagan Sockeye"/>
    <s v="2010s"/>
    <x v="40"/>
    <n v="2014"/>
    <x v="40"/>
    <n v="345018"/>
    <n v="341739"/>
    <n v="280440"/>
    <n v="226107"/>
    <n v="0.80625802310654682"/>
    <n v="297055.82899379538"/>
    <n v="275529.81055840821"/>
    <n v="0.80700000000000005"/>
    <n v="275783.37300000002"/>
    <n v="0.58122426764285029"/>
    <n v="15008.493100128369"/>
    <n v="6.224607513668054E-2"/>
    <n v="241115.49310012837"/>
    <n v="37058.037516046199"/>
    <x v="5"/>
    <n v="5.9999999999999982"/>
    <x v="1"/>
    <n v="0"/>
    <n v="0"/>
    <m/>
    <n v="0"/>
    <n v="0"/>
    <n v="0"/>
    <s v=""/>
    <n v="0"/>
    <n v="0"/>
    <n v="0"/>
    <n v="0"/>
    <n v="551.0596211168164"/>
  </r>
  <r>
    <s v="Okanagan Sockeye"/>
    <s v="2020s"/>
    <x v="41"/>
    <n v="2018"/>
    <x v="43"/>
    <n v="152309"/>
    <n v="151765"/>
    <n v="109367"/>
    <n v="76255"/>
    <n v="0.69723956952279942"/>
    <n v="110834.91467090861"/>
    <n v="105816.56326862765"/>
    <n v="0.69262486130169598"/>
    <n v="105116.21207545188"/>
    <n v="0.42193522880769613"/>
    <n v="7026.7803816507721"/>
    <n v="8.4373561053204413E-2"/>
    <n v="83281.780381650766"/>
    <n v="22914.081212797289"/>
    <x v="0"/>
    <n v="3.0000000000000009"/>
    <x v="0"/>
    <n v="0.253"/>
    <n v="38396.544999999998"/>
    <m/>
    <n v="28041.233411739879"/>
    <n v="26771.590506962795"/>
    <n v="26594.401655089328"/>
    <s v=""/>
    <n v="26771.590506962795"/>
    <n v="0"/>
    <n v="0"/>
    <n v="0"/>
    <s v="Age comp not yet available from ONA?  Use JF's estimates"/>
  </r>
  <r>
    <s v="Okanagan Sockeye"/>
    <s v="2010s"/>
    <x v="41"/>
    <n v="2017"/>
    <x v="42"/>
    <n v="152309"/>
    <n v="151765"/>
    <n v="109367"/>
    <n v="76255"/>
    <n v="0.69723956952279942"/>
    <n v="110834.91467090861"/>
    <n v="105816.56326862765"/>
    <n v="0.69262486130169598"/>
    <n v="105116.21207545188"/>
    <n v="0.42193522880769613"/>
    <n v="7026.7803816507721"/>
    <n v="8.4373561053204413E-2"/>
    <n v="83281.780381650766"/>
    <n v="22914.081212797289"/>
    <x v="1"/>
    <n v="3.9999999999999996"/>
    <x v="0"/>
    <n v="0.59799999999999998"/>
    <n v="90755.47"/>
    <m/>
    <n v="66279.278973203342"/>
    <n v="63278.304834639333"/>
    <n v="62859.494821120221"/>
    <s v=""/>
    <n v="63278.304834639333"/>
    <n v="0"/>
    <n v="0"/>
    <n v="0"/>
    <m/>
  </r>
  <r>
    <s v="Okanagan Sockeye"/>
    <s v="2010s"/>
    <x v="41"/>
    <n v="2016"/>
    <x v="41"/>
    <n v="152309"/>
    <n v="151765"/>
    <n v="109367"/>
    <n v="76255"/>
    <n v="0.69723956952279942"/>
    <n v="110834.91467090861"/>
    <n v="105816.56326862765"/>
    <n v="0.69262486130169598"/>
    <n v="105116.21207545188"/>
    <n v="0.42193522880769613"/>
    <n v="7026.7803816507721"/>
    <n v="8.4373561053204413E-2"/>
    <n v="83281.780381650766"/>
    <n v="22914.081212797289"/>
    <x v="2"/>
    <n v="5"/>
    <x v="0"/>
    <n v="0.114"/>
    <n v="17301.21"/>
    <m/>
    <n v="12635.180272483582"/>
    <n v="12063.088212623552"/>
    <n v="11983.248176601515"/>
    <s v=""/>
    <n v="12063.088212623552"/>
    <n v="0"/>
    <n v="0"/>
    <n v="0"/>
    <m/>
  </r>
  <r>
    <s v="Okanagan Sockeye"/>
    <s v="2020s"/>
    <x v="41"/>
    <n v="2017"/>
    <x v="43"/>
    <n v="152309"/>
    <n v="151765"/>
    <n v="109367"/>
    <n v="76255"/>
    <n v="0.69723956952279942"/>
    <n v="110834.91467090861"/>
    <n v="105816.56326862765"/>
    <n v="0.69262486130169598"/>
    <n v="105116.21207545188"/>
    <n v="0.42193522880769613"/>
    <n v="7026.7803816507721"/>
    <n v="8.4373561053204413E-2"/>
    <n v="83281.780381650766"/>
    <n v="22914.081212797289"/>
    <x v="3"/>
    <n v="4.0000000000000009"/>
    <x v="1"/>
    <n v="0.03"/>
    <n v="4552.95"/>
    <m/>
    <n v="3325.0474401272581"/>
    <n v="3174.4968980588296"/>
    <n v="3153.4863622635562"/>
    <s v=""/>
    <n v="3174.4968980588296"/>
    <n v="0"/>
    <n v="0"/>
    <n v="0"/>
    <m/>
  </r>
  <r>
    <s v="Okanagan Sockeye"/>
    <s v="2010s"/>
    <x v="41"/>
    <n v="2016"/>
    <x v="42"/>
    <n v="152309"/>
    <n v="151765"/>
    <n v="109367"/>
    <n v="76255"/>
    <n v="0.69723956952279942"/>
    <n v="110834.91467090861"/>
    <n v="105816.56326862765"/>
    <n v="0.69262486130169598"/>
    <n v="105116.21207545188"/>
    <n v="0.42193522880769613"/>
    <n v="7026.7803816507721"/>
    <n v="8.4373561053204413E-2"/>
    <n v="83281.780381650766"/>
    <n v="22914.081212797289"/>
    <x v="4"/>
    <n v="5.0000000000000018"/>
    <x v="1"/>
    <n v="5.0000000000000001E-3"/>
    <n v="758.82500000000005"/>
    <m/>
    <n v="554.17457335454299"/>
    <n v="529.08281634313823"/>
    <n v="525.5810603772594"/>
    <s v=""/>
    <n v="529.08281634313823"/>
    <n v="0"/>
    <n v="0"/>
    <n v="0"/>
    <m/>
  </r>
  <r>
    <s v="Okanagan Sockeye"/>
    <s v="2010s"/>
    <x v="41"/>
    <n v="2015"/>
    <x v="41"/>
    <n v="152309"/>
    <n v="151765"/>
    <n v="109367"/>
    <n v="76255"/>
    <n v="0.69723956952279942"/>
    <n v="110834.91467090861"/>
    <n v="105816.56326862765"/>
    <n v="0.69262486130169598"/>
    <n v="105116.21207545188"/>
    <n v="0.42193522880769613"/>
    <n v="7026.7803816507721"/>
    <n v="8.4373561053204413E-2"/>
    <n v="83281.780381650766"/>
    <n v="22914.081212797289"/>
    <x v="5"/>
    <n v="5.9999999999999982"/>
    <x v="1"/>
    <n v="0"/>
    <n v="0"/>
    <m/>
    <n v="0"/>
    <n v="0"/>
    <n v="0"/>
    <s v=""/>
    <n v="0"/>
    <n v="0"/>
    <n v="0"/>
    <n v="0"/>
    <m/>
  </r>
  <r>
    <s v="Okanagan Sockeye"/>
    <s v="2020s"/>
    <x v="42"/>
    <n v="2019"/>
    <x v="44"/>
    <n v="663253"/>
    <n v="663253"/>
    <n v="659933"/>
    <n v="478415"/>
    <n v="0.72494480500293212"/>
    <n v="537298.58440745843"/>
    <n v="480821.81675260974"/>
    <n v="0"/>
    <n v="480821.81675260974"/>
    <n v="0.63571819501758753"/>
    <n v="0"/>
    <n v="0"/>
    <n v="478415"/>
    <n v="0"/>
    <x v="0"/>
    <n v="3.0000000000000009"/>
    <x v="0"/>
    <n v="0.02"/>
    <n v="13265.06"/>
    <m/>
    <n v="10745.971688149169"/>
    <m/>
    <m/>
    <m/>
    <m/>
    <m/>
    <m/>
    <m/>
    <s v="Age comp not yet available from ONA?  Use JF's estimates"/>
  </r>
  <r>
    <s v="Okanagan Sockeye"/>
    <s v="2020s"/>
    <x v="42"/>
    <n v="2018"/>
    <x v="43"/>
    <n v="663253"/>
    <n v="663253"/>
    <n v="659933"/>
    <n v="478415"/>
    <n v="0.72494480500293212"/>
    <n v="537298.58440745843"/>
    <n v="480821.81675260974"/>
    <n v="0"/>
    <n v="480821.81675260974"/>
    <n v="0.63571819501758753"/>
    <n v="0"/>
    <n v="0"/>
    <n v="478415"/>
    <n v="0"/>
    <x v="1"/>
    <n v="3.9999999999999996"/>
    <x v="0"/>
    <n v="0.94399999999999995"/>
    <n v="626110.83199999994"/>
    <m/>
    <n v="507209.86368064076"/>
    <m/>
    <m/>
    <m/>
    <m/>
    <m/>
    <m/>
    <m/>
    <m/>
  </r>
  <r>
    <s v="Okanagan Sockeye"/>
    <s v="2010s"/>
    <x v="42"/>
    <n v="2017"/>
    <x v="42"/>
    <n v="663253"/>
    <n v="663253"/>
    <n v="659933"/>
    <n v="478415"/>
    <n v="0.72494480500293212"/>
    <n v="537298.58440745843"/>
    <n v="480821.81675260974"/>
    <n v="0"/>
    <n v="480821.81675260974"/>
    <n v="0.63571819501758753"/>
    <n v="0"/>
    <n v="0"/>
    <n v="478415"/>
    <n v="0"/>
    <x v="2"/>
    <n v="5"/>
    <x v="0"/>
    <n v="2.3E-2"/>
    <n v="15254.819"/>
    <m/>
    <n v="12357.867441371543"/>
    <m/>
    <m/>
    <m/>
    <m/>
    <m/>
    <m/>
    <m/>
    <m/>
  </r>
  <r>
    <s v="Okanagan Sockeye"/>
    <s v="2020s"/>
    <x v="42"/>
    <n v="2018"/>
    <x v="44"/>
    <n v="663253"/>
    <n v="663253"/>
    <n v="659933"/>
    <n v="478415"/>
    <n v="0.72494480500293212"/>
    <n v="537298.58440745843"/>
    <n v="480821.81675260974"/>
    <n v="0"/>
    <n v="480821.81675260974"/>
    <n v="0.63571819501758753"/>
    <n v="0"/>
    <n v="0"/>
    <n v="478415"/>
    <n v="0"/>
    <x v="3"/>
    <n v="4.0000000000000009"/>
    <x v="1"/>
    <n v="8.0000000000000002E-3"/>
    <n v="5306.0240000000003"/>
    <m/>
    <n v="4298.3886752596673"/>
    <m/>
    <m/>
    <m/>
    <m/>
    <m/>
    <m/>
    <m/>
    <m/>
  </r>
  <r>
    <s v="Okanagan Sockeye"/>
    <s v="2020s"/>
    <x v="42"/>
    <n v="2017"/>
    <x v="43"/>
    <n v="663253"/>
    <n v="663253"/>
    <n v="659933"/>
    <n v="478415"/>
    <n v="0.72494480500293212"/>
    <n v="537298.58440745843"/>
    <n v="480821.81675260974"/>
    <n v="0"/>
    <n v="480821.81675260974"/>
    <n v="0.63571819501758753"/>
    <n v="0"/>
    <n v="0"/>
    <n v="478415"/>
    <n v="0"/>
    <x v="4"/>
    <n v="5.0000000000000018"/>
    <x v="1"/>
    <n v="4.0000000000000001E-3"/>
    <n v="2653.0120000000002"/>
    <m/>
    <n v="2149.1943376298336"/>
    <m/>
    <m/>
    <m/>
    <m/>
    <m/>
    <m/>
    <m/>
    <m/>
  </r>
  <r>
    <s v="Okanagan Sockeye"/>
    <s v="2010s"/>
    <x v="42"/>
    <n v="2016"/>
    <x v="42"/>
    <n v="663253"/>
    <n v="663253"/>
    <n v="659933"/>
    <n v="478415"/>
    <n v="0.72494480500293212"/>
    <n v="537298.58440745843"/>
    <n v="480821.81675260974"/>
    <n v="0"/>
    <n v="480821.81675260974"/>
    <n v="0.63571819501758753"/>
    <n v="0"/>
    <n v="0"/>
    <n v="478415"/>
    <n v="0"/>
    <x v="5"/>
    <n v="5.9999999999999982"/>
    <x v="1"/>
    <n v="0"/>
    <n v="0"/>
    <m/>
    <n v="0"/>
    <m/>
    <m/>
    <m/>
    <m/>
    <m/>
    <m/>
    <m/>
    <m/>
  </r>
  <r>
    <m/>
    <m/>
    <x v="43"/>
    <m/>
    <x v="45"/>
    <m/>
    <m/>
    <m/>
    <m/>
    <m/>
    <m/>
    <m/>
    <m/>
    <m/>
    <m/>
    <m/>
    <m/>
    <m/>
    <m/>
    <x v="10"/>
    <m/>
    <x v="4"/>
    <m/>
    <m/>
    <m/>
    <m/>
    <m/>
    <m/>
    <m/>
    <m/>
    <m/>
    <m/>
    <m/>
    <m/>
  </r>
  <r>
    <m/>
    <m/>
    <x v="43"/>
    <m/>
    <x v="45"/>
    <m/>
    <m/>
    <m/>
    <m/>
    <m/>
    <m/>
    <m/>
    <m/>
    <m/>
    <m/>
    <m/>
    <m/>
    <m/>
    <m/>
    <x v="10"/>
    <m/>
    <x v="4"/>
    <m/>
    <m/>
    <m/>
    <m/>
    <m/>
    <m/>
    <m/>
    <m/>
    <m/>
    <m/>
    <m/>
    <m/>
  </r>
  <r>
    <m/>
    <m/>
    <x v="43"/>
    <m/>
    <x v="45"/>
    <m/>
    <m/>
    <m/>
    <m/>
    <m/>
    <m/>
    <m/>
    <m/>
    <m/>
    <m/>
    <m/>
    <m/>
    <m/>
    <m/>
    <x v="10"/>
    <m/>
    <x v="4"/>
    <m/>
    <m/>
    <m/>
    <m/>
    <m/>
    <m/>
    <m/>
    <m/>
    <m/>
    <m/>
    <m/>
    <m/>
  </r>
  <r>
    <m/>
    <m/>
    <x v="43"/>
    <m/>
    <x v="45"/>
    <m/>
    <m/>
    <m/>
    <m/>
    <m/>
    <m/>
    <m/>
    <m/>
    <m/>
    <m/>
    <m/>
    <m/>
    <m/>
    <m/>
    <x v="10"/>
    <m/>
    <x v="4"/>
    <m/>
    <m/>
    <m/>
    <m/>
    <m/>
    <m/>
    <m/>
    <m/>
    <m/>
    <m/>
    <m/>
    <m/>
  </r>
  <r>
    <m/>
    <m/>
    <x v="43"/>
    <m/>
    <x v="45"/>
    <m/>
    <m/>
    <m/>
    <m/>
    <m/>
    <m/>
    <m/>
    <m/>
    <m/>
    <m/>
    <m/>
    <m/>
    <m/>
    <m/>
    <x v="10"/>
    <m/>
    <x v="4"/>
    <m/>
    <m/>
    <m/>
    <m/>
    <m/>
    <m/>
    <m/>
    <m/>
    <m/>
    <m/>
    <m/>
    <m/>
  </r>
  <r>
    <m/>
    <m/>
    <x v="43"/>
    <m/>
    <x v="45"/>
    <m/>
    <m/>
    <m/>
    <m/>
    <m/>
    <m/>
    <m/>
    <m/>
    <m/>
    <m/>
    <m/>
    <m/>
    <m/>
    <m/>
    <x v="10"/>
    <m/>
    <x v="4"/>
    <m/>
    <m/>
    <m/>
    <m/>
    <m/>
    <m/>
    <m/>
    <m/>
    <m/>
    <m/>
    <m/>
    <m/>
  </r>
  <r>
    <m/>
    <m/>
    <x v="43"/>
    <m/>
    <x v="45"/>
    <m/>
    <m/>
    <m/>
    <m/>
    <m/>
    <m/>
    <m/>
    <m/>
    <m/>
    <m/>
    <m/>
    <m/>
    <m/>
    <m/>
    <x v="10"/>
    <m/>
    <x v="4"/>
    <m/>
    <m/>
    <m/>
    <m/>
    <m/>
    <m/>
    <m/>
    <m/>
    <m/>
    <m/>
    <m/>
    <m/>
  </r>
  <r>
    <m/>
    <m/>
    <x v="43"/>
    <m/>
    <x v="45"/>
    <m/>
    <m/>
    <m/>
    <m/>
    <m/>
    <m/>
    <m/>
    <m/>
    <m/>
    <m/>
    <m/>
    <m/>
    <m/>
    <m/>
    <x v="10"/>
    <m/>
    <x v="4"/>
    <m/>
    <m/>
    <m/>
    <m/>
    <m/>
    <m/>
    <m/>
    <m/>
    <m/>
    <m/>
    <m/>
    <m/>
  </r>
  <r>
    <m/>
    <m/>
    <x v="43"/>
    <m/>
    <x v="45"/>
    <m/>
    <m/>
    <m/>
    <m/>
    <m/>
    <m/>
    <m/>
    <m/>
    <m/>
    <m/>
    <m/>
    <m/>
    <m/>
    <m/>
    <x v="10"/>
    <m/>
    <x v="4"/>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x v="0"/>
    <s v="1980s"/>
    <x v="0"/>
    <x v="0"/>
    <x v="0"/>
    <n v="58886"/>
    <n v="58882"/>
    <n v="52657"/>
    <n v="30080.635999999999"/>
    <n v="0.57125616727120798"/>
    <n v="36510.678199882466"/>
    <n v="33636.705641263266"/>
    <m/>
    <m/>
    <n v="0.45129241533915287"/>
    <n v="365.60394705357311"/>
    <n v="1.2008180573015366E-2"/>
    <n v="30446.239947053571"/>
    <n v="3192.7507188787822"/>
    <x v="0"/>
    <n v="3.0000000000000009"/>
    <x v="0"/>
    <m/>
    <m/>
    <n v="5.1999999999999998E-2"/>
    <n v="1898.5552663938881"/>
    <m/>
    <m/>
    <m/>
    <m/>
    <m/>
    <m/>
    <m/>
    <s v="Use SIRE default age comp"/>
  </r>
  <r>
    <x v="0"/>
    <s v="1980s"/>
    <x v="0"/>
    <x v="1"/>
    <x v="1"/>
    <n v="58886"/>
    <n v="58882"/>
    <n v="52657"/>
    <n v="30080.635999999999"/>
    <n v="0.57125616727120798"/>
    <n v="36510.678199882466"/>
    <n v="33636.705641263266"/>
    <m/>
    <m/>
    <n v="0.45129241533915287"/>
    <n v="365.60394705357311"/>
    <n v="1.2008180573015366E-2"/>
    <n v="30446.239947053571"/>
    <n v="3192.7507188787822"/>
    <x v="1"/>
    <n v="3.9999999999999996"/>
    <x v="0"/>
    <m/>
    <m/>
    <n v="0.82499999999999996"/>
    <n v="30121.309514903034"/>
    <m/>
    <m/>
    <m/>
    <m/>
    <m/>
    <m/>
    <m/>
    <s v="Use SIRE default age comp"/>
  </r>
  <r>
    <x v="0"/>
    <s v="1980s"/>
    <x v="0"/>
    <x v="2"/>
    <x v="2"/>
    <n v="58886"/>
    <n v="58882"/>
    <n v="52657"/>
    <n v="30080.635999999999"/>
    <n v="0.57125616727120798"/>
    <n v="36510.678199882466"/>
    <n v="33636.705641263266"/>
    <m/>
    <m/>
    <n v="0.45129241533915287"/>
    <n v="365.60394705357311"/>
    <n v="1.2008180573015366E-2"/>
    <n v="30446.239947053571"/>
    <n v="3192.7507188787822"/>
    <x v="2"/>
    <n v="5"/>
    <x v="0"/>
    <m/>
    <m/>
    <n v="8.3000000000000004E-2"/>
    <n v="3030.3862905902447"/>
    <m/>
    <m/>
    <m/>
    <m/>
    <m/>
    <m/>
    <m/>
    <s v="Use SIRE default age comp"/>
  </r>
  <r>
    <x v="0"/>
    <s v="1980s"/>
    <x v="0"/>
    <x v="1"/>
    <x v="0"/>
    <n v="58886"/>
    <n v="58882"/>
    <n v="52657"/>
    <n v="30080.635999999999"/>
    <n v="0.57125616727120798"/>
    <n v="36510.678199882466"/>
    <n v="33636.705641263266"/>
    <m/>
    <m/>
    <n v="0.45129241533915287"/>
    <n v="365.60394705357311"/>
    <n v="1.2008180573015366E-2"/>
    <n v="30446.239947053571"/>
    <n v="3192.7507188787822"/>
    <x v="3"/>
    <n v="4.0000000000000009"/>
    <x v="1"/>
    <m/>
    <m/>
    <n v="2.3E-2"/>
    <n v="839.74559859729675"/>
    <m/>
    <m/>
    <m/>
    <m/>
    <m/>
    <m/>
    <m/>
    <s v="Use SIRE default age comp"/>
  </r>
  <r>
    <x v="0"/>
    <s v="1980s"/>
    <x v="0"/>
    <x v="2"/>
    <x v="1"/>
    <n v="58886"/>
    <n v="58882"/>
    <n v="52657"/>
    <n v="30080.635999999999"/>
    <n v="0.57125616727120798"/>
    <n v="36510.678199882466"/>
    <n v="33636.705641263266"/>
    <m/>
    <m/>
    <n v="0.45129241533915287"/>
    <n v="365.60394705357311"/>
    <n v="1.2008180573015366E-2"/>
    <n v="30446.239947053571"/>
    <n v="3192.7507188787822"/>
    <x v="4"/>
    <n v="5.0000000000000018"/>
    <x v="1"/>
    <m/>
    <m/>
    <n v="1.6E-2"/>
    <n v="584.17085119811952"/>
    <m/>
    <m/>
    <m/>
    <m/>
    <m/>
    <m/>
    <m/>
    <s v="Use SIRE default age comp"/>
  </r>
  <r>
    <x v="0"/>
    <s v="1980s"/>
    <x v="1"/>
    <x v="3"/>
    <x v="3"/>
    <n v="56037"/>
    <n v="56037"/>
    <n v="47139"/>
    <n v="31960.887999999995"/>
    <n v="0.67801370415155171"/>
    <n v="40568.231934703414"/>
    <n v="37993.853939540502"/>
    <m/>
    <m/>
    <n v="0.50384567339436448"/>
    <n v="1021.7666521563884"/>
    <n v="3.0978908851704148E-2"/>
    <n v="32982.654652156387"/>
    <n v="5011.1992873841155"/>
    <x v="0"/>
    <n v="3.0000000000000009"/>
    <x v="0"/>
    <m/>
    <m/>
    <n v="5.1999999999999998E-2"/>
    <n v="2109.5480606045776"/>
    <m/>
    <m/>
    <m/>
    <m/>
    <m/>
    <m/>
    <m/>
    <s v="Use SIRE default age comp"/>
  </r>
  <r>
    <x v="0"/>
    <s v="1980s"/>
    <x v="1"/>
    <x v="0"/>
    <x v="0"/>
    <n v="56037"/>
    <n v="56037"/>
    <n v="47139"/>
    <n v="31960.887999999995"/>
    <n v="0.67801370415155171"/>
    <n v="40568.231934703414"/>
    <n v="37993.853939540502"/>
    <m/>
    <m/>
    <n v="0.50384567339436448"/>
    <n v="1021.7666521563884"/>
    <n v="3.0978908851704148E-2"/>
    <n v="32982.654652156387"/>
    <n v="5011.1992873841155"/>
    <x v="1"/>
    <n v="3.9999999999999996"/>
    <x v="0"/>
    <m/>
    <m/>
    <n v="0.82499999999999996"/>
    <n v="33468.791346130318"/>
    <m/>
    <m/>
    <m/>
    <m/>
    <m/>
    <m/>
    <m/>
    <s v="Use SIRE default age comp"/>
  </r>
  <r>
    <x v="0"/>
    <s v="1980s"/>
    <x v="1"/>
    <x v="1"/>
    <x v="1"/>
    <n v="56037"/>
    <n v="56037"/>
    <n v="47139"/>
    <n v="31960.887999999995"/>
    <n v="0.67801370415155171"/>
    <n v="40568.231934703414"/>
    <n v="37993.853939540502"/>
    <m/>
    <m/>
    <n v="0.50384567339436448"/>
    <n v="1021.7666521563884"/>
    <n v="3.0978908851704148E-2"/>
    <n v="32982.654652156387"/>
    <n v="5011.1992873841155"/>
    <x v="2"/>
    <n v="5"/>
    <x v="0"/>
    <m/>
    <m/>
    <n v="8.3000000000000004E-2"/>
    <n v="3367.1632505803836"/>
    <m/>
    <m/>
    <m/>
    <m/>
    <m/>
    <m/>
    <m/>
    <s v="Use SIRE default age comp"/>
  </r>
  <r>
    <x v="0"/>
    <s v="1980s"/>
    <x v="1"/>
    <x v="0"/>
    <x v="3"/>
    <n v="56037"/>
    <n v="56037"/>
    <n v="47139"/>
    <n v="31960.887999999995"/>
    <n v="0.67801370415155171"/>
    <n v="40568.231934703414"/>
    <n v="37993.853939540502"/>
    <m/>
    <m/>
    <n v="0.50384567339436448"/>
    <n v="1021.7666521563884"/>
    <n v="3.0978908851704148E-2"/>
    <n v="32982.654652156387"/>
    <n v="5011.1992873841155"/>
    <x v="3"/>
    <n v="4.0000000000000009"/>
    <x v="1"/>
    <m/>
    <m/>
    <n v="2.3E-2"/>
    <n v="933.06933449817848"/>
    <m/>
    <m/>
    <m/>
    <m/>
    <m/>
    <m/>
    <m/>
    <s v="Use SIRE default age comp"/>
  </r>
  <r>
    <x v="0"/>
    <s v="1980s"/>
    <x v="1"/>
    <x v="1"/>
    <x v="0"/>
    <n v="56037"/>
    <n v="56037"/>
    <n v="47139"/>
    <n v="31960.887999999995"/>
    <n v="0.67801370415155171"/>
    <n v="40568.231934703414"/>
    <n v="37993.853939540502"/>
    <m/>
    <m/>
    <n v="0.50384567339436448"/>
    <n v="1021.7666521563884"/>
    <n v="3.0978908851704148E-2"/>
    <n v="32982.654652156387"/>
    <n v="5011.1992873841155"/>
    <x v="4"/>
    <n v="5.0000000000000018"/>
    <x v="1"/>
    <m/>
    <m/>
    <n v="1.6E-2"/>
    <n v="649.0917109552546"/>
    <m/>
    <m/>
    <m/>
    <m/>
    <m/>
    <m/>
    <m/>
    <s v="Use SIRE default age comp"/>
  </r>
  <r>
    <x v="0"/>
    <s v="1980s"/>
    <x v="2"/>
    <x v="4"/>
    <x v="4"/>
    <n v="50319"/>
    <n v="50219"/>
    <n v="41111"/>
    <n v="21513.659999999996"/>
    <n v="0.52330665758556094"/>
    <n v="27703.335606840745"/>
    <n v="26279.937037289284"/>
    <m/>
    <m/>
    <n v="0.37844242219080426"/>
    <n v="457.89332538736585"/>
    <n v="2.0840280093364454E-2"/>
    <n v="21971.553325387362"/>
    <n v="4360.7143776604789"/>
    <x v="0"/>
    <n v="3.0000000000000009"/>
    <x v="0"/>
    <m/>
    <m/>
    <n v="5.1999999999999998E-2"/>
    <n v="1440.5734515557187"/>
    <m/>
    <m/>
    <m/>
    <m/>
    <m/>
    <m/>
    <m/>
    <s v="Use SIRE default age comp"/>
  </r>
  <r>
    <x v="0"/>
    <s v="1980s"/>
    <x v="2"/>
    <x v="3"/>
    <x v="3"/>
    <n v="50319"/>
    <n v="50219"/>
    <n v="41111"/>
    <n v="21513.659999999996"/>
    <n v="0.52330665758556094"/>
    <n v="27703.335606840745"/>
    <n v="26279.937037289284"/>
    <m/>
    <m/>
    <n v="0.37844242219080426"/>
    <n v="457.89332538736585"/>
    <n v="2.0840280093364454E-2"/>
    <n v="21971.553325387362"/>
    <n v="4360.7143776604789"/>
    <x v="1"/>
    <n v="3.9999999999999996"/>
    <x v="0"/>
    <m/>
    <m/>
    <n v="0.82499999999999996"/>
    <n v="22855.251875643615"/>
    <m/>
    <m/>
    <m/>
    <m/>
    <m/>
    <m/>
    <m/>
    <s v="Use SIRE default age comp"/>
  </r>
  <r>
    <x v="0"/>
    <s v="1980s"/>
    <x v="2"/>
    <x v="0"/>
    <x v="0"/>
    <n v="50319"/>
    <n v="50219"/>
    <n v="41111"/>
    <n v="21513.659999999996"/>
    <n v="0.52330665758556094"/>
    <n v="27703.335606840745"/>
    <n v="26279.937037289284"/>
    <m/>
    <m/>
    <n v="0.37844242219080426"/>
    <n v="457.89332538736585"/>
    <n v="2.0840280093364454E-2"/>
    <n v="21971.553325387362"/>
    <n v="4360.7143776604789"/>
    <x v="2"/>
    <n v="5"/>
    <x v="0"/>
    <m/>
    <m/>
    <n v="8.3000000000000004E-2"/>
    <n v="2299.3768553677819"/>
    <m/>
    <m/>
    <m/>
    <m/>
    <m/>
    <m/>
    <m/>
    <s v="Use SIRE default age comp"/>
  </r>
  <r>
    <x v="0"/>
    <s v="1980s"/>
    <x v="2"/>
    <x v="3"/>
    <x v="4"/>
    <n v="50319"/>
    <n v="50219"/>
    <n v="41111"/>
    <n v="21513.659999999996"/>
    <n v="0.52330665758556094"/>
    <n v="27703.335606840745"/>
    <n v="26279.937037289284"/>
    <m/>
    <m/>
    <n v="0.37844242219080426"/>
    <n v="457.89332538736585"/>
    <n v="2.0840280093364454E-2"/>
    <n v="21971.553325387362"/>
    <n v="4360.7143776604789"/>
    <x v="3"/>
    <n v="4.0000000000000009"/>
    <x v="1"/>
    <m/>
    <m/>
    <n v="2.3E-2"/>
    <n v="637.17671895733713"/>
    <m/>
    <m/>
    <m/>
    <m/>
    <m/>
    <m/>
    <m/>
    <s v="Use SIRE default age comp"/>
  </r>
  <r>
    <x v="0"/>
    <s v="1980s"/>
    <x v="2"/>
    <x v="0"/>
    <x v="3"/>
    <n v="50319"/>
    <n v="50219"/>
    <n v="41111"/>
    <n v="21513.659999999996"/>
    <n v="0.52330665758556094"/>
    <n v="27703.335606840745"/>
    <n v="26279.937037289284"/>
    <m/>
    <m/>
    <n v="0.37844242219080426"/>
    <n v="457.89332538736585"/>
    <n v="2.0840280093364454E-2"/>
    <n v="21971.553325387362"/>
    <n v="4360.7143776604789"/>
    <x v="4"/>
    <n v="5.0000000000000018"/>
    <x v="1"/>
    <m/>
    <m/>
    <n v="1.6E-2"/>
    <n v="443.25336970945193"/>
    <m/>
    <m/>
    <m/>
    <m/>
    <m/>
    <m/>
    <m/>
    <s v="Use SIRE default age comp"/>
  </r>
  <r>
    <x v="0"/>
    <s v="1980s"/>
    <x v="3"/>
    <x v="5"/>
    <x v="5"/>
    <n v="100610"/>
    <n v="100527"/>
    <n v="86424"/>
    <n v="31611.1"/>
    <n v="0.36576761084883824"/>
    <n v="39671.539403085219"/>
    <n v="36769.520615801164"/>
    <m/>
    <m/>
    <n v="0.27778606742467199"/>
    <n v="1255.3144404332129"/>
    <n v="3.8194444444444441E-2"/>
    <n v="32866.414440433211"/>
    <n v="3933.4648870684032"/>
    <x v="0"/>
    <n v="3.0000000000000009"/>
    <x v="0"/>
    <m/>
    <m/>
    <n v="5.1999999999999998E-2"/>
    <n v="2062.9200489604314"/>
    <m/>
    <m/>
    <m/>
    <m/>
    <m/>
    <m/>
    <m/>
    <s v="Use SIRE default age comp"/>
  </r>
  <r>
    <x v="0"/>
    <s v="1980s"/>
    <x v="3"/>
    <x v="4"/>
    <x v="4"/>
    <n v="100610"/>
    <n v="100527"/>
    <n v="86424"/>
    <n v="31611.1"/>
    <n v="0.36576761084883824"/>
    <n v="39671.539403085219"/>
    <n v="36769.520615801164"/>
    <m/>
    <m/>
    <n v="0.27778606742467199"/>
    <n v="1255.3144404332129"/>
    <n v="3.8194444444444441E-2"/>
    <n v="32866.414440433211"/>
    <n v="3933.4648870684032"/>
    <x v="1"/>
    <n v="3.9999999999999996"/>
    <x v="0"/>
    <m/>
    <m/>
    <n v="0.82499999999999996"/>
    <n v="32729.020007545303"/>
    <m/>
    <m/>
    <m/>
    <m/>
    <m/>
    <m/>
    <m/>
    <s v="Use SIRE default age comp"/>
  </r>
  <r>
    <x v="0"/>
    <s v="1980s"/>
    <x v="3"/>
    <x v="3"/>
    <x v="3"/>
    <n v="100610"/>
    <n v="100527"/>
    <n v="86424"/>
    <n v="31611.1"/>
    <n v="0.36576761084883824"/>
    <n v="39671.539403085219"/>
    <n v="36769.520615801164"/>
    <m/>
    <m/>
    <n v="0.27778606742467199"/>
    <n v="1255.3144404332129"/>
    <n v="3.8194444444444441E-2"/>
    <n v="32866.414440433211"/>
    <n v="3933.4648870684032"/>
    <x v="2"/>
    <n v="5"/>
    <x v="0"/>
    <m/>
    <m/>
    <n v="8.3000000000000004E-2"/>
    <n v="3292.7377704560731"/>
    <m/>
    <m/>
    <m/>
    <m/>
    <m/>
    <m/>
    <m/>
    <s v="Use SIRE default age comp"/>
  </r>
  <r>
    <x v="0"/>
    <s v="1980s"/>
    <x v="3"/>
    <x v="4"/>
    <x v="5"/>
    <n v="100610"/>
    <n v="100527"/>
    <n v="86424"/>
    <n v="31611.1"/>
    <n v="0.36576761084883824"/>
    <n v="39671.539403085219"/>
    <n v="36769.520615801164"/>
    <m/>
    <m/>
    <n v="0.27778606742467199"/>
    <n v="1255.3144404332129"/>
    <n v="3.8194444444444441E-2"/>
    <n v="32866.414440433211"/>
    <n v="3933.4648870684032"/>
    <x v="3"/>
    <n v="4.0000000000000009"/>
    <x v="1"/>
    <m/>
    <m/>
    <n v="2.3E-2"/>
    <n v="912.44540627096001"/>
    <m/>
    <m/>
    <m/>
    <m/>
    <m/>
    <m/>
    <m/>
    <s v="Use SIRE default age comp"/>
  </r>
  <r>
    <x v="0"/>
    <s v="1980s"/>
    <x v="3"/>
    <x v="3"/>
    <x v="4"/>
    <n v="100610"/>
    <n v="100527"/>
    <n v="86424"/>
    <n v="31611.1"/>
    <n v="0.36576761084883824"/>
    <n v="39671.539403085219"/>
    <n v="36769.520615801164"/>
    <m/>
    <m/>
    <n v="0.27778606742467199"/>
    <n v="1255.3144404332129"/>
    <n v="3.8194444444444441E-2"/>
    <n v="32866.414440433211"/>
    <n v="3933.4648870684032"/>
    <x v="4"/>
    <n v="5.0000000000000018"/>
    <x v="1"/>
    <m/>
    <m/>
    <n v="1.6E-2"/>
    <n v="634.74463044936351"/>
    <m/>
    <m/>
    <m/>
    <m/>
    <m/>
    <m/>
    <m/>
    <s v="Use SIRE default age comp"/>
  </r>
  <r>
    <x v="0"/>
    <s v="1980s"/>
    <x v="4"/>
    <x v="6"/>
    <x v="6"/>
    <n v="161890"/>
    <n v="152545"/>
    <n v="109092"/>
    <n v="91753.127999999997"/>
    <n v="0.84106192938070612"/>
    <n v="143770.27733057766"/>
    <n v="128299.79201737982"/>
    <m/>
    <m/>
    <n v="0.53134484906093282"/>
    <n v="28563.304183698161"/>
    <n v="0.23740152251263519"/>
    <n v="120316.43218369815"/>
    <n v="15843.083563744367"/>
    <x v="0"/>
    <n v="3.0000000000000009"/>
    <x v="0"/>
    <m/>
    <m/>
    <n v="5.1999999999999998E-2"/>
    <n v="7476.0544211900378"/>
    <m/>
    <m/>
    <m/>
    <m/>
    <m/>
    <m/>
    <m/>
    <s v="Use SIRE default age comp"/>
  </r>
  <r>
    <x v="0"/>
    <s v="1980s"/>
    <x v="4"/>
    <x v="5"/>
    <x v="5"/>
    <n v="161890"/>
    <n v="152545"/>
    <n v="109092"/>
    <n v="91753.127999999997"/>
    <n v="0.84106192938070612"/>
    <n v="143770.27733057766"/>
    <n v="128299.79201737982"/>
    <m/>
    <m/>
    <n v="0.53134484906093282"/>
    <n v="28563.304183698161"/>
    <n v="0.23740152251263519"/>
    <n v="120316.43218369815"/>
    <n v="15843.083563744367"/>
    <x v="1"/>
    <n v="3.9999999999999996"/>
    <x v="0"/>
    <m/>
    <m/>
    <n v="0.82499999999999996"/>
    <n v="118610.47879772657"/>
    <m/>
    <m/>
    <m/>
    <m/>
    <m/>
    <m/>
    <m/>
    <s v="Use SIRE default age comp"/>
  </r>
  <r>
    <x v="0"/>
    <s v="1980s"/>
    <x v="4"/>
    <x v="4"/>
    <x v="4"/>
    <n v="161890"/>
    <n v="152545"/>
    <n v="109092"/>
    <n v="91753.127999999997"/>
    <n v="0.84106192938070612"/>
    <n v="143770.27733057766"/>
    <n v="128299.79201737982"/>
    <m/>
    <m/>
    <n v="0.53134484906093282"/>
    <n v="28563.304183698161"/>
    <n v="0.23740152251263519"/>
    <n v="120316.43218369815"/>
    <n v="15843.083563744367"/>
    <x v="2"/>
    <n v="5"/>
    <x v="0"/>
    <m/>
    <m/>
    <n v="8.3000000000000004E-2"/>
    <n v="11932.933018437947"/>
    <m/>
    <m/>
    <m/>
    <m/>
    <m/>
    <m/>
    <m/>
    <s v="Use SIRE default age comp"/>
  </r>
  <r>
    <x v="0"/>
    <s v="1980s"/>
    <x v="4"/>
    <x v="5"/>
    <x v="6"/>
    <n v="161890"/>
    <n v="152545"/>
    <n v="109092"/>
    <n v="91753.127999999997"/>
    <n v="0.84106192938070612"/>
    <n v="143770.27733057766"/>
    <n v="128299.79201737982"/>
    <m/>
    <m/>
    <n v="0.53134484906093282"/>
    <n v="28563.304183698161"/>
    <n v="0.23740152251263519"/>
    <n v="120316.43218369815"/>
    <n v="15843.083563744367"/>
    <x v="3"/>
    <n v="4.0000000000000009"/>
    <x v="1"/>
    <m/>
    <m/>
    <n v="2.3E-2"/>
    <n v="3306.7163786032861"/>
    <m/>
    <m/>
    <m/>
    <m/>
    <m/>
    <m/>
    <m/>
    <s v="Use SIRE default age comp"/>
  </r>
  <r>
    <x v="0"/>
    <s v="1980s"/>
    <x v="4"/>
    <x v="4"/>
    <x v="5"/>
    <n v="161890"/>
    <n v="152545"/>
    <n v="109092"/>
    <n v="91753.127999999997"/>
    <n v="0.84106192938070612"/>
    <n v="143770.27733057766"/>
    <n v="128299.79201737982"/>
    <m/>
    <m/>
    <n v="0.53134484906093282"/>
    <n v="28563.304183698161"/>
    <n v="0.23740152251263519"/>
    <n v="120316.43218369815"/>
    <n v="15843.083563744367"/>
    <x v="4"/>
    <n v="5.0000000000000018"/>
    <x v="1"/>
    <m/>
    <m/>
    <n v="1.6E-2"/>
    <n v="2300.3244372892427"/>
    <m/>
    <m/>
    <m/>
    <m/>
    <m/>
    <m/>
    <m/>
    <s v="Use SIRE default age comp"/>
  </r>
  <r>
    <x v="0"/>
    <s v="1980s"/>
    <x v="5"/>
    <x v="7"/>
    <x v="7"/>
    <n v="200758"/>
    <n v="166340"/>
    <n v="103200"/>
    <n v="59983.547999999995"/>
    <n v="0.58123593023255804"/>
    <n v="122462.11159465442"/>
    <n v="96682.784634883705"/>
    <m/>
    <m/>
    <n v="0.31855837441385115"/>
    <n v="47767.131218372087"/>
    <n v="0.44331164838010162"/>
    <n v="107750.67921837208"/>
    <n v="8937.0836632558057"/>
    <x v="0"/>
    <n v="3.0000000000000009"/>
    <x v="0"/>
    <n v="6.9000000000000006E-2"/>
    <n v="11477.460000000001"/>
    <n v="5.1999999999999998E-2"/>
    <n v="8449.8857000311546"/>
    <n v="6671.1121398069763"/>
    <s v=""/>
    <n v="5027.5048010139526"/>
    <n v="6671.1121398069763"/>
    <n v="3119.1444959999994"/>
    <n v="5603.0353193553483"/>
    <n v="0.48817729004111954"/>
    <s v="Fryer thesis: freshwater aged, marine ages based on length"/>
  </r>
  <r>
    <x v="0"/>
    <s v="1980s"/>
    <x v="5"/>
    <x v="6"/>
    <x v="6"/>
    <n v="200758"/>
    <n v="166340"/>
    <n v="103200"/>
    <n v="59983.547999999995"/>
    <n v="0.58123593023255804"/>
    <n v="122462.11159465442"/>
    <n v="96682.784634883705"/>
    <m/>
    <m/>
    <n v="0.31855837441385115"/>
    <n v="47767.131218372087"/>
    <n v="0.44331164838010162"/>
    <n v="107750.67921837208"/>
    <n v="8937.0836632558057"/>
    <x v="1"/>
    <n v="3.9999999999999996"/>
    <x v="0"/>
    <n v="0.88"/>
    <n v="146379.20000000001"/>
    <n v="0.82499999999999996"/>
    <n v="107766.65820329588"/>
    <n v="85080.850478697655"/>
    <s v=""/>
    <n v="79763.297323779057"/>
    <n v="85080.850478697655"/>
    <n v="49486.427099999994"/>
    <n v="88894.310355156966"/>
    <n v="0.60728785479874847"/>
    <s v="Fryer thesis: freshwater aged, marine ages based on length"/>
  </r>
  <r>
    <x v="0"/>
    <s v="1980s"/>
    <x v="5"/>
    <x v="5"/>
    <x v="5"/>
    <n v="200758"/>
    <n v="166340"/>
    <n v="103200"/>
    <n v="59983.547999999995"/>
    <n v="0.58123593023255804"/>
    <n v="122462.11159465442"/>
    <n v="96682.784634883705"/>
    <m/>
    <m/>
    <n v="0.31855837441385115"/>
    <n v="47767.131218372087"/>
    <n v="0.44331164838010162"/>
    <n v="107750.67921837208"/>
    <n v="8937.0836632558057"/>
    <x v="2"/>
    <n v="5"/>
    <x v="0"/>
    <n v="6.0000000000000001E-3"/>
    <n v="998.04000000000008"/>
    <n v="8.3000000000000004E-2"/>
    <n v="734.77266956792653"/>
    <n v="580.09670780930219"/>
    <s v=""/>
    <n v="8024.6711246953482"/>
    <n v="580.09670780930219"/>
    <n v="4978.6344840000002"/>
    <n v="8943.3063751248828"/>
    <n v="8.9608696796970886"/>
    <s v="Fryer thesis: freshwater aged, marine ages based on length"/>
  </r>
  <r>
    <x v="0"/>
    <s v="1980s"/>
    <x v="5"/>
    <x v="6"/>
    <x v="7"/>
    <n v="200758"/>
    <n v="166340"/>
    <n v="103200"/>
    <n v="59983.547999999995"/>
    <n v="0.58123593023255804"/>
    <n v="122462.11159465442"/>
    <n v="96682.784634883705"/>
    <m/>
    <m/>
    <n v="0.31855837441385115"/>
    <n v="47767.131218372087"/>
    <n v="0.44331164838010162"/>
    <n v="107750.67921837208"/>
    <n v="8937.0836632558057"/>
    <x v="3"/>
    <n v="4.0000000000000009"/>
    <x v="1"/>
    <n v="1.0999999999999999E-2"/>
    <n v="1829.7399999999998"/>
    <n v="2.3E-2"/>
    <n v="1347.0832275411985"/>
    <n v="1063.5106309837206"/>
    <s v=""/>
    <n v="2223.704046602325"/>
    <n v="1063.5106309837206"/>
    <n v="1379.6216039999999"/>
    <n v="2478.2656220225576"/>
    <n v="1.3544359428238755"/>
    <s v="Fryer thesis: freshwater aged, marine ages based on length"/>
  </r>
  <r>
    <x v="0"/>
    <s v="1980s"/>
    <x v="5"/>
    <x v="5"/>
    <x v="6"/>
    <n v="200758"/>
    <n v="166340"/>
    <n v="103200"/>
    <n v="59983.547999999995"/>
    <n v="0.58123593023255804"/>
    <n v="122462.11159465442"/>
    <n v="96682.784634883705"/>
    <m/>
    <m/>
    <n v="0.31855837441385115"/>
    <n v="47767.131218372087"/>
    <n v="0.44331164838010162"/>
    <n v="107750.67921837208"/>
    <n v="8937.0836632558057"/>
    <x v="4"/>
    <n v="5.0000000000000018"/>
    <x v="1"/>
    <n v="3.4000000000000002E-2"/>
    <n v="5655.56"/>
    <n v="1.6E-2"/>
    <n v="4163.7117942182504"/>
    <n v="3287.214677586046"/>
    <s v=""/>
    <n v="1546.9245541581392"/>
    <n v="3287.214677586046"/>
    <n v="959.73676799999998"/>
    <n v="1724.0108674939534"/>
    <n v="0.30483468789897961"/>
    <s v="Fryer thesis: freshwater aged, marine ages based on length"/>
  </r>
  <r>
    <x v="0"/>
    <s v="1980s"/>
    <x v="6"/>
    <x v="8"/>
    <x v="8"/>
    <n v="59963"/>
    <n v="58123"/>
    <n v="49788"/>
    <n v="39380.015999999996"/>
    <n v="0.79095396481079772"/>
    <n v="51856.154888274134"/>
    <n v="45972.617296697994"/>
    <m/>
    <m/>
    <n v="0.5985238201744576"/>
    <n v="6732.6001484695098"/>
    <n v="0.14600343053173243"/>
    <n v="46112.616148469504"/>
    <n v="1315.3564434803629"/>
    <x v="0"/>
    <n v="3.0000000000000009"/>
    <x v="0"/>
    <n v="5.1999999999999998E-2"/>
    <n v="3022.3959999999997"/>
    <n v="5.1999999999999998E-2"/>
    <n v="2696.520054190255"/>
    <n v="2390.5760994282955"/>
    <s v=""/>
    <n v="2390.5760994282955"/>
    <n v="2390.5760994282955"/>
    <n v="2047.7608319999997"/>
    <n v="2397.8560397204142"/>
    <n v="0.79336263008567187"/>
    <s v="no age comp data - multi-year mean applied"/>
  </r>
  <r>
    <x v="0"/>
    <s v="1980s"/>
    <x v="6"/>
    <x v="7"/>
    <x v="7"/>
    <n v="59963"/>
    <n v="58123"/>
    <n v="49788"/>
    <n v="39380.015999999996"/>
    <n v="0.79095396481079772"/>
    <n v="51856.154888274134"/>
    <n v="45972.617296697994"/>
    <m/>
    <m/>
    <n v="0.5985238201744576"/>
    <n v="6732.6001484695098"/>
    <n v="0.14600343053173243"/>
    <n v="46112.616148469504"/>
    <n v="1315.3564434803629"/>
    <x v="1"/>
    <n v="3.9999999999999996"/>
    <x v="0"/>
    <n v="0.82499999999999996"/>
    <n v="47951.474999999999"/>
    <n v="0.82499999999999996"/>
    <n v="42781.327782826156"/>
    <n v="37927.409269775846"/>
    <s v=""/>
    <n v="37927.409269775846"/>
    <n v="37927.409269775846"/>
    <n v="32488.513199999994"/>
    <n v="38042.908322487339"/>
    <n v="0.79336263008567187"/>
    <s v="no age comp data - multi-year mean applied"/>
  </r>
  <r>
    <x v="0"/>
    <s v="1980s"/>
    <x v="6"/>
    <x v="6"/>
    <x v="6"/>
    <n v="59963"/>
    <n v="58123"/>
    <n v="49788"/>
    <n v="39380.015999999996"/>
    <n v="0.79095396481079772"/>
    <n v="51856.154888274134"/>
    <n v="45972.617296697994"/>
    <m/>
    <m/>
    <n v="0.5985238201744576"/>
    <n v="6732.6001484695098"/>
    <n v="0.14600343053173243"/>
    <n v="46112.616148469504"/>
    <n v="1315.3564434803629"/>
    <x v="2"/>
    <n v="5"/>
    <x v="0"/>
    <n v="8.3000000000000004E-2"/>
    <n v="4824.2089999999998"/>
    <n v="8.3000000000000004E-2"/>
    <n v="4304.0608557267533"/>
    <n v="3815.7272356259336"/>
    <s v=""/>
    <n v="3815.7272356259336"/>
    <n v="3815.7272356259336"/>
    <n v="3268.5413279999998"/>
    <n v="3827.3471403229692"/>
    <n v="0.79336263008567198"/>
    <s v="no age comp data - multi-year mean applied"/>
  </r>
  <r>
    <x v="0"/>
    <s v="1980s"/>
    <x v="6"/>
    <x v="7"/>
    <x v="8"/>
    <n v="59963"/>
    <n v="58123"/>
    <n v="49788"/>
    <n v="39380.015999999996"/>
    <n v="0.79095396481079772"/>
    <n v="51856.154888274134"/>
    <n v="45972.617296697994"/>
    <m/>
    <m/>
    <n v="0.5985238201744576"/>
    <n v="6732.6001484695098"/>
    <n v="0.14600343053173243"/>
    <n v="46112.616148469504"/>
    <n v="1315.3564434803629"/>
    <x v="3"/>
    <n v="4.0000000000000009"/>
    <x v="1"/>
    <n v="2.3E-2"/>
    <n v="1336.829"/>
    <n v="2.3E-2"/>
    <n v="1192.6915624303051"/>
    <n v="1057.3701978240538"/>
    <s v=""/>
    <n v="1057.3701978240538"/>
    <n v="1057.3701978240538"/>
    <n v="905.74036799999988"/>
    <n v="1060.5901714147985"/>
    <n v="0.79336263008567187"/>
    <s v="no age comp data - multi-year mean applied"/>
  </r>
  <r>
    <x v="0"/>
    <s v="1980s"/>
    <x v="6"/>
    <x v="6"/>
    <x v="7"/>
    <n v="59963"/>
    <n v="58123"/>
    <n v="49788"/>
    <n v="39380.015999999996"/>
    <n v="0.79095396481079772"/>
    <n v="51856.154888274134"/>
    <n v="45972.617296697994"/>
    <m/>
    <m/>
    <n v="0.5985238201744576"/>
    <n v="6732.6001484695098"/>
    <n v="0.14600343053173243"/>
    <n v="46112.616148469504"/>
    <n v="1315.3564434803629"/>
    <x v="4"/>
    <n v="5.0000000000000018"/>
    <x v="1"/>
    <n v="1.6E-2"/>
    <n v="929.96800000000007"/>
    <n v="1.6E-2"/>
    <n v="829.69847821238614"/>
    <n v="735.56187674716796"/>
    <s v=""/>
    <n v="735.56187674716796"/>
    <n v="735.56187674716796"/>
    <n v="630.08025599999996"/>
    <n v="737.8018583755121"/>
    <n v="0.79336263008567176"/>
    <s v="no age comp data - multi-year mean applied"/>
  </r>
  <r>
    <x v="0"/>
    <s v="1980s"/>
    <x v="7"/>
    <x v="9"/>
    <x v="9"/>
    <n v="145546"/>
    <n v="116993"/>
    <n v="69868"/>
    <n v="45415.839999999997"/>
    <n v="0.6500234728344878"/>
    <n v="99373.304487167072"/>
    <n v="76048.196157325234"/>
    <n v="0.44000000000000006"/>
    <n v="51476.920000000006"/>
    <n v="0.34292649987606094"/>
    <n v="44275.048805175466"/>
    <n v="0.49364042875468361"/>
    <n v="89690.888805175462"/>
    <n v="4917.4275719928992"/>
    <x v="0"/>
    <n v="3.0000000000000009"/>
    <x v="0"/>
    <n v="0.49199999999999999"/>
    <n v="57560.555999999997"/>
    <n v="5.1999999999999998E-2"/>
    <n v="48891.6658076862"/>
    <n v="37415.712509404017"/>
    <n v="25326.644640000002"/>
    <n v="3954.5062001809119"/>
    <n v="37415.712509404017"/>
    <n v="2361.6236799999997"/>
    <n v="4663.9262178691242"/>
    <n v="8.1026427504785128E-2"/>
    <s v="Fryer thesis: freshwater aged, marine ages based on length"/>
  </r>
  <r>
    <x v="0"/>
    <s v="1980s"/>
    <x v="7"/>
    <x v="8"/>
    <x v="8"/>
    <n v="145546"/>
    <n v="116993"/>
    <n v="69868"/>
    <n v="45415.839999999997"/>
    <n v="0.6500234728344878"/>
    <n v="99373.304487167072"/>
    <n v="76048.196157325234"/>
    <n v="0.44000000000000006"/>
    <n v="51476.920000000006"/>
    <n v="0.34292649987606094"/>
    <n v="44275.048805175466"/>
    <n v="0.49364042875468361"/>
    <n v="89690.888805175462"/>
    <n v="4917.4275719928992"/>
    <x v="1"/>
    <n v="3.9999999999999996"/>
    <x v="0"/>
    <n v="0.46"/>
    <n v="53816.78"/>
    <n v="0.82499999999999996"/>
    <n v="45711.720064096859"/>
    <n v="34982.170232369608"/>
    <n v="23679.383200000004"/>
    <n v="62739.761829793315"/>
    <n v="34982.170232369608"/>
    <n v="37468.067999999992"/>
    <n v="73994.983264269758"/>
    <n v="1.3749425971652292"/>
    <s v="Fryer thesis: freshwater aged, marine ages based on length"/>
  </r>
  <r>
    <x v="0"/>
    <s v="1980s"/>
    <x v="7"/>
    <x v="7"/>
    <x v="7"/>
    <n v="145546"/>
    <n v="116993"/>
    <n v="69868"/>
    <n v="45415.839999999997"/>
    <n v="0.6500234728344878"/>
    <n v="99373.304487167072"/>
    <n v="76048.196157325234"/>
    <n v="0.44000000000000006"/>
    <n v="51476.920000000006"/>
    <n v="0.34292649987606094"/>
    <n v="44275.048805175466"/>
    <n v="0.49364042875468361"/>
    <n v="89690.888805175462"/>
    <n v="4917.4275719928992"/>
    <x v="2"/>
    <n v="5"/>
    <x v="0"/>
    <n v="2.8000000000000001E-2"/>
    <n v="3275.8040000000001"/>
    <n v="8.3000000000000004E-2"/>
    <n v="2782.4525256406782"/>
    <n v="2129.3494924051065"/>
    <n v="1441.3537600000002"/>
    <n v="6312.0002810579945"/>
    <n v="2129.3494924051065"/>
    <n v="3769.5147200000001"/>
    <n v="7444.3437708295642"/>
    <n v="2.2725241714185476"/>
    <s v="Fryer thesis: freshwater aged, marine ages based on length"/>
  </r>
  <r>
    <x v="0"/>
    <s v="1980s"/>
    <x v="7"/>
    <x v="8"/>
    <x v="9"/>
    <n v="145546"/>
    <n v="116993"/>
    <n v="69868"/>
    <n v="45415.839999999997"/>
    <n v="0.6500234728344878"/>
    <n v="99373.304487167072"/>
    <n v="76048.196157325234"/>
    <n v="0.44000000000000006"/>
    <n v="51476.920000000006"/>
    <n v="0.34292649987606094"/>
    <n v="44275.048805175466"/>
    <n v="0.49364042875468361"/>
    <n v="89690.888805175462"/>
    <n v="4917.4275719928992"/>
    <x v="3"/>
    <n v="4.0000000000000009"/>
    <x v="1"/>
    <n v="0.01"/>
    <n v="1169.93"/>
    <n v="2.3E-2"/>
    <n v="993.7330448716707"/>
    <n v="760.48196157325231"/>
    <n v="514.76920000000007"/>
    <n v="1749.1085116184804"/>
    <n v="760.48196157325231"/>
    <n v="1044.56432"/>
    <n v="2062.8904425190358"/>
    <n v="1.7632597185464391"/>
    <s v="Fryer thesis: freshwater aged, marine ages based on length"/>
  </r>
  <r>
    <x v="0"/>
    <s v="1980s"/>
    <x v="7"/>
    <x v="7"/>
    <x v="8"/>
    <n v="145546"/>
    <n v="116993"/>
    <n v="69868"/>
    <n v="45415.839999999997"/>
    <n v="0.6500234728344878"/>
    <n v="99373.304487167072"/>
    <n v="76048.196157325234"/>
    <n v="0.44000000000000006"/>
    <n v="51476.920000000006"/>
    <n v="0.34292649987606094"/>
    <n v="44275.048805175466"/>
    <n v="0.49364042875468361"/>
    <n v="89690.888805175462"/>
    <n v="4917.4275719928992"/>
    <x v="4"/>
    <n v="5.0000000000000018"/>
    <x v="1"/>
    <n v="0.01"/>
    <n v="1169.93"/>
    <n v="1.6E-2"/>
    <n v="993.7330448716707"/>
    <n v="760.48196157325231"/>
    <n v="514.76920000000007"/>
    <n v="1216.7711385172038"/>
    <n v="760.48196157325231"/>
    <n v="726.65343999999993"/>
    <n v="1435.0542208828074"/>
    <n v="1.2266154563801315"/>
    <s v="Fryer thesis: freshwater aged, marine ages based on length"/>
  </r>
  <r>
    <x v="0"/>
    <s v="1980s"/>
    <x v="8"/>
    <x v="10"/>
    <x v="10"/>
    <n v="99780"/>
    <n v="79714"/>
    <n v="49177"/>
    <n v="38463.095999999998"/>
    <n v="0.78213587652764505"/>
    <n v="82406.806597104747"/>
    <n v="62347.179261524696"/>
    <n v="0.69"/>
    <n v="55002.659999999996"/>
    <n v="0.42624883960157561"/>
    <n v="38029.010588527155"/>
    <n v="0.49716254767431162"/>
    <n v="76492.106588527153"/>
    <n v="1549.4111714012688"/>
    <x v="0"/>
    <n v="3.0000000000000009"/>
    <x v="0"/>
    <n v="2E-3"/>
    <n v="159.428"/>
    <n v="2.1052631578947368E-3"/>
    <n v="164.81361319420949"/>
    <n v="124.69435852304939"/>
    <n v="110.00532"/>
    <n v="131.25721949794672"/>
    <n v="124.69435852304939"/>
    <n v="80.974938947368415"/>
    <n v="161.03601387058347"/>
    <n v="1.0100861446583"/>
    <s v="Fryer pers. data; Schwartzberg and Fryer 1989"/>
  </r>
  <r>
    <x v="0"/>
    <s v="1980s"/>
    <x v="8"/>
    <x v="9"/>
    <x v="9"/>
    <n v="99780"/>
    <n v="79714"/>
    <n v="49177"/>
    <n v="38463.095999999998"/>
    <n v="0.78213587652764505"/>
    <n v="82406.806597104747"/>
    <n v="62347.179261524696"/>
    <n v="0.69"/>
    <n v="55002.659999999996"/>
    <n v="0.42624883960157561"/>
    <n v="38029.010588527155"/>
    <n v="0.49716254767431162"/>
    <n v="76492.106588527153"/>
    <n v="1549.4111714012688"/>
    <x v="1"/>
    <n v="3.9999999999999996"/>
    <x v="0"/>
    <n v="0.96899999999999997"/>
    <n v="77242.865999999995"/>
    <n v="0.96210526315789469"/>
    <n v="79852.195592594493"/>
    <n v="60414.416704417432"/>
    <n v="53297.577539999998"/>
    <n v="59984.549310561655"/>
    <n v="60414.416704417432"/>
    <n v="37005.547098947362"/>
    <n v="73593.458338856653"/>
    <n v="0.95275411374374253"/>
    <s v="Fryer pers. data; Schwartzberg and Fryer 1991"/>
  </r>
  <r>
    <x v="0"/>
    <s v="1980s"/>
    <x v="8"/>
    <x v="8"/>
    <x v="8"/>
    <n v="99780"/>
    <n v="79714"/>
    <n v="49177"/>
    <n v="38463.095999999998"/>
    <n v="0.78213587652764505"/>
    <n v="82406.806597104747"/>
    <n v="62347.179261524696"/>
    <n v="0.69"/>
    <n v="55002.659999999996"/>
    <n v="0.42624883960157561"/>
    <n v="38029.010588527155"/>
    <n v="0.49716254767431162"/>
    <n v="76492.106588527153"/>
    <n v="1549.4111714012688"/>
    <x v="2"/>
    <n v="5"/>
    <x v="0"/>
    <n v="1.2999999999999999E-2"/>
    <n v="1036.2819999999999"/>
    <n v="1.6842105263157894E-2"/>
    <n v="1071.2884857623617"/>
    <n v="810.51333039982103"/>
    <n v="715.03457999999989"/>
    <n v="1050.0577559835738"/>
    <n v="810.51333039982103"/>
    <n v="647.79951157894732"/>
    <n v="1288.2881109646678"/>
    <n v="1.2431829472717542"/>
    <s v="Fryer pers. data; Schwartzberg and Fryer 1993"/>
  </r>
  <r>
    <x v="0"/>
    <s v="1980s"/>
    <x v="8"/>
    <x v="9"/>
    <x v="10"/>
    <n v="99780"/>
    <n v="79714"/>
    <n v="49177"/>
    <n v="38463.095999999998"/>
    <n v="0.78213587652764505"/>
    <n v="82406.806597104747"/>
    <n v="62347.179261524696"/>
    <n v="0.69"/>
    <n v="55002.659999999996"/>
    <n v="0.42624883960157561"/>
    <n v="38029.010588527155"/>
    <n v="0.49716254767431162"/>
    <n v="76492.106588527153"/>
    <n v="1549.4111714012688"/>
    <x v="3"/>
    <n v="4.0000000000000009"/>
    <x v="1"/>
    <n v="0.01"/>
    <n v="797.14"/>
    <n v="1.2631578947368421E-2"/>
    <n v="824.06806597104753"/>
    <n v="623.47179261524695"/>
    <n v="550.02660000000003"/>
    <n v="787.54331698768033"/>
    <n v="623.47179261524695"/>
    <n v="485.84963368421046"/>
    <n v="966.21608322350085"/>
    <n v="1.2121033735899602"/>
    <s v="Fryer pers. data; Schwartzberg and Fryer 1990"/>
  </r>
  <r>
    <x v="0"/>
    <s v="1980s"/>
    <x v="8"/>
    <x v="8"/>
    <x v="9"/>
    <n v="99780"/>
    <n v="79714"/>
    <n v="49177"/>
    <n v="38463.095999999998"/>
    <n v="0.78213587652764505"/>
    <n v="82406.806597104747"/>
    <n v="62347.179261524696"/>
    <n v="0.69"/>
    <n v="55002.659999999996"/>
    <n v="0.42624883960157561"/>
    <n v="38029.010588527155"/>
    <n v="0.49716254767431162"/>
    <n v="76492.106588527153"/>
    <n v="1549.4111714012688"/>
    <x v="4"/>
    <n v="5.0000000000000018"/>
    <x v="1"/>
    <n v="6.0000000000000001E-3"/>
    <n v="478.28399999999999"/>
    <n v="6.3157894736842104E-3"/>
    <n v="494.44083958262848"/>
    <n v="374.08307556914821"/>
    <n v="330.01596000000001"/>
    <n v="393.77165849384016"/>
    <n v="374.08307556914821"/>
    <n v="242.92481684210523"/>
    <n v="483.10804161175042"/>
    <n v="1.0100861446583"/>
    <s v="Fryer pers. data; Schwartzberg and Fryer 1992"/>
  </r>
  <r>
    <x v="0"/>
    <s v="1980s"/>
    <x v="9"/>
    <x v="11"/>
    <x v="11"/>
    <n v="47478"/>
    <n v="41884"/>
    <n v="37360"/>
    <n v="18084.831999999999"/>
    <n v="0.48406937901498925"/>
    <n v="24095.210367813997"/>
    <n v="20274.76187066381"/>
    <n v="0.41499999999999992"/>
    <n v="17381.859999999997"/>
    <n v="0.38143443797154042"/>
    <n v="1052.3668299785866"/>
    <n v="5.4990640967268675E-2"/>
    <n v="19137.198829978584"/>
    <n v="3845.447146895076"/>
    <x v="0"/>
    <n v="3.0000000000000009"/>
    <x v="0"/>
    <n v="0.03"/>
    <n v="1256.52"/>
    <n v="3.325942350332594E-2"/>
    <n v="722.85631103441995"/>
    <n v="608.24285611991422"/>
    <n v="521.45579999999984"/>
    <n v="674.32689148549252"/>
    <n v="608.24285611991422"/>
    <n v="601.491086474501"/>
    <n v="636.49220055361138"/>
    <n v="0.5065515873632026"/>
    <s v="Fryer pers. data: Fryer and Schwartzberg 1990"/>
  </r>
  <r>
    <x v="0"/>
    <s v="1980s"/>
    <x v="9"/>
    <x v="10"/>
    <x v="10"/>
    <n v="47478"/>
    <n v="41884"/>
    <n v="37360"/>
    <n v="18084.831999999999"/>
    <n v="0.48406937901498925"/>
    <n v="24095.210367813997"/>
    <n v="20274.76187066381"/>
    <n v="0.41499999999999992"/>
    <n v="17381.859999999997"/>
    <n v="0.38143443797154042"/>
    <n v="1052.3668299785866"/>
    <n v="5.4990640967268675E-2"/>
    <n v="19137.198829978584"/>
    <n v="3845.447146895076"/>
    <x v="1"/>
    <n v="3.9999999999999996"/>
    <x v="0"/>
    <n v="0.93100000000000005"/>
    <n v="38994.004000000001"/>
    <n v="0.92904656319290468"/>
    <n v="22432.640852434834"/>
    <n v="18875.803301588006"/>
    <n v="16182.511659999998"/>
    <n v="18836.197835494761"/>
    <n v="18875.803301588006"/>
    <n v="16801.651015521064"/>
    <n v="17779.34880213088"/>
    <n v="0.4559508380347625"/>
    <s v="Fryer pers. data: Fryer and Schwartzberg 1990"/>
  </r>
  <r>
    <x v="0"/>
    <s v="1980s"/>
    <x v="9"/>
    <x v="9"/>
    <x v="9"/>
    <n v="47478"/>
    <n v="41884"/>
    <n v="37360"/>
    <n v="18084.831999999999"/>
    <n v="0.48406937901498925"/>
    <n v="24095.210367813997"/>
    <n v="20274.76187066381"/>
    <n v="0.41499999999999992"/>
    <n v="17381.859999999997"/>
    <n v="0.38143443797154042"/>
    <n v="1052.3668299785866"/>
    <n v="5.4990640967268675E-2"/>
    <n v="19137.198829978584"/>
    <n v="3845.447146895076"/>
    <x v="2"/>
    <n v="5"/>
    <x v="0"/>
    <n v="2.7E-2"/>
    <n v="1130.8679999999999"/>
    <n v="2.6607538802660754E-2"/>
    <n v="650.57067993097792"/>
    <n v="547.41857050792282"/>
    <n v="469.3102199999999"/>
    <n v="539.46151318839406"/>
    <n v="547.41857050792282"/>
    <n v="481.19286917960085"/>
    <n v="509.19376044288919"/>
    <n v="0.45026807765618021"/>
    <s v="Fryer pers. data: Fryer and Schwartzberg 1990"/>
  </r>
  <r>
    <x v="0"/>
    <s v="1980s"/>
    <x v="9"/>
    <x v="10"/>
    <x v="11"/>
    <n v="47478"/>
    <n v="41884"/>
    <n v="37360"/>
    <n v="18084.831999999999"/>
    <n v="0.48406937901498925"/>
    <n v="24095.210367813997"/>
    <n v="20274.76187066381"/>
    <n v="0.41499999999999992"/>
    <n v="17381.859999999997"/>
    <n v="0.38143443797154042"/>
    <n v="1052.3668299785866"/>
    <n v="5.4990640967268675E-2"/>
    <n v="19137.198829978584"/>
    <n v="3845.447146895076"/>
    <x v="3"/>
    <n v="4.0000000000000009"/>
    <x v="1"/>
    <n v="6.0000000000000001E-3"/>
    <n v="251.304"/>
    <n v="6.6518847006651885E-3"/>
    <n v="144.571262206884"/>
    <n v="121.64857122398286"/>
    <n v="104.29115999999999"/>
    <n v="134.86537829709852"/>
    <n v="121.64857122398286"/>
    <n v="120.29821729490021"/>
    <n v="127.2984401107223"/>
    <n v="0.50655158736320272"/>
    <s v="Fryer pers. data: Fryer and Schwartzberg 1990"/>
  </r>
  <r>
    <x v="0"/>
    <s v="1980s"/>
    <x v="9"/>
    <x v="9"/>
    <x v="10"/>
    <n v="47478"/>
    <n v="41884"/>
    <n v="37360"/>
    <n v="18084.831999999999"/>
    <n v="0.48406937901498925"/>
    <n v="24095.210367813997"/>
    <n v="20274.76187066381"/>
    <n v="0.41499999999999992"/>
    <n v="17381.859999999997"/>
    <n v="0.38143443797154042"/>
    <n v="1052.3668299785866"/>
    <n v="5.4990640967268675E-2"/>
    <n v="19137.198829978584"/>
    <n v="3845.447146895076"/>
    <x v="4"/>
    <n v="5.0000000000000018"/>
    <x v="1"/>
    <n v="5.0000000000000001E-3"/>
    <n v="209.42000000000002"/>
    <n v="4.434589800443459E-3"/>
    <n v="120.47605183907"/>
    <n v="101.37380935331905"/>
    <n v="86.909299999999988"/>
    <n v="89.910252198065677"/>
    <n v="101.37380935331905"/>
    <n v="80.198811529933479"/>
    <n v="84.865626740481531"/>
    <n v="0.40524126989056214"/>
    <s v="Fryer pers. data: Fryer and Schwartzberg 1990"/>
  </r>
  <r>
    <x v="0"/>
    <s v="1980s"/>
    <x v="10"/>
    <x v="12"/>
    <x v="12"/>
    <n v="49754"/>
    <n v="49581"/>
    <n v="44143"/>
    <n v="8613.387999999999"/>
    <n v="0.19512466302698048"/>
    <n v="10628.613606811994"/>
    <n v="9674.4759175407198"/>
    <n v="0.25"/>
    <n v="12395.25"/>
    <n v="0.15346604546096287"/>
    <n v="563.71515148494655"/>
    <n v="6.1426262969892835E-2"/>
    <n v="9177.1031514849456"/>
    <n v="531.12933275944124"/>
    <x v="0"/>
    <n v="3.0000000000000009"/>
    <x v="0"/>
    <n v="0.45200000000000001"/>
    <n v="22410.612000000001"/>
    <n v="0.58128078817733986"/>
    <n v="4804.1333502790212"/>
    <n v="4372.8631147284059"/>
    <n v="5602.6530000000002"/>
    <n v="5623.586986550763"/>
    <n v="4372.8631147284059"/>
    <n v="5006.7969655172401"/>
    <n v="5334.4737530799184"/>
    <n v="0.2380333813766406"/>
    <s v="Fryer pers. data: Fryer and Schwartzberg 1991"/>
  </r>
  <r>
    <x v="0"/>
    <s v="1980s"/>
    <x v="10"/>
    <x v="11"/>
    <x v="11"/>
    <n v="49754"/>
    <n v="49581"/>
    <n v="44143"/>
    <n v="8613.387999999999"/>
    <n v="0.19512466302698048"/>
    <n v="10628.613606811994"/>
    <n v="9674.4759175407198"/>
    <n v="0.25"/>
    <n v="12395.25"/>
    <n v="0.15346604546096287"/>
    <n v="563.71515148494655"/>
    <n v="6.1426262969892835E-2"/>
    <n v="9177.1031514849456"/>
    <n v="531.12933275944124"/>
    <x v="1"/>
    <n v="3.9999999999999996"/>
    <x v="0"/>
    <n v="0.26200000000000001"/>
    <n v="12990.222"/>
    <n v="0.25123152709359609"/>
    <n v="2784.6967649847425"/>
    <n v="2534.7126903956687"/>
    <n v="3247.5554999999999"/>
    <n v="2430.5333585939743"/>
    <n v="2534.7126903956687"/>
    <n v="2163.9546206896553"/>
    <n v="2305.577639043016"/>
    <n v="0.17748562257388797"/>
    <s v="Fryer pers. data: Fryer and Schwartzberg 1991"/>
  </r>
  <r>
    <x v="0"/>
    <s v="1980s"/>
    <x v="10"/>
    <x v="10"/>
    <x v="10"/>
    <n v="49754"/>
    <n v="49581"/>
    <n v="44143"/>
    <n v="8613.387999999999"/>
    <n v="0.19512466302698048"/>
    <n v="10628.613606811994"/>
    <n v="9674.4759175407198"/>
    <n v="0.25"/>
    <n v="12395.25"/>
    <n v="0.15346604546096287"/>
    <n v="563.71515148494655"/>
    <n v="6.1426262969892835E-2"/>
    <n v="9177.1031514849456"/>
    <n v="531.12933275944124"/>
    <x v="2"/>
    <n v="5"/>
    <x v="0"/>
    <n v="0.22600000000000001"/>
    <n v="11205.306"/>
    <n v="0.10591133004926108"/>
    <n v="2402.0666751395106"/>
    <n v="2186.4315573642029"/>
    <n v="2801.3265000000001"/>
    <n v="1024.6366119562831"/>
    <n v="2186.4315573642029"/>
    <n v="912.25537931034467"/>
    <n v="971.95920077303606"/>
    <n v="8.6740977959284288E-2"/>
    <s v="Fryer pers. data: Fryer and Schwartzberg 1991"/>
  </r>
  <r>
    <x v="0"/>
    <s v="1980s"/>
    <x v="10"/>
    <x v="11"/>
    <x v="12"/>
    <n v="49754"/>
    <n v="49581"/>
    <n v="44143"/>
    <n v="8613.387999999999"/>
    <n v="0.19512466302698048"/>
    <n v="10628.613606811994"/>
    <n v="9674.4759175407198"/>
    <n v="0.25"/>
    <n v="12395.25"/>
    <n v="0.15346604546096287"/>
    <n v="563.71515148494655"/>
    <n v="6.1426262969892835E-2"/>
    <n v="9177.1031514849456"/>
    <n v="531.12933275944124"/>
    <x v="3"/>
    <n v="4.0000000000000009"/>
    <x v="1"/>
    <n v="1.9E-2"/>
    <n v="942.03899999999999"/>
    <n v="2.4630541871921183E-2"/>
    <n v="201.94365852942789"/>
    <n v="183.81504243327367"/>
    <n v="235.50975"/>
    <n v="238.2875841758798"/>
    <n v="183.81504243327367"/>
    <n v="212.15241379310342"/>
    <n v="226.03702343558982"/>
    <n v="0.23994444331454412"/>
    <s v="Fryer pers. data: Fryer and Schwartzberg 1991"/>
  </r>
  <r>
    <x v="0"/>
    <s v="1980s"/>
    <x v="10"/>
    <x v="10"/>
    <x v="11"/>
    <n v="49754"/>
    <n v="49581"/>
    <n v="44143"/>
    <n v="8613.387999999999"/>
    <n v="0.19512466302698048"/>
    <n v="10628.613606811994"/>
    <n v="9674.4759175407198"/>
    <n v="0.25"/>
    <n v="12395.25"/>
    <n v="0.15346604546096287"/>
    <n v="563.71515148494655"/>
    <n v="6.1426262969892835E-2"/>
    <n v="9177.1031514849456"/>
    <n v="531.12933275944124"/>
    <x v="4"/>
    <n v="5.0000000000000018"/>
    <x v="1"/>
    <n v="3.5000000000000003E-2"/>
    <n v="1735.3350000000003"/>
    <n v="2.9556650246305417E-2"/>
    <n v="372.00147623841985"/>
    <n v="338.60665711392522"/>
    <n v="433.83375000000007"/>
    <n v="285.94510101105573"/>
    <n v="338.60665711392522"/>
    <n v="254.5828965517241"/>
    <n v="271.24442812270775"/>
    <n v="0.15630666593061726"/>
    <s v="Fryer pers. data: Fryer and Schwartzberg 1991"/>
  </r>
  <r>
    <x v="0"/>
    <s v="1980s"/>
    <x v="10"/>
    <x v="9"/>
    <x v="10"/>
    <n v="49754"/>
    <n v="49581"/>
    <n v="44143"/>
    <n v="8613.387999999999"/>
    <n v="0.19512466302698048"/>
    <n v="10628.613606811994"/>
    <n v="9674.4759175407198"/>
    <n v="0.25"/>
    <n v="12395.25"/>
    <n v="0.15346604546096287"/>
    <n v="563.71515148494655"/>
    <n v="6.1426262969892835E-2"/>
    <n v="9177.1031514849456"/>
    <n v="531.12933275944124"/>
    <x v="5"/>
    <n v="5.9999999999999982"/>
    <x v="1"/>
    <n v="6.0000000000000001E-3"/>
    <n v="297.48599999999999"/>
    <n v="5.6650246305418716E-3"/>
    <n v="63.771681640871968"/>
    <n v="58.046855505244324"/>
    <n v="74.371499999999997"/>
    <n v="54.80614436045235"/>
    <n v="58.046855505244324"/>
    <n v="48.795055172413782"/>
    <n v="51.988515390185647"/>
    <n v="0.17475953621409293"/>
    <s v="Fryer pers. data: Fryer and Schwartzberg 1991"/>
  </r>
  <r>
    <x v="0"/>
    <s v="1990s"/>
    <x v="11"/>
    <x v="13"/>
    <x v="13"/>
    <n v="76484"/>
    <n v="76481"/>
    <n v="62119"/>
    <n v="31118.679999999997"/>
    <n v="0.50095268758350897"/>
    <n v="40611.658678258478"/>
    <n v="38313.362499074348"/>
    <n v="0.53000000000000014"/>
    <n v="40534.930000000008"/>
    <n v="0.3594356768347694"/>
    <n v="1640.1190991484084"/>
    <n v="5.006652088143991E-2"/>
    <n v="32758.799099148404"/>
    <n v="5556.0662579886994"/>
    <x v="0"/>
    <n v="3.0000000000000009"/>
    <x v="0"/>
    <n v="0.154"/>
    <n v="11778.074000000001"/>
    <n v="0.14497041420118342"/>
    <n v="6254.1954364518051"/>
    <n v="5900.2578248574491"/>
    <n v="6242.3792200000007"/>
    <n v="5554.3040309308963"/>
    <n v="5900.2578248574491"/>
    <n v="4511.287928994082"/>
    <n v="4749.0566741368984"/>
    <n v="0.40321165193366065"/>
    <s v="Fryer pers data; Fryer et al 1992"/>
  </r>
  <r>
    <x v="0"/>
    <s v="1980s"/>
    <x v="11"/>
    <x v="12"/>
    <x v="12"/>
    <n v="76484"/>
    <n v="76481"/>
    <n v="62119"/>
    <n v="31118.679999999997"/>
    <n v="0.50095268758350897"/>
    <n v="40611.658678258478"/>
    <n v="38313.362499074348"/>
    <n v="0.53000000000000014"/>
    <n v="40534.930000000008"/>
    <n v="0.3594356768347694"/>
    <n v="1640.1190991484084"/>
    <n v="5.006652088143991E-2"/>
    <n v="32758.799099148404"/>
    <n v="5556.0662579886994"/>
    <x v="1"/>
    <n v="3.9999999999999996"/>
    <x v="0"/>
    <n v="0.76"/>
    <n v="58125.56"/>
    <n v="0.78402366863905326"/>
    <n v="30864.860595476443"/>
    <n v="29118.155499296507"/>
    <n v="30806.546800000007"/>
    <n v="30038.583024422198"/>
    <n v="29118.155499296507"/>
    <n v="24397.781656804731"/>
    <n v="25683.673849924045"/>
    <n v="0.44186540052128609"/>
    <s v="Fryer pers data; Fryer et al 1992"/>
  </r>
  <r>
    <x v="0"/>
    <s v="1980s"/>
    <x v="11"/>
    <x v="11"/>
    <x v="11"/>
    <n v="76484"/>
    <n v="76481"/>
    <n v="62119"/>
    <n v="31118.679999999997"/>
    <n v="0.50095268758350897"/>
    <n v="40611.658678258478"/>
    <n v="38313.362499074348"/>
    <n v="0.53000000000000014"/>
    <n v="40534.930000000008"/>
    <n v="0.3594356768347694"/>
    <n v="1640.1190991484084"/>
    <n v="5.006652088143991E-2"/>
    <n v="32758.799099148404"/>
    <n v="5556.0662579886994"/>
    <x v="2"/>
    <n v="5"/>
    <x v="0"/>
    <n v="1.4999999999999999E-2"/>
    <n v="1147.2149999999999"/>
    <n v="1.7751479289940829E-2"/>
    <n v="609.17488017387711"/>
    <n v="574.70043748611522"/>
    <n v="608.02395000000013"/>
    <n v="680.11886093031387"/>
    <n v="574.70043748611522"/>
    <n v="552.40260355029579"/>
    <n v="581.51714377186522"/>
    <n v="0.50689464814517349"/>
    <s v="Fryer pers data; Fryer et al 1992"/>
  </r>
  <r>
    <x v="0"/>
    <s v="1990s"/>
    <x v="11"/>
    <x v="12"/>
    <x v="13"/>
    <n v="76484"/>
    <n v="76481"/>
    <n v="62119"/>
    <n v="31118.679999999997"/>
    <n v="0.50095268758350897"/>
    <n v="40611.658678258478"/>
    <n v="38313.362499074348"/>
    <n v="0.53000000000000014"/>
    <n v="40534.930000000008"/>
    <n v="0.3594356768347694"/>
    <n v="1640.1190991484084"/>
    <n v="5.006652088143991E-2"/>
    <n v="32758.799099148404"/>
    <n v="5556.0662579886994"/>
    <x v="3"/>
    <n v="4.0000000000000009"/>
    <x v="1"/>
    <n v="6.7000000000000004E-2"/>
    <n v="5124.2269999999999"/>
    <n v="5.0295857988165681E-2"/>
    <n v="2720.9811314433182"/>
    <n v="2566.9952874379815"/>
    <n v="2715.8403100000005"/>
    <n v="1927.003439302556"/>
    <n v="2566.9952874379815"/>
    <n v="1565.1407100591714"/>
    <n v="1647.6319073536179"/>
    <n v="0.3215376499428339"/>
    <s v="Fryer pers data; Fryer et al 1992"/>
  </r>
  <r>
    <x v="0"/>
    <s v="1980s"/>
    <x v="11"/>
    <x v="11"/>
    <x v="12"/>
    <n v="76484"/>
    <n v="76481"/>
    <n v="62119"/>
    <n v="31118.679999999997"/>
    <n v="0.50095268758350897"/>
    <n v="40611.658678258478"/>
    <n v="38313.362499074348"/>
    <n v="0.53000000000000014"/>
    <n v="40534.930000000008"/>
    <n v="0.3594356768347694"/>
    <n v="1640.1190991484084"/>
    <n v="5.006652088143991E-2"/>
    <n v="32758.799099148404"/>
    <n v="5556.0662579886994"/>
    <x v="4"/>
    <n v="5.0000000000000018"/>
    <x v="1"/>
    <n v="1E-3"/>
    <n v="76.480999999999995"/>
    <n v="2.9585798816568047E-3"/>
    <n v="40.611658678258479"/>
    <n v="38.313362499074351"/>
    <n v="40.53493000000001"/>
    <n v="113.35314348838564"/>
    <n v="38.313362499074351"/>
    <n v="92.06710059171597"/>
    <n v="96.919523961977518"/>
    <n v="1.2672366203629335"/>
    <s v="Fryer pers data; Fryer et al 1992"/>
  </r>
  <r>
    <x v="0"/>
    <s v="1980s"/>
    <x v="11"/>
    <x v="11"/>
    <x v="12"/>
    <n v="76484"/>
    <n v="76481"/>
    <n v="62119"/>
    <n v="31118.679999999997"/>
    <n v="0.50095268758350897"/>
    <n v="40611.658678258478"/>
    <n v="38313.362499074348"/>
    <n v="0.53000000000000014"/>
    <n v="40534.930000000008"/>
    <n v="0.3594356768347694"/>
    <n v="1640.1190991484084"/>
    <n v="5.006652088143991E-2"/>
    <n v="32758.799099148404"/>
    <n v="5556.0662579886994"/>
    <x v="5"/>
    <n v="5.9999999999999982"/>
    <x v="1"/>
    <n v="3.0000000000000001E-3"/>
    <n v="229.44300000000001"/>
    <n v="1.7751479289940801E-2"/>
    <n v="121.83497603477544"/>
    <n v="114.94008749722305"/>
    <n v="121.60479000000002"/>
    <n v="680.11886093031285"/>
    <n v="114.94008749722305"/>
    <n v="552.402603550295"/>
    <n v="581.51714377186431"/>
    <n v="2.5344732407258634"/>
    <s v="Fryer pers data; Fryer et al 1992"/>
  </r>
  <r>
    <x v="0"/>
    <s v="1990s"/>
    <x v="12"/>
    <x v="14"/>
    <x v="14"/>
    <n v="85000"/>
    <n v="84992"/>
    <n v="68359"/>
    <n v="47488.531999999992"/>
    <n v="0.69469319328837453"/>
    <n v="61939.161813749517"/>
    <n v="59043.363883965525"/>
    <n v="0.63"/>
    <n v="53544.959999999999"/>
    <n v="0.49358763177710846"/>
    <n v="1523.4621728814054"/>
    <n v="3.1083456174169407E-2"/>
    <n v="49011.994172881401"/>
    <n v="10036.927256630435"/>
    <x v="0"/>
    <n v="3.0000000000000009"/>
    <x v="0"/>
    <n v="0.16900000000000001"/>
    <n v="14363.648000000001"/>
    <n v="0.182"/>
    <n v="10467.718346523669"/>
    <n v="9978.3284963901751"/>
    <n v="9049.0982400000012"/>
    <n v="10745.892226881726"/>
    <n v="9978.3284963901751"/>
    <n v="8642.9128239999991"/>
    <n v="8920.1829394644155"/>
    <n v="0.62102489141090167"/>
    <s v="Fryer personal data; Fryer and Schwartzberg 1993"/>
  </r>
  <r>
    <x v="0"/>
    <s v="1990s"/>
    <x v="12"/>
    <x v="13"/>
    <x v="13"/>
    <n v="85000"/>
    <n v="84992"/>
    <n v="68359"/>
    <n v="47488.531999999992"/>
    <n v="0.69469319328837453"/>
    <n v="61939.161813749517"/>
    <n v="59043.363883965525"/>
    <n v="0.63"/>
    <n v="53544.959999999999"/>
    <n v="0.49358763177710846"/>
    <n v="1523.4621728814054"/>
    <n v="3.1083456174169407E-2"/>
    <n v="49011.994172881401"/>
    <n v="10036.927256630435"/>
    <x v="1"/>
    <n v="3.9999999999999996"/>
    <x v="0"/>
    <n v="0.73299999999999998"/>
    <n v="62299.135999999999"/>
    <n v="0.72199999999999998"/>
    <n v="45401.405609478395"/>
    <n v="43278.785726946728"/>
    <n v="39248.455679999999"/>
    <n v="42629.308724223105"/>
    <n v="43278.785726946728"/>
    <n v="34286.720103999993"/>
    <n v="35386.65979282037"/>
    <n v="0.56801204743546319"/>
    <s v="Fryer personal data; Fryer and Schwartzberg 1993"/>
  </r>
  <r>
    <x v="0"/>
    <s v="1980s"/>
    <x v="12"/>
    <x v="12"/>
    <x v="12"/>
    <n v="85000"/>
    <n v="84992"/>
    <n v="68359"/>
    <n v="47488.531999999992"/>
    <n v="0.69469319328837453"/>
    <n v="61939.161813749517"/>
    <n v="59043.363883965525"/>
    <n v="0.63"/>
    <n v="53544.959999999999"/>
    <n v="0.49358763177710846"/>
    <n v="1523.4621728814054"/>
    <n v="3.1083456174169407E-2"/>
    <n v="49011.994172881401"/>
    <n v="10036.927256630435"/>
    <x v="2"/>
    <n v="5"/>
    <x v="0"/>
    <n v="1.4E-2"/>
    <n v="1189.8879999999999"/>
    <n v="1.6E-2"/>
    <n v="867.14826539249327"/>
    <n v="826.60709437551736"/>
    <n v="749.62944000000005"/>
    <n v="944.69382214344841"/>
    <n v="826.60709437551736"/>
    <n v="759.81651199999988"/>
    <n v="784.19190676610242"/>
    <n v="0.65904682353809974"/>
    <s v="Fryer personal data; Fryer and Schwartzberg 1993"/>
  </r>
  <r>
    <x v="0"/>
    <s v="1990s"/>
    <x v="12"/>
    <x v="13"/>
    <x v="14"/>
    <n v="85000"/>
    <n v="84992"/>
    <n v="68359"/>
    <n v="47488.531999999992"/>
    <n v="0.69469319328837453"/>
    <n v="61939.161813749517"/>
    <n v="59043.363883965525"/>
    <n v="0.63"/>
    <n v="53544.959999999999"/>
    <n v="0.49358763177710846"/>
    <n v="1523.4621728814054"/>
    <n v="3.1083456174169407E-2"/>
    <n v="49011.994172881401"/>
    <n v="10036.927256630435"/>
    <x v="3"/>
    <n v="4.0000000000000009"/>
    <x v="1"/>
    <n v="7.0000000000000007E-2"/>
    <n v="5949.4400000000005"/>
    <n v="6.9000000000000006E-2"/>
    <n v="4335.7413269624667"/>
    <n v="4133.035471877587"/>
    <n v="3748.1472000000003"/>
    <n v="4073.9921079936216"/>
    <n v="4133.035471877587"/>
    <n v="3276.7087079999997"/>
    <n v="3381.8275979288169"/>
    <n v="0.56842788530161104"/>
    <s v="Fryer personal data; Fryer and Schwartzberg 1993"/>
  </r>
  <r>
    <x v="0"/>
    <s v="1990s"/>
    <x v="12"/>
    <x v="12"/>
    <x v="13"/>
    <n v="85000"/>
    <n v="84992"/>
    <n v="68359"/>
    <n v="47488.531999999992"/>
    <n v="0.69469319328837453"/>
    <n v="61939.161813749517"/>
    <n v="59043.363883965525"/>
    <n v="0.63"/>
    <n v="53544.959999999999"/>
    <n v="0.49358763177710846"/>
    <n v="1523.4621728814054"/>
    <n v="3.1083456174169407E-2"/>
    <n v="49011.994172881401"/>
    <n v="10036.927256630435"/>
    <x v="4"/>
    <n v="5.0000000000000018"/>
    <x v="1"/>
    <n v="1.4E-2"/>
    <n v="1189.8879999999999"/>
    <n v="1.0999999999999999E-2"/>
    <n v="867.14826539249327"/>
    <n v="826.60709437551736"/>
    <n v="749.62944000000005"/>
    <n v="649.47700272362079"/>
    <n v="826.60709437551736"/>
    <n v="522.37385199999983"/>
    <n v="539.13193590169533"/>
    <n v="0.45309469118244355"/>
    <s v="Fryer personal data; Fryer and Schwartzberg 1993"/>
  </r>
  <r>
    <x v="0"/>
    <s v="1990s"/>
    <x v="13"/>
    <x v="15"/>
    <x v="15"/>
    <n v="88025"/>
    <n v="80178"/>
    <n v="65630"/>
    <n v="31525.067999999996"/>
    <n v="0.48034539082736549"/>
    <n v="43600.256171046458"/>
    <n v="38513.132745756513"/>
    <n v="0.57999999999999996"/>
    <n v="46503.24"/>
    <n v="0.34733966923595"/>
    <n v="2442.0759669663262"/>
    <n v="7.1895239980767606E-2"/>
    <n v="33967.143966966323"/>
    <n v="8315.2590606125232"/>
    <x v="0"/>
    <n v="3.0000000000000009"/>
    <x v="0"/>
    <n v="0"/>
    <n v="0"/>
    <n v="0"/>
    <n v="0"/>
    <n v="0"/>
    <n v="0"/>
    <n v="0"/>
    <n v="0"/>
    <n v="0"/>
    <n v="0"/>
    <n v="0"/>
    <s v="Jeff Fryer, pers.data &amp; Fryer &amp; Schwartzberg 1994"/>
  </r>
  <r>
    <x v="0"/>
    <s v="1990s"/>
    <x v="13"/>
    <x v="14"/>
    <x v="14"/>
    <n v="88025"/>
    <n v="80178"/>
    <n v="65630"/>
    <n v="31525.067999999996"/>
    <n v="0.48034539082736549"/>
    <n v="43600.256171046458"/>
    <n v="38513.132745756513"/>
    <n v="0.57999999999999996"/>
    <n v="46503.24"/>
    <n v="0.34733966923595"/>
    <n v="2442.0759669663262"/>
    <n v="7.1895239980767606E-2"/>
    <n v="33967.143966966323"/>
    <n v="8315.2590606125232"/>
    <x v="1"/>
    <n v="3.9999999999999996"/>
    <x v="0"/>
    <n v="0.88700000000000001"/>
    <n v="71117.885999999999"/>
    <n v="0.89700000000000002"/>
    <n v="38673.427223718209"/>
    <n v="34161.148745486025"/>
    <n v="41248.373879999999"/>
    <n v="34546.280072943591"/>
    <n v="34161.148745486025"/>
    <n v="28277.985995999996"/>
    <n v="30468.528138368794"/>
    <n v="0.42842286029661786"/>
    <s v="Jeff Fryer, pers.data &amp; Fryer &amp; Schwartzberg 1994"/>
  </r>
  <r>
    <x v="0"/>
    <s v="1990s"/>
    <x v="13"/>
    <x v="13"/>
    <x v="13"/>
    <n v="88025"/>
    <n v="80178"/>
    <n v="65630"/>
    <n v="31525.067999999996"/>
    <n v="0.48034539082736549"/>
    <n v="43600.256171046458"/>
    <n v="38513.132745756513"/>
    <n v="0.57999999999999996"/>
    <n v="46503.24"/>
    <n v="0.34733966923595"/>
    <n v="2442.0759669663262"/>
    <n v="7.1895239980767606E-2"/>
    <n v="33967.143966966323"/>
    <n v="8315.2590606125232"/>
    <x v="2"/>
    <n v="5"/>
    <x v="0"/>
    <n v="5.2999999999999999E-2"/>
    <n v="4249.4340000000002"/>
    <n v="4.8000000000000001E-2"/>
    <n v="2310.8135770654621"/>
    <n v="2041.1960355250951"/>
    <n v="2464.6717199999998"/>
    <n v="1848.6303717963126"/>
    <n v="2041.1960355250951"/>
    <n v="1513.2032639999998"/>
    <n v="1630.4229104143835"/>
    <n v="0.3836800172480343"/>
    <s v="Jeff Fryer, pers.data &amp; Fryer &amp; Schwartzberg 1994"/>
  </r>
  <r>
    <x v="0"/>
    <s v="1990s"/>
    <x v="13"/>
    <x v="14"/>
    <x v="15"/>
    <n v="88025"/>
    <n v="80178"/>
    <n v="65630"/>
    <n v="31525.067999999996"/>
    <n v="0.48034539082736549"/>
    <n v="43600.256171046458"/>
    <n v="38513.132745756513"/>
    <n v="0.57999999999999996"/>
    <n v="46503.24"/>
    <n v="0.34733966923595"/>
    <n v="2442.0759669663262"/>
    <n v="7.1895239980767606E-2"/>
    <n v="33967.143966966323"/>
    <n v="8315.2590606125232"/>
    <x v="3"/>
    <n v="4.0000000000000009"/>
    <x v="1"/>
    <n v="2E-3"/>
    <n v="160.35599999999999"/>
    <n v="4.0000000000000001E-3"/>
    <n v="87.200512342092921"/>
    <n v="77.02626549151303"/>
    <n v="93.006479999999996"/>
    <n v="154.05253098302606"/>
    <n v="77.02626549151303"/>
    <n v="126.10027199999999"/>
    <n v="135.8685758678653"/>
    <n v="0.84729337142274253"/>
    <s v="Jeff Fryer, pers.data &amp; Fryer &amp; Schwartzberg 1994"/>
  </r>
  <r>
    <x v="0"/>
    <s v="1990s"/>
    <x v="13"/>
    <x v="13"/>
    <x v="14"/>
    <n v="88025"/>
    <n v="80178"/>
    <n v="65630"/>
    <n v="31525.067999999996"/>
    <n v="0.48034539082736549"/>
    <n v="43600.256171046458"/>
    <n v="38513.132745756513"/>
    <n v="0.57999999999999996"/>
    <n v="46503.24"/>
    <n v="0.34733966923595"/>
    <n v="2442.0759669663262"/>
    <n v="7.1895239980767606E-2"/>
    <n v="33967.143966966323"/>
    <n v="8315.2590606125232"/>
    <x v="4"/>
    <n v="5.0000000000000018"/>
    <x v="1"/>
    <n v="5.7000000000000002E-2"/>
    <n v="4570.1459999999997"/>
    <n v="0.05"/>
    <n v="2485.2146017496484"/>
    <n v="2195.2485665081213"/>
    <n v="2650.6846799999998"/>
    <n v="1925.6566372878258"/>
    <n v="2195.2485665081213"/>
    <n v="1576.2533999999998"/>
    <n v="1698.3571983483162"/>
    <n v="0.37161989974681692"/>
    <s v="Jeff Fryer, pers.data &amp; Fryer &amp; Schwartzberg 1994"/>
  </r>
  <r>
    <x v="0"/>
    <s v="1990s"/>
    <x v="13"/>
    <x v="12"/>
    <x v="13"/>
    <n v="88025"/>
    <n v="80178"/>
    <n v="65630"/>
    <n v="31525.067999999996"/>
    <n v="0.48034539082736549"/>
    <n v="43600.256171046458"/>
    <n v="38513.132745756513"/>
    <n v="0.57999999999999996"/>
    <n v="46503.24"/>
    <n v="0.34733966923595"/>
    <n v="2442.0759669663262"/>
    <n v="7.1895239980767606E-2"/>
    <n v="33967.143966966323"/>
    <n v="8315.2590606125232"/>
    <x v="5"/>
    <n v="5.9999999999999982"/>
    <x v="1"/>
    <n v="2E-3"/>
    <n v="160.35599999999999"/>
    <n v="2E-3"/>
    <n v="87.200512342092921"/>
    <n v="77.02626549151303"/>
    <n v="93.006479999999996"/>
    <n v="77.02626549151303"/>
    <n v="77.02626549151303"/>
    <n v="63.050135999999995"/>
    <n v="67.934287933932652"/>
    <n v="0.42364668571137126"/>
    <s v="Jeff Fryer, pers.data &amp; Fryer &amp; Schwartzberg 1994"/>
  </r>
  <r>
    <x v="0"/>
    <s v="1990s"/>
    <x v="14"/>
    <x v="16"/>
    <x v="16"/>
    <n v="12873"/>
    <n v="12678"/>
    <n v="11367"/>
    <n v="1885.9119999999998"/>
    <n v="0.16591114630069498"/>
    <n v="2324.2862752595647"/>
    <n v="2103.4215128002111"/>
    <m/>
    <m/>
    <n v="0.13140873954882473"/>
    <n v="78.475972200228725"/>
    <n v="3.9949324324324326E-2"/>
    <n v="1964.3879722002284"/>
    <n v="171.38621412861812"/>
    <x v="0"/>
    <n v="3.0000000000000009"/>
    <x v="0"/>
    <n v="0.14299999999999999"/>
    <n v="1812.954"/>
    <n v="5.1999999999999998E-2"/>
    <n v="332.37293736211774"/>
    <n v="300.78927633043014"/>
    <s v=""/>
    <n v="109.37791866561098"/>
    <n v="300.78927633043014"/>
    <n v="98.067423999999988"/>
    <n v="102.14817455441188"/>
    <n v="5.6343500471833195E-2"/>
    <m/>
  </r>
  <r>
    <x v="0"/>
    <s v="1990s"/>
    <x v="14"/>
    <x v="15"/>
    <x v="15"/>
    <n v="12873"/>
    <n v="12678"/>
    <n v="11367"/>
    <n v="1885.9119999999998"/>
    <n v="0.16591114630069498"/>
    <n v="2324.2862752595647"/>
    <n v="2103.4215128002111"/>
    <m/>
    <m/>
    <n v="0.13140873954882473"/>
    <n v="78.475972200228725"/>
    <n v="3.9949324324324326E-2"/>
    <n v="1964.3879722002284"/>
    <n v="171.38621412861812"/>
    <x v="1"/>
    <n v="3.9999999999999996"/>
    <x v="0"/>
    <n v="0.126"/>
    <n v="1597.4280000000001"/>
    <n v="0.82499999999999996"/>
    <n v="292.86007068270516"/>
    <n v="265.03111061282658"/>
    <s v=""/>
    <n v="1735.322748060174"/>
    <n v="265.03111061282658"/>
    <n v="1555.8773999999999"/>
    <n v="1620.6200770651883"/>
    <n v="1.0145183864719964"/>
    <m/>
  </r>
  <r>
    <x v="0"/>
    <s v="1990s"/>
    <x v="14"/>
    <x v="14"/>
    <x v="14"/>
    <n v="12873"/>
    <n v="12678"/>
    <n v="11367"/>
    <n v="1885.9119999999998"/>
    <n v="0.16591114630069498"/>
    <n v="2324.2862752595647"/>
    <n v="2103.4215128002111"/>
    <m/>
    <m/>
    <n v="0.13140873954882473"/>
    <n v="78.475972200228725"/>
    <n v="3.9949324324324326E-2"/>
    <n v="1964.3879722002284"/>
    <n v="171.38621412861812"/>
    <x v="2"/>
    <n v="5"/>
    <x v="0"/>
    <n v="0.69799999999999995"/>
    <n v="8849.2439999999988"/>
    <n v="8.3000000000000004E-2"/>
    <n v="1622.3518201311761"/>
    <n v="1468.1882159345473"/>
    <s v=""/>
    <n v="174.58398556241752"/>
    <n v="1468.1882159345473"/>
    <n v="156.53069600000001"/>
    <n v="163.04420169261897"/>
    <n v="1.8424647539678981E-2"/>
    <m/>
  </r>
  <r>
    <x v="0"/>
    <s v="1990s"/>
    <x v="14"/>
    <x v="15"/>
    <x v="16"/>
    <n v="12873"/>
    <n v="12678"/>
    <n v="11367"/>
    <n v="1885.9119999999998"/>
    <n v="0.16591114630069498"/>
    <n v="2324.2862752595647"/>
    <n v="2103.4215128002111"/>
    <m/>
    <m/>
    <n v="0.13140873954882473"/>
    <n v="78.475972200228725"/>
    <n v="3.9949324324324326E-2"/>
    <n v="1964.3879722002284"/>
    <n v="171.38621412861812"/>
    <x v="3"/>
    <n v="4.0000000000000009"/>
    <x v="1"/>
    <n v="1.6E-2"/>
    <n v="202.84800000000001"/>
    <n v="2.3E-2"/>
    <n v="37.188580404153036"/>
    <n v="33.654744204803379"/>
    <s v=""/>
    <n v="48.378694794404851"/>
    <n v="33.654744204803379"/>
    <n v="43.375975999999994"/>
    <n v="45.180923360605256"/>
    <n v="0.22273290030271559"/>
    <m/>
  </r>
  <r>
    <x v="0"/>
    <s v="1990s"/>
    <x v="14"/>
    <x v="14"/>
    <x v="15"/>
    <n v="12873"/>
    <n v="12678"/>
    <n v="11367"/>
    <n v="1885.9119999999998"/>
    <n v="0.16591114630069498"/>
    <n v="2324.2862752595647"/>
    <n v="2103.4215128002111"/>
    <m/>
    <m/>
    <n v="0.13140873954882473"/>
    <n v="78.475972200228725"/>
    <n v="3.9949324324324326E-2"/>
    <n v="1964.3879722002284"/>
    <n v="171.38621412861812"/>
    <x v="4"/>
    <n v="5.0000000000000018"/>
    <x v="1"/>
    <n v="1.7000000000000001E-2"/>
    <n v="215.52600000000001"/>
    <n v="1.6E-2"/>
    <n v="39.512866679412603"/>
    <n v="35.758165717603589"/>
    <s v=""/>
    <n v="33.654744204803379"/>
    <n v="35.758165717603589"/>
    <n v="30.174591999999997"/>
    <n v="31.430207555203655"/>
    <n v="0.14583023651533297"/>
    <m/>
  </r>
  <r>
    <x v="0"/>
    <s v="1990s"/>
    <x v="15"/>
    <x v="17"/>
    <x v="17"/>
    <n v="9913"/>
    <n v="8774"/>
    <n v="9462"/>
    <n v="5537.7439999999997"/>
    <n v="0.58526146692031278"/>
    <n v="6447.1137399471781"/>
    <n v="5135.084110758824"/>
    <m/>
    <m/>
    <n v="0.55755641668566214"/>
    <n v="261.02661424645947"/>
    <n v="4.5014129995962854E-2"/>
    <n v="5798.7706142464594"/>
    <n v="2.926307334601006"/>
    <x v="0"/>
    <n v="3.0000000000000009"/>
    <x v="0"/>
    <n v="0.41299999999999998"/>
    <n v="3623.6619999999998"/>
    <n v="5.1999999999999998E-2"/>
    <n v="2662.6579745981844"/>
    <n v="2120.7897377433942"/>
    <s v=""/>
    <n v="267.02437375945885"/>
    <n v="2120.7897377433942"/>
    <n v="287.96268799999996"/>
    <n v="301.53607194081587"/>
    <n v="8.3213078907694998E-2"/>
    <m/>
  </r>
  <r>
    <x v="0"/>
    <s v="1990s"/>
    <x v="15"/>
    <x v="16"/>
    <x v="16"/>
    <n v="9913"/>
    <n v="8774"/>
    <n v="9462"/>
    <n v="5537.7439999999997"/>
    <n v="0.58526146692031278"/>
    <n v="6447.1137399471781"/>
    <n v="5135.084110758824"/>
    <m/>
    <m/>
    <n v="0.55755641668566214"/>
    <n v="261.02661424645947"/>
    <n v="4.5014129995962854E-2"/>
    <n v="5798.7706142464594"/>
    <n v="2.926307334601006"/>
    <x v="1"/>
    <n v="3.9999999999999996"/>
    <x v="0"/>
    <n v="0.51400000000000001"/>
    <n v="4509.8360000000002"/>
    <n v="0.82499999999999996"/>
    <n v="3313.8164623328498"/>
    <n v="2639.4332329300355"/>
    <s v=""/>
    <n v="4236.4443913760297"/>
    <n v="2639.4332329300355"/>
    <n v="4568.6387999999997"/>
    <n v="4783.985756753329"/>
    <n v="1.0607892962744829"/>
    <m/>
  </r>
  <r>
    <x v="0"/>
    <s v="1990s"/>
    <x v="15"/>
    <x v="15"/>
    <x v="15"/>
    <n v="9913"/>
    <n v="8774"/>
    <n v="9462"/>
    <n v="5537.7439999999997"/>
    <n v="0.58526146692031278"/>
    <n v="6447.1137399471781"/>
    <n v="5135.084110758824"/>
    <m/>
    <m/>
    <n v="0.55755641668566214"/>
    <n v="261.02661424645947"/>
    <n v="4.5014129995962854E-2"/>
    <n v="5798.7706142464594"/>
    <n v="2.926307334601006"/>
    <x v="2"/>
    <n v="5"/>
    <x v="0"/>
    <n v="1.2999999999999999E-2"/>
    <n v="114.062"/>
    <n v="8.3000000000000004E-2"/>
    <n v="83.81247861931331"/>
    <n v="66.756093439864713"/>
    <s v=""/>
    <n v="426.21198119298242"/>
    <n v="66.756093439864713"/>
    <n v="459.63275199999998"/>
    <n v="481.29796098245617"/>
    <n v="4.2196170589894635"/>
    <m/>
  </r>
  <r>
    <x v="0"/>
    <s v="1990s"/>
    <x v="15"/>
    <x v="16"/>
    <x v="17"/>
    <n v="9913"/>
    <n v="8774"/>
    <n v="9462"/>
    <n v="5537.7439999999997"/>
    <n v="0.58526146692031278"/>
    <n v="6447.1137399471781"/>
    <n v="5135.084110758824"/>
    <m/>
    <m/>
    <n v="0.55755641668566214"/>
    <n v="261.02661424645947"/>
    <n v="4.5014129995962854E-2"/>
    <n v="5798.7706142464594"/>
    <n v="2.926307334601006"/>
    <x v="3"/>
    <n v="4.0000000000000009"/>
    <x v="1"/>
    <n v="5.8000000000000003E-2"/>
    <n v="508.89200000000005"/>
    <n v="2.3E-2"/>
    <n v="373.93259691693635"/>
    <n v="297.83487842401178"/>
    <s v=""/>
    <n v="118.10693454745295"/>
    <n v="297.83487842401178"/>
    <n v="127.368112"/>
    <n v="133.37172412766856"/>
    <n v="0.26208257179847305"/>
    <m/>
  </r>
  <r>
    <x v="0"/>
    <s v="1990s"/>
    <x v="15"/>
    <x v="15"/>
    <x v="16"/>
    <n v="9913"/>
    <n v="8774"/>
    <n v="9462"/>
    <n v="5537.7439999999997"/>
    <n v="0.58526146692031278"/>
    <n v="6447.1137399471781"/>
    <n v="5135.084110758824"/>
    <m/>
    <m/>
    <n v="0.55755641668566214"/>
    <n v="261.02661424645947"/>
    <n v="4.5014129995962854E-2"/>
    <n v="5798.7706142464594"/>
    <n v="2.926307334601006"/>
    <x v="4"/>
    <n v="5.0000000000000018"/>
    <x v="1"/>
    <n v="0"/>
    <n v="0"/>
    <n v="1.6E-2"/>
    <n v="0"/>
    <n v="0"/>
    <s v=""/>
    <n v="82.161345772141189"/>
    <n v="0"/>
    <n v="88.603904"/>
    <n v="92.780329827943348"/>
    <n v="0"/>
    <m/>
  </r>
  <r>
    <x v="0"/>
    <s v="1990s"/>
    <x v="16"/>
    <x v="18"/>
    <x v="18"/>
    <n v="30942"/>
    <n v="30232"/>
    <n v="29500"/>
    <n v="20037.531999999999"/>
    <n v="0.67923837288135591"/>
    <n v="23353.298996278285"/>
    <n v="20534.734488949151"/>
    <m/>
    <m/>
    <n v="0.58550542471553324"/>
    <n v="977.42401857627112"/>
    <n v="4.6510876240343897E-2"/>
    <n v="21014.956018576271"/>
    <n v="2.0377151186439733"/>
    <x v="0"/>
    <n v="3.0000000000000009"/>
    <x v="0"/>
    <n v="7.5999999999999998E-2"/>
    <n v="2297.6320000000001"/>
    <n v="7.5999999999999998E-2"/>
    <n v="1774.8507237171495"/>
    <n v="1560.6398211601354"/>
    <s v=""/>
    <n v="1560.6398211601354"/>
    <n v="1560.6398211601354"/>
    <n v="1522.8524319999999"/>
    <n v="1597.1366574117965"/>
    <n v="0.69512291672983162"/>
    <s v="Fryer: pers data (Wells Dam)) used for SIRE age comps"/>
  </r>
  <r>
    <x v="0"/>
    <s v="1990s"/>
    <x v="16"/>
    <x v="17"/>
    <x v="17"/>
    <n v="30942"/>
    <n v="30232"/>
    <n v="29500"/>
    <n v="20037.531999999999"/>
    <n v="0.67923837288135591"/>
    <n v="23353.298996278285"/>
    <n v="20534.734488949151"/>
    <m/>
    <m/>
    <n v="0.58550542471553324"/>
    <n v="977.42401857627112"/>
    <n v="4.6510876240343897E-2"/>
    <n v="21014.956018576271"/>
    <n v="2.0377151186439733"/>
    <x v="1"/>
    <n v="3.9999999999999996"/>
    <x v="0"/>
    <n v="0.85899999999999999"/>
    <n v="25969.288"/>
    <n v="0.85899999999999999"/>
    <n v="20060.483837803047"/>
    <n v="17639.33692600732"/>
    <s v=""/>
    <n v="17639.33692600732"/>
    <n v="17639.33692600732"/>
    <n v="17212.239987999998"/>
    <n v="18051.847219957017"/>
    <n v="0.69512291672983162"/>
    <s v="Fryer: pers data (Wells Dam)) used for SIRE age comps"/>
  </r>
  <r>
    <x v="0"/>
    <s v="1990s"/>
    <x v="16"/>
    <x v="16"/>
    <x v="16"/>
    <n v="30942"/>
    <n v="30232"/>
    <n v="29500"/>
    <n v="20037.531999999999"/>
    <n v="0.67923837288135591"/>
    <n v="23353.298996278285"/>
    <n v="20534.734488949151"/>
    <m/>
    <m/>
    <n v="0.58550542471553324"/>
    <n v="977.42401857627112"/>
    <n v="4.6510876240343897E-2"/>
    <n v="21014.956018576271"/>
    <n v="2.0377151186439733"/>
    <x v="2"/>
    <n v="5"/>
    <x v="0"/>
    <n v="3.7999999999999999E-2"/>
    <n v="1148.816"/>
    <n v="3.7999999999999999E-2"/>
    <n v="887.42536185857477"/>
    <n v="780.3199105800677"/>
    <s v=""/>
    <n v="780.3199105800677"/>
    <n v="780.3199105800677"/>
    <n v="761.42621599999995"/>
    <n v="798.56832870589824"/>
    <n v="0.69512291672983162"/>
    <s v="Fryer: pers data (Wells Dam)) used for SIRE age comps"/>
  </r>
  <r>
    <x v="0"/>
    <s v="1990s"/>
    <x v="16"/>
    <x v="17"/>
    <x v="18"/>
    <n v="30942"/>
    <n v="30232"/>
    <n v="29500"/>
    <n v="20037.531999999999"/>
    <n v="0.67923837288135591"/>
    <n v="23353.298996278285"/>
    <n v="20534.734488949151"/>
    <m/>
    <m/>
    <n v="0.58550542471553324"/>
    <n v="977.42401857627112"/>
    <n v="4.6510876240343897E-2"/>
    <n v="21014.956018576271"/>
    <n v="2.0377151186439733"/>
    <x v="3"/>
    <n v="4.0000000000000009"/>
    <x v="1"/>
    <n v="0"/>
    <n v="0"/>
    <n v="0"/>
    <n v="0"/>
    <n v="0"/>
    <s v=""/>
    <n v="0"/>
    <n v="0"/>
    <n v="0"/>
    <n v="0"/>
    <n v="0"/>
    <s v="Fryer: pers data (Wells Dam)) used for SIRE age comps"/>
  </r>
  <r>
    <x v="0"/>
    <s v="1990s"/>
    <x v="16"/>
    <x v="16"/>
    <x v="17"/>
    <n v="30942"/>
    <n v="30232"/>
    <n v="29500"/>
    <n v="20037.531999999999"/>
    <n v="0.67923837288135591"/>
    <n v="23353.298996278285"/>
    <n v="20534.734488949151"/>
    <m/>
    <m/>
    <n v="0.58550542471553324"/>
    <n v="977.42401857627112"/>
    <n v="4.6510876240343897E-2"/>
    <n v="21014.956018576271"/>
    <n v="2.0377151186439733"/>
    <x v="4"/>
    <n v="5.0000000000000018"/>
    <x v="1"/>
    <n v="2.7E-2"/>
    <n v="816.26400000000001"/>
    <n v="2.7E-2"/>
    <n v="630.53907289951371"/>
    <n v="554.43783120162709"/>
    <s v=""/>
    <n v="554.43783120162709"/>
    <n v="554.43783120162709"/>
    <n v="541.01336400000002"/>
    <n v="567.40381250155929"/>
    <n v="0.69512291672983162"/>
    <s v="Fryer: pers data (Wells Dam)) used for SIRE age comps"/>
  </r>
  <r>
    <x v="0"/>
    <s v="1990s"/>
    <x v="17"/>
    <x v="19"/>
    <x v="19"/>
    <n v="49979"/>
    <n v="47008"/>
    <n v="41504"/>
    <n v="27870.971999999998"/>
    <n v="0.6715249614494988"/>
    <n v="35841.569404908347"/>
    <n v="31567.045387818041"/>
    <m/>
    <m/>
    <n v="0.52376191286589513"/>
    <n v="1381.9983706630685"/>
    <n v="4.7243009962811625E-2"/>
    <n v="29252.970370663068"/>
    <n v="4309.1756776214315"/>
    <x v="0"/>
    <n v="3.0000000000000009"/>
    <x v="0"/>
    <n v="0"/>
    <n v="0"/>
    <n v="5.1999999999999998E-2"/>
    <n v="0"/>
    <n v="0"/>
    <s v=""/>
    <n v="1641.4863601665381"/>
    <n v="0"/>
    <n v="1449.2905439999997"/>
    <n v="1521.1544592744794"/>
    <n v="0"/>
    <m/>
  </r>
  <r>
    <x v="0"/>
    <s v="1990s"/>
    <x v="17"/>
    <x v="18"/>
    <x v="18"/>
    <n v="49979"/>
    <n v="47008"/>
    <n v="41504"/>
    <n v="27870.971999999998"/>
    <n v="0.6715249614494988"/>
    <n v="35841.569404908347"/>
    <n v="31567.045387818041"/>
    <m/>
    <m/>
    <n v="0.52376191286589513"/>
    <n v="1381.9983706630685"/>
    <n v="4.7243009962811625E-2"/>
    <n v="29252.970370663068"/>
    <n v="4309.1756776214315"/>
    <x v="1"/>
    <n v="3.9999999999999996"/>
    <x v="0"/>
    <n v="0.95699999999999996"/>
    <n v="44986.655999999995"/>
    <n v="0.82499999999999996"/>
    <n v="34300.38192049729"/>
    <n v="30209.662436141865"/>
    <s v=""/>
    <n v="26042.812444949883"/>
    <n v="30209.662436141865"/>
    <n v="22993.551899999999"/>
    <n v="24133.70055579703"/>
    <n v="0.5364635361160659"/>
    <m/>
  </r>
  <r>
    <x v="0"/>
    <s v="1990s"/>
    <x v="17"/>
    <x v="17"/>
    <x v="17"/>
    <n v="49979"/>
    <n v="47008"/>
    <n v="41504"/>
    <n v="27870.971999999998"/>
    <n v="0.6715249614494988"/>
    <n v="35841.569404908347"/>
    <n v="31567.045387818041"/>
    <m/>
    <m/>
    <n v="0.52376191286589513"/>
    <n v="1381.9983706630685"/>
    <n v="4.7243009962811625E-2"/>
    <n v="29252.970370663068"/>
    <n v="4309.1756776214315"/>
    <x v="2"/>
    <n v="5"/>
    <x v="0"/>
    <n v="3.4000000000000002E-2"/>
    <n v="1598.2720000000002"/>
    <n v="8.3000000000000004E-2"/>
    <n v="1218.6133597668838"/>
    <n v="1073.2795431858135"/>
    <s v=""/>
    <n v="2620.0647671888978"/>
    <n v="1073.2795431858135"/>
    <n v="2313.2906760000001"/>
    <n v="2427.9965407650348"/>
    <n v="1.5191385075663182"/>
    <m/>
  </r>
  <r>
    <x v="0"/>
    <s v="1990s"/>
    <x v="17"/>
    <x v="18"/>
    <x v="19"/>
    <n v="49979"/>
    <n v="47008"/>
    <n v="41504"/>
    <n v="27870.971999999998"/>
    <n v="0.6715249614494988"/>
    <n v="35841.569404908347"/>
    <n v="31567.045387818041"/>
    <m/>
    <m/>
    <n v="0.52376191286589513"/>
    <n v="1381.9983706630685"/>
    <n v="4.7243009962811625E-2"/>
    <n v="29252.970370663068"/>
    <n v="4309.1756776214315"/>
    <x v="3"/>
    <n v="4.0000000000000009"/>
    <x v="1"/>
    <n v="8.9999999999999993E-3"/>
    <n v="423.07199999999995"/>
    <n v="2.3E-2"/>
    <n v="322.57412464417507"/>
    <n v="284.10340849036237"/>
    <s v=""/>
    <n v="726.04204391981489"/>
    <n v="284.10340849036237"/>
    <n v="641.03235599999994"/>
    <n v="672.81831852525056"/>
    <n v="1.5903163492862933"/>
    <m/>
  </r>
  <r>
    <x v="0"/>
    <s v="1990s"/>
    <x v="17"/>
    <x v="17"/>
    <x v="18"/>
    <n v="49979"/>
    <n v="47008"/>
    <n v="41504"/>
    <n v="27870.971999999998"/>
    <n v="0.6715249614494988"/>
    <n v="35841.569404908347"/>
    <n v="31567.045387818041"/>
    <m/>
    <m/>
    <n v="0.52376191286589513"/>
    <n v="1381.9983706630685"/>
    <n v="4.7243009962811625E-2"/>
    <n v="29252.970370663068"/>
    <n v="4309.1756776214315"/>
    <x v="4"/>
    <n v="5.0000000000000018"/>
    <x v="1"/>
    <n v="0"/>
    <n v="0"/>
    <n v="1.6E-2"/>
    <n v="0"/>
    <n v="0"/>
    <s v=""/>
    <n v="505.07272620508866"/>
    <n v="0"/>
    <n v="445.93555199999997"/>
    <n v="468.04752593060908"/>
    <n v="0"/>
    <m/>
  </r>
  <r>
    <x v="0"/>
    <s v="1990s"/>
    <x v="18"/>
    <x v="20"/>
    <x v="20"/>
    <n v="13220"/>
    <n v="13218"/>
    <n v="9334"/>
    <n v="4666"/>
    <n v="0.49989286479537176"/>
    <n v="6548.2230325454384"/>
    <n v="6607.5838868652236"/>
    <m/>
    <m/>
    <n v="0.31283098804660314"/>
    <n v="213.45425326762376"/>
    <n v="4.3745517877266674E-2"/>
    <n v="4879.4542532676242"/>
    <n v="1729.1294193271906"/>
    <x v="0"/>
    <n v="3.0000000000000009"/>
    <x v="0"/>
    <n v="5.2999999999999999E-2"/>
    <n v="700.55399999999997"/>
    <n v="5.1999999999999998E-2"/>
    <n v="347.05582072490824"/>
    <n v="350.20194600385685"/>
    <s v=""/>
    <n v="343.59436211699159"/>
    <n v="350.20194600385685"/>
    <n v="242.63199999999998"/>
    <n v="253.73162116991645"/>
    <n v="0.36218709930985543"/>
    <m/>
  </r>
  <r>
    <x v="0"/>
    <s v="1990s"/>
    <x v="18"/>
    <x v="19"/>
    <x v="19"/>
    <n v="13220"/>
    <n v="13218"/>
    <n v="9334"/>
    <n v="4666"/>
    <n v="0.49989286479537176"/>
    <n v="6548.2230325454384"/>
    <n v="6607.5838868652236"/>
    <m/>
    <m/>
    <n v="0.31283098804660314"/>
    <n v="213.45425326762376"/>
    <n v="4.3745517877266674E-2"/>
    <n v="4879.4542532676242"/>
    <n v="1729.1294193271906"/>
    <x v="1"/>
    <n v="3.9999999999999996"/>
    <x v="0"/>
    <n v="0.78900000000000003"/>
    <n v="10429.002"/>
    <n v="0.82499999999999996"/>
    <n v="5166.5479726783515"/>
    <n v="5213.3836867366617"/>
    <s v=""/>
    <n v="5451.2567066638094"/>
    <n v="5213.3836867366617"/>
    <n v="3849.45"/>
    <n v="4025.5497589457896"/>
    <n v="0.3859956838579367"/>
    <m/>
  </r>
  <r>
    <x v="0"/>
    <s v="1990s"/>
    <x v="18"/>
    <x v="18"/>
    <x v="18"/>
    <n v="13220"/>
    <n v="13218"/>
    <n v="9334"/>
    <n v="4666"/>
    <n v="0.49989286479537176"/>
    <n v="6548.2230325454384"/>
    <n v="6607.5838868652236"/>
    <m/>
    <m/>
    <n v="0.31283098804660314"/>
    <n v="213.45425326762376"/>
    <n v="4.3745517877266674E-2"/>
    <n v="4879.4542532676242"/>
    <n v="1729.1294193271906"/>
    <x v="2"/>
    <n v="5"/>
    <x v="0"/>
    <n v="0.158"/>
    <n v="2088.444"/>
    <n v="8.3000000000000004E-2"/>
    <n v="1034.6192391421794"/>
    <n v="1043.9982541247052"/>
    <s v=""/>
    <n v="548.42946260981364"/>
    <n v="1043.9982541247052"/>
    <n v="387.27800000000002"/>
    <n v="404.99470302121284"/>
    <n v="0.19392174414119451"/>
    <m/>
  </r>
  <r>
    <x v="0"/>
    <s v="1990s"/>
    <x v="18"/>
    <x v="19"/>
    <x v="20"/>
    <n v="13220"/>
    <n v="13218"/>
    <n v="9334"/>
    <n v="4666"/>
    <n v="0.49989286479537176"/>
    <n v="6548.2230325454384"/>
    <n v="6607.5838868652236"/>
    <m/>
    <m/>
    <n v="0.31283098804660314"/>
    <n v="213.45425326762376"/>
    <n v="4.3745517877266674E-2"/>
    <n v="4879.4542532676242"/>
    <n v="1729.1294193271906"/>
    <x v="3"/>
    <n v="4.0000000000000009"/>
    <x v="1"/>
    <n v="0"/>
    <n v="0"/>
    <n v="2.3E-2"/>
    <n v="0"/>
    <n v="0"/>
    <s v=""/>
    <n v="151.97442939790014"/>
    <n v="0"/>
    <n v="107.318"/>
    <n v="112.22744782515535"/>
    <n v="0"/>
    <m/>
  </r>
  <r>
    <x v="0"/>
    <s v="1990s"/>
    <x v="18"/>
    <x v="18"/>
    <x v="19"/>
    <n v="13220"/>
    <n v="13218"/>
    <n v="9334"/>
    <n v="4666"/>
    <n v="0.49989286479537176"/>
    <n v="6548.2230325454384"/>
    <n v="6607.5838868652236"/>
    <m/>
    <m/>
    <n v="0.31283098804660314"/>
    <n v="213.45425326762376"/>
    <n v="4.3745517877266674E-2"/>
    <n v="4879.4542532676242"/>
    <n v="1729.1294193271906"/>
    <x v="4"/>
    <n v="5.0000000000000018"/>
    <x v="1"/>
    <n v="0"/>
    <n v="0"/>
    <n v="1.6E-2"/>
    <n v="0"/>
    <n v="0"/>
    <s v=""/>
    <n v="105.72134218984358"/>
    <n v="0"/>
    <n v="74.656000000000006"/>
    <n v="78.071268052281994"/>
    <n v="0"/>
    <m/>
  </r>
  <r>
    <x v="0"/>
    <s v="1990s"/>
    <x v="19"/>
    <x v="21"/>
    <x v="21"/>
    <n v="19094"/>
    <n v="17877"/>
    <n v="18371"/>
    <n v="12388"/>
    <n v="0.67432366229383267"/>
    <n v="14249.228346747701"/>
    <n v="12054.884110826846"/>
    <m/>
    <m/>
    <n v="0.61604296022822624"/>
    <n v="475.39818191715204"/>
    <n v="3.6957433424197945E-2"/>
    <n v="12863.398181917151"/>
    <n v="12.137825921288822"/>
    <x v="0"/>
    <n v="3.0000000000000009"/>
    <x v="0"/>
    <n v="0.114"/>
    <n v="2037.9780000000001"/>
    <n v="5.1999999999999998E-2"/>
    <n v="1624.412031529238"/>
    <n v="1374.2567886342606"/>
    <s v=""/>
    <n v="626.85397376299602"/>
    <n v="1374.2567886342606"/>
    <n v="644.17599999999993"/>
    <n v="668.89670545969182"/>
    <n v="0.3282158617314278"/>
    <m/>
  </r>
  <r>
    <x v="0"/>
    <s v="1990s"/>
    <x v="19"/>
    <x v="20"/>
    <x v="20"/>
    <n v="19094"/>
    <n v="17877"/>
    <n v="18371"/>
    <n v="12388"/>
    <n v="0.67432366229383267"/>
    <n v="14249.228346747701"/>
    <n v="12054.884110826846"/>
    <m/>
    <m/>
    <n v="0.61604296022822624"/>
    <n v="475.39818191715204"/>
    <n v="3.6957433424197945E-2"/>
    <n v="12863.398181917151"/>
    <n v="12.137825921288822"/>
    <x v="1"/>
    <n v="3.9999999999999996"/>
    <x v="0"/>
    <n v="0.84899999999999998"/>
    <n v="15177.573"/>
    <n v="0.82499999999999996"/>
    <n v="12097.594866388798"/>
    <n v="10234.596610091992"/>
    <s v=""/>
    <n v="9945.2793914321483"/>
    <n v="10234.596610091992"/>
    <n v="10220.099999999999"/>
    <n v="10612.303500081649"/>
    <n v="0.69920951789074903"/>
    <m/>
  </r>
  <r>
    <x v="0"/>
    <s v="1990s"/>
    <x v="19"/>
    <x v="19"/>
    <x v="19"/>
    <n v="19094"/>
    <n v="17877"/>
    <n v="18371"/>
    <n v="12388"/>
    <n v="0.67432366229383267"/>
    <n v="14249.228346747701"/>
    <n v="12054.884110826846"/>
    <m/>
    <m/>
    <n v="0.61604296022822624"/>
    <n v="475.39818191715204"/>
    <n v="3.6957433424197945E-2"/>
    <n v="12863.398181917151"/>
    <n v="12.137825921288822"/>
    <x v="2"/>
    <n v="5"/>
    <x v="0"/>
    <n v="0"/>
    <n v="0"/>
    <n v="8.3000000000000004E-2"/>
    <n v="0"/>
    <n v="0"/>
    <s v=""/>
    <n v="1000.5553811986283"/>
    <n v="0"/>
    <n v="1028.204"/>
    <n v="1067.6620490991236"/>
    <n v="0"/>
    <m/>
  </r>
  <r>
    <x v="0"/>
    <s v="1990s"/>
    <x v="19"/>
    <x v="20"/>
    <x v="21"/>
    <n v="19094"/>
    <n v="17877"/>
    <n v="18371"/>
    <n v="12388"/>
    <n v="0.67432366229383267"/>
    <n v="14249.228346747701"/>
    <n v="12054.884110826846"/>
    <m/>
    <m/>
    <n v="0.61604296022822624"/>
    <n v="475.39818191715204"/>
    <n v="3.6957433424197945E-2"/>
    <n v="12863.398181917151"/>
    <n v="12.137825921288822"/>
    <x v="3"/>
    <n v="4.0000000000000009"/>
    <x v="1"/>
    <n v="3.7999999999999999E-2"/>
    <n v="679.32600000000002"/>
    <n v="2.3E-2"/>
    <n v="541.47067717641266"/>
    <n v="458.08559621142012"/>
    <s v=""/>
    <n v="277.26233454901745"/>
    <n v="458.08559621142012"/>
    <n v="284.92399999999998"/>
    <n v="295.85815818409446"/>
    <n v="0.43551720114362535"/>
    <m/>
  </r>
  <r>
    <x v="0"/>
    <s v="1990s"/>
    <x v="19"/>
    <x v="19"/>
    <x v="20"/>
    <n v="19094"/>
    <n v="17877"/>
    <n v="18371"/>
    <n v="12388"/>
    <n v="0.67432366229383267"/>
    <n v="14249.228346747701"/>
    <n v="12054.884110826846"/>
    <m/>
    <m/>
    <n v="0.61604296022822624"/>
    <n v="475.39818191715204"/>
    <n v="3.6957433424197945E-2"/>
    <n v="12863.398181917151"/>
    <n v="12.137825921288822"/>
    <x v="4"/>
    <n v="5.0000000000000018"/>
    <x v="1"/>
    <n v="0"/>
    <n v="0"/>
    <n v="1.6E-2"/>
    <n v="0"/>
    <n v="0"/>
    <s v=""/>
    <n v="192.87814577322953"/>
    <n v="0"/>
    <n v="198.208"/>
    <n v="205.81437091067443"/>
    <n v="0"/>
    <m/>
  </r>
  <r>
    <x v="0"/>
    <s v="1990s"/>
    <x v="20"/>
    <x v="22"/>
    <x v="22"/>
    <n v="93764"/>
    <n v="93398"/>
    <n v="76512"/>
    <n v="59944"/>
    <n v="0.78345880384776245"/>
    <n v="77438.414717812848"/>
    <n v="73173.485361773317"/>
    <n v="0.55000000000000004"/>
    <n v="51368.9"/>
    <n v="0.57122208184329426"/>
    <n v="2566.6110414052696"/>
    <n v="4.105880583546398E-2"/>
    <n v="62510.611041405267"/>
    <n v="10949.620242576333"/>
    <x v="0"/>
    <n v="3.0000000000000009"/>
    <x v="0"/>
    <n v="0.13"/>
    <n v="12141.74"/>
    <n v="7.1999999999999995E-2"/>
    <n v="10066.993913315671"/>
    <n v="9512.5530970305317"/>
    <n v="6677.9570000000003"/>
    <n v="5268.4909460476783"/>
    <n v="9512.5530970305317"/>
    <n v="4315.9679999999998"/>
    <n v="4500.7639949811792"/>
    <n v="0.37068525557137438"/>
    <s v="SIRE = Fryer &amp; Kelsey 2001 (CRITFC 01-2), but FRYER may be Sp/Grd? [hs 10/21/2020]"/>
  </r>
  <r>
    <x v="0"/>
    <s v="1990s"/>
    <x v="20"/>
    <x v="21"/>
    <x v="21"/>
    <n v="93764"/>
    <n v="93398"/>
    <n v="76512"/>
    <n v="59944"/>
    <n v="0.78345880384776245"/>
    <n v="77438.414717812848"/>
    <n v="73173.485361773317"/>
    <n v="0.55000000000000004"/>
    <n v="51368.9"/>
    <n v="0.57122208184329426"/>
    <n v="2566.6110414052696"/>
    <n v="4.105880583546398E-2"/>
    <n v="62510.611041405267"/>
    <n v="10949.620242576333"/>
    <x v="1"/>
    <n v="3.9999999999999996"/>
    <x v="0"/>
    <n v="0.84"/>
    <n v="78454.319999999992"/>
    <n v="0.874"/>
    <n v="65048.268362962786"/>
    <n v="61465.727703889585"/>
    <n v="43149.875999999997"/>
    <n v="63953.626206189881"/>
    <n v="61465.727703889585"/>
    <n v="52391.055999999997"/>
    <n v="54634.274050188207"/>
    <n v="0.69638324632968862"/>
    <s v="SIRE = Fryer &amp; Kelsey 2001 (CRITFC 01-2) (Wells Dam, Table 3)"/>
  </r>
  <r>
    <x v="0"/>
    <s v="1990s"/>
    <x v="20"/>
    <x v="20"/>
    <x v="20"/>
    <n v="93764"/>
    <n v="93398"/>
    <n v="76512"/>
    <n v="59944"/>
    <n v="0.78345880384776245"/>
    <n v="77438.414717812848"/>
    <n v="73173.485361773317"/>
    <n v="0.55000000000000004"/>
    <n v="51368.9"/>
    <n v="0.57122208184329426"/>
    <n v="2566.6110414052696"/>
    <n v="4.105880583546398E-2"/>
    <n v="62510.611041405267"/>
    <n v="10949.620242576333"/>
    <x v="2"/>
    <n v="5"/>
    <x v="0"/>
    <n v="0.01"/>
    <n v="933.98"/>
    <n v="3.5999999999999997E-2"/>
    <n v="774.3841471781285"/>
    <n v="731.73485361773317"/>
    <n v="513.68900000000008"/>
    <n v="2634.2454730238392"/>
    <n v="731.73485361773317"/>
    <n v="2157.9839999999999"/>
    <n v="2250.3819974905896"/>
    <n v="2.4094541612139335"/>
    <s v="SIRE = Fryer &amp; Kelsey 2001 (CRITFC 01-2) (Wells Dam, Table 3)"/>
  </r>
  <r>
    <x v="0"/>
    <s v="1990s"/>
    <x v="20"/>
    <x v="21"/>
    <x v="22"/>
    <n v="93764"/>
    <n v="93398"/>
    <n v="76512"/>
    <n v="59944"/>
    <n v="0.78345880384776245"/>
    <n v="77438.414717812848"/>
    <n v="73173.485361773317"/>
    <n v="0.55000000000000004"/>
    <n v="51368.9"/>
    <n v="0.57122208184329426"/>
    <n v="2566.6110414052696"/>
    <n v="4.105880583546398E-2"/>
    <n v="62510.611041405267"/>
    <n v="10949.620242576333"/>
    <x v="3"/>
    <n v="4.0000000000000009"/>
    <x v="1"/>
    <n v="0.01"/>
    <n v="933.98"/>
    <n v="1E-3"/>
    <n v="774.3841471781285"/>
    <n v="731.73485361773317"/>
    <n v="513.68900000000008"/>
    <n v="73.173485361773317"/>
    <n v="731.73485361773317"/>
    <n v="59.944000000000003"/>
    <n v="62.510611041405269"/>
    <n v="6.6929282255942593E-2"/>
    <s v="SIRE = Fryer &amp; Kelsey 2001 (CRITFC 01-2) (Wells Dam, Table 3)"/>
  </r>
  <r>
    <x v="0"/>
    <s v="1990s"/>
    <x v="20"/>
    <x v="20"/>
    <x v="21"/>
    <n v="93764"/>
    <n v="93398"/>
    <n v="76512"/>
    <n v="59944"/>
    <n v="0.78345880384776245"/>
    <n v="77438.414717812848"/>
    <n v="73173.485361773317"/>
    <n v="0.55000000000000004"/>
    <n v="51368.9"/>
    <n v="0.57122208184329426"/>
    <n v="2566.6110414052696"/>
    <n v="4.105880583546398E-2"/>
    <n v="62510.611041405267"/>
    <n v="10949.620242576333"/>
    <x v="4"/>
    <n v="5.0000000000000018"/>
    <x v="1"/>
    <n v="0.01"/>
    <n v="933.98"/>
    <n v="1.7000000000000001E-2"/>
    <n v="774.3841471781285"/>
    <n v="731.73485361773317"/>
    <n v="513.68900000000008"/>
    <n v="1243.9492511501464"/>
    <n v="731.73485361773317"/>
    <n v="1019.0480000000001"/>
    <n v="1062.6803877038897"/>
    <n v="1.1377977983510243"/>
    <s v="SIRE = Fryer &amp; Kelsey 2001 (CRITFC 01-2) (Wells Dam, Table 3)"/>
  </r>
  <r>
    <x v="0"/>
    <s v="2000s"/>
    <x v="21"/>
    <x v="23"/>
    <x v="23"/>
    <n v="117879"/>
    <n v="114934"/>
    <n v="104840"/>
    <n v="74486"/>
    <n v="0.7104731018695154"/>
    <n v="92986.128583884944"/>
    <n v="81657.515490270889"/>
    <n v="0.56000000000000005"/>
    <n v="64363.040000000008"/>
    <n v="0.56396714636226009"/>
    <n v="6387.8636589088128"/>
    <n v="7.8985513612284869E-2"/>
    <n v="80873.863658908813"/>
    <n v="2875.9951163677906"/>
    <x v="0"/>
    <n v="3.0000000000000009"/>
    <x v="0"/>
    <n v="2.5999999999999999E-2"/>
    <n v="2988.2839999999997"/>
    <n v="3.3000000000000002E-2"/>
    <n v="3068.5422432682035"/>
    <n v="2123.095402747043"/>
    <n v="1673.4390400000002"/>
    <n v="2694.6980111789394"/>
    <n v="2694.6980111789394"/>
    <n v="2458.038"/>
    <n v="2668.8375007439909"/>
    <n v="0.89310035483374106"/>
    <s v="SIRE = spawning grounds; Wells = 0.031 CRITFC 02_02 Table 3"/>
  </r>
  <r>
    <x v="0"/>
    <s v="1990s"/>
    <x v="21"/>
    <x v="22"/>
    <x v="22"/>
    <n v="117879"/>
    <n v="114934"/>
    <n v="104840"/>
    <n v="74486"/>
    <n v="0.7104731018695154"/>
    <n v="92986.128583884944"/>
    <n v="81657.515490270889"/>
    <n v="0.56000000000000005"/>
    <n v="64363.040000000008"/>
    <n v="0.56396714636226009"/>
    <n v="6387.8636589088128"/>
    <n v="7.8985513612284869E-2"/>
    <n v="80873.863658908813"/>
    <n v="2875.9951163677906"/>
    <x v="1"/>
    <n v="3.9999999999999996"/>
    <x v="0"/>
    <n v="0.94599999999999995"/>
    <n v="108727.564"/>
    <n v="0.94399999999999995"/>
    <n v="87778.905383187375"/>
    <n v="77248.009653796253"/>
    <n v="60887.435840000006"/>
    <n v="77084.694622815718"/>
    <n v="77084.694622815718"/>
    <n v="70314.784"/>
    <n v="76344.927294009918"/>
    <n v="0.70216718268432754"/>
    <s v="spawning grounds; Wells = 0.940"/>
  </r>
  <r>
    <x v="0"/>
    <s v="1990s"/>
    <x v="21"/>
    <x v="21"/>
    <x v="21"/>
    <n v="117879"/>
    <n v="114934"/>
    <n v="104840"/>
    <n v="74486"/>
    <n v="0.7104731018695154"/>
    <n v="92986.128583884944"/>
    <n v="81657.515490270889"/>
    <n v="0.56000000000000005"/>
    <n v="64363.040000000008"/>
    <n v="0.56396714636226009"/>
    <n v="6387.8636589088128"/>
    <n v="7.8985513612284869E-2"/>
    <n v="80873.863658908813"/>
    <n v="2875.9951163677906"/>
    <x v="2"/>
    <n v="5"/>
    <x v="0"/>
    <n v="0.02"/>
    <n v="2298.6799999999998"/>
    <n v="2.1999999999999999E-2"/>
    <n v="2045.6948288454687"/>
    <n v="1633.1503098054179"/>
    <n v="1287.2608000000002"/>
    <n v="1796.4653407859594"/>
    <n v="1796.4653407859594"/>
    <n v="1638.692"/>
    <n v="1779.2250004959938"/>
    <n v="0.77402030752257556"/>
    <s v="spawning grounds; Wells = 0.020"/>
  </r>
  <r>
    <x v="0"/>
    <s v="2000s"/>
    <x v="21"/>
    <x v="22"/>
    <x v="23"/>
    <n v="117879"/>
    <n v="114934"/>
    <n v="104840"/>
    <n v="74486"/>
    <n v="0.7104731018695154"/>
    <n v="92986.128583884944"/>
    <n v="81657.515490270889"/>
    <n v="0.56000000000000005"/>
    <n v="64363.040000000008"/>
    <n v="0.56396714636226009"/>
    <n v="6387.8636589088128"/>
    <n v="7.8985513612284869E-2"/>
    <n v="80873.863658908813"/>
    <n v="2875.9951163677906"/>
    <x v="3"/>
    <n v="4.0000000000000009"/>
    <x v="1"/>
    <n v="3.0000000000000001E-3"/>
    <n v="344.80200000000002"/>
    <n v="4.8999999999999998E-4"/>
    <n v="45.56320300610362"/>
    <n v="244.97254647081266"/>
    <n v="193.08912000000004"/>
    <n v="40.012182590232733"/>
    <n v="40.012182590232733"/>
    <n v="36.498139999999999"/>
    <n v="39.628193192865318"/>
    <n v="0.11493028808668544"/>
    <s v="spawning grounds; Wells = 0.006"/>
  </r>
  <r>
    <x v="0"/>
    <s v="1990s"/>
    <x v="21"/>
    <x v="21"/>
    <x v="22"/>
    <n v="117879"/>
    <n v="114934"/>
    <n v="104840"/>
    <n v="74486"/>
    <n v="0.7104731018695154"/>
    <n v="92986.128583884944"/>
    <n v="81657.515490270889"/>
    <n v="0.56000000000000005"/>
    <n v="64363.040000000008"/>
    <n v="0.56396714636226009"/>
    <n v="6387.8636589088128"/>
    <n v="7.8985513612284869E-2"/>
    <n v="80873.863658908813"/>
    <n v="2875.9951163677906"/>
    <x v="4"/>
    <n v="5.0000000000000018"/>
    <x v="1"/>
    <n v="3.0000000000000001E-3"/>
    <n v="344.80200000000002"/>
    <n v="4.8999999999999998E-4"/>
    <n v="45.56320300610362"/>
    <n v="244.97254647081266"/>
    <n v="193.08912000000004"/>
    <n v="40.012182590232733"/>
    <n v="40.012182590232733"/>
    <n v="36.498139999999999"/>
    <n v="39.628193192865318"/>
    <n v="0.11493028808668544"/>
    <s v="spawning grounds; Wells = 0.003"/>
  </r>
  <r>
    <x v="0"/>
    <s v="2000s"/>
    <x v="22"/>
    <x v="24"/>
    <x v="24"/>
    <n v="50557"/>
    <n v="49610"/>
    <n v="44320"/>
    <n v="10659"/>
    <n v="0.24050090252707582"/>
    <n v="13083.795990567603"/>
    <n v="11931.249774368231"/>
    <n v="0.27"/>
    <n v="13394.7"/>
    <n v="0.1933884297520661"/>
    <n v="622.41633574007221"/>
    <n v="5.5171825701372905E-2"/>
    <n v="11281.416335740072"/>
    <n v="877.58779332129961"/>
    <x v="0"/>
    <n v="3.0000000000000009"/>
    <x v="0"/>
    <n v="0.02"/>
    <n v="992.2"/>
    <n v="9.0999999999999998E-2"/>
    <n v="261.67591981135206"/>
    <n v="238.62499548736463"/>
    <n v="267.89400000000001"/>
    <n v="1085.743729467509"/>
    <n v="238.62499548736463"/>
    <n v="969.96899999999994"/>
    <n v="1026.6088865523466"/>
    <n v="1.0346793857612846"/>
    <s v="Use Fryer; SIRE = spawning grounds no 53s; Wells = 0.015"/>
  </r>
  <r>
    <x v="0"/>
    <s v="2000s"/>
    <x v="22"/>
    <x v="23"/>
    <x v="23"/>
    <n v="50557"/>
    <n v="49610"/>
    <n v="44320"/>
    <n v="10659"/>
    <n v="0.24050090252707582"/>
    <n v="13083.795990567603"/>
    <n v="11931.249774368231"/>
    <n v="0.27"/>
    <n v="13394.7"/>
    <n v="0.1933884297520661"/>
    <n v="622.41633574007221"/>
    <n v="5.5171825701372905E-2"/>
    <n v="11281.416335740072"/>
    <n v="877.58779332129961"/>
    <x v="1"/>
    <n v="3.9999999999999996"/>
    <x v="0"/>
    <n v="0.497"/>
    <n v="24656.17"/>
    <n v="0.55400000000000005"/>
    <n v="6502.6466073120991"/>
    <n v="5929.8311378610106"/>
    <n v="6657.1659"/>
    <n v="6609.9123750000008"/>
    <n v="5929.8311378610106"/>
    <n v="5905.0860000000002"/>
    <n v="6249.9046500000004"/>
    <n v="0.2534823798667839"/>
    <s v="Use Fryer; SIRE = spawning grounds no 53s; Wells = 0.441"/>
  </r>
  <r>
    <x v="0"/>
    <s v="1990s"/>
    <x v="22"/>
    <x v="22"/>
    <x v="22"/>
    <n v="50557"/>
    <n v="49610"/>
    <n v="44320"/>
    <n v="10659"/>
    <n v="0.24050090252707582"/>
    <n v="13083.795990567603"/>
    <n v="11931.249774368231"/>
    <n v="0.27"/>
    <n v="13394.7"/>
    <n v="0.1933884297520661"/>
    <n v="622.41633574007221"/>
    <n v="5.5171825701372905E-2"/>
    <n v="11281.416335740072"/>
    <n v="877.58779332129961"/>
    <x v="2"/>
    <n v="5"/>
    <x v="0"/>
    <n v="0.14799999999999999"/>
    <n v="7342.28"/>
    <n v="0.35399999999999998"/>
    <n v="1936.4018066040053"/>
    <n v="1765.824966606498"/>
    <n v="1982.4156"/>
    <n v="4223.662420126353"/>
    <n v="1765.824966606498"/>
    <n v="3773.2859999999996"/>
    <n v="3993.6213828519853"/>
    <n v="0.54392115022199994"/>
    <s v="Use Fryer; SIRE = spawning grounds no 53s; Wells = 0.160"/>
  </r>
  <r>
    <x v="0"/>
    <s v="2000s"/>
    <x v="22"/>
    <x v="23"/>
    <x v="24"/>
    <n v="50557"/>
    <n v="49610"/>
    <n v="44320"/>
    <n v="10659"/>
    <n v="0.24050090252707582"/>
    <n v="13083.795990567603"/>
    <n v="11931.249774368231"/>
    <n v="0.27"/>
    <n v="13394.7"/>
    <n v="0.1933884297520661"/>
    <n v="622.41633574007221"/>
    <n v="5.5171825701372905E-2"/>
    <n v="11281.416335740072"/>
    <n v="877.58779332129961"/>
    <x v="3"/>
    <n v="4.0000000000000009"/>
    <x v="1"/>
    <n v="1.2999999999999999E-2"/>
    <n v="644.92999999999995"/>
    <n v="0"/>
    <n v="170.08934787737883"/>
    <n v="155.10624706678698"/>
    <n v="174.1311"/>
    <n v="0"/>
    <n v="155.10624706678698"/>
    <n v="0"/>
    <n v="0"/>
    <n v="0"/>
    <s v="Use Fryer; SIRE = spawning grounds no 53s; Wells = 0.015"/>
  </r>
  <r>
    <x v="0"/>
    <s v="2000s"/>
    <x v="22"/>
    <x v="22"/>
    <x v="23"/>
    <n v="50557"/>
    <n v="49610"/>
    <n v="44320"/>
    <n v="10659"/>
    <n v="0.24050090252707582"/>
    <n v="13083.795990567603"/>
    <n v="11931.249774368231"/>
    <n v="0.27"/>
    <n v="13394.7"/>
    <n v="0.1933884297520661"/>
    <n v="622.41633574007221"/>
    <n v="5.5171825701372905E-2"/>
    <n v="11281.416335740072"/>
    <n v="877.58779332129961"/>
    <x v="4"/>
    <n v="5.0000000000000018"/>
    <x v="1"/>
    <n v="0.221"/>
    <n v="10963.81"/>
    <n v="0"/>
    <n v="2891.5189139154404"/>
    <n v="2636.8062001353792"/>
    <n v="2960.2287000000001"/>
    <n v="0"/>
    <n v="2636.8062001353792"/>
    <n v="0"/>
    <n v="0"/>
    <n v="0"/>
    <s v="Use Fryer; SIRE = spawning grounds no 53s; Wells = 0.236"/>
  </r>
  <r>
    <x v="0"/>
    <s v="1990s"/>
    <x v="22"/>
    <x v="21"/>
    <x v="22"/>
    <n v="50557"/>
    <n v="49610"/>
    <n v="44320"/>
    <n v="10659"/>
    <n v="0.24050090252707582"/>
    <n v="13083.795990567603"/>
    <n v="11931.249774368231"/>
    <n v="0.27"/>
    <n v="13394.7"/>
    <n v="0.1933884297520661"/>
    <n v="622.41633574007221"/>
    <n v="5.5171825701372905E-2"/>
    <n v="11281.416335740072"/>
    <n v="877.58779332129961"/>
    <x v="5"/>
    <n v="5.9999999999999982"/>
    <x v="1"/>
    <n v="0.10100000000000001"/>
    <n v="5010.6100000000006"/>
    <m/>
    <n v="1321.463395047328"/>
    <n v="1205.0562272111913"/>
    <n v="1352.8647000000001"/>
    <n v="0"/>
    <n v="1205.0562272111913"/>
    <m/>
    <m/>
    <m/>
    <m/>
  </r>
  <r>
    <x v="0"/>
    <s v="2000s"/>
    <x v="23"/>
    <x v="25"/>
    <x v="25"/>
    <n v="39291"/>
    <n v="39291"/>
    <n v="34779"/>
    <n v="29374"/>
    <n v="0.84459012622559593"/>
    <n v="37214.603804611907"/>
    <n v="33184.790649529888"/>
    <n v="0.84000000000000008"/>
    <n v="33004.44"/>
    <n v="0.62823547377261968"/>
    <n v="920.60323758589959"/>
    <n v="3.0388357634726366E-2"/>
    <n v="30294.603237585899"/>
    <n v="2890.187411943989"/>
    <x v="0"/>
    <n v="3.0000000000000009"/>
    <x v="0"/>
    <n v="0.27400000000000002"/>
    <n v="10765.734"/>
    <n v="0.27"/>
    <n v="10196.801442463664"/>
    <n v="9092.63263797119"/>
    <n v="9043.2165600000008"/>
    <n v="8959.89347537307"/>
    <n v="9092.63263797119"/>
    <n v="7930.9800000000005"/>
    <n v="8179.5428741481937"/>
    <n v="0.7597756803343082"/>
    <s v="SIRE = Broodstock (hatchery highgrading?), use Fryer"/>
  </r>
  <r>
    <x v="0"/>
    <s v="2000s"/>
    <x v="23"/>
    <x v="24"/>
    <x v="24"/>
    <n v="39291"/>
    <n v="39291"/>
    <n v="34779"/>
    <n v="29374"/>
    <n v="0.84459012622559593"/>
    <n v="37214.603804611907"/>
    <n v="33184.790649529888"/>
    <n v="0.84000000000000008"/>
    <n v="33004.44"/>
    <n v="0.62823547377261968"/>
    <n v="920.60323758589959"/>
    <n v="3.0388357634726366E-2"/>
    <n v="30294.603237585899"/>
    <n v="2890.187411943989"/>
    <x v="1"/>
    <n v="3.9999999999999996"/>
    <x v="0"/>
    <n v="0.49"/>
    <n v="19252.59"/>
    <n v="0.51700000000000002"/>
    <n v="18235.155864259836"/>
    <n v="16260.547418269645"/>
    <n v="16172.1756"/>
    <n v="17156.536765806952"/>
    <n v="16260.547418269645"/>
    <n v="15186.358"/>
    <n v="15662.309873831911"/>
    <n v="0.81351703193346514"/>
    <m/>
  </r>
  <r>
    <x v="0"/>
    <s v="2000s"/>
    <x v="23"/>
    <x v="23"/>
    <x v="23"/>
    <n v="39291"/>
    <n v="39291"/>
    <n v="34779"/>
    <n v="29374"/>
    <n v="0.84459012622559593"/>
    <n v="37214.603804611907"/>
    <n v="33184.790649529888"/>
    <n v="0.84000000000000008"/>
    <n v="33004.44"/>
    <n v="0.62823547377261968"/>
    <n v="920.60323758589959"/>
    <n v="3.0388357634726366E-2"/>
    <n v="30294.603237585899"/>
    <n v="2890.187411943989"/>
    <x v="2"/>
    <n v="5"/>
    <x v="0"/>
    <n v="1.9E-2"/>
    <n v="746.529"/>
    <n v="0.125"/>
    <n v="707.07747228762616"/>
    <n v="630.51102234106781"/>
    <n v="627.08436000000006"/>
    <n v="4148.0988311912361"/>
    <n v="630.51102234106781"/>
    <n v="3671.75"/>
    <n v="3786.8254046982374"/>
    <n v="5.0725764232846116"/>
    <s v="Fryer age 1.3 comp (0.4%) is quite low relative to spawning ground data; Fryer age comp only adds up to 98.5%, so adding 1.5% to age 1.3 composition [2022-10-30]"/>
  </r>
  <r>
    <x v="0"/>
    <s v="2000s"/>
    <x v="23"/>
    <x v="24"/>
    <x v="25"/>
    <n v="39291"/>
    <n v="39291"/>
    <n v="34779"/>
    <n v="29374"/>
    <n v="0.84459012622559593"/>
    <n v="37214.603804611907"/>
    <n v="33184.790649529888"/>
    <n v="0.84000000000000008"/>
    <n v="33004.44"/>
    <n v="0.62823547377261968"/>
    <n v="920.60323758589959"/>
    <n v="3.0388357634726366E-2"/>
    <n v="30294.603237585899"/>
    <n v="2890.187411943989"/>
    <x v="3"/>
    <n v="4.0000000000000009"/>
    <x v="1"/>
    <n v="5.2999999999999999E-2"/>
    <n v="2082.4229999999998"/>
    <n v="5.0999999999999997E-2"/>
    <n v="1972.374001644431"/>
    <n v="1758.7939044250841"/>
    <n v="1749.23532"/>
    <n v="1692.4243231260241"/>
    <n v="1758.7939044250841"/>
    <n v="1498.0739999999998"/>
    <n v="1545.0247651168809"/>
    <n v="0.74193608364721342"/>
    <m/>
  </r>
  <r>
    <x v="0"/>
    <s v="2000s"/>
    <x v="23"/>
    <x v="23"/>
    <x v="24"/>
    <n v="39291"/>
    <n v="39291"/>
    <n v="34779"/>
    <n v="29374"/>
    <n v="0.84459012622559593"/>
    <n v="37214.603804611907"/>
    <n v="33184.790649529888"/>
    <n v="0.84000000000000008"/>
    <n v="33004.44"/>
    <n v="0.62823547377261968"/>
    <n v="920.60323758589959"/>
    <n v="3.0388357634726366E-2"/>
    <n v="30294.603237585899"/>
    <n v="2890.187411943989"/>
    <x v="4"/>
    <n v="5.0000000000000018"/>
    <x v="1"/>
    <n v="8.0000000000000002E-3"/>
    <n v="314.32800000000003"/>
    <n v="0"/>
    <n v="297.71683043689524"/>
    <n v="265.4783251962391"/>
    <n v="264.03552000000002"/>
    <n v="0"/>
    <n v="265.4783251962391"/>
    <n v="0"/>
    <n v="0"/>
    <n v="0"/>
    <m/>
  </r>
  <r>
    <x v="0"/>
    <s v="2000s"/>
    <x v="23"/>
    <x v="22"/>
    <x v="23"/>
    <n v="39291"/>
    <n v="39291"/>
    <n v="34779"/>
    <n v="29374"/>
    <n v="0.84459012622559593"/>
    <n v="37214.603804611907"/>
    <n v="33184.790649529888"/>
    <n v="0.84000000000000008"/>
    <n v="33004.44"/>
    <n v="0.62823547377261968"/>
    <n v="920.60323758589959"/>
    <n v="3.0388357634726366E-2"/>
    <n v="30294.603237585899"/>
    <n v="2890.187411943989"/>
    <x v="5"/>
    <n v="5.9999999999999982"/>
    <x v="1"/>
    <n v="8.9999999999999993E-3"/>
    <n v="353.61899999999997"/>
    <m/>
    <n v="334.93143424150713"/>
    <n v="298.66311584576897"/>
    <n v="297.03996000000001"/>
    <n v="0"/>
    <n v="298.66311584576897"/>
    <n v="0"/>
    <n v="0"/>
    <n v="0"/>
    <s v="check age comp for 2003 with Jeff? DONE [10/21/2020]"/>
  </r>
  <r>
    <x v="0"/>
    <s v="2000s"/>
    <x v="23"/>
    <x v="23"/>
    <x v="25"/>
    <n v="39291"/>
    <n v="39291"/>
    <n v="34779"/>
    <n v="29374"/>
    <n v="0.84459012622559593"/>
    <n v="37214.603804611907"/>
    <n v="33184.790649529888"/>
    <n v="0.84000000000000008"/>
    <n v="33004.44"/>
    <n v="0.62823547377261968"/>
    <n v="920.60323758589959"/>
    <n v="3.0388357634726366E-2"/>
    <n v="30294.603237585899"/>
    <n v="2890.187411943989"/>
    <x v="6"/>
    <n v="5.0000000000000009"/>
    <x v="2"/>
    <n v="6.9999999999999993E-2"/>
    <n v="2750.37"/>
    <m/>
    <n v="2605.0222663228333"/>
    <n v="2322.9353454670918"/>
    <n v="2310.3107999999997"/>
    <n v="0"/>
    <n v="2322.9353454670918"/>
    <n v="0"/>
    <n v="0"/>
    <n v="0"/>
    <m/>
  </r>
  <r>
    <x v="0"/>
    <s v="2000s"/>
    <x v="23"/>
    <x v="22"/>
    <x v="24"/>
    <n v="39291"/>
    <n v="39291"/>
    <n v="34779"/>
    <n v="29374"/>
    <n v="0.84459012622559593"/>
    <n v="37214.603804611907"/>
    <n v="33184.790649529888"/>
    <n v="0.84000000000000008"/>
    <n v="33004.44"/>
    <n v="0.62823547377261968"/>
    <n v="920.60323758589959"/>
    <n v="3.0388357634726366E-2"/>
    <n v="30294.603237585899"/>
    <n v="2890.187411943989"/>
    <x v="7"/>
    <n v="6.0000000000000018"/>
    <x v="2"/>
    <n v="2.8000000000000001E-2"/>
    <n v="1100.1479999999999"/>
    <m/>
    <n v="1042.0089065291334"/>
    <n v="929.1741381868369"/>
    <n v="924.12432000000013"/>
    <n v="0"/>
    <n v="929.1741381868369"/>
    <m/>
    <n v="0"/>
    <m/>
    <s v="a lot of older fish"/>
  </r>
  <r>
    <x v="0"/>
    <s v="2000s"/>
    <x v="23"/>
    <x v="21"/>
    <x v="23"/>
    <n v="39291"/>
    <n v="39291"/>
    <n v="34779"/>
    <n v="29374"/>
    <n v="0.84459012622559593"/>
    <n v="37214.603804611907"/>
    <n v="33184.790649529888"/>
    <n v="0.84000000000000008"/>
    <n v="33004.44"/>
    <n v="0.62823547377261968"/>
    <n v="920.60323758589959"/>
    <n v="3.0388357634726366E-2"/>
    <n v="30294.603237585899"/>
    <n v="2890.187411943989"/>
    <x v="8"/>
    <n v="6.9999999999999982"/>
    <x v="2"/>
    <n v="1E-3"/>
    <n v="39.291000000000004"/>
    <m/>
    <n v="37.214603804611905"/>
    <n v="33.184790649529887"/>
    <n v="33.004440000000002"/>
    <n v="0"/>
    <n v="33.184790649529887"/>
    <m/>
    <n v="0"/>
    <m/>
    <m/>
  </r>
  <r>
    <x v="0"/>
    <s v="2000s"/>
    <x v="23"/>
    <x v="22"/>
    <x v="25"/>
    <n v="39291"/>
    <n v="39291"/>
    <n v="34779"/>
    <n v="29374"/>
    <n v="0.84459012622559593"/>
    <n v="37214.603804611907"/>
    <n v="33184.790649529888"/>
    <n v="0.84000000000000008"/>
    <n v="33004.44"/>
    <n v="0.62823547377261968"/>
    <n v="920.60323758589959"/>
    <n v="3.0388357634726366E-2"/>
    <n v="30294.603237585899"/>
    <n v="2890.187411943989"/>
    <x v="9"/>
    <n v="5.9999999999999964"/>
    <x v="3"/>
    <n v="4.8000000000000001E-2"/>
    <n v="1885.9680000000001"/>
    <m/>
    <n v="1786.3009826213715"/>
    <n v="1592.8699511774346"/>
    <n v="1584.2131200000001"/>
    <n v="0"/>
    <n v="1592.8699511774346"/>
    <m/>
    <n v="0"/>
    <m/>
    <m/>
  </r>
  <r>
    <x v="0"/>
    <s v="2000s"/>
    <x v="24"/>
    <x v="26"/>
    <x v="26"/>
    <n v="130231"/>
    <n v="123291"/>
    <n v="106666"/>
    <n v="78053"/>
    <n v="0.73175144844655282"/>
    <n v="104587.2101876837"/>
    <n v="90218.367830423944"/>
    <n v="0.77000000000000013"/>
    <n v="94934.070000000022"/>
    <n v="0.52687544102975892"/>
    <n v="3658.0254907843178"/>
    <n v="4.4767832355706805E-2"/>
    <n v="81711.025490784319"/>
    <n v="13585.697391858703"/>
    <x v="0"/>
    <n v="3.0000000000000009"/>
    <x v="0"/>
    <n v="3.1E-2"/>
    <n v="3822.0210000000002"/>
    <n v="2.6365348399246705E-2"/>
    <n v="3242.2035158181948"/>
    <n v="2796.7694027431421"/>
    <n v="2942.9561700000008"/>
    <n v="2378.6386998605185"/>
    <n v="2796.7694027431421"/>
    <n v="2057.8945386064029"/>
    <n v="2154.3396551242572"/>
    <n v="0.56366504923030436"/>
    <s v="SIRE = broodstock?  Wells = 0.016, Use Fryer"/>
  </r>
  <r>
    <x v="0"/>
    <s v="2000s"/>
    <x v="24"/>
    <x v="25"/>
    <x v="25"/>
    <n v="130231"/>
    <n v="123291"/>
    <n v="106666"/>
    <n v="78053"/>
    <n v="0.73175144844655282"/>
    <n v="104587.2101876837"/>
    <n v="90218.367830423944"/>
    <n v="0.77000000000000013"/>
    <n v="94934.070000000022"/>
    <n v="0.52687544102975892"/>
    <n v="3658.0254907843178"/>
    <n v="4.4767832355706805E-2"/>
    <n v="81711.025490784319"/>
    <n v="13585.697391858703"/>
    <x v="1"/>
    <n v="3.9999999999999996"/>
    <x v="0"/>
    <n v="0.93400000000000005"/>
    <n v="115153.79400000001"/>
    <n v="0.95291902071563084"/>
    <n v="97684.454315296578"/>
    <n v="84263.955553615975"/>
    <n v="88668.421380000029"/>
    <n v="85970.798723530155"/>
    <n v="84263.955553615975"/>
    <n v="74378.188323917129"/>
    <n v="77863.990392348147"/>
    <n v="0.67617390350463091"/>
    <s v="broodstock; Wells = 0.951"/>
  </r>
  <r>
    <x v="0"/>
    <s v="2000s"/>
    <x v="24"/>
    <x v="24"/>
    <x v="24"/>
    <n v="130231"/>
    <n v="123291"/>
    <n v="106666"/>
    <n v="78053"/>
    <n v="0.73175144844655282"/>
    <n v="104587.2101876837"/>
    <n v="90218.367830423944"/>
    <n v="0.77000000000000013"/>
    <n v="94934.070000000022"/>
    <n v="0.52687544102975892"/>
    <n v="3658.0254907843178"/>
    <n v="4.4767832355706805E-2"/>
    <n v="81711.025490784319"/>
    <n v="13585.697391858703"/>
    <x v="2"/>
    <n v="5"/>
    <x v="0"/>
    <n v="0"/>
    <n v="0"/>
    <n v="1.8832391713747645E-2"/>
    <n v="0"/>
    <n v="0"/>
    <n v="0"/>
    <n v="1699.0276427575129"/>
    <n v="0"/>
    <n v="1469.9246704331449"/>
    <n v="1538.8140393744691"/>
    <n v="0"/>
    <s v="broodstock; Wells = na"/>
  </r>
  <r>
    <x v="0"/>
    <s v="2000s"/>
    <x v="24"/>
    <x v="25"/>
    <x v="26"/>
    <n v="130231"/>
    <n v="123291"/>
    <n v="106666"/>
    <n v="78053"/>
    <n v="0.73175144844655282"/>
    <n v="104587.2101876837"/>
    <n v="90218.367830423944"/>
    <n v="0.77000000000000013"/>
    <n v="94934.070000000022"/>
    <n v="0.52687544102975892"/>
    <n v="3658.0254907843178"/>
    <n v="4.4767832355706805E-2"/>
    <n v="81711.025490784319"/>
    <n v="13585.697391858703"/>
    <x v="3"/>
    <n v="4.0000000000000009"/>
    <x v="1"/>
    <n v="3.0000000000000001E-3"/>
    <n v="369.87299999999999"/>
    <n v="0"/>
    <n v="313.76163056305109"/>
    <n v="270.65510349127186"/>
    <n v="284.80221000000006"/>
    <n v="0"/>
    <n v="270.65510349127186"/>
    <n v="0"/>
    <n v="0"/>
    <n v="0"/>
    <s v="broodstock; Wells = 0.001"/>
  </r>
  <r>
    <x v="0"/>
    <s v="2000s"/>
    <x v="24"/>
    <x v="24"/>
    <x v="25"/>
    <n v="130231"/>
    <n v="123291"/>
    <n v="106666"/>
    <n v="78053"/>
    <n v="0.73175144844655282"/>
    <n v="104587.2101876837"/>
    <n v="90218.367830423944"/>
    <n v="0.77000000000000013"/>
    <n v="94934.070000000022"/>
    <n v="0.52687544102975892"/>
    <n v="3658.0254907843178"/>
    <n v="4.4767832355706805E-2"/>
    <n v="81711.025490784319"/>
    <n v="13585.697391858703"/>
    <x v="4"/>
    <n v="5.0000000000000018"/>
    <x v="1"/>
    <n v="1.4999999999999999E-2"/>
    <n v="1849.365"/>
    <n v="1.8832391713747645E-3"/>
    <n v="1568.8081528152554"/>
    <n v="1353.275517456359"/>
    <n v="1424.0110500000003"/>
    <n v="169.90276427575131"/>
    <n v="1353.275517456359"/>
    <n v="146.99246704331449"/>
    <n v="153.88140393744692"/>
    <n v="8.3207697743521117E-2"/>
    <s v="broodstock; Wells = 0.017"/>
  </r>
  <r>
    <x v="0"/>
    <s v="2000s"/>
    <x v="24"/>
    <x v="23"/>
    <x v="24"/>
    <n v="130231"/>
    <n v="123291"/>
    <n v="106666"/>
    <n v="78053"/>
    <n v="0.73175144844655282"/>
    <n v="104587.2101876837"/>
    <n v="90218.367830423944"/>
    <n v="0.77000000000000013"/>
    <n v="94934.070000000022"/>
    <n v="0.52687544102975892"/>
    <n v="3658.0254907843178"/>
    <n v="4.4767832355706805E-2"/>
    <n v="81711.025490784319"/>
    <n v="13585.697391858703"/>
    <x v="5"/>
    <n v="5.9999999999999982"/>
    <x v="1"/>
    <n v="0"/>
    <n v="0"/>
    <m/>
    <n v="0"/>
    <n v="0"/>
    <n v="0"/>
    <n v="0"/>
    <n v="0"/>
    <m/>
    <m/>
    <m/>
    <m/>
  </r>
  <r>
    <x v="0"/>
    <s v="2000s"/>
    <x v="24"/>
    <x v="24"/>
    <x v="26"/>
    <n v="130231"/>
    <n v="123291"/>
    <n v="106666"/>
    <n v="78053"/>
    <n v="0.73175144844655282"/>
    <n v="104587.2101876837"/>
    <n v="90218.367830423944"/>
    <n v="0.77000000000000013"/>
    <n v="94934.070000000022"/>
    <n v="0.52687544102975892"/>
    <n v="3658.0254907843178"/>
    <n v="4.4767832355706805E-2"/>
    <n v="81711.025490784319"/>
    <n v="13585.697391858703"/>
    <x v="6"/>
    <n v="5.0000000000000009"/>
    <x v="2"/>
    <n v="1.7999999999999999E-2"/>
    <n v="2219.2379999999998"/>
    <m/>
    <n v="1882.5697833783065"/>
    <n v="1623.9306209476308"/>
    <n v="1708.8132600000004"/>
    <n v="0"/>
    <n v="1623.9306209476308"/>
    <m/>
    <m/>
    <m/>
    <m/>
  </r>
  <r>
    <x v="0"/>
    <s v="2000s"/>
    <x v="25"/>
    <x v="27"/>
    <x v="27"/>
    <n v="77399"/>
    <n v="72971"/>
    <n v="71226"/>
    <n v="55559"/>
    <n v="0.78003818830202454"/>
    <n v="68544.360968030189"/>
    <n v="56920.166638587034"/>
    <n v="0.78000000000000014"/>
    <n v="56917.380000000012"/>
    <n v="0.64259774430938321"/>
    <n v="2160.7057815966082"/>
    <n v="3.7434455916536033E-2"/>
    <n v="57719.705781596611"/>
    <n v="2654.4699547917844"/>
    <x v="0"/>
    <n v="3.0000000000000009"/>
    <x v="0"/>
    <n v="1.4999999999999999E-2"/>
    <n v="1094.5650000000001"/>
    <n v="1.4999999999999999E-2"/>
    <n v="1028.1654145204527"/>
    <n v="853.80249957880551"/>
    <n v="853.76070000000016"/>
    <n v="853.80249957880551"/>
    <n v="853.80249957880551"/>
    <n v="833.38499999999999"/>
    <n v="865.7955867239491"/>
    <n v="0.7909951320606351"/>
    <s v="broodstock: Wells = 0.015"/>
  </r>
  <r>
    <x v="0"/>
    <s v="2000s"/>
    <x v="25"/>
    <x v="26"/>
    <x v="26"/>
    <n v="77399"/>
    <n v="72971"/>
    <n v="71226"/>
    <n v="55559"/>
    <n v="0.78003818830202454"/>
    <n v="68544.360968030189"/>
    <n v="56920.166638587034"/>
    <n v="0.78000000000000014"/>
    <n v="56917.380000000012"/>
    <n v="0.64259774430938321"/>
    <n v="2160.7057815966082"/>
    <n v="3.7434455916536033E-2"/>
    <n v="57719.705781596611"/>
    <n v="2654.4699547917844"/>
    <x v="1"/>
    <n v="3.9999999999999996"/>
    <x v="0"/>
    <n v="0.89100000000000001"/>
    <n v="65017.161"/>
    <n v="0.88700000000000001"/>
    <n v="61073.025622514899"/>
    <n v="50715.868474981049"/>
    <n v="50713.385580000009"/>
    <n v="50488.187808426701"/>
    <n v="50715.868474981049"/>
    <n v="49280.832999999999"/>
    <n v="51197.379028276191"/>
    <n v="0.78744408769672658"/>
    <s v="broodstock; Wells = 0.887"/>
  </r>
  <r>
    <x v="0"/>
    <s v="2000s"/>
    <x v="25"/>
    <x v="25"/>
    <x v="25"/>
    <n v="77399"/>
    <n v="72971"/>
    <n v="71226"/>
    <n v="55559"/>
    <n v="0.78003818830202454"/>
    <n v="68544.360968030189"/>
    <n v="56920.166638587034"/>
    <n v="0.78000000000000014"/>
    <n v="56917.380000000012"/>
    <n v="0.64259774430938321"/>
    <n v="2160.7057815966082"/>
    <n v="3.7434455916536033E-2"/>
    <n v="57719.705781596611"/>
    <n v="2654.4699547917844"/>
    <x v="2"/>
    <n v="5"/>
    <x v="0"/>
    <n v="3.9E-2"/>
    <n v="2845.8690000000001"/>
    <n v="3.9E-2"/>
    <n v="2673.2300777531773"/>
    <n v="2219.8864989048943"/>
    <n v="2219.7778200000002"/>
    <n v="2219.8864989048943"/>
    <n v="2219.8864989048943"/>
    <n v="2166.8009999999999"/>
    <n v="2251.0685254822679"/>
    <n v="0.79099513206063521"/>
    <s v="broodstock; Wells = 0.039"/>
  </r>
  <r>
    <x v="0"/>
    <s v="2000s"/>
    <x v="25"/>
    <x v="26"/>
    <x v="27"/>
    <n v="77399"/>
    <n v="72971"/>
    <n v="71226"/>
    <n v="55559"/>
    <n v="0.78003818830202454"/>
    <n v="68544.360968030189"/>
    <n v="56920.166638587034"/>
    <n v="0.78000000000000014"/>
    <n v="56917.380000000012"/>
    <n v="0.64259774430938321"/>
    <n v="2160.7057815966082"/>
    <n v="3.7434455916536033E-2"/>
    <n v="57719.705781596611"/>
    <n v="2654.4699547917844"/>
    <x v="3"/>
    <n v="4.0000000000000009"/>
    <x v="1"/>
    <n v="2.3E-2"/>
    <n v="1678.3330000000001"/>
    <n v="2.3E-2"/>
    <n v="1576.5203022646942"/>
    <n v="1309.1638326875018"/>
    <n v="1309.0997400000003"/>
    <n v="1309.1638326875018"/>
    <n v="1309.1638326875018"/>
    <n v="1277.857"/>
    <n v="1327.553232976722"/>
    <n v="0.7909951320606351"/>
    <s v="broodstock; Wells = 0.023"/>
  </r>
  <r>
    <x v="0"/>
    <s v="2000s"/>
    <x v="25"/>
    <x v="25"/>
    <x v="26"/>
    <n v="77399"/>
    <n v="72971"/>
    <n v="71226"/>
    <n v="55559"/>
    <n v="0.78003818830202454"/>
    <n v="68544.360968030189"/>
    <n v="56920.166638587034"/>
    <n v="0.78000000000000014"/>
    <n v="56917.380000000012"/>
    <n v="0.64259774430938321"/>
    <n v="2160.7057815966082"/>
    <n v="3.7434455916536033E-2"/>
    <n v="57719.705781596611"/>
    <n v="2654.4699547917844"/>
    <x v="4"/>
    <n v="5.0000000000000018"/>
    <x v="1"/>
    <n v="1.9E-2"/>
    <n v="1386.4490000000001"/>
    <n v="2.3E-2"/>
    <n v="1302.3428583925736"/>
    <n v="1081.4831661331536"/>
    <n v="1081.4302200000002"/>
    <n v="1309.1638326875018"/>
    <n v="1081.4831661331536"/>
    <n v="1277.857"/>
    <n v="1327.553232976722"/>
    <n v="0.9575204230207689"/>
    <s v="broodstock; Wells = 0.023"/>
  </r>
  <r>
    <x v="0"/>
    <s v="2000s"/>
    <x v="25"/>
    <x v="24"/>
    <x v="25"/>
    <n v="77399"/>
    <n v="72971"/>
    <n v="71226"/>
    <n v="55559"/>
    <n v="0.78003818830202454"/>
    <n v="68544.360968030189"/>
    <n v="56920.166638587034"/>
    <n v="0.78000000000000014"/>
    <n v="56917.380000000012"/>
    <n v="0.64259774430938321"/>
    <n v="2160.7057815966082"/>
    <n v="3.7434455916536033E-2"/>
    <n v="57719.705781596611"/>
    <n v="2654.4699547917844"/>
    <x v="5"/>
    <n v="5.9999999999999982"/>
    <x v="1"/>
    <n v="1.4E-2"/>
    <n v="1021.5940000000001"/>
    <m/>
    <n v="959.62105355242261"/>
    <n v="796.88233294021848"/>
    <n v="796.84332000000018"/>
    <n v="0"/>
    <n v="796.88233294021848"/>
    <n v="0"/>
    <n v="0"/>
    <n v="0"/>
    <m/>
  </r>
  <r>
    <x v="0"/>
    <s v="2000s"/>
    <x v="26"/>
    <x v="28"/>
    <x v="28"/>
    <n v="37067"/>
    <n v="37066"/>
    <n v="35132"/>
    <n v="22075"/>
    <n v="0.62834452920414441"/>
    <n v="26454.776046145224"/>
    <n v="23290.218319480817"/>
    <n v="0.72799999999999987"/>
    <n v="26984.047999999995"/>
    <n v="0.50936167916689146"/>
    <n v="1003.4662131390186"/>
    <n v="4.3480628386288765E-2"/>
    <n v="23078.466213139018"/>
    <n v="212.38045087100181"/>
    <x v="0"/>
    <n v="3.0000000000000009"/>
    <x v="0"/>
    <n v="8.0000000000000002E-3"/>
    <n v="296.52800000000002"/>
    <n v="2.3809523809523812E-3"/>
    <n v="62.987562014631493"/>
    <n v="186.32174655584654"/>
    <n v="215.87238399999995"/>
    <n v="55.452900760668619"/>
    <n v="55.452900760668619"/>
    <n v="52.559523809523817"/>
    <n v="54.948729078902431"/>
    <n v="0.18530705052778296"/>
    <s v="CNAT - deadpitch ages &lt;-- use"/>
  </r>
  <r>
    <x v="0"/>
    <s v="2000s"/>
    <x v="26"/>
    <x v="27"/>
    <x v="27"/>
    <n v="37067"/>
    <n v="37066"/>
    <n v="35132"/>
    <n v="22075"/>
    <n v="0.62834452920414441"/>
    <n v="26454.776046145224"/>
    <n v="23290.218319480817"/>
    <n v="0.72799999999999987"/>
    <n v="26984.047999999995"/>
    <n v="0.50936167916689146"/>
    <n v="1003.4662131390186"/>
    <n v="4.3480628386288765E-2"/>
    <n v="23078.466213139018"/>
    <n v="212.38045087100181"/>
    <x v="1"/>
    <n v="3.9999999999999996"/>
    <x v="0"/>
    <n v="0.72399999999999998"/>
    <n v="26835.784"/>
    <n v="0.8833333333333333"/>
    <n v="23368.38550742828"/>
    <n v="16862.118063304111"/>
    <n v="19536.450751999997"/>
    <n v="20573.026182208054"/>
    <n v="20573.026182208054"/>
    <n v="19499.583333333332"/>
    <n v="20385.978488272798"/>
    <n v="0.75965652757798308"/>
    <s v="CNAT - deadpitch ages"/>
  </r>
  <r>
    <x v="0"/>
    <s v="2000s"/>
    <x v="26"/>
    <x v="26"/>
    <x v="26"/>
    <n v="37067"/>
    <n v="37066"/>
    <n v="35132"/>
    <n v="22075"/>
    <n v="0.62834452920414441"/>
    <n v="26454.776046145224"/>
    <n v="23290.218319480817"/>
    <n v="0.72799999999999987"/>
    <n v="26984.047999999995"/>
    <n v="0.50936167916689146"/>
    <n v="1003.4662131390186"/>
    <n v="4.3480628386288765E-2"/>
    <n v="23078.466213139018"/>
    <n v="212.38045087100181"/>
    <x v="2"/>
    <n v="5"/>
    <x v="0"/>
    <n v="8.4000000000000005E-2"/>
    <n v="3113.5440000000003"/>
    <n v="0.10952380952380952"/>
    <n v="2897.4278526730482"/>
    <n v="1956.3783388363888"/>
    <n v="2266.6600319999998"/>
    <n v="2550.8334349907559"/>
    <n v="2550.8334349907559"/>
    <n v="2417.7380952380954"/>
    <n v="2527.6415376295113"/>
    <n v="0.81182136421695372"/>
    <s v="CNAT - deadpitch ages"/>
  </r>
  <r>
    <x v="0"/>
    <s v="2000s"/>
    <x v="26"/>
    <x v="27"/>
    <x v="28"/>
    <n v="37067"/>
    <n v="37066"/>
    <n v="35132"/>
    <n v="22075"/>
    <n v="0.62834452920414441"/>
    <n v="26454.776046145224"/>
    <n v="23290.218319480817"/>
    <n v="0.72799999999999987"/>
    <n v="26984.047999999995"/>
    <n v="0.50936167916689146"/>
    <n v="1003.4662131390186"/>
    <n v="4.3480628386288765E-2"/>
    <n v="23078.466213139018"/>
    <n v="212.38045087100181"/>
    <x v="3"/>
    <n v="4.0000000000000009"/>
    <x v="1"/>
    <n v="1.7000000000000001E-2"/>
    <n v="630.12200000000007"/>
    <n v="0"/>
    <n v="0"/>
    <n v="395.93371143117389"/>
    <n v="458.72881599999994"/>
    <n v="0"/>
    <n v="0"/>
    <n v="0"/>
    <n v="0"/>
    <n v="0"/>
    <s v="CNAT - deadpitch ages"/>
  </r>
  <r>
    <x v="0"/>
    <s v="2000s"/>
    <x v="26"/>
    <x v="26"/>
    <x v="27"/>
    <n v="37067"/>
    <n v="37066"/>
    <n v="35132"/>
    <n v="22075"/>
    <n v="0.62834452920414441"/>
    <n v="26454.776046145224"/>
    <n v="23290.218319480817"/>
    <n v="0.72799999999999987"/>
    <n v="26984.047999999995"/>
    <n v="0.50936167916689146"/>
    <n v="1003.4662131390186"/>
    <n v="4.3480628386288765E-2"/>
    <n v="23078.466213139018"/>
    <n v="212.38045087100181"/>
    <x v="4"/>
    <n v="5.0000000000000018"/>
    <x v="1"/>
    <n v="0.14799999999999999"/>
    <n v="5485.768"/>
    <n v="4.7619047619047623E-3"/>
    <n v="125.97512402926299"/>
    <n v="3446.9523112831607"/>
    <n v="3993.639103999999"/>
    <n v="110.90580152133724"/>
    <n v="110.90580152133724"/>
    <n v="105.11904761904763"/>
    <n v="109.89745815780486"/>
    <n v="2.0033194651652216E-2"/>
    <s v="CNAT - deadpitch ages"/>
  </r>
  <r>
    <x v="0"/>
    <s v="2000s"/>
    <x v="26"/>
    <x v="25"/>
    <x v="26"/>
    <n v="37067"/>
    <n v="37066"/>
    <n v="35132"/>
    <n v="22075"/>
    <n v="0.62834452920414441"/>
    <n v="26454.776046145224"/>
    <n v="23290.218319480817"/>
    <n v="0.72799999999999987"/>
    <n v="26984.047999999995"/>
    <n v="0.50936167916689146"/>
    <n v="1003.4662131390186"/>
    <n v="4.3480628386288765E-2"/>
    <n v="23078.466213139018"/>
    <n v="212.38045087100181"/>
    <x v="5"/>
    <n v="5.9999999999999982"/>
    <x v="1"/>
    <n v="2E-3"/>
    <n v="74.132000000000005"/>
    <m/>
    <n v="0"/>
    <n v="46.580436638961636"/>
    <n v="53.968095999999989"/>
    <n v="0"/>
    <n v="0"/>
    <m/>
    <m/>
    <m/>
    <m/>
  </r>
  <r>
    <x v="0"/>
    <s v="2000s"/>
    <x v="27"/>
    <x v="29"/>
    <x v="29"/>
    <n v="26604"/>
    <n v="24376"/>
    <n v="25122"/>
    <n v="22273"/>
    <n v="0.88659342409043862"/>
    <n v="26745.682484121899"/>
    <n v="21611.60130562853"/>
    <n v="0.85299999999999987"/>
    <n v="20792.727999999996"/>
    <n v="0.78380374138496878"/>
    <n v="1253.6431016638803"/>
    <n v="5.3286101899306604E-2"/>
    <n v="23526.643101663882"/>
    <n v="60.288352838146238"/>
    <x v="0"/>
    <n v="3.0000000000000009"/>
    <x v="0"/>
    <n v="0.42399999999999999"/>
    <n v="10335.423999999999"/>
    <n v="0.2831168831168831"/>
    <n v="7572.1542617384075"/>
    <n v="9163.3189535864967"/>
    <n v="8816.1166719999983"/>
    <n v="6118.6092008143105"/>
    <n v="6118.6092008143105"/>
    <n v="6305.8623376623373"/>
    <n v="6660.7898651463975"/>
    <n v="0.64446217834376196"/>
    <s v="CNAT - deadpitch ages &lt;-- use"/>
  </r>
  <r>
    <x v="0"/>
    <s v="2000s"/>
    <x v="27"/>
    <x v="28"/>
    <x v="28"/>
    <n v="26604"/>
    <n v="24376"/>
    <n v="25122"/>
    <n v="22273"/>
    <n v="0.88659342409043862"/>
    <n v="26745.682484121899"/>
    <n v="21611.60130562853"/>
    <n v="0.85299999999999987"/>
    <n v="20792.727999999996"/>
    <n v="0.78380374138496878"/>
    <n v="1253.6431016638803"/>
    <n v="5.3286101899306604E-2"/>
    <n v="23526.643101663882"/>
    <n v="60.288352838146238"/>
    <x v="1"/>
    <n v="3.9999999999999996"/>
    <x v="0"/>
    <n v="0.38200000000000001"/>
    <n v="9311.6319999999996"/>
    <n v="0.51168831168831164"/>
    <n v="13685.453115251983"/>
    <n v="8255.6316987500995"/>
    <n v="7942.8220959999981"/>
    <n v="11058.403784957974"/>
    <n v="11058.403784957974"/>
    <n v="11396.833766233765"/>
    <n v="12038.308288383854"/>
    <n v="1.2928247474109646"/>
    <s v="CNAT - deadpitch ages"/>
  </r>
  <r>
    <x v="0"/>
    <s v="2000s"/>
    <x v="27"/>
    <x v="27"/>
    <x v="27"/>
    <n v="26604"/>
    <n v="24376"/>
    <n v="25122"/>
    <n v="22273"/>
    <n v="0.88659342409043862"/>
    <n v="26745.682484121899"/>
    <n v="21611.60130562853"/>
    <n v="0.85299999999999987"/>
    <n v="20792.727999999996"/>
    <n v="0.78380374138496878"/>
    <n v="1253.6431016638803"/>
    <n v="5.3286101899306604E-2"/>
    <n v="23526.643101663882"/>
    <n v="60.288352838146238"/>
    <x v="2"/>
    <n v="5"/>
    <x v="0"/>
    <n v="3.2000000000000001E-2"/>
    <n v="780.03200000000004"/>
    <n v="0.12987012987012986"/>
    <n v="3473.4652576781682"/>
    <n v="691.57124178011293"/>
    <n v="665.3672959999999"/>
    <n v="2806.7014682634453"/>
    <n v="2806.7014682634453"/>
    <n v="2892.5974025974024"/>
    <n v="3055.4081950212831"/>
    <n v="3.9170292949792866"/>
    <s v="CNAT - deadpitch ages"/>
  </r>
  <r>
    <x v="0"/>
    <s v="2000s"/>
    <x v="27"/>
    <x v="28"/>
    <x v="29"/>
    <n v="26604"/>
    <n v="24376"/>
    <n v="25122"/>
    <n v="22273"/>
    <n v="0.88659342409043862"/>
    <n v="26745.682484121899"/>
    <n v="21611.60130562853"/>
    <n v="0.85299999999999987"/>
    <n v="20792.727999999996"/>
    <n v="0.78380374138496878"/>
    <n v="1253.6431016638803"/>
    <n v="5.3286101899306604E-2"/>
    <n v="23526.643101663882"/>
    <n v="60.288352838146238"/>
    <x v="3"/>
    <n v="4.0000000000000009"/>
    <x v="1"/>
    <n v="5.8000000000000003E-2"/>
    <n v="1413.808"/>
    <n v="6.4935064935064901E-2"/>
    <n v="1736.7326288390834"/>
    <n v="1253.4728757264547"/>
    <n v="1205.9782239999997"/>
    <n v="1403.350734131722"/>
    <n v="1403.350734131722"/>
    <n v="1446.2987012987005"/>
    <n v="1527.7040975106408"/>
    <n v="1.0805598055115269"/>
    <s v="CNAT - deadpitch ages"/>
  </r>
  <r>
    <x v="0"/>
    <s v="2000s"/>
    <x v="27"/>
    <x v="27"/>
    <x v="28"/>
    <n v="26604"/>
    <n v="24376"/>
    <n v="25122"/>
    <n v="22273"/>
    <n v="0.88659342409043862"/>
    <n v="26745.682484121899"/>
    <n v="21611.60130562853"/>
    <n v="0.85299999999999987"/>
    <n v="20792.727999999996"/>
    <n v="0.78380374138496878"/>
    <n v="1253.6431016638803"/>
    <n v="5.3286101899306604E-2"/>
    <n v="23526.643101663882"/>
    <n v="60.288352838146238"/>
    <x v="4"/>
    <n v="5.0000000000000018"/>
    <x v="1"/>
    <n v="9.2999999999999999E-2"/>
    <n v="2266.9679999999998"/>
    <n v="1.038961038961039E-2"/>
    <n v="277.87722061425347"/>
    <n v="2009.8789214234532"/>
    <n v="1933.7237039999995"/>
    <n v="224.53611746107563"/>
    <n v="224.53611746107563"/>
    <n v="231.4077922077922"/>
    <n v="244.43265560170266"/>
    <n v="0.10782360209835458"/>
    <s v="CNAT - deadpitch ages"/>
  </r>
  <r>
    <x v="0"/>
    <s v="2000s"/>
    <x v="27"/>
    <x v="26"/>
    <x v="27"/>
    <n v="26604"/>
    <n v="24376"/>
    <n v="25122"/>
    <n v="22273"/>
    <n v="0.88659342409043862"/>
    <n v="26745.682484121899"/>
    <n v="21611.60130562853"/>
    <n v="0.85299999999999987"/>
    <n v="20792.727999999996"/>
    <n v="0.78380374138496878"/>
    <n v="1253.6431016638803"/>
    <n v="5.3286101899306604E-2"/>
    <n v="23526.643101663882"/>
    <n v="60.288352838146238"/>
    <x v="5"/>
    <n v="5.9999999999999982"/>
    <x v="1"/>
    <n v="1.0999999999999999E-2"/>
    <n v="268.13599999999997"/>
    <m/>
    <n v="0"/>
    <n v="237.72761436191382"/>
    <n v="228.72000799999995"/>
    <n v="0"/>
    <n v="0"/>
    <m/>
    <m/>
    <m/>
    <m/>
  </r>
  <r>
    <x v="0"/>
    <s v="2000s"/>
    <x v="28"/>
    <x v="30"/>
    <x v="30"/>
    <n v="214465"/>
    <n v="213607"/>
    <n v="193739"/>
    <n v="165334"/>
    <n v="0.85338522445145271"/>
    <n v="201815.24535141748"/>
    <n v="182289.05763940146"/>
    <n v="0.83299999999999996"/>
    <n v="177934.63099999999"/>
    <n v="0.67913036557790707"/>
    <n v="8526.1717774944645"/>
    <n v="4.9040396603347573E-2"/>
    <n v="173860.17177749446"/>
    <n v="9161.0903844863351"/>
    <x v="0"/>
    <n v="3.0000000000000009"/>
    <x v="0"/>
    <n v="7.3999999999999996E-2"/>
    <n v="15806.918"/>
    <n v="4.6382189239332093E-2"/>
    <n v="9360.6329012716815"/>
    <n v="13489.390265315707"/>
    <n v="13167.162693999999"/>
    <n v="8454.9655676902348"/>
    <n v="8454.9655676902348"/>
    <n v="7668.5528756957319"/>
    <n v="8064.0153885665322"/>
    <n v="0.51015734936858237"/>
    <s v="CNAT - deadpitch ages"/>
  </r>
  <r>
    <x v="0"/>
    <s v="2000s"/>
    <x v="28"/>
    <x v="29"/>
    <x v="29"/>
    <n v="214465"/>
    <n v="213607"/>
    <n v="193739"/>
    <n v="165334"/>
    <n v="0.85338522445145271"/>
    <n v="201815.24535141748"/>
    <n v="182289.05763940146"/>
    <n v="0.83299999999999996"/>
    <n v="177934.63099999999"/>
    <n v="0.67913036557790707"/>
    <n v="8526.1717774944645"/>
    <n v="4.9040396603347573E-2"/>
    <n v="173860.17177749446"/>
    <n v="9161.0903844863351"/>
    <x v="1"/>
    <n v="3.9999999999999996"/>
    <x v="0"/>
    <n v="0.86399999999999999"/>
    <n v="184556.448"/>
    <n v="0.94063079777365488"/>
    <n v="189833.63523778971"/>
    <n v="157497.74580044288"/>
    <n v="153735.52118399998"/>
    <n v="171466.70171275796"/>
    <n v="171466.70171275796"/>
    <n v="155518.25231910945"/>
    <n v="163538.2320801293"/>
    <n v="0.88611497377826265"/>
    <s v="CNAT - deadpitch ages"/>
  </r>
  <r>
    <x v="0"/>
    <s v="2000s"/>
    <x v="28"/>
    <x v="28"/>
    <x v="28"/>
    <n v="214465"/>
    <n v="213607"/>
    <n v="193739"/>
    <n v="165334"/>
    <n v="0.85338522445145271"/>
    <n v="201815.24535141748"/>
    <n v="182289.05763940146"/>
    <n v="0.83299999999999996"/>
    <n v="177934.63099999999"/>
    <n v="0.67913036557790707"/>
    <n v="8526.1717774944645"/>
    <n v="4.9040396603347573E-2"/>
    <n v="173860.17177749446"/>
    <n v="9161.0903844863351"/>
    <x v="2"/>
    <n v="5"/>
    <x v="0"/>
    <n v="7.0000000000000001E-3"/>
    <n v="1495.249"/>
    <n v="9.2764378478664197E-3"/>
    <n v="1872.1265802543367"/>
    <n v="1276.0234034758103"/>
    <n v="1245.5424169999999"/>
    <n v="1690.9931135380471"/>
    <n v="1690.9931135380471"/>
    <n v="1533.7105751391466"/>
    <n v="1612.8030777133067"/>
    <n v="1.0786183958078599"/>
    <s v="CNAT - deadpitch ages"/>
  </r>
  <r>
    <x v="0"/>
    <s v="2000s"/>
    <x v="28"/>
    <x v="29"/>
    <x v="30"/>
    <n v="214465"/>
    <n v="213607"/>
    <n v="193739"/>
    <n v="165334"/>
    <n v="0.85338522445145271"/>
    <n v="201815.24535141748"/>
    <n v="182289.05763940146"/>
    <n v="0.83299999999999996"/>
    <n v="177934.63099999999"/>
    <n v="0.67913036557790707"/>
    <n v="8526.1717774944645"/>
    <n v="4.9040396603347573E-2"/>
    <n v="173860.17177749446"/>
    <n v="9161.0903844863351"/>
    <x v="3"/>
    <n v="4.0000000000000009"/>
    <x v="1"/>
    <n v="2.3E-2"/>
    <n v="4912.9610000000002"/>
    <n v="0"/>
    <n v="0"/>
    <n v="4192.6483257062337"/>
    <n v="4092.4965129999996"/>
    <n v="0"/>
    <n v="0"/>
    <n v="0"/>
    <n v="0"/>
    <n v="0"/>
    <s v="CNAT - deadpitch ages"/>
  </r>
  <r>
    <x v="0"/>
    <s v="2000s"/>
    <x v="28"/>
    <x v="28"/>
    <x v="29"/>
    <n v="214465"/>
    <n v="213607"/>
    <n v="193739"/>
    <n v="165334"/>
    <n v="0.85338522445145271"/>
    <n v="201815.24535141748"/>
    <n v="182289.05763940146"/>
    <n v="0.83299999999999996"/>
    <n v="177934.63099999999"/>
    <n v="0.67913036557790707"/>
    <n v="8526.1717774944645"/>
    <n v="4.9040396603347573E-2"/>
    <n v="173860.17177749446"/>
    <n v="9161.0903844863351"/>
    <x v="4"/>
    <n v="5.0000000000000018"/>
    <x v="1"/>
    <n v="3.2000000000000001E-2"/>
    <n v="6835.424"/>
    <n v="3.7105751391465678E-3"/>
    <n v="748.85063210173462"/>
    <n v="5833.2498444608473"/>
    <n v="5693.9081919999999"/>
    <n v="676.39724541521878"/>
    <n v="676.39724541521878"/>
    <n v="613.4842300556586"/>
    <n v="645.12123108532262"/>
    <n v="9.4379109633187727E-2"/>
    <s v="CNAT - deadpitch ages"/>
  </r>
  <r>
    <x v="0"/>
    <s v="2000s"/>
    <x v="29"/>
    <x v="31"/>
    <x v="31"/>
    <n v="179732"/>
    <n v="177823"/>
    <n v="162830"/>
    <n v="134937"/>
    <n v="0.82869864275624883"/>
    <n v="166153.32351273368"/>
    <n v="147361.67875084444"/>
    <n v="0.82599999999999996"/>
    <n v="146881.79799999998"/>
    <n v="0.6577551835251908"/>
    <n v="9048.5604802554808"/>
    <n v="6.2843527156990819E-2"/>
    <n v="143985.56048025549"/>
    <n v="4958.1039796106343"/>
    <x v="0"/>
    <n v="3.0000000000000009"/>
    <x v="0"/>
    <n v="0.125"/>
    <n v="22227.875"/>
    <n v="3.4979423868312758E-2"/>
    <n v="5811.9475302808078"/>
    <n v="18420.209843855555"/>
    <n v="18360.224749999998"/>
    <n v="5154.6266229719249"/>
    <n v="5154.6266229719249"/>
    <n v="4720.0185185185182"/>
    <n v="5036.5319509554392"/>
    <n v="0.22658629990295695"/>
    <s v="CNAT - deadpitch ages"/>
  </r>
  <r>
    <x v="0"/>
    <s v="2000s"/>
    <x v="29"/>
    <x v="30"/>
    <x v="30"/>
    <n v="179732"/>
    <n v="177823"/>
    <n v="162830"/>
    <n v="134937"/>
    <n v="0.82869864275624883"/>
    <n v="166153.32351273368"/>
    <n v="147361.67875084444"/>
    <n v="0.82599999999999996"/>
    <n v="146881.79799999998"/>
    <n v="0.6577551835251908"/>
    <n v="9048.5604802554808"/>
    <n v="6.2843527156990819E-2"/>
    <n v="143985.56048025549"/>
    <n v="4958.1039796106343"/>
    <x v="1"/>
    <n v="3.9999999999999996"/>
    <x v="0"/>
    <n v="0.79200000000000004"/>
    <n v="140835.81600000002"/>
    <n v="0.87860082304526754"/>
    <n v="145982.44678999443"/>
    <n v="116710.4495706688"/>
    <n v="116330.384016"/>
    <n v="129472.09223582424"/>
    <n v="129472.09223582424"/>
    <n v="118555.75925925927"/>
    <n v="126505.83194458662"/>
    <n v="0.89825042760846152"/>
    <s v="CNAT - deadpitch ages"/>
  </r>
  <r>
    <x v="0"/>
    <s v="2000s"/>
    <x v="29"/>
    <x v="29"/>
    <x v="29"/>
    <n v="179732"/>
    <n v="177823"/>
    <n v="162830"/>
    <n v="134937"/>
    <n v="0.82869864275624883"/>
    <n v="166153.32351273368"/>
    <n v="147361.67875084444"/>
    <n v="0.82599999999999996"/>
    <n v="146881.79799999998"/>
    <n v="0.6577551835251908"/>
    <n v="9048.5604802554808"/>
    <n v="6.2843527156990819E-2"/>
    <n v="143985.56048025549"/>
    <n v="4958.1039796106343"/>
    <x v="2"/>
    <n v="5"/>
    <x v="0"/>
    <n v="2.5999999999999999E-2"/>
    <n v="4623.3980000000001"/>
    <n v="5.3497942386831275E-2"/>
    <n v="8888.8609286647643"/>
    <n v="3831.4036475219555"/>
    <n v="3818.9267479999994"/>
    <n v="7883.5465998394147"/>
    <n v="7883.5465998394147"/>
    <n v="7218.8518518518522"/>
    <n v="7702.9312191083181"/>
    <n v="1.6660757345805657"/>
    <s v="CNAT - deadpitch ages"/>
  </r>
  <r>
    <x v="0"/>
    <s v="2000s"/>
    <x v="29"/>
    <x v="30"/>
    <x v="31"/>
    <n v="179732"/>
    <n v="177823"/>
    <n v="162830"/>
    <n v="134937"/>
    <n v="0.82869864275624883"/>
    <n v="166153.32351273368"/>
    <n v="147361.67875084444"/>
    <n v="0.82599999999999996"/>
    <n v="146881.79799999998"/>
    <n v="0.6577551835251908"/>
    <n v="9048.5604802554808"/>
    <n v="6.2843527156990819E-2"/>
    <n v="143985.56048025549"/>
    <n v="4958.1039796106343"/>
    <x v="3"/>
    <n v="4.0000000000000009"/>
    <x v="1"/>
    <n v="0.01"/>
    <n v="1778.23"/>
    <n v="0"/>
    <n v="0"/>
    <n v="1473.6167875084445"/>
    <n v="1468.8179799999998"/>
    <n v="0"/>
    <n v="0"/>
    <n v="0"/>
    <n v="0"/>
    <n v="0"/>
    <s v="CNAT - deadpitch ages"/>
  </r>
  <r>
    <x v="0"/>
    <s v="2000s"/>
    <x v="29"/>
    <x v="29"/>
    <x v="30"/>
    <n v="179732"/>
    <n v="177823"/>
    <n v="162830"/>
    <n v="134937"/>
    <n v="0.82869864275624883"/>
    <n v="166153.32351273368"/>
    <n v="147361.67875084444"/>
    <n v="0.82599999999999996"/>
    <n v="146881.79799999998"/>
    <n v="0.6577551835251908"/>
    <n v="9048.5604802554808"/>
    <n v="6.2843527156990819E-2"/>
    <n v="143985.56048025549"/>
    <n v="4958.1039796106343"/>
    <x v="4"/>
    <n v="5.0000000000000018"/>
    <x v="1"/>
    <n v="4.5999999999999999E-2"/>
    <n v="8179.8580000000002"/>
    <n v="3.292181069958848E-2"/>
    <n v="5470.0682637937016"/>
    <n v="6778.6372225388441"/>
    <n v="6756.5627079999986"/>
    <n v="4851.4132922088711"/>
    <n v="4851.4132922088711"/>
    <n v="4442.3703703703704"/>
    <n v="4740.2653656051198"/>
    <n v="0.57950460333237075"/>
    <s v="CNAT - deadpitch ages"/>
  </r>
  <r>
    <x v="0"/>
    <s v="2000s"/>
    <x v="29"/>
    <x v="28"/>
    <x v="29"/>
    <n v="179732"/>
    <n v="177823"/>
    <n v="162830"/>
    <n v="134937"/>
    <n v="0.82869864275624883"/>
    <n v="166153.32351273368"/>
    <n v="147361.67875084444"/>
    <n v="0.82599999999999996"/>
    <n v="146881.79799999998"/>
    <n v="0.6577551835251908"/>
    <n v="9048.5604802554808"/>
    <n v="6.2843527156990819E-2"/>
    <n v="143985.56048025549"/>
    <n v="4958.1039796106343"/>
    <x v="5"/>
    <n v="5.9999999999999982"/>
    <x v="1"/>
    <n v="1E-3"/>
    <n v="177.82300000000001"/>
    <n v="0"/>
    <n v="0"/>
    <n v="147.36167875084445"/>
    <n v="146.88179799999997"/>
    <n v="0"/>
    <n v="0"/>
    <n v="0"/>
    <n v="0"/>
    <n v="0"/>
    <m/>
  </r>
  <r>
    <x v="0"/>
    <s v="2000s"/>
    <x v="30"/>
    <x v="32"/>
    <x v="32"/>
    <n v="392193"/>
    <n v="386525"/>
    <n v="338310"/>
    <n v="291764"/>
    <n v="0.86241612722059646"/>
    <n v="370724.52957322967"/>
    <n v="333345.39357394102"/>
    <n v="0.81799999999999995"/>
    <n v="316177.44999999995"/>
    <n v="0.65993920186275146"/>
    <n v="22934.232071177321"/>
    <n v="7.2876901532736085E-2"/>
    <n v="314698.23207117734"/>
    <n v="23535.336111850047"/>
    <x v="0"/>
    <n v="3.0000000000000009"/>
    <x v="0"/>
    <n v="1.7999999999999999E-2"/>
    <n v="6957.45"/>
    <n v="8.8183421516754845E-3"/>
    <n v="3269.175745795676"/>
    <n v="6000.2170843309377"/>
    <n v="5691.1940999999988"/>
    <n v="2939.5537352199385"/>
    <n v="2939.5537352199385"/>
    <n v="2572.8747795414461"/>
    <n v="2775.1166849310171"/>
    <n v="0.39886979926999361"/>
    <s v="CNAT - deadpitch ages"/>
  </r>
  <r>
    <x v="0"/>
    <s v="2000s"/>
    <x v="30"/>
    <x v="31"/>
    <x v="31"/>
    <n v="392193"/>
    <n v="386525"/>
    <n v="338310"/>
    <n v="291764"/>
    <n v="0.86241612722059646"/>
    <n v="370724.52957322967"/>
    <n v="333345.39357394102"/>
    <n v="0.81799999999999995"/>
    <n v="316177.44999999995"/>
    <n v="0.65993920186275146"/>
    <n v="22934.232071177321"/>
    <n v="7.2876901532736085E-2"/>
    <n v="314698.23207117734"/>
    <n v="23535.336111850047"/>
    <x v="1"/>
    <n v="3.9999999999999996"/>
    <x v="0"/>
    <n v="0.95399999999999996"/>
    <n v="368744.85"/>
    <n v="0.89400000000000002"/>
    <n v="331427.7294384673"/>
    <n v="318011.50546953973"/>
    <n v="301633.28729999997"/>
    <n v="298010.78185510327"/>
    <n v="298010.78185510327"/>
    <n v="260837.016"/>
    <n v="281340.21947163256"/>
    <n v="0.76296718305796696"/>
    <s v="CNAT - deadpitch ages"/>
  </r>
  <r>
    <x v="0"/>
    <s v="2000s"/>
    <x v="30"/>
    <x v="30"/>
    <x v="30"/>
    <n v="392193"/>
    <n v="386525"/>
    <n v="338310"/>
    <n v="291764"/>
    <n v="0.86241612722059646"/>
    <n v="370724.52957322967"/>
    <n v="333345.39357394102"/>
    <n v="0.81799999999999995"/>
    <n v="316177.44999999995"/>
    <n v="0.65993920186275146"/>
    <n v="22934.232071177321"/>
    <n v="7.2876901532736085E-2"/>
    <n v="314698.23207117734"/>
    <n v="23535.336111850047"/>
    <x v="2"/>
    <n v="5"/>
    <x v="0"/>
    <n v="5.0000000000000001E-3"/>
    <n v="1932.625"/>
    <n v="7.3999999999999996E-2"/>
    <n v="27433.615188418993"/>
    <n v="1666.726967869705"/>
    <n v="1580.8872499999998"/>
    <n v="24667.559124471634"/>
    <n v="24667.559124471634"/>
    <n v="21590.536"/>
    <n v="23287.669173267121"/>
    <n v="12.049760907194681"/>
    <s v="CNAT - deadpitch ages"/>
  </r>
  <r>
    <x v="0"/>
    <s v="2000s"/>
    <x v="30"/>
    <x v="31"/>
    <x v="32"/>
    <n v="392193"/>
    <n v="386525"/>
    <n v="338310"/>
    <n v="291764"/>
    <n v="0.86241612722059646"/>
    <n v="370724.52957322967"/>
    <n v="333345.39357394102"/>
    <n v="0.81799999999999995"/>
    <n v="316177.44999999995"/>
    <n v="0.65993920186275146"/>
    <n v="22934.232071177321"/>
    <n v="7.2876901532736085E-2"/>
    <n v="314698.23207117734"/>
    <n v="23535.336111850047"/>
    <x v="3"/>
    <n v="4.0000000000000009"/>
    <x v="1"/>
    <n v="6.0000000000000001E-3"/>
    <n v="2319.15"/>
    <n v="1.7000000000000001E-2"/>
    <n v="6302.317002744905"/>
    <n v="2000.0723614436463"/>
    <n v="1897.0646999999997"/>
    <n v="5666.8716907569979"/>
    <n v="5666.8716907569979"/>
    <n v="4959.9880000000003"/>
    <n v="5349.8699452100154"/>
    <n v="2.3068235970980813"/>
    <s v="CNAT - deadpitch ages"/>
  </r>
  <r>
    <x v="0"/>
    <s v="2000s"/>
    <x v="30"/>
    <x v="30"/>
    <x v="31"/>
    <n v="392193"/>
    <n v="386525"/>
    <n v="338310"/>
    <n v="291764"/>
    <n v="0.86241612722059646"/>
    <n v="370724.52957322967"/>
    <n v="333345.39357394102"/>
    <n v="0.81799999999999995"/>
    <n v="316177.44999999995"/>
    <n v="0.65993920186275146"/>
    <n v="22934.232071177321"/>
    <n v="7.2876901532736085E-2"/>
    <n v="314698.23207117734"/>
    <n v="23535.336111850047"/>
    <x v="4"/>
    <n v="5.0000000000000018"/>
    <x v="1"/>
    <n v="1.6E-2"/>
    <n v="6184.4000000000005"/>
    <n v="6.0000000000000001E-3"/>
    <n v="2224.3471774393779"/>
    <n v="5333.5262971830562"/>
    <n v="5058.8391999999994"/>
    <n v="2000.0723614436463"/>
    <n v="2000.0723614436463"/>
    <n v="1750.5840000000001"/>
    <n v="1888.1893924270641"/>
    <n v="0.30531488785121663"/>
    <s v="CNAT - deadpitch ages"/>
  </r>
  <r>
    <x v="0"/>
    <s v="2010s"/>
    <x v="31"/>
    <x v="33"/>
    <x v="33"/>
    <n v="187365"/>
    <n v="185796"/>
    <n v="146111"/>
    <n v="111508"/>
    <n v="0.76317320393399535"/>
    <n v="152248.04419374978"/>
    <n v="141794.52859812061"/>
    <n v="0.7679999999999999"/>
    <n v="142691.32799999998"/>
    <n v="0.52415552541497124"/>
    <n v="11238.488601132016"/>
    <n v="9.1558534416831941E-2"/>
    <n v="122746.48860113202"/>
    <n v="20245.458753961007"/>
    <x v="0"/>
    <n v="3.0000000000000009"/>
    <x v="0"/>
    <n v="0.26100000000000001"/>
    <n v="48492.756000000001"/>
    <n v="0.182"/>
    <n v="27709.144043262459"/>
    <n v="37008.371964109479"/>
    <n v="37242.436607999996"/>
    <n v="25806.604204857951"/>
    <n v="25806.604204857951"/>
    <n v="20294.455999999998"/>
    <n v="22339.860925406028"/>
    <n v="0.46068449740010708"/>
    <s v="CNAT - deadpitch ages"/>
  </r>
  <r>
    <x v="0"/>
    <s v="2000s"/>
    <x v="31"/>
    <x v="32"/>
    <x v="32"/>
    <n v="187365"/>
    <n v="185796"/>
    <n v="146111"/>
    <n v="111508"/>
    <n v="0.76317320393399535"/>
    <n v="152248.04419374978"/>
    <n v="141794.52859812061"/>
    <n v="0.7679999999999999"/>
    <n v="142691.32799999998"/>
    <n v="0.52415552541497124"/>
    <n v="11238.488601132016"/>
    <n v="9.1558534416831941E-2"/>
    <n v="122746.48860113202"/>
    <n v="20245.458753961007"/>
    <x v="1"/>
    <n v="3.9999999999999996"/>
    <x v="0"/>
    <n v="0.59199999999999997"/>
    <n v="109991.23199999999"/>
    <n v="0.66400000000000003"/>
    <n v="101092.70134464986"/>
    <n v="83942.360930087394"/>
    <n v="84473.26617599999"/>
    <n v="94151.566989152096"/>
    <n v="94151.566989152096"/>
    <n v="74041.312000000005"/>
    <n v="81503.668431151658"/>
    <n v="0.74100150483950999"/>
    <s v="CNAT - deadpitch ages"/>
  </r>
  <r>
    <x v="0"/>
    <s v="2000s"/>
    <x v="31"/>
    <x v="31"/>
    <x v="31"/>
    <n v="187365"/>
    <n v="185796"/>
    <n v="146111"/>
    <n v="111508"/>
    <n v="0.76317320393399535"/>
    <n v="152248.04419374978"/>
    <n v="141794.52859812061"/>
    <n v="0.7679999999999999"/>
    <n v="142691.32799999998"/>
    <n v="0.52415552541497124"/>
    <n v="11238.488601132016"/>
    <n v="9.1558534416831941E-2"/>
    <n v="122746.48860113202"/>
    <n v="20245.458753961007"/>
    <x v="2"/>
    <n v="5"/>
    <x v="0"/>
    <n v="7.6999999999999999E-2"/>
    <n v="14306.291999999999"/>
    <n v="7.0999999999999994E-2"/>
    <n v="10809.611137756234"/>
    <n v="10918.178702055287"/>
    <n v="10987.232255999998"/>
    <n v="10067.411530466563"/>
    <n v="10067.411530466563"/>
    <n v="7917.0679999999993"/>
    <n v="8715.0006906803719"/>
    <n v="0.60917257180829054"/>
    <s v="CNAT - deadpitch ages"/>
  </r>
  <r>
    <x v="0"/>
    <s v="2010s"/>
    <x v="31"/>
    <x v="32"/>
    <x v="33"/>
    <n v="187365"/>
    <n v="185796"/>
    <n v="146111"/>
    <n v="111508"/>
    <n v="0.76317320393399535"/>
    <n v="152248.04419374978"/>
    <n v="141794.52859812061"/>
    <n v="0.7679999999999999"/>
    <n v="142691.32799999998"/>
    <n v="0.52415552541497124"/>
    <n v="11238.488601132016"/>
    <n v="9.1558534416831941E-2"/>
    <n v="122746.48860113202"/>
    <n v="20245.458753961007"/>
    <x v="3"/>
    <n v="4.0000000000000009"/>
    <x v="1"/>
    <n v="3.1E-2"/>
    <n v="5759.6760000000004"/>
    <n v="4.2999999999999997E-2"/>
    <n v="6546.6659003312398"/>
    <n v="4395.6303865417385"/>
    <n v="4423.4311679999992"/>
    <n v="6097.1647297191857"/>
    <n v="6097.1647297191857"/>
    <n v="4794.8440000000001"/>
    <n v="5278.0990098486764"/>
    <n v="0.9163881804894366"/>
    <s v="CNAT - deadpitch ages"/>
  </r>
  <r>
    <x v="0"/>
    <s v="2000s"/>
    <x v="31"/>
    <x v="31"/>
    <x v="32"/>
    <n v="187365"/>
    <n v="185796"/>
    <n v="146111"/>
    <n v="111508"/>
    <n v="0.76317320393399535"/>
    <n v="152248.04419374978"/>
    <n v="141794.52859812061"/>
    <n v="0.7679999999999999"/>
    <n v="142691.32799999998"/>
    <n v="0.52415552541497124"/>
    <n v="11238.488601132016"/>
    <n v="9.1558534416831941E-2"/>
    <n v="122746.48860113202"/>
    <n v="20245.458753961007"/>
    <x v="4"/>
    <n v="5.0000000000000018"/>
    <x v="1"/>
    <n v="3.6999999999999998E-2"/>
    <n v="6874.4519999999993"/>
    <n v="0.04"/>
    <n v="6089.921767749991"/>
    <n v="5246.3975581304621"/>
    <n v="5279.5791359999994"/>
    <n v="5671.7811439248244"/>
    <n v="5671.7811439248244"/>
    <n v="4460.32"/>
    <n v="4909.8595440452809"/>
    <n v="0.71421831791760004"/>
    <s v="CNAT - deadpitch ages"/>
  </r>
  <r>
    <x v="0"/>
    <s v="2000s"/>
    <x v="31"/>
    <x v="30"/>
    <x v="31"/>
    <n v="187365"/>
    <n v="185796"/>
    <n v="146111"/>
    <n v="111508"/>
    <n v="0.76317320393399535"/>
    <n v="152248.04419374978"/>
    <n v="141794.52859812061"/>
    <n v="0.7679999999999999"/>
    <n v="142691.32799999998"/>
    <n v="0.52415552541497124"/>
    <n v="11238.488601132016"/>
    <n v="9.1558534416831941E-2"/>
    <n v="122746.48860113202"/>
    <n v="20245.458753961007"/>
    <x v="5"/>
    <n v="5.9999999999999982"/>
    <x v="1"/>
    <n v="2E-3"/>
    <n v="371.59199999999998"/>
    <n v="0"/>
    <n v="0"/>
    <n v="283.58905719624124"/>
    <n v="285.38265599999994"/>
    <n v="0"/>
    <n v="0"/>
    <n v="0"/>
    <n v="0"/>
    <n v="0"/>
    <m/>
  </r>
  <r>
    <x v="0"/>
    <s v="2010s"/>
    <x v="32"/>
    <x v="34"/>
    <x v="34"/>
    <n v="521159"/>
    <n v="515673"/>
    <n v="410620"/>
    <n v="326107"/>
    <n v="0.79418196873021285"/>
    <n v="431531.57140277157"/>
    <n v="409538.19836101506"/>
    <n v="0.82400000000000007"/>
    <n v="424914.55200000003"/>
    <n v="0.58187262082753999"/>
    <n v="40378.593836150212"/>
    <n v="0.1101778474113851"/>
    <n v="366485.59383615019"/>
    <n v="47409.486805318797"/>
    <x v="0"/>
    <n v="3.0000000000000009"/>
    <x v="0"/>
    <n v="1.7000000000000001E-2"/>
    <n v="8766.4410000000007"/>
    <n v="3.0000000000000001E-3"/>
    <n v="1294.5947142083148"/>
    <n v="6962.1493721372563"/>
    <n v="7223.5473840000013"/>
    <n v="1228.6145950830453"/>
    <n v="1228.6145950830453"/>
    <n v="978.32100000000003"/>
    <n v="1099.4567815084506"/>
    <n v="0.12541654948780817"/>
    <s v="CNAT - deadpitch ages"/>
  </r>
  <r>
    <x v="0"/>
    <s v="2010s"/>
    <x v="32"/>
    <x v="33"/>
    <x v="33"/>
    <n v="521159"/>
    <n v="515673"/>
    <n v="410620"/>
    <n v="326107"/>
    <n v="0.79418196873021285"/>
    <n v="431531.57140277157"/>
    <n v="409538.19836101506"/>
    <n v="0.82400000000000007"/>
    <n v="424914.55200000003"/>
    <n v="0.58187262082753999"/>
    <n v="40378.593836150212"/>
    <n v="0.1101778474113851"/>
    <n v="366485.59383615019"/>
    <n v="47409.486805318797"/>
    <x v="1"/>
    <n v="3.9999999999999996"/>
    <x v="0"/>
    <n v="0.96"/>
    <n v="495046.07999999996"/>
    <n v="0.97099999999999997"/>
    <n v="419017.15583209117"/>
    <n v="393156.67042657442"/>
    <n v="407917.96992"/>
    <n v="397661.59060854564"/>
    <n v="397661.59060854564"/>
    <n v="316649.897"/>
    <n v="355857.51161490183"/>
    <n v="0.71883714666501719"/>
    <s v="CNAT - deadpitch ages"/>
  </r>
  <r>
    <x v="0"/>
    <s v="2000s"/>
    <x v="32"/>
    <x v="32"/>
    <x v="32"/>
    <n v="521159"/>
    <n v="515673"/>
    <n v="410620"/>
    <n v="326107"/>
    <n v="0.79418196873021285"/>
    <n v="431531.57140277157"/>
    <n v="409538.19836101506"/>
    <n v="0.82400000000000007"/>
    <n v="424914.55200000003"/>
    <n v="0.58187262082753999"/>
    <n v="40378.593836150212"/>
    <n v="0.1101778474113851"/>
    <n v="366485.59383615019"/>
    <n v="47409.486805318797"/>
    <x v="2"/>
    <n v="5"/>
    <x v="0"/>
    <n v="1.7000000000000001E-2"/>
    <n v="8766.4410000000007"/>
    <n v="7.0000000000000001E-3"/>
    <n v="3020.7209998194012"/>
    <n v="6962.1493721372563"/>
    <n v="7223.5473840000013"/>
    <n v="2866.7673885271056"/>
    <n v="2866.7673885271056"/>
    <n v="2282.7490000000003"/>
    <n v="2565.3991568530514"/>
    <n v="0.2926386154715524"/>
    <s v="CNAT - deadpitch ages"/>
  </r>
  <r>
    <x v="0"/>
    <s v="2010s"/>
    <x v="32"/>
    <x v="33"/>
    <x v="34"/>
    <n v="521159"/>
    <n v="515673"/>
    <n v="410620"/>
    <n v="326107"/>
    <n v="0.79418196873021285"/>
    <n v="431531.57140277157"/>
    <n v="409538.19836101506"/>
    <n v="0.82400000000000007"/>
    <n v="424914.55200000003"/>
    <n v="0.58187262082753999"/>
    <n v="40378.593836150212"/>
    <n v="0.1101778474113851"/>
    <n v="366485.59383615019"/>
    <n v="47409.486805318797"/>
    <x v="3"/>
    <n v="4.0000000000000009"/>
    <x v="1"/>
    <n v="1E-3"/>
    <n v="515.673"/>
    <n v="7.0000000000000001E-3"/>
    <n v="3020.7209998194012"/>
    <n v="409.53819836101508"/>
    <n v="424.91455200000001"/>
    <n v="2866.7673885271056"/>
    <n v="2866.7673885271056"/>
    <n v="2282.7490000000003"/>
    <n v="2565.3991568530514"/>
    <n v="4.9748564630163914"/>
    <s v="CNAT - deadpitch ages"/>
  </r>
  <r>
    <x v="0"/>
    <s v="2010s"/>
    <x v="32"/>
    <x v="32"/>
    <x v="33"/>
    <n v="521159"/>
    <n v="515673"/>
    <n v="410620"/>
    <n v="326107"/>
    <n v="0.79418196873021285"/>
    <n v="431531.57140277157"/>
    <n v="409538.19836101506"/>
    <n v="0.82400000000000007"/>
    <n v="424914.55200000003"/>
    <n v="0.58187262082753999"/>
    <n v="40378.593836150212"/>
    <n v="0.1101778474113851"/>
    <n v="366485.59383615019"/>
    <n v="47409.486805318797"/>
    <x v="4"/>
    <n v="5.0000000000000018"/>
    <x v="1"/>
    <n v="6.0000000000000001E-3"/>
    <n v="3094.038"/>
    <n v="1.2E-2"/>
    <n v="5178.3788568332593"/>
    <n v="2457.2291901660906"/>
    <n v="2549.4873120000002"/>
    <n v="4914.4583803321812"/>
    <n v="4914.4583803321812"/>
    <n v="3913.2840000000001"/>
    <n v="4397.8271260338024"/>
    <n v="1.421387560861826"/>
    <s v="CNAT - deadpitch ages"/>
  </r>
  <r>
    <x v="0"/>
    <s v="2010s"/>
    <x v="33"/>
    <x v="35"/>
    <x v="35"/>
    <n v="186191"/>
    <n v="185505"/>
    <n v="159219"/>
    <n v="129993"/>
    <n v="0.81644150509675351"/>
    <n v="165847.31788638109"/>
    <n v="151453.98140297327"/>
    <n v="0.72"/>
    <n v="133563.6"/>
    <n v="0.60941214522519604"/>
    <n v="7155.2933506679474"/>
    <n v="5.2171945970723221E-2"/>
    <n v="137148.29335066795"/>
    <n v="14865.76692480169"/>
    <x v="0"/>
    <n v="3.0000000000000009"/>
    <x v="0"/>
    <n v="0.23499999999999999"/>
    <n v="43593.674999999996"/>
    <n v="0.17100000000000001"/>
    <n v="38974.119703299555"/>
    <n v="35591.685629698717"/>
    <n v="31387.446"/>
    <n v="25898.630819908431"/>
    <n v="25898.630819908431"/>
    <n v="22228.803"/>
    <n v="23452.358162964221"/>
    <n v="0.53797616656462721"/>
    <s v="Using Fryer, since SIRE age comp does not add up to 100%"/>
  </r>
  <r>
    <x v="0"/>
    <s v="2010s"/>
    <x v="33"/>
    <x v="34"/>
    <x v="34"/>
    <n v="186191"/>
    <n v="185505"/>
    <n v="159219"/>
    <n v="129993"/>
    <n v="0.81644150509675351"/>
    <n v="165847.31788638109"/>
    <n v="151453.98140297327"/>
    <n v="0.72"/>
    <n v="133563.6"/>
    <n v="0.60941214522519604"/>
    <n v="7155.2933506679474"/>
    <n v="5.2171945970723221E-2"/>
    <n v="137148.29335066795"/>
    <n v="14865.76692480169"/>
    <x v="1"/>
    <n v="3.9999999999999996"/>
    <x v="0"/>
    <n v="0.63400000000000001"/>
    <n v="117610.17"/>
    <n v="0.57299999999999995"/>
    <n v="105147.19953996562"/>
    <n v="96021.824209485058"/>
    <n v="84679.322400000005"/>
    <n v="86783.131343903675"/>
    <n v="86783.131343903675"/>
    <n v="74485.988999999987"/>
    <n v="78585.972089932737"/>
    <n v="0.66819027716678525"/>
    <s v="Using Fryer, since SIRE age comp does not add up to 100%"/>
  </r>
  <r>
    <x v="0"/>
    <s v="2010s"/>
    <x v="33"/>
    <x v="33"/>
    <x v="33"/>
    <n v="186191"/>
    <n v="185505"/>
    <n v="159219"/>
    <n v="129993"/>
    <n v="0.81644150509675351"/>
    <n v="165847.31788638109"/>
    <n v="151453.98140297327"/>
    <n v="0.72"/>
    <n v="133563.6"/>
    <n v="0.60941214522519604"/>
    <n v="7155.2933506679474"/>
    <n v="5.2171945970723221E-2"/>
    <n v="137148.29335066795"/>
    <n v="14865.76692480169"/>
    <x v="2"/>
    <n v="5"/>
    <x v="0"/>
    <n v="8.1000000000000003E-2"/>
    <n v="15025.905000000001"/>
    <n v="2.4E-2"/>
    <n v="13433.632748796868"/>
    <n v="12267.772493640836"/>
    <n v="10818.651600000001"/>
    <n v="3634.8955536713584"/>
    <n v="3634.8955536713584"/>
    <n v="3119.8319999999999"/>
    <n v="3291.5590404160312"/>
    <n v="0.21905895454656682"/>
    <s v="Using Fryer, since SIRE age comp does not add up to 100%"/>
  </r>
  <r>
    <x v="0"/>
    <s v="2010s"/>
    <x v="33"/>
    <x v="34"/>
    <x v="35"/>
    <n v="186191"/>
    <n v="185505"/>
    <n v="159219"/>
    <n v="129993"/>
    <n v="0.81644150509675351"/>
    <n v="165847.31788638109"/>
    <n v="151453.98140297327"/>
    <n v="0.72"/>
    <n v="133563.6"/>
    <n v="0.60941214522519604"/>
    <n v="7155.2933506679474"/>
    <n v="5.2171945970723221E-2"/>
    <n v="137148.29335066795"/>
    <n v="14865.76692480169"/>
    <x v="3"/>
    <n v="4.0000000000000009"/>
    <x v="1"/>
    <n v="0"/>
    <n v="0"/>
    <n v="1.2E-2"/>
    <n v="0"/>
    <n v="0"/>
    <n v="0"/>
    <n v="1817.4477768356792"/>
    <n v="1817.4477768356792"/>
    <n v="1559.9159999999999"/>
    <n v="1645.7795202080156"/>
    <n v="0"/>
    <s v="Using Fryer, since SIRE age comp does not add up to 100%"/>
  </r>
  <r>
    <x v="0"/>
    <s v="2010s"/>
    <x v="33"/>
    <x v="33"/>
    <x v="34"/>
    <n v="186191"/>
    <n v="185505"/>
    <n v="159219"/>
    <n v="129993"/>
    <n v="0.81644150509675351"/>
    <n v="165847.31788638109"/>
    <n v="151453.98140297327"/>
    <n v="0.72"/>
    <n v="133563.6"/>
    <n v="0.60941214522519604"/>
    <n v="7155.2933506679474"/>
    <n v="5.2171945970723221E-2"/>
    <n v="137148.29335066795"/>
    <n v="14865.76692480169"/>
    <x v="4"/>
    <n v="5.0000000000000018"/>
    <x v="1"/>
    <n v="0.05"/>
    <n v="9275.25"/>
    <n v="0.11"/>
    <n v="8292.3658943190549"/>
    <n v="7572.6990701486638"/>
    <n v="6678.18"/>
    <n v="16659.937954327059"/>
    <n v="16659.937954327059"/>
    <n v="14299.23"/>
    <n v="15086.312268573474"/>
    <n v="1.6265127375082584"/>
    <s v="Using Fryer, since SIRE age comp does not add up to 100%"/>
  </r>
  <r>
    <x v="0"/>
    <s v="2010s"/>
    <x v="34"/>
    <x v="36"/>
    <x v="36"/>
    <n v="651146"/>
    <n v="614179"/>
    <n v="581121"/>
    <n v="490804"/>
    <n v="0.84458142108097967"/>
    <n v="593094.14781643241"/>
    <n v="518724.17261809501"/>
    <n v="0.81100000000000017"/>
    <n v="498099.16900000011"/>
    <n v="0.72139881044451215"/>
    <n v="27398.221299866982"/>
    <n v="5.2871678610602699E-2"/>
    <n v="518202.22129986697"/>
    <n v="31743.592711328587"/>
    <x v="0"/>
    <n v="3.0000000000000009"/>
    <x v="0"/>
    <n v="0.17499999999999999"/>
    <n v="107481.325"/>
    <n v="8.2199999999999995E-2"/>
    <n v="48752.338950510741"/>
    <n v="90776.730208166628"/>
    <n v="87167.354575000019"/>
    <n v="42639.126989207405"/>
    <n v="42639.126989207405"/>
    <n v="40344.088799999998"/>
    <n v="42596.222590849065"/>
    <n v="0.39631277890227967"/>
    <s v="CNAT - deadpitch ages"/>
  </r>
  <r>
    <x v="0"/>
    <s v="2010s"/>
    <x v="34"/>
    <x v="35"/>
    <x v="35"/>
    <n v="651146"/>
    <n v="614179"/>
    <n v="581121"/>
    <n v="490804"/>
    <n v="0.84458142108097967"/>
    <n v="593094.14781643241"/>
    <n v="518724.17261809501"/>
    <n v="0.81100000000000017"/>
    <n v="498099.16900000011"/>
    <n v="0.72139881044451215"/>
    <n v="27398.221299866982"/>
    <n v="5.2871678610602699E-2"/>
    <n v="518202.22129986697"/>
    <n v="31743.592711328587"/>
    <x v="1"/>
    <n v="3.9999999999999996"/>
    <x v="0"/>
    <n v="0.81899999999999995"/>
    <n v="503012.60099999997"/>
    <n v="0.88400000000000001"/>
    <n v="524295.22666972619"/>
    <n v="424835.0973742198"/>
    <n v="407943.21941100009"/>
    <n v="458552.16859439597"/>
    <n v="458552.16859439597"/>
    <n v="433870.73599999998"/>
    <n v="458090.76362908242"/>
    <n v="0.91069440948077252"/>
    <s v="CNAT - deadpitch ages"/>
  </r>
  <r>
    <x v="0"/>
    <s v="2010s"/>
    <x v="34"/>
    <x v="34"/>
    <x v="34"/>
    <n v="651146"/>
    <n v="614179"/>
    <n v="581121"/>
    <n v="490804"/>
    <n v="0.84458142108097967"/>
    <n v="593094.14781643241"/>
    <n v="518724.17261809501"/>
    <n v="0.81100000000000017"/>
    <n v="498099.16900000011"/>
    <n v="0.72139881044451215"/>
    <n v="27398.221299866982"/>
    <n v="5.2871678610602699E-2"/>
    <n v="518202.22129986697"/>
    <n v="31743.592711328587"/>
    <x v="2"/>
    <n v="5"/>
    <x v="0"/>
    <n v="1E-3"/>
    <n v="614.17899999999997"/>
    <n v="0.03"/>
    <n v="17792.82443449297"/>
    <n v="518.72417261809505"/>
    <n v="498.09916900000013"/>
    <n v="15561.725178542849"/>
    <n v="15561.725178542849"/>
    <n v="14724.119999999999"/>
    <n v="15546.066638996008"/>
    <n v="25.311947557627352"/>
    <s v="CNAT - deadpitch ages"/>
  </r>
  <r>
    <x v="0"/>
    <s v="2010s"/>
    <x v="34"/>
    <x v="35"/>
    <x v="36"/>
    <n v="651146"/>
    <n v="614179"/>
    <n v="581121"/>
    <n v="490804"/>
    <n v="0.84458142108097967"/>
    <n v="593094.14781643241"/>
    <n v="518724.17261809501"/>
    <n v="0.81100000000000017"/>
    <n v="498099.16900000011"/>
    <n v="0.72139881044451215"/>
    <n v="27398.221299866982"/>
    <n v="5.2871678610602699E-2"/>
    <n v="518202.22129986697"/>
    <n v="31743.592711328587"/>
    <x v="3"/>
    <n v="4.0000000000000009"/>
    <x v="1"/>
    <n v="1E-3"/>
    <n v="614.17899999999997"/>
    <n v="0"/>
    <n v="0"/>
    <n v="518.72417261809505"/>
    <n v="498.09916900000013"/>
    <n v="0"/>
    <n v="0"/>
    <n v="0"/>
    <n v="0"/>
    <n v="0"/>
    <s v="CNAT - deadpitch ages"/>
  </r>
  <r>
    <x v="0"/>
    <s v="2010s"/>
    <x v="34"/>
    <x v="34"/>
    <x v="35"/>
    <n v="651146"/>
    <n v="614179"/>
    <n v="581121"/>
    <n v="490804"/>
    <n v="0.84458142108097967"/>
    <n v="593094.14781643241"/>
    <n v="518724.17261809501"/>
    <n v="0.81100000000000017"/>
    <n v="498099.16900000011"/>
    <n v="0.72139881044451215"/>
    <n v="27398.221299866982"/>
    <n v="5.2871678610602699E-2"/>
    <n v="518202.22129986697"/>
    <n v="31743.592711328587"/>
    <x v="4"/>
    <n v="5.0000000000000018"/>
    <x v="1"/>
    <n v="4.0000000000000001E-3"/>
    <n v="2456.7159999999999"/>
    <n v="4.0000000000000001E-3"/>
    <n v="2372.3765912657295"/>
    <n v="2074.8966904723802"/>
    <n v="1992.3966760000005"/>
    <n v="2074.8966904723802"/>
    <n v="2074.8966904723802"/>
    <n v="1963.2160000000001"/>
    <n v="2072.808885199468"/>
    <n v="0.84373158525424519"/>
    <s v="CNAT - deadpitch ages"/>
  </r>
  <r>
    <x v="0"/>
    <s v="2010s"/>
    <x v="35"/>
    <x v="37"/>
    <x v="37"/>
    <n v="512455"/>
    <n v="510706"/>
    <n v="264678"/>
    <n v="187055"/>
    <n v="0.70672666409750717"/>
    <n v="315034.60114804999"/>
    <n v="360929.54771458148"/>
    <n v="0.78400000000000003"/>
    <n v="400393.50400000002"/>
    <n v="0.30770932787161304"/>
    <n v="22362.24510537332"/>
    <n v="0.10678320734341253"/>
    <n v="209417.24510537332"/>
    <n v="152748.36754471471"/>
    <x v="0"/>
    <n v="3.0000000000000009"/>
    <x v="0"/>
    <n v="1E-3"/>
    <n v="510.70600000000002"/>
    <n v="2E-3"/>
    <n v="315.03460114805"/>
    <n v="360.92954771458147"/>
    <n v="400.39350400000001"/>
    <n v="721.85909542916295"/>
    <n v="721.85909542916295"/>
    <n v="374.11"/>
    <n v="418.83449021074665"/>
    <n v="0.82010881056957752"/>
    <s v="NB: 2015 was DEATH year for Columbia sox because of high temps"/>
  </r>
  <r>
    <x v="0"/>
    <s v="2010s"/>
    <x v="35"/>
    <x v="36"/>
    <x v="36"/>
    <n v="512455"/>
    <n v="510706"/>
    <n v="264678"/>
    <n v="187055"/>
    <n v="0.70672666409750717"/>
    <n v="315034.60114804999"/>
    <n v="360929.54771458148"/>
    <n v="0.78400000000000003"/>
    <n v="400393.50400000002"/>
    <n v="0.30770932787161304"/>
    <n v="22362.24510537332"/>
    <n v="0.10678320734341253"/>
    <n v="209417.24510537332"/>
    <n v="152748.36754471471"/>
    <x v="1"/>
    <n v="3.9999999999999996"/>
    <x v="0"/>
    <n v="0.97499999999999998"/>
    <n v="497938.35"/>
    <n v="0.94699999999999995"/>
    <n v="307158.73611934873"/>
    <n v="351906.30902171694"/>
    <n v="390383.66639999999"/>
    <n v="341800.28168570867"/>
    <n v="341800.28168570867"/>
    <n v="177141.08499999999"/>
    <n v="198318.13111478853"/>
    <n v="0.39827848390225123"/>
    <s v="mortalities between BON and Wells unknown"/>
  </r>
  <r>
    <x v="0"/>
    <s v="2010s"/>
    <x v="35"/>
    <x v="35"/>
    <x v="35"/>
    <n v="512455"/>
    <n v="510706"/>
    <n v="264678"/>
    <n v="187055"/>
    <n v="0.70672666409750717"/>
    <n v="315034.60114804999"/>
    <n v="360929.54771458148"/>
    <n v="0.78400000000000003"/>
    <n v="400393.50400000002"/>
    <n v="0.30770932787161304"/>
    <n v="22362.24510537332"/>
    <n v="0.10678320734341253"/>
    <n v="209417.24510537332"/>
    <n v="152748.36754471471"/>
    <x v="2"/>
    <n v="5"/>
    <x v="0"/>
    <n v="1E-3"/>
    <n v="510.70600000000002"/>
    <n v="0.03"/>
    <n v="315.03460114805"/>
    <n v="360.92954771458147"/>
    <n v="400.39350400000001"/>
    <n v="10827.886431437444"/>
    <n v="10827.886431437444"/>
    <n v="5611.65"/>
    <n v="6282.5173531611999"/>
    <n v="12.301632158543663"/>
    <m/>
  </r>
  <r>
    <x v="0"/>
    <s v="2010s"/>
    <x v="35"/>
    <x v="36"/>
    <x v="37"/>
    <n v="512455"/>
    <n v="510706"/>
    <n v="264678"/>
    <n v="187055"/>
    <n v="0.70672666409750717"/>
    <n v="315034.60114804999"/>
    <n v="360929.54771458148"/>
    <n v="0.78400000000000003"/>
    <n v="400393.50400000002"/>
    <n v="0.30770932787161304"/>
    <n v="22362.24510537332"/>
    <n v="0.10678320734341253"/>
    <n v="209417.24510537332"/>
    <n v="152748.36754471471"/>
    <x v="3"/>
    <n v="4.0000000000000009"/>
    <x v="1"/>
    <n v="0"/>
    <n v="0"/>
    <n v="3.0000000000000001E-3"/>
    <n v="0"/>
    <n v="0"/>
    <n v="0"/>
    <n v="1082.7886431437444"/>
    <n v="1082.7886431437444"/>
    <n v="561.16499999999996"/>
    <n v="628.25173531611995"/>
    <n v="0"/>
    <s v="~10% of Ok Sox returned to spawning grounds"/>
  </r>
  <r>
    <x v="0"/>
    <s v="2010s"/>
    <x v="35"/>
    <x v="35"/>
    <x v="36"/>
    <n v="512455"/>
    <n v="510706"/>
    <n v="264678"/>
    <n v="187055"/>
    <n v="0.70672666409750717"/>
    <n v="315034.60114804999"/>
    <n v="360929.54771458148"/>
    <n v="0.78400000000000003"/>
    <n v="400393.50400000002"/>
    <n v="0.30770932787161304"/>
    <n v="22362.24510537332"/>
    <n v="0.10678320734341253"/>
    <n v="209417.24510537332"/>
    <n v="152748.36754471471"/>
    <x v="4"/>
    <n v="5.0000000000000018"/>
    <x v="1"/>
    <n v="2.1999999999999999E-2"/>
    <n v="11235.531999999999"/>
    <n v="1E-3"/>
    <n v="6930.7612252570989"/>
    <n v="7940.4500497207919"/>
    <n v="8808.6570879999999"/>
    <n v="360.92954771458147"/>
    <n v="360.92954771458147"/>
    <n v="187.05500000000001"/>
    <n v="209.41724510537333"/>
    <n v="1.8638836603854035E-2"/>
    <s v="* sample sizes for ages extremely small - use Fryer age comp"/>
  </r>
  <r>
    <x v="0"/>
    <s v="2010s"/>
    <x v="36"/>
    <x v="38"/>
    <x v="38"/>
    <n v="356606"/>
    <n v="342498"/>
    <n v="310341"/>
    <n v="216036"/>
    <n v="0.69612458553655499"/>
    <n v="276403.91273155314"/>
    <n v="238421.27829709902"/>
    <n v="0.70099999999999996"/>
    <n v="240091.098"/>
    <n v="0.53644108870708729"/>
    <n v="12446.707589393603"/>
    <n v="5.4475490599321802E-2"/>
    <n v="228482.7075893936"/>
    <n v="19759.496360455116"/>
    <x v="0"/>
    <n v="3.0000000000000009"/>
    <x v="0"/>
    <n v="8.9999999999999993E-3"/>
    <n v="3082.482"/>
    <n v="0.01"/>
    <n v="2764.0391273155315"/>
    <n v="2145.7915046738913"/>
    <n v="2160.8198819999998"/>
    <n v="2384.2127829709902"/>
    <n v="2384.2127829709902"/>
    <n v="2160.36"/>
    <n v="2284.8270758939361"/>
    <n v="0.74122965710551958"/>
    <m/>
  </r>
  <r>
    <x v="0"/>
    <s v="2010s"/>
    <x v="36"/>
    <x v="37"/>
    <x v="37"/>
    <n v="356606"/>
    <n v="342498"/>
    <n v="310341"/>
    <n v="216036"/>
    <n v="0.69612458553655499"/>
    <n v="276403.91273155314"/>
    <n v="238421.27829709902"/>
    <n v="0.70099999999999996"/>
    <n v="240091.098"/>
    <n v="0.53644108870708729"/>
    <n v="12446.707589393603"/>
    <n v="5.4475490599321802E-2"/>
    <n v="228482.7075893936"/>
    <n v="19759.496360455116"/>
    <x v="1"/>
    <n v="3.9999999999999996"/>
    <x v="0"/>
    <n v="0.96"/>
    <n v="328798.08000000002"/>
    <n v="0.95699999999999996"/>
    <n v="264518.54448409635"/>
    <n v="228884.42716521505"/>
    <n v="230487.45408"/>
    <n v="228169.16333032376"/>
    <n v="228169.16333032376"/>
    <n v="206746.45199999999"/>
    <n v="218657.95116304967"/>
    <n v="0.66502198298435822"/>
    <s v="presuming SIRE age comp from Sp Grds in 2016"/>
  </r>
  <r>
    <x v="0"/>
    <s v="2010s"/>
    <x v="36"/>
    <x v="36"/>
    <x v="36"/>
    <n v="356606"/>
    <n v="342498"/>
    <n v="310341"/>
    <n v="216036"/>
    <n v="0.69612458553655499"/>
    <n v="276403.91273155314"/>
    <n v="238421.27829709902"/>
    <n v="0.70099999999999996"/>
    <n v="240091.098"/>
    <n v="0.53644108870708729"/>
    <n v="12446.707589393603"/>
    <n v="5.4475490599321802E-2"/>
    <n v="228482.7075893936"/>
    <n v="19759.496360455116"/>
    <x v="2"/>
    <n v="5"/>
    <x v="0"/>
    <n v="7.0000000000000001E-3"/>
    <n v="2397.4859999999999"/>
    <n v="2.5000000000000001E-2"/>
    <n v="6910.0978182888284"/>
    <n v="1668.9489480796931"/>
    <n v="1680.637686"/>
    <n v="5960.5319574274763"/>
    <n v="5960.5319574274763"/>
    <n v="5400.9000000000005"/>
    <n v="5712.0676897348403"/>
    <n v="2.3825238978391701"/>
    <m/>
  </r>
  <r>
    <x v="0"/>
    <s v="2010s"/>
    <x v="36"/>
    <x v="37"/>
    <x v="38"/>
    <n v="356606"/>
    <n v="342498"/>
    <n v="310341"/>
    <n v="216036"/>
    <n v="0.69612458553655499"/>
    <n v="276403.91273155314"/>
    <n v="238421.27829709902"/>
    <n v="0.70099999999999996"/>
    <n v="240091.098"/>
    <n v="0.53644108870708729"/>
    <n v="12446.707589393603"/>
    <n v="5.4475490599321802E-2"/>
    <n v="228482.7075893936"/>
    <n v="19759.496360455116"/>
    <x v="3"/>
    <n v="4.0000000000000009"/>
    <x v="1"/>
    <n v="0"/>
    <n v="0"/>
    <n v="3.0000000000000001E-3"/>
    <n v="829.21173819465946"/>
    <n v="0"/>
    <n v="0"/>
    <n v="715.26383489129705"/>
    <n v="715.26383489129705"/>
    <n v="648.10800000000006"/>
    <n v="685.44812276818084"/>
    <n v="0"/>
    <m/>
  </r>
  <r>
    <x v="0"/>
    <s v="2010s"/>
    <x v="36"/>
    <x v="36"/>
    <x v="37"/>
    <n v="356606"/>
    <n v="342498"/>
    <n v="310341"/>
    <n v="216036"/>
    <n v="0.69612458553655499"/>
    <n v="276403.91273155314"/>
    <n v="238421.27829709902"/>
    <n v="0.70099999999999996"/>
    <n v="240091.098"/>
    <n v="0.53644108870708729"/>
    <n v="12446.707589393603"/>
    <n v="5.4475490599321802E-2"/>
    <n v="228482.7075893936"/>
    <n v="19759.496360455116"/>
    <x v="4"/>
    <n v="5.0000000000000018"/>
    <x v="1"/>
    <n v="2.4E-2"/>
    <n v="8219.9519999999993"/>
    <n v="5.0000000000000001E-3"/>
    <n v="1382.0195636577657"/>
    <n v="5722.1106791303764"/>
    <n v="5762.1863519999997"/>
    <n v="1192.1063914854951"/>
    <n v="1192.1063914854951"/>
    <n v="1080.18"/>
    <n v="1142.4135379469681"/>
    <n v="0.13898056070728493"/>
    <m/>
  </r>
  <r>
    <x v="0"/>
    <s v="2010s"/>
    <x v="37"/>
    <x v="39"/>
    <x v="39"/>
    <n v="88263"/>
    <n v="87693"/>
    <n v="73218"/>
    <n v="42299"/>
    <n v="0.57771313065093288"/>
    <n v="55256.548993682518"/>
    <n v="50661.397566172258"/>
    <n v="0.59199999999999997"/>
    <n v="51914.255999999994"/>
    <n v="0.41873353631418697"/>
    <n v="2835.9937583654296"/>
    <n v="6.2833591460058624E-2"/>
    <n v="45134.993758365432"/>
    <n v="5855.7002922778556"/>
    <x v="0"/>
    <n v="3.0000000000000009"/>
    <x v="0"/>
    <n v="0.19"/>
    <n v="16661.670000000002"/>
    <n v="3.7999999999999999E-2"/>
    <n v="2099.7488617599356"/>
    <n v="9625.6655375727296"/>
    <n v="9863.7086399999989"/>
    <n v="1925.1331075145458"/>
    <n v="1925.1331075145458"/>
    <n v="1607.3619999999999"/>
    <n v="1715.1297628178863"/>
    <n v="0.10293864677537642"/>
    <s v="presuming SIRE age comp from Sp Grds in 2017"/>
  </r>
  <r>
    <x v="0"/>
    <s v="2010s"/>
    <x v="37"/>
    <x v="38"/>
    <x v="38"/>
    <n v="88263"/>
    <n v="87693"/>
    <n v="73218"/>
    <n v="42299"/>
    <n v="0.57771313065093288"/>
    <n v="55256.548993682518"/>
    <n v="50661.397566172258"/>
    <n v="0.59199999999999997"/>
    <n v="51914.255999999994"/>
    <n v="0.41873353631418697"/>
    <n v="2835.9937583654296"/>
    <n v="6.2833591460058624E-2"/>
    <n v="45134.993758365432"/>
    <n v="5855.7002922778556"/>
    <x v="1"/>
    <n v="3.9999999999999996"/>
    <x v="0"/>
    <n v="0.52700000000000002"/>
    <n v="46214.211000000003"/>
    <n v="0.75900000000000001"/>
    <n v="41939.72068620503"/>
    <n v="26698.556517372781"/>
    <n v="27358.812911999998"/>
    <n v="38452.000752724744"/>
    <n v="38452.000752724744"/>
    <n v="32104.940999999999"/>
    <n v="34257.460262599365"/>
    <n v="0.7412754544830239"/>
    <m/>
  </r>
  <r>
    <x v="0"/>
    <s v="2010s"/>
    <x v="37"/>
    <x v="37"/>
    <x v="37"/>
    <n v="88263"/>
    <n v="87693"/>
    <n v="73218"/>
    <n v="42299"/>
    <n v="0.57771313065093288"/>
    <n v="55256.548993682518"/>
    <n v="50661.397566172258"/>
    <n v="0.59199999999999997"/>
    <n v="51914.255999999994"/>
    <n v="0.41873353631418697"/>
    <n v="2835.9937583654296"/>
    <n v="6.2833591460058624E-2"/>
    <n v="45134.993758365432"/>
    <n v="5855.7002922778556"/>
    <x v="2"/>
    <n v="5"/>
    <x v="0"/>
    <n v="0.221"/>
    <n v="19380.152999999998"/>
    <n v="0.18099999999999999"/>
    <n v="10001.435367856535"/>
    <n v="11196.168862124068"/>
    <n v="11473.050576"/>
    <n v="9169.7129594771777"/>
    <n v="9169.7129594771777"/>
    <n v="7656.1189999999997"/>
    <n v="8169.4338702641426"/>
    <n v="0.42153608747382659"/>
    <m/>
  </r>
  <r>
    <x v="0"/>
    <s v="2010s"/>
    <x v="37"/>
    <x v="38"/>
    <x v="39"/>
    <n v="88263"/>
    <n v="87693"/>
    <n v="73218"/>
    <n v="42299"/>
    <n v="0.57771313065093288"/>
    <n v="55256.548993682518"/>
    <n v="50661.397566172258"/>
    <n v="0.59199999999999997"/>
    <n v="51914.255999999994"/>
    <n v="0.41873353631418697"/>
    <n v="2835.9937583654296"/>
    <n v="6.2833591460058624E-2"/>
    <n v="45134.993758365432"/>
    <n v="5855.7002922778556"/>
    <x v="3"/>
    <n v="4.0000000000000009"/>
    <x v="1"/>
    <n v="3.5999999999999997E-2"/>
    <n v="3156.9479999999999"/>
    <n v="1.4999999999999999E-2"/>
    <n v="828.84823490523775"/>
    <n v="1823.8103123822011"/>
    <n v="1868.9132159999997"/>
    <n v="759.92096349258384"/>
    <n v="759.92096349258384"/>
    <n v="634.48500000000001"/>
    <n v="677.02490637548146"/>
    <n v="0.21445551411536759"/>
    <m/>
  </r>
  <r>
    <x v="0"/>
    <s v="2010s"/>
    <x v="37"/>
    <x v="37"/>
    <x v="38"/>
    <n v="88263"/>
    <n v="87693"/>
    <n v="73218"/>
    <n v="42299"/>
    <n v="0.57771313065093288"/>
    <n v="55256.548993682518"/>
    <n v="50661.397566172258"/>
    <n v="0.59199999999999997"/>
    <n v="51914.255999999994"/>
    <n v="0.41873353631418697"/>
    <n v="2835.9937583654296"/>
    <n v="6.2833591460058624E-2"/>
    <n v="45134.993758365432"/>
    <n v="5855.7002922778556"/>
    <x v="4"/>
    <n v="5.0000000000000018"/>
    <x v="1"/>
    <n v="2.1999999999999999E-2"/>
    <n v="1929.2459999999999"/>
    <n v="7.0000000000000001E-3"/>
    <n v="386.79584295577763"/>
    <n v="1114.5507464557895"/>
    <n v="1142.1136319999998"/>
    <n v="354.6297829632058"/>
    <n v="354.6297829632058"/>
    <n v="296.09300000000002"/>
    <n v="315.94495630855801"/>
    <n v="0.16376602896082615"/>
    <m/>
  </r>
  <r>
    <x v="0"/>
    <s v="2010s"/>
    <x v="37"/>
    <x v="36"/>
    <x v="37"/>
    <n v="88263"/>
    <n v="87693"/>
    <n v="73218"/>
    <n v="42299"/>
    <n v="0.57771313065093288"/>
    <n v="55256.548993682518"/>
    <n v="50661.397566172258"/>
    <n v="0.59199999999999997"/>
    <n v="51914.255999999994"/>
    <n v="0.41873353631418697"/>
    <n v="2835.9937583654296"/>
    <n v="6.2833591460058624E-2"/>
    <n v="45134.993758365432"/>
    <n v="5855.7002922778556"/>
    <x v="5"/>
    <n v="5.9999999999999982"/>
    <x v="1"/>
    <n v="4.0000000000000001E-3"/>
    <n v="350.77199999999999"/>
    <n v="0"/>
    <n v="0"/>
    <n v="202.64559026468905"/>
    <n v="207.65702399999998"/>
    <n v="0"/>
    <n v="0"/>
    <n v="0"/>
    <n v="0"/>
    <n v="0"/>
    <m/>
  </r>
  <r>
    <x v="0"/>
    <s v="2010s"/>
    <x v="38"/>
    <x v="40"/>
    <x v="40"/>
    <n v="210915"/>
    <n v="193816"/>
    <n v="172009"/>
    <n v="153637"/>
    <n v="0.89319163532140755"/>
    <n v="204657.39208029202"/>
    <n v="173114.82999145394"/>
    <n v="0.90199999999999991"/>
    <n v="174822.03199999998"/>
    <n v="0.66951128905766288"/>
    <n v="6999.0496543785493"/>
    <n v="4.3570852678695537E-2"/>
    <n v="160636.04965437856"/>
    <n v="27751.464109436114"/>
    <x v="0"/>
    <n v="3.0000000000000009"/>
    <x v="0"/>
    <n v="4.0000000000000001E-3"/>
    <n v="775.26400000000001"/>
    <n v="2.5999999999999999E-3"/>
    <n v="532.10921940875926"/>
    <n v="692.45931996581578"/>
    <n v="699.28812799999992"/>
    <n v="450.09855797778022"/>
    <n v="450.09855797778022"/>
    <n v="399.45619999999997"/>
    <n v="417.65372910138422"/>
    <n v="0.53872452364792411"/>
    <s v="based on deadpitch of natural spawners in &quot;2018 Deadpiitch Adult Sockeye BioData.xlsx 10/21/2020"/>
  </r>
  <r>
    <x v="0"/>
    <s v="2010s"/>
    <x v="38"/>
    <x v="39"/>
    <x v="39"/>
    <n v="210915"/>
    <n v="193816"/>
    <n v="172009"/>
    <n v="153637"/>
    <n v="0.89319163532140755"/>
    <n v="204657.39208029202"/>
    <n v="173114.82999145394"/>
    <n v="0.90199999999999991"/>
    <n v="174822.03199999998"/>
    <n v="0.66951128905766288"/>
    <n v="6999.0496543785493"/>
    <n v="4.3570852678695537E-2"/>
    <n v="160636.04965437856"/>
    <n v="27751.464109436114"/>
    <x v="1"/>
    <n v="3.9999999999999996"/>
    <x v="0"/>
    <n v="0.95599999999999996"/>
    <n v="185288.09599999999"/>
    <n v="0.97099999999999997"/>
    <n v="198722.32770996355"/>
    <n v="165497.77747182996"/>
    <n v="167129.86259199996"/>
    <n v="168094.49992170176"/>
    <n v="168094.49992170176"/>
    <n v="149181.527"/>
    <n v="155977.60421440157"/>
    <n v="0.84181125275528534"/>
    <s v="based on deadpitch of natural spawners in &quot;2018 Deadpiitch Adult Sockeye BioData.xlsx 10/21/2021"/>
  </r>
  <r>
    <x v="0"/>
    <s v="2010s"/>
    <x v="38"/>
    <x v="38"/>
    <x v="38"/>
    <n v="210915"/>
    <n v="193816"/>
    <n v="172009"/>
    <n v="153637"/>
    <n v="0.89319163532140755"/>
    <n v="204657.39208029202"/>
    <n v="173114.82999145394"/>
    <n v="0.90199999999999991"/>
    <n v="174822.03199999998"/>
    <n v="0.66951128905766288"/>
    <n v="6999.0496543785493"/>
    <n v="4.3570852678695537E-2"/>
    <n v="160636.04965437856"/>
    <n v="27751.464109436114"/>
    <x v="2"/>
    <n v="5"/>
    <x v="0"/>
    <n v="1.0999999999999999E-2"/>
    <n v="2131.9759999999997"/>
    <n v="2.1000000000000001E-2"/>
    <n v="4297.8052336861329"/>
    <n v="1904.2631299059933"/>
    <n v="1923.0423519999997"/>
    <n v="3635.4114298205332"/>
    <n v="3635.4114298205332"/>
    <n v="3226.3770000000004"/>
    <n v="3373.35704274195"/>
    <n v="1.5822678316932042"/>
    <s v="based on deadpitch of natural spawners in &quot;2018 Deadpiitch Adult Sockeye BioData.xlsx 10/21/2022"/>
  </r>
  <r>
    <x v="0"/>
    <s v="2010s"/>
    <x v="38"/>
    <x v="39"/>
    <x v="40"/>
    <n v="210915"/>
    <n v="193816"/>
    <n v="172009"/>
    <n v="153637"/>
    <n v="0.89319163532140755"/>
    <n v="204657.39208029202"/>
    <n v="173114.82999145394"/>
    <n v="0.90199999999999991"/>
    <n v="174822.03199999998"/>
    <n v="0.66951128905766288"/>
    <n v="6999.0496543785493"/>
    <n v="4.3570852678695537E-2"/>
    <n v="160636.04965437856"/>
    <n v="27751.464109436114"/>
    <x v="3"/>
    <n v="4.0000000000000009"/>
    <x v="1"/>
    <n v="2.1999999999999999E-2"/>
    <n v="4263.9519999999993"/>
    <n v="2.5999999999999999E-3"/>
    <n v="532.10921940875926"/>
    <n v="3808.5262598119866"/>
    <n v="3846.0847039999994"/>
    <n v="450.09855797778022"/>
    <n v="450.09855797778022"/>
    <n v="399.45619999999997"/>
    <n v="417.65372910138422"/>
    <n v="9.7949913390531662E-2"/>
    <s v="based on deadpitch of natural spawners in &quot;2018 Deadpiitch Adult Sockeye BioData.xlsx 10/21/2023"/>
  </r>
  <r>
    <x v="0"/>
    <s v="2010s"/>
    <x v="38"/>
    <x v="38"/>
    <x v="39"/>
    <n v="210915"/>
    <n v="193816"/>
    <n v="172009"/>
    <n v="153637"/>
    <n v="0.89319163532140755"/>
    <n v="204657.39208029202"/>
    <n v="173114.82999145394"/>
    <n v="0.90199999999999991"/>
    <n v="174822.03199999998"/>
    <n v="0.66951128905766288"/>
    <n v="6999.0496543785493"/>
    <n v="4.3570852678695537E-2"/>
    <n v="160636.04965437856"/>
    <n v="27751.464109436114"/>
    <x v="4"/>
    <n v="5.0000000000000018"/>
    <x v="1"/>
    <n v="6.0000000000000001E-3"/>
    <n v="1162.896"/>
    <n v="2.5999999999999999E-3"/>
    <n v="532.10921940875926"/>
    <n v="1038.6889799487237"/>
    <n v="1048.932192"/>
    <n v="450.09855797778022"/>
    <n v="450.09855797778022"/>
    <n v="399.45619999999997"/>
    <n v="417.65372910138422"/>
    <n v="0.35914968243194939"/>
    <s v="based on deadpitch of natural spawners in &quot;2018 Deadpiitch Adult Sockeye BioData.xlsx 10/21/2024"/>
  </r>
  <r>
    <x v="0"/>
    <s v="2010s"/>
    <x v="39"/>
    <x v="41"/>
    <x v="41"/>
    <n v="63222"/>
    <n v="63046"/>
    <n v="58562"/>
    <n v="49862"/>
    <n v="0.85143950001707591"/>
    <n v="60959.021714014452"/>
    <n v="53679.854718076567"/>
    <n v="0.85500000000000009"/>
    <n v="53904.330000000009"/>
    <n v="0.66840085017288964"/>
    <n v="986.81838051979094"/>
    <n v="1.9406908792552031E-2"/>
    <n v="50848.818380519791"/>
    <n v="2980.8896895597791"/>
    <x v="0"/>
    <n v="3.0000000000000009"/>
    <x v="0"/>
    <n v="0.54300000000000004"/>
    <n v="34233.978000000003"/>
    <n v="0.185"/>
    <n v="11277.419017092674"/>
    <n v="29148.161111915579"/>
    <n v="29270.051190000006"/>
    <n v="9930.7731228441644"/>
    <n v="9930.7731228441644"/>
    <n v="9224.4699999999993"/>
    <n v="9407.0314003961612"/>
    <n v="0.27478639497858415"/>
    <s v="Mean %OK = 85.7% from CNAT_Escapement Units _2020.xlsx!%Okanagan - avg of Wells/RIS &amp; RRH/RIS estimates [HS July 2020]"/>
  </r>
  <r>
    <x v="0"/>
    <s v="2010s"/>
    <x v="39"/>
    <x v="40"/>
    <x v="40"/>
    <n v="63222"/>
    <n v="63046"/>
    <n v="58562"/>
    <n v="49862"/>
    <n v="0.85143950001707591"/>
    <n v="60959.021714014452"/>
    <n v="53679.854718076567"/>
    <n v="0.85500000000000009"/>
    <n v="53904.330000000009"/>
    <n v="0.66840085017288964"/>
    <n v="986.81838051979094"/>
    <n v="1.9406908792552031E-2"/>
    <n v="50848.818380519791"/>
    <n v="2980.8896895597791"/>
    <x v="1"/>
    <n v="3.9999999999999996"/>
    <x v="0"/>
    <n v="0.17199999999999999"/>
    <n v="10843.911999999998"/>
    <n v="0.54200000000000004"/>
    <n v="33039.789768995834"/>
    <n v="9232.9350115091693"/>
    <n v="9271.5447600000007"/>
    <n v="29094.481257197502"/>
    <n v="29094.481257197502"/>
    <n v="27025.204000000002"/>
    <n v="27560.059562241728"/>
    <n v="2.541523719690987"/>
    <s v="Fryer's sampling at BON -- 85% OK; 11% Wenatchee; 4% other [prelim. 14/09/2020]"/>
  </r>
  <r>
    <x v="0"/>
    <s v="2010s"/>
    <x v="39"/>
    <x v="39"/>
    <x v="39"/>
    <n v="63222"/>
    <n v="63046"/>
    <n v="58562"/>
    <n v="49862"/>
    <n v="0.85143950001707591"/>
    <n v="60959.021714014452"/>
    <n v="53679.854718076567"/>
    <n v="0.85500000000000009"/>
    <n v="53904.330000000009"/>
    <n v="0.66840085017288964"/>
    <n v="986.81838051979094"/>
    <n v="1.9406908792552031E-2"/>
    <n v="50848.818380519791"/>
    <n v="2980.8896895597791"/>
    <x v="2"/>
    <n v="5"/>
    <x v="0"/>
    <n v="0.224"/>
    <n v="14122.304"/>
    <n v="0.26700000000000002"/>
    <n v="16276.058797641859"/>
    <n v="12024.287456849152"/>
    <n v="12074.569920000002"/>
    <n v="14332.521209726445"/>
    <n v="14332.521209726445"/>
    <n v="13313.154"/>
    <n v="13576.634507598785"/>
    <n v="0.96136115662138311"/>
    <m/>
  </r>
  <r>
    <x v="0"/>
    <s v="2010s"/>
    <x v="39"/>
    <x v="40"/>
    <x v="41"/>
    <n v="63222"/>
    <n v="63046"/>
    <n v="58562"/>
    <n v="49862"/>
    <n v="0.85143950001707591"/>
    <n v="60959.021714014452"/>
    <n v="53679.854718076567"/>
    <n v="0.85500000000000009"/>
    <n v="53904.330000000009"/>
    <n v="0.66840085017288964"/>
    <n v="986.81838051979094"/>
    <n v="1.9406908792552031E-2"/>
    <n v="50848.818380519791"/>
    <n v="2980.8896895597791"/>
    <x v="3"/>
    <n v="4.0000000000000009"/>
    <x v="1"/>
    <n v="1.2E-2"/>
    <n v="756.55200000000002"/>
    <n v="2E-3"/>
    <n v="121.91804342802891"/>
    <n v="644.15825661691883"/>
    <n v="646.85196000000008"/>
    <n v="107.35970943615314"/>
    <n v="107.35970943615314"/>
    <n v="99.724000000000004"/>
    <n v="101.69763676103959"/>
    <n v="0.13442253375979388"/>
    <s v="Ages for 2019 Return year are from Fryer's sampling at BON [prelim, report not finalized, 14/09/2020]"/>
  </r>
  <r>
    <x v="0"/>
    <s v="2010s"/>
    <x v="39"/>
    <x v="39"/>
    <x v="40"/>
    <n v="63222"/>
    <n v="63046"/>
    <n v="58562"/>
    <n v="49862"/>
    <n v="0.85143950001707591"/>
    <n v="60959.021714014452"/>
    <n v="53679.854718076567"/>
    <n v="0.85500000000000009"/>
    <n v="53904.330000000009"/>
    <n v="0.66840085017288964"/>
    <n v="986.81838051979094"/>
    <n v="1.9406908792552031E-2"/>
    <n v="50848.818380519791"/>
    <n v="2980.8896895597791"/>
    <x v="4"/>
    <n v="5.0000000000000018"/>
    <x v="1"/>
    <n v="4.8000000000000001E-2"/>
    <n v="3026.2080000000001"/>
    <n v="4.0000000000000001E-3"/>
    <n v="243.83608685605782"/>
    <n v="2576.6330264676753"/>
    <n v="2587.4078400000003"/>
    <n v="214.71941887230628"/>
    <n v="214.71941887230628"/>
    <n v="199.44800000000001"/>
    <n v="203.39527352207918"/>
    <n v="6.7211266879896939E-2"/>
    <s v="Ages for 2019 now from deadpitch [11/3/2020]"/>
  </r>
  <r>
    <x v="0"/>
    <s v="2010s"/>
    <x v="39"/>
    <x v="38"/>
    <x v="39"/>
    <n v="63222"/>
    <n v="63046"/>
    <n v="58562"/>
    <n v="49862"/>
    <n v="0.85143950001707591"/>
    <n v="60959.021714014452"/>
    <n v="53679.854718076567"/>
    <n v="0.85500000000000009"/>
    <n v="53904.330000000009"/>
    <n v="0.66840085017288964"/>
    <n v="986.81838051979094"/>
    <n v="1.9406908792552031E-2"/>
    <n v="50848.818380519791"/>
    <n v="2980.8896895597791"/>
    <x v="5"/>
    <n v="5.9999999999999982"/>
    <x v="1"/>
    <n v="1E-3"/>
    <n v="63.045999999999999"/>
    <n v="0"/>
    <n v="0"/>
    <n v="53.679854718076569"/>
    <n v="53.904330000000009"/>
    <s v=""/>
    <n v="0"/>
    <n v="0"/>
    <n v="0"/>
    <n v="0"/>
    <m/>
  </r>
  <r>
    <x v="0"/>
    <s v="2010s"/>
    <x v="40"/>
    <x v="42"/>
    <x v="42"/>
    <n v="345018"/>
    <n v="341739"/>
    <n v="280440"/>
    <n v="226107"/>
    <n v="0.80625802310654682"/>
    <n v="297055.82899379538"/>
    <n v="275529.81055840821"/>
    <n v="0.80700000000000005"/>
    <n v="275783.37300000002"/>
    <n v="0.58122426764285029"/>
    <n v="15008.493100128369"/>
    <n v="6.224607513668054E-2"/>
    <n v="241115.49310012837"/>
    <n v="37058.037516046199"/>
    <x v="0"/>
    <n v="3.0000000000000009"/>
    <x v="0"/>
    <n v="8.9999999999999993E-3"/>
    <n v="3075.6509999999998"/>
    <m/>
    <n v="2673.5024609441584"/>
    <n v="2479.7682950256735"/>
    <n v="2482.0503570000001"/>
    <s v=""/>
    <n v="2479.7682950256735"/>
    <n v="0"/>
    <n v="0"/>
    <n v="0"/>
    <s v="Age comp not yet available from ONA?  Use JF's biosampling estimates from Bonneville"/>
  </r>
  <r>
    <x v="0"/>
    <s v="2010s"/>
    <x v="40"/>
    <x v="41"/>
    <x v="41"/>
    <n v="345018"/>
    <n v="341739"/>
    <n v="280440"/>
    <n v="226107"/>
    <n v="0.80625802310654682"/>
    <n v="297055.82899379538"/>
    <n v="275529.81055840821"/>
    <n v="0.80700000000000005"/>
    <n v="275783.37300000002"/>
    <n v="0.58122426764285029"/>
    <n v="15008.493100128369"/>
    <n v="6.224607513668054E-2"/>
    <n v="241115.49310012837"/>
    <n v="37058.037516046199"/>
    <x v="1"/>
    <n v="3.9999999999999996"/>
    <x v="0"/>
    <n v="0.98599999999999999"/>
    <n v="336954.65399999998"/>
    <m/>
    <n v="292897.04738788225"/>
    <n v="271672.39321059047"/>
    <n v="271922.40577800001"/>
    <s v=""/>
    <n v="271672.39321059047"/>
    <n v="0"/>
    <n v="0"/>
    <n v="0"/>
    <n v="275.5298105584082"/>
  </r>
  <r>
    <x v="0"/>
    <s v="2010s"/>
    <x v="40"/>
    <x v="40"/>
    <x v="40"/>
    <n v="345018"/>
    <n v="341739"/>
    <n v="280440"/>
    <n v="226107"/>
    <n v="0.80625802310654682"/>
    <n v="297055.82899379538"/>
    <n v="275529.81055840821"/>
    <n v="0.80700000000000005"/>
    <n v="275783.37300000002"/>
    <n v="0.58122426764285029"/>
    <n v="15008.493100128369"/>
    <n v="6.224607513668054E-2"/>
    <n v="241115.49310012837"/>
    <n v="37058.037516046199"/>
    <x v="2"/>
    <n v="5"/>
    <x v="0"/>
    <n v="2E-3"/>
    <n v="683.47800000000007"/>
    <m/>
    <n v="594.11165798759077"/>
    <n v="551.0596211168164"/>
    <n v="551.56674600000008"/>
    <s v=""/>
    <n v="551.0596211168164"/>
    <n v="0"/>
    <n v="0"/>
    <n v="0"/>
    <n v="271396.8634000321"/>
  </r>
  <r>
    <x v="0"/>
    <s v="2010s"/>
    <x v="40"/>
    <x v="41"/>
    <x v="42"/>
    <n v="345018"/>
    <n v="341739"/>
    <n v="280440"/>
    <n v="226107"/>
    <n v="0.80625802310654682"/>
    <n v="297055.82899379538"/>
    <n v="275529.81055840821"/>
    <n v="0.80700000000000005"/>
    <n v="275783.37300000002"/>
    <n v="0.58122426764285029"/>
    <n v="15008.493100128369"/>
    <n v="6.224607513668054E-2"/>
    <n v="241115.49310012837"/>
    <n v="37058.037516046199"/>
    <x v="3"/>
    <n v="4.0000000000000009"/>
    <x v="1"/>
    <n v="1E-3"/>
    <n v="341.73900000000003"/>
    <m/>
    <n v="297.05582899379539"/>
    <n v="275.5298105584082"/>
    <n v="275.78337300000004"/>
    <s v=""/>
    <n v="275.5298105584082"/>
    <n v="0"/>
    <n v="0"/>
    <n v="0"/>
    <n v="0"/>
  </r>
  <r>
    <x v="0"/>
    <s v="2010s"/>
    <x v="40"/>
    <x v="40"/>
    <x v="41"/>
    <n v="345018"/>
    <n v="341739"/>
    <n v="280440"/>
    <n v="226107"/>
    <n v="0.80625802310654682"/>
    <n v="297055.82899379538"/>
    <n v="275529.81055840821"/>
    <n v="0.80700000000000005"/>
    <n v="275783.37300000002"/>
    <n v="0.58122426764285029"/>
    <n v="15008.493100128369"/>
    <n v="6.224607513668054E-2"/>
    <n v="241115.49310012837"/>
    <n v="37058.037516046199"/>
    <x v="4"/>
    <n v="5.0000000000000018"/>
    <x v="1"/>
    <n v="2E-3"/>
    <n v="683.47800000000007"/>
    <m/>
    <n v="594.11165798759077"/>
    <n v="551.0596211168164"/>
    <n v="551.56674600000008"/>
    <s v=""/>
    <n v="551.0596211168164"/>
    <n v="0"/>
    <n v="0"/>
    <n v="0"/>
    <n v="275.5298105584082"/>
  </r>
  <r>
    <x v="0"/>
    <s v="2010s"/>
    <x v="40"/>
    <x v="39"/>
    <x v="40"/>
    <n v="345018"/>
    <n v="341739"/>
    <n v="280440"/>
    <n v="226107"/>
    <n v="0.80625802310654682"/>
    <n v="297055.82899379538"/>
    <n v="275529.81055840821"/>
    <n v="0.80700000000000005"/>
    <n v="275783.37300000002"/>
    <n v="0.58122426764285029"/>
    <n v="15008.493100128369"/>
    <n v="6.224607513668054E-2"/>
    <n v="241115.49310012837"/>
    <n v="37058.037516046199"/>
    <x v="5"/>
    <n v="5.9999999999999982"/>
    <x v="1"/>
    <n v="0"/>
    <n v="0"/>
    <m/>
    <n v="0"/>
    <n v="0"/>
    <n v="0"/>
    <s v=""/>
    <n v="0"/>
    <n v="0"/>
    <n v="0"/>
    <n v="0"/>
    <n v="551.0596211168164"/>
  </r>
  <r>
    <x v="0"/>
    <s v="2020s"/>
    <x v="41"/>
    <x v="43"/>
    <x v="43"/>
    <n v="152309"/>
    <n v="151765"/>
    <n v="109367"/>
    <n v="76255"/>
    <n v="0.69723956952279942"/>
    <n v="110834.91467090861"/>
    <n v="105816.56326862765"/>
    <n v="0.69262486130169598"/>
    <n v="105116.21207545188"/>
    <n v="0.42193522880769613"/>
    <n v="7026.7803816507721"/>
    <n v="8.4373561053204413E-2"/>
    <n v="83281.780381650766"/>
    <n v="22914.081212797289"/>
    <x v="0"/>
    <n v="3.0000000000000009"/>
    <x v="0"/>
    <n v="0.253"/>
    <n v="38396.544999999998"/>
    <m/>
    <n v="28041.233411739879"/>
    <n v="26771.590506962795"/>
    <n v="26594.401655089328"/>
    <s v=""/>
    <n v="26771.590506962795"/>
    <n v="0"/>
    <n v="0"/>
    <n v="0"/>
    <s v="Age comp not yet available from ONA?  Use JF's estimates"/>
  </r>
  <r>
    <x v="0"/>
    <s v="2010s"/>
    <x v="41"/>
    <x v="42"/>
    <x v="42"/>
    <n v="152309"/>
    <n v="151765"/>
    <n v="109367"/>
    <n v="76255"/>
    <n v="0.69723956952279942"/>
    <n v="110834.91467090861"/>
    <n v="105816.56326862765"/>
    <n v="0.69262486130169598"/>
    <n v="105116.21207545188"/>
    <n v="0.42193522880769613"/>
    <n v="7026.7803816507721"/>
    <n v="8.4373561053204413E-2"/>
    <n v="83281.780381650766"/>
    <n v="22914.081212797289"/>
    <x v="1"/>
    <n v="3.9999999999999996"/>
    <x v="0"/>
    <n v="0.59799999999999998"/>
    <n v="90755.47"/>
    <m/>
    <n v="66279.278973203342"/>
    <n v="63278.304834639333"/>
    <n v="62859.494821120221"/>
    <s v=""/>
    <n v="63278.304834639333"/>
    <n v="0"/>
    <n v="0"/>
    <n v="0"/>
    <m/>
  </r>
  <r>
    <x v="0"/>
    <s v="2010s"/>
    <x v="41"/>
    <x v="41"/>
    <x v="41"/>
    <n v="152309"/>
    <n v="151765"/>
    <n v="109367"/>
    <n v="76255"/>
    <n v="0.69723956952279942"/>
    <n v="110834.91467090861"/>
    <n v="105816.56326862765"/>
    <n v="0.69262486130169598"/>
    <n v="105116.21207545188"/>
    <n v="0.42193522880769613"/>
    <n v="7026.7803816507721"/>
    <n v="8.4373561053204413E-2"/>
    <n v="83281.780381650766"/>
    <n v="22914.081212797289"/>
    <x v="2"/>
    <n v="5"/>
    <x v="0"/>
    <n v="0.114"/>
    <n v="17301.21"/>
    <m/>
    <n v="12635.180272483582"/>
    <n v="12063.088212623552"/>
    <n v="11983.248176601515"/>
    <s v=""/>
    <n v="12063.088212623552"/>
    <n v="0"/>
    <n v="0"/>
    <n v="0"/>
    <m/>
  </r>
  <r>
    <x v="0"/>
    <s v="2020s"/>
    <x v="41"/>
    <x v="42"/>
    <x v="43"/>
    <n v="152309"/>
    <n v="151765"/>
    <n v="109367"/>
    <n v="76255"/>
    <n v="0.69723956952279942"/>
    <n v="110834.91467090861"/>
    <n v="105816.56326862765"/>
    <n v="0.69262486130169598"/>
    <n v="105116.21207545188"/>
    <n v="0.42193522880769613"/>
    <n v="7026.7803816507721"/>
    <n v="8.4373561053204413E-2"/>
    <n v="83281.780381650766"/>
    <n v="22914.081212797289"/>
    <x v="3"/>
    <n v="4.0000000000000009"/>
    <x v="1"/>
    <n v="0.03"/>
    <n v="4552.95"/>
    <m/>
    <n v="3325.0474401272581"/>
    <n v="3174.4968980588296"/>
    <n v="3153.4863622635562"/>
    <s v=""/>
    <n v="3174.4968980588296"/>
    <n v="0"/>
    <n v="0"/>
    <n v="0"/>
    <m/>
  </r>
  <r>
    <x v="0"/>
    <s v="2010s"/>
    <x v="41"/>
    <x v="41"/>
    <x v="42"/>
    <n v="152309"/>
    <n v="151765"/>
    <n v="109367"/>
    <n v="76255"/>
    <n v="0.69723956952279942"/>
    <n v="110834.91467090861"/>
    <n v="105816.56326862765"/>
    <n v="0.69262486130169598"/>
    <n v="105116.21207545188"/>
    <n v="0.42193522880769613"/>
    <n v="7026.7803816507721"/>
    <n v="8.4373561053204413E-2"/>
    <n v="83281.780381650766"/>
    <n v="22914.081212797289"/>
    <x v="4"/>
    <n v="5.0000000000000018"/>
    <x v="1"/>
    <n v="5.0000000000000001E-3"/>
    <n v="758.82500000000005"/>
    <m/>
    <n v="554.17457335454299"/>
    <n v="529.08281634313823"/>
    <n v="525.5810603772594"/>
    <s v=""/>
    <n v="529.08281634313823"/>
    <n v="0"/>
    <n v="0"/>
    <n v="0"/>
    <m/>
  </r>
  <r>
    <x v="0"/>
    <s v="2010s"/>
    <x v="41"/>
    <x v="40"/>
    <x v="41"/>
    <n v="152309"/>
    <n v="151765"/>
    <n v="109367"/>
    <n v="76255"/>
    <n v="0.69723956952279942"/>
    <n v="110834.91467090861"/>
    <n v="105816.56326862765"/>
    <n v="0.69262486130169598"/>
    <n v="105116.21207545188"/>
    <n v="0.42193522880769613"/>
    <n v="7026.7803816507721"/>
    <n v="8.4373561053204413E-2"/>
    <n v="83281.780381650766"/>
    <n v="22914.081212797289"/>
    <x v="5"/>
    <n v="5.9999999999999982"/>
    <x v="1"/>
    <n v="0"/>
    <n v="0"/>
    <m/>
    <n v="0"/>
    <n v="0"/>
    <n v="0"/>
    <s v=""/>
    <n v="0"/>
    <n v="0"/>
    <n v="0"/>
    <n v="0"/>
    <m/>
  </r>
  <r>
    <x v="0"/>
    <s v="2020s"/>
    <x v="42"/>
    <x v="44"/>
    <x v="44"/>
    <n v="663253"/>
    <n v="663253"/>
    <n v="659933"/>
    <n v="478415"/>
    <n v="0.72494480500293212"/>
    <n v="537298.58440745843"/>
    <n v="480821.81675260974"/>
    <n v="0"/>
    <n v="480821.81675260974"/>
    <n v="0.63571819501758753"/>
    <n v="0"/>
    <n v="0"/>
    <n v="478415"/>
    <n v="0"/>
    <x v="0"/>
    <n v="3.0000000000000009"/>
    <x v="0"/>
    <n v="0.02"/>
    <n v="13265.06"/>
    <m/>
    <n v="10745.971688149169"/>
    <m/>
    <m/>
    <m/>
    <m/>
    <m/>
    <m/>
    <m/>
    <s v="Age comp not yet available from ONA?  Use JF's estimates"/>
  </r>
  <r>
    <x v="0"/>
    <s v="2020s"/>
    <x v="42"/>
    <x v="43"/>
    <x v="43"/>
    <n v="663253"/>
    <n v="663253"/>
    <n v="659933"/>
    <n v="478415"/>
    <n v="0.72494480500293212"/>
    <n v="537298.58440745843"/>
    <n v="480821.81675260974"/>
    <n v="0"/>
    <n v="480821.81675260974"/>
    <n v="0.63571819501758753"/>
    <n v="0"/>
    <n v="0"/>
    <n v="478415"/>
    <n v="0"/>
    <x v="1"/>
    <n v="3.9999999999999996"/>
    <x v="0"/>
    <n v="0.94399999999999995"/>
    <n v="626110.83199999994"/>
    <m/>
    <n v="507209.86368064076"/>
    <m/>
    <m/>
    <m/>
    <m/>
    <m/>
    <m/>
    <m/>
    <m/>
  </r>
  <r>
    <x v="0"/>
    <s v="2010s"/>
    <x v="42"/>
    <x v="42"/>
    <x v="42"/>
    <n v="663253"/>
    <n v="663253"/>
    <n v="659933"/>
    <n v="478415"/>
    <n v="0.72494480500293212"/>
    <n v="537298.58440745843"/>
    <n v="480821.81675260974"/>
    <n v="0"/>
    <n v="480821.81675260974"/>
    <n v="0.63571819501758753"/>
    <n v="0"/>
    <n v="0"/>
    <n v="478415"/>
    <n v="0"/>
    <x v="2"/>
    <n v="5"/>
    <x v="0"/>
    <n v="2.3E-2"/>
    <n v="15254.819"/>
    <m/>
    <n v="12357.867441371543"/>
    <m/>
    <m/>
    <m/>
    <m/>
    <m/>
    <m/>
    <m/>
    <m/>
  </r>
  <r>
    <x v="0"/>
    <s v="2020s"/>
    <x v="42"/>
    <x v="43"/>
    <x v="44"/>
    <n v="663253"/>
    <n v="663253"/>
    <n v="659933"/>
    <n v="478415"/>
    <n v="0.72494480500293212"/>
    <n v="537298.58440745843"/>
    <n v="480821.81675260974"/>
    <n v="0"/>
    <n v="480821.81675260974"/>
    <n v="0.63571819501758753"/>
    <n v="0"/>
    <n v="0"/>
    <n v="478415"/>
    <n v="0"/>
    <x v="3"/>
    <n v="4.0000000000000009"/>
    <x v="1"/>
    <n v="8.0000000000000002E-3"/>
    <n v="5306.0240000000003"/>
    <m/>
    <n v="4298.3886752596673"/>
    <m/>
    <m/>
    <m/>
    <m/>
    <m/>
    <m/>
    <m/>
    <m/>
  </r>
  <r>
    <x v="0"/>
    <s v="2020s"/>
    <x v="42"/>
    <x v="42"/>
    <x v="43"/>
    <n v="663253"/>
    <n v="663253"/>
    <n v="659933"/>
    <n v="478415"/>
    <n v="0.72494480500293212"/>
    <n v="537298.58440745843"/>
    <n v="480821.81675260974"/>
    <n v="0"/>
    <n v="480821.81675260974"/>
    <n v="0.63571819501758753"/>
    <n v="0"/>
    <n v="0"/>
    <n v="478415"/>
    <n v="0"/>
    <x v="4"/>
    <n v="5.0000000000000018"/>
    <x v="1"/>
    <n v="4.0000000000000001E-3"/>
    <n v="2653.0120000000002"/>
    <m/>
    <n v="2149.1943376298336"/>
    <m/>
    <m/>
    <m/>
    <m/>
    <m/>
    <m/>
    <m/>
    <m/>
  </r>
  <r>
    <x v="0"/>
    <s v="2010s"/>
    <x v="42"/>
    <x v="41"/>
    <x v="42"/>
    <n v="663253"/>
    <n v="663253"/>
    <n v="659933"/>
    <n v="478415"/>
    <n v="0.72494480500293212"/>
    <n v="537298.58440745843"/>
    <n v="480821.81675260974"/>
    <n v="0"/>
    <n v="480821.81675260974"/>
    <n v="0.63571819501758753"/>
    <n v="0"/>
    <n v="0"/>
    <n v="478415"/>
    <n v="0"/>
    <x v="5"/>
    <n v="5.9999999999999982"/>
    <x v="1"/>
    <n v="0"/>
    <n v="0"/>
    <m/>
    <n v="0"/>
    <m/>
    <m/>
    <m/>
    <m/>
    <m/>
    <m/>
    <m/>
    <m/>
  </r>
  <r>
    <x v="1"/>
    <m/>
    <x v="43"/>
    <x v="45"/>
    <x v="45"/>
    <m/>
    <m/>
    <m/>
    <m/>
    <m/>
    <m/>
    <m/>
    <m/>
    <m/>
    <m/>
    <m/>
    <m/>
    <m/>
    <m/>
    <x v="10"/>
    <m/>
    <x v="4"/>
    <m/>
    <m/>
    <m/>
    <m/>
    <m/>
    <m/>
    <m/>
    <m/>
    <m/>
    <m/>
    <m/>
    <m/>
  </r>
  <r>
    <x v="1"/>
    <m/>
    <x v="43"/>
    <x v="45"/>
    <x v="45"/>
    <m/>
    <m/>
    <m/>
    <m/>
    <m/>
    <m/>
    <m/>
    <m/>
    <m/>
    <m/>
    <m/>
    <m/>
    <m/>
    <m/>
    <x v="10"/>
    <m/>
    <x v="4"/>
    <m/>
    <m/>
    <m/>
    <m/>
    <m/>
    <m/>
    <m/>
    <m/>
    <m/>
    <m/>
    <m/>
    <m/>
  </r>
  <r>
    <x v="1"/>
    <m/>
    <x v="43"/>
    <x v="45"/>
    <x v="45"/>
    <m/>
    <m/>
    <m/>
    <m/>
    <m/>
    <m/>
    <m/>
    <m/>
    <m/>
    <m/>
    <m/>
    <m/>
    <m/>
    <m/>
    <x v="10"/>
    <m/>
    <x v="4"/>
    <m/>
    <m/>
    <m/>
    <m/>
    <m/>
    <m/>
    <m/>
    <m/>
    <m/>
    <m/>
    <m/>
    <m/>
  </r>
  <r>
    <x v="1"/>
    <m/>
    <x v="43"/>
    <x v="45"/>
    <x v="45"/>
    <m/>
    <m/>
    <m/>
    <m/>
    <m/>
    <m/>
    <m/>
    <m/>
    <m/>
    <m/>
    <m/>
    <m/>
    <m/>
    <m/>
    <x v="10"/>
    <m/>
    <x v="4"/>
    <m/>
    <m/>
    <m/>
    <m/>
    <m/>
    <m/>
    <m/>
    <m/>
    <m/>
    <m/>
    <m/>
    <m/>
  </r>
  <r>
    <x v="1"/>
    <m/>
    <x v="43"/>
    <x v="45"/>
    <x v="45"/>
    <m/>
    <m/>
    <m/>
    <m/>
    <m/>
    <m/>
    <m/>
    <m/>
    <m/>
    <m/>
    <m/>
    <m/>
    <m/>
    <m/>
    <x v="10"/>
    <m/>
    <x v="4"/>
    <m/>
    <m/>
    <m/>
    <m/>
    <m/>
    <m/>
    <m/>
    <m/>
    <m/>
    <m/>
    <m/>
    <m/>
  </r>
  <r>
    <x v="1"/>
    <m/>
    <x v="43"/>
    <x v="45"/>
    <x v="45"/>
    <m/>
    <m/>
    <m/>
    <m/>
    <m/>
    <m/>
    <m/>
    <m/>
    <m/>
    <m/>
    <m/>
    <m/>
    <m/>
    <m/>
    <x v="10"/>
    <m/>
    <x v="4"/>
    <m/>
    <m/>
    <m/>
    <m/>
    <m/>
    <m/>
    <m/>
    <m/>
    <m/>
    <m/>
    <m/>
    <m/>
  </r>
  <r>
    <x v="1"/>
    <m/>
    <x v="43"/>
    <x v="45"/>
    <x v="45"/>
    <m/>
    <m/>
    <m/>
    <m/>
    <m/>
    <m/>
    <m/>
    <m/>
    <m/>
    <m/>
    <m/>
    <m/>
    <m/>
    <m/>
    <x v="10"/>
    <m/>
    <x v="4"/>
    <m/>
    <m/>
    <m/>
    <m/>
    <m/>
    <m/>
    <m/>
    <m/>
    <m/>
    <m/>
    <m/>
    <m/>
  </r>
  <r>
    <x v="1"/>
    <m/>
    <x v="43"/>
    <x v="45"/>
    <x v="45"/>
    <m/>
    <m/>
    <m/>
    <m/>
    <m/>
    <m/>
    <m/>
    <m/>
    <m/>
    <m/>
    <m/>
    <m/>
    <m/>
    <m/>
    <x v="10"/>
    <m/>
    <x v="4"/>
    <m/>
    <m/>
    <m/>
    <m/>
    <m/>
    <m/>
    <m/>
    <m/>
    <m/>
    <m/>
    <m/>
    <m/>
  </r>
  <r>
    <x v="1"/>
    <m/>
    <x v="43"/>
    <x v="45"/>
    <x v="45"/>
    <m/>
    <m/>
    <m/>
    <m/>
    <m/>
    <m/>
    <m/>
    <m/>
    <m/>
    <m/>
    <m/>
    <m/>
    <m/>
    <m/>
    <x v="10"/>
    <m/>
    <x v="4"/>
    <m/>
    <m/>
    <m/>
    <m/>
    <m/>
    <m/>
    <m/>
    <m/>
    <m/>
    <m/>
    <m/>
    <m/>
  </r>
  <r>
    <x v="1"/>
    <m/>
    <x v="43"/>
    <x v="45"/>
    <x v="45"/>
    <m/>
    <m/>
    <m/>
    <m/>
    <m/>
    <m/>
    <m/>
    <m/>
    <m/>
    <m/>
    <m/>
    <m/>
    <m/>
    <m/>
    <x v="10"/>
    <m/>
    <x v="4"/>
    <m/>
    <m/>
    <m/>
    <m/>
    <m/>
    <m/>
    <m/>
    <m/>
    <m/>
    <m/>
    <m/>
    <m/>
  </r>
  <r>
    <x v="1"/>
    <m/>
    <x v="43"/>
    <x v="45"/>
    <x v="45"/>
    <m/>
    <m/>
    <m/>
    <m/>
    <m/>
    <m/>
    <m/>
    <m/>
    <m/>
    <m/>
    <m/>
    <m/>
    <m/>
    <m/>
    <x v="10"/>
    <m/>
    <x v="4"/>
    <m/>
    <m/>
    <m/>
    <m/>
    <m/>
    <m/>
    <m/>
    <m/>
    <m/>
    <m/>
    <m/>
    <m/>
  </r>
  <r>
    <x v="1"/>
    <m/>
    <x v="43"/>
    <x v="45"/>
    <x v="45"/>
    <m/>
    <m/>
    <m/>
    <m/>
    <m/>
    <m/>
    <m/>
    <m/>
    <m/>
    <m/>
    <m/>
    <m/>
    <m/>
    <m/>
    <x v="10"/>
    <m/>
    <x v="4"/>
    <m/>
    <m/>
    <m/>
    <m/>
    <m/>
    <m/>
    <m/>
    <m/>
    <m/>
    <m/>
    <m/>
    <m/>
  </r>
  <r>
    <x v="1"/>
    <m/>
    <x v="43"/>
    <x v="45"/>
    <x v="45"/>
    <m/>
    <m/>
    <m/>
    <m/>
    <m/>
    <m/>
    <m/>
    <m/>
    <m/>
    <m/>
    <m/>
    <m/>
    <m/>
    <m/>
    <x v="10"/>
    <m/>
    <x v="4"/>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1D24A2-234B-4EE2-BBE4-70762031307F}" name="PivotTable1" cacheId="0" applyNumberFormats="0" applyBorderFormats="0" applyFontFormats="0" applyPatternFormats="0" applyAlignmentFormats="0" applyWidthHeightFormats="1" dataCaption="Values" grandTotalCaption="Total" updatedVersion="7" minRefreshableVersion="3" useAutoFormatting="1" rowGrandTotals="0" itemPrintTitles="1" createdVersion="7" indent="0" compact="0" compactData="0" multipleFieldFilters="0">
  <location ref="A3:L47" firstHeaderRow="1" firstDataRow="2" firstDataCol="1"/>
  <pivotFields count="34">
    <pivotField compact="0" outline="0" showAll="0"/>
    <pivotField compact="0" outline="0" showAll="0"/>
    <pivotField axis="axisRow" compact="0" outline="0" showAll="0" defaultSubtota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h="1" x="43"/>
        <item x="42"/>
      </items>
    </pivotField>
    <pivotField compact="0" outline="0" showAll="0" defaultSubtotal="0"/>
    <pivotField compact="0" outline="0" showAll="0" defaultSubtotal="0">
      <items count="46">
        <item h="1" x="5"/>
        <item h="1" x="6"/>
        <item h="1" x="7"/>
        <item h="1" x="8"/>
        <item h="1" x="9"/>
        <item h="1" x="10"/>
        <item h="1" x="11"/>
        <item h="1" x="12"/>
        <item h="1" x="13"/>
        <item h="1" x="14"/>
        <item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5"/>
        <item h="1" x="0"/>
        <item h="1" x="1"/>
        <item h="1" x="2"/>
        <item h="1" x="3"/>
        <item h="1" x="4"/>
        <item h="1" x="44"/>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2">
        <item x="0"/>
        <item x="1"/>
        <item x="2"/>
        <item x="3"/>
        <item x="4"/>
        <item x="5"/>
        <item x="6"/>
        <item x="7"/>
        <item x="8"/>
        <item x="9"/>
        <item x="10"/>
        <item t="default"/>
      </items>
    </pivotField>
    <pivotField compact="0" outline="0" showAll="0"/>
    <pivotField compact="0" outline="0" showAll="0">
      <items count="6">
        <item x="0"/>
        <item x="1"/>
        <item x="2"/>
        <item x="3"/>
        <item x="4"/>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3"/>
    </i>
  </rowItems>
  <colFields count="1">
    <field x="19"/>
  </colFields>
  <colItems count="11">
    <i>
      <x/>
    </i>
    <i>
      <x v="1"/>
    </i>
    <i>
      <x v="2"/>
    </i>
    <i>
      <x v="3"/>
    </i>
    <i>
      <x v="4"/>
    </i>
    <i>
      <x v="5"/>
    </i>
    <i>
      <x v="6"/>
    </i>
    <i>
      <x v="7"/>
    </i>
    <i>
      <x v="8"/>
    </i>
    <i>
      <x v="9"/>
    </i>
    <i t="grand">
      <x/>
    </i>
  </colItems>
  <dataFields count="1">
    <dataField name="Ok Returns (Best)" fld="25" baseField="2" baseItem="0" numFmtId="3"/>
  </dataFields>
  <formats count="27">
    <format dxfId="452">
      <pivotArea outline="0" collapsedLevelsAreSubtotals="1" fieldPosition="0"/>
    </format>
    <format dxfId="451">
      <pivotArea field="2" type="button" dataOnly="0" labelOnly="1" outline="0" axis="axisRow" fieldPosition="0"/>
    </format>
    <format dxfId="450">
      <pivotArea field="4" type="button" dataOnly="0" labelOnly="1" outline="0"/>
    </format>
    <format dxfId="449">
      <pivotArea field="2" type="button" dataOnly="0" labelOnly="1" outline="0" axis="axisRow" fieldPosition="0"/>
    </format>
    <format dxfId="448">
      <pivotArea type="origin" dataOnly="0" labelOnly="1" outline="0" fieldPosition="0"/>
    </format>
    <format dxfId="447">
      <pivotArea field="2" type="button" dataOnly="0" labelOnly="1" outline="0" axis="axisRow" fieldPosition="0"/>
    </format>
    <format dxfId="446">
      <pivotArea field="21" type="button" dataOnly="0" labelOnly="1" outline="0"/>
    </format>
    <format dxfId="445">
      <pivotArea type="topRight" dataOnly="0" labelOnly="1" outline="0" fieldPosition="0"/>
    </format>
    <format dxfId="444">
      <pivotArea field="21" type="button" dataOnly="0" labelOnly="1" outline="0"/>
    </format>
    <format dxfId="443">
      <pivotArea type="topRight" dataOnly="0" labelOnly="1" outline="0" fieldPosition="0"/>
    </format>
    <format dxfId="442">
      <pivotArea dataOnly="0" labelOnly="1" grandCol="1" outline="0" fieldPosition="0"/>
    </format>
    <format dxfId="441">
      <pivotArea type="origin" dataOnly="0" labelOnly="1" outline="0" fieldPosition="0"/>
    </format>
    <format dxfId="440">
      <pivotArea field="2" type="button" dataOnly="0" labelOnly="1" outline="0" axis="axisRow" fieldPosition="0"/>
    </format>
    <format dxfId="439">
      <pivotArea outline="0" fieldPosition="0">
        <references count="1">
          <reference field="4294967294" count="1">
            <x v="0"/>
          </reference>
        </references>
      </pivotArea>
    </format>
    <format dxfId="438">
      <pivotArea dataOnly="0" labelOnly="1" outline="0" fieldPosition="0">
        <references count="1">
          <reference field="2" count="0"/>
        </references>
      </pivotArea>
    </format>
    <format dxfId="437">
      <pivotArea dataOnly="0" labelOnly="1" outline="0" fieldPosition="0">
        <references count="1">
          <reference field="2" count="0"/>
        </references>
      </pivotArea>
    </format>
    <format dxfId="436">
      <pivotArea outline="0" collapsedLevelsAreSubtotals="1" fieldPosition="0"/>
    </format>
    <format dxfId="435">
      <pivotArea outline="0" collapsedLevelsAreSubtotals="1" fieldPosition="0"/>
    </format>
    <format dxfId="434">
      <pivotArea field="2" grandCol="1" outline="0" axis="axisRow" fieldPosition="0">
        <references count="1">
          <reference field="2" count="42" selected="0">
            <x v="0"/>
            <x v="1"/>
            <x v="2"/>
            <x v="3"/>
            <x v="4"/>
            <x v="5"/>
            <x v="6"/>
            <x v="7"/>
            <x v="8"/>
            <x v="9"/>
            <x v="10"/>
            <x v="11"/>
            <x v="12"/>
            <x v="13"/>
            <x v="14"/>
            <x v="15"/>
            <x v="16"/>
            <x v="17"/>
            <x v="18"/>
            <x v="19"/>
            <x v="20"/>
            <x v="21"/>
            <x v="22"/>
            <x v="23"/>
            <x v="24"/>
            <x v="25"/>
            <x v="26"/>
            <x v="27"/>
            <x v="28"/>
            <x v="29"/>
            <x v="30"/>
            <x v="31"/>
            <x v="32"/>
            <x v="33"/>
            <x v="34"/>
            <x v="35"/>
            <x v="36"/>
            <x v="37"/>
            <x v="38"/>
            <x v="39"/>
            <x v="40"/>
            <x v="41"/>
          </reference>
        </references>
      </pivotArea>
    </format>
    <format dxfId="433">
      <pivotArea outline="0" fieldPosition="0">
        <references count="2">
          <reference field="2" count="1" selected="0">
            <x v="33"/>
          </reference>
          <reference field="19" count="0" selected="0"/>
        </references>
      </pivotArea>
    </format>
    <format dxfId="432">
      <pivotArea field="2" grandCol="1" outline="0" axis="axisRow" fieldPosition="0">
        <references count="1">
          <reference field="2" count="1" selected="0">
            <x v="43"/>
          </reference>
        </references>
      </pivotArea>
    </format>
    <format dxfId="431">
      <pivotArea outline="0" fieldPosition="0">
        <references count="2">
          <reference field="2" count="1" selected="0">
            <x v="33"/>
          </reference>
          <reference field="19" count="10" selected="0">
            <x v="0"/>
            <x v="1"/>
            <x v="2"/>
            <x v="3"/>
            <x v="4"/>
            <x v="5"/>
            <x v="6"/>
            <x v="7"/>
            <x v="8"/>
            <x v="9"/>
          </reference>
        </references>
      </pivotArea>
    </format>
    <format dxfId="430">
      <pivotArea dataOnly="0" labelOnly="1" outline="0" fieldPosition="0">
        <references count="1">
          <reference field="2" count="1">
            <x v="33"/>
          </reference>
        </references>
      </pivotArea>
    </format>
    <format dxfId="429">
      <pivotArea outline="0" collapsedLevelsAreSubtotals="1" fieldPosition="0"/>
    </format>
    <format dxfId="428">
      <pivotArea dataOnly="0" labelOnly="1" outline="0" fieldPosition="0">
        <references count="1">
          <reference field="2" count="0"/>
        </references>
      </pivotArea>
    </format>
    <format dxfId="427">
      <pivotArea outline="0" fieldPosition="0">
        <references count="1">
          <reference field="19" count="7" selected="0">
            <x v="0"/>
            <x v="1"/>
            <x v="2"/>
            <x v="3"/>
            <x v="4"/>
            <x v="5"/>
            <x v="6"/>
          </reference>
        </references>
      </pivotArea>
    </format>
    <format dxfId="426">
      <pivotArea outline="0" fieldPosition="0">
        <references count="2">
          <reference field="2" count="1" selected="0">
            <x v="43"/>
          </reference>
          <reference field="19" count="10" selected="0">
            <x v="0"/>
            <x v="1"/>
            <x v="2"/>
            <x v="3"/>
            <x v="4"/>
            <x v="5"/>
            <x v="6"/>
            <x v="7"/>
            <x v="8"/>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DBFE1D-91D0-436F-81CF-CB0051736B34}" name="PivotTable1" cacheId="6" applyNumberFormats="0" applyBorderFormats="0" applyFontFormats="0" applyPatternFormats="0" applyAlignmentFormats="0" applyWidthHeightFormats="1" dataCaption="Values" grandTotalCaption="Total" updatedVersion="7" minRefreshableVersion="3" useAutoFormatting="1" rowGrandTotals="0" itemPrintTitles="1" createdVersion="7" indent="0" compact="0" compactData="0" multipleFieldFilters="0">
  <location ref="A3:L49" firstHeaderRow="1" firstDataRow="2" firstDataCol="1"/>
  <pivotFields count="34">
    <pivotField compact="0" outline="0" showAll="0"/>
    <pivotField compact="0" outline="0" showAll="0"/>
    <pivotField compact="0" outline="0" showAll="0" defaultSubtota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h="1" x="43"/>
        <item h="1" x="42"/>
      </items>
    </pivotField>
    <pivotField compact="0" outline="0" showAll="0" defaultSubtotal="0"/>
    <pivotField axis="axisRow" compact="0" outline="0" showAll="0" sortType="ascending">
      <items count="47">
        <item x="2"/>
        <item x="1"/>
        <item x="0"/>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2">
        <item x="0"/>
        <item x="1"/>
        <item x="2"/>
        <item x="3"/>
        <item x="4"/>
        <item x="5"/>
        <item x="6"/>
        <item x="7"/>
        <item x="8"/>
        <item x="9"/>
        <item h="1" x="1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rowItems>
  <colFields count="1">
    <field x="19"/>
  </colFields>
  <colItems count="11">
    <i>
      <x/>
    </i>
    <i>
      <x v="1"/>
    </i>
    <i>
      <x v="2"/>
    </i>
    <i>
      <x v="3"/>
    </i>
    <i>
      <x v="4"/>
    </i>
    <i>
      <x v="5"/>
    </i>
    <i>
      <x v="6"/>
    </i>
    <i>
      <x v="7"/>
    </i>
    <i>
      <x v="8"/>
    </i>
    <i>
      <x v="9"/>
    </i>
    <i t="grand">
      <x/>
    </i>
  </colItems>
  <dataFields count="1">
    <dataField name="Ok Returns (Best)" fld="25" baseField="4" baseItem="34" numFmtId="172"/>
  </dataFields>
  <formats count="16">
    <format dxfId="425">
      <pivotArea outline="0" collapsedLevelsAreSubtotals="1" fieldPosition="0"/>
    </format>
    <format dxfId="424">
      <pivotArea field="2" type="button" dataOnly="0" labelOnly="1" outline="0"/>
    </format>
    <format dxfId="423">
      <pivotArea dataOnly="0" labelOnly="1" outline="0" fieldPosition="0">
        <references count="1">
          <reference field="19" count="0"/>
        </references>
      </pivotArea>
    </format>
    <format dxfId="422">
      <pivotArea dataOnly="0" labelOnly="1" grandCol="1" outline="0" fieldPosition="0"/>
    </format>
    <format dxfId="421">
      <pivotArea outline="0" fieldPosition="0">
        <references count="1">
          <reference field="4294967294" count="1">
            <x v="0"/>
          </reference>
        </references>
      </pivotArea>
    </format>
    <format dxfId="420">
      <pivotArea type="origin" dataOnly="0" labelOnly="1" outline="0" fieldPosition="0"/>
    </format>
    <format dxfId="419">
      <pivotArea field="4" type="button" dataOnly="0" labelOnly="1" outline="0" axis="axisRow" fieldPosition="0"/>
    </format>
    <format dxfId="418">
      <pivotArea field="4" type="button" dataOnly="0" labelOnly="1" outline="0" axis="axisRow" fieldPosition="0"/>
    </format>
    <format dxfId="417">
      <pivotArea field="2" type="button" dataOnly="0" labelOnly="1" outline="0"/>
    </format>
    <format dxfId="416">
      <pivotArea outline="0" collapsedLevelsAreSubtotals="1" fieldPosition="0"/>
    </format>
    <format dxfId="415">
      <pivotArea field="4" type="button" dataOnly="0" labelOnly="1" outline="0" axis="axisRow" fieldPosition="0"/>
    </format>
    <format dxfId="414">
      <pivotArea dataOnly="0" labelOnly="1" outline="0" fieldPosition="0">
        <references count="1">
          <reference field="4" count="45">
            <x v="0"/>
            <x v="1"/>
            <x v="2"/>
            <x v="3"/>
            <x v="4"/>
            <x v="5"/>
            <x v="6"/>
            <x v="7"/>
            <x v="8"/>
            <x v="9"/>
            <x v="10"/>
            <x v="11"/>
            <x v="12"/>
            <x v="13"/>
            <x v="14"/>
            <x v="15"/>
            <x v="16"/>
            <x v="17"/>
            <x v="18"/>
            <x v="19"/>
            <x v="20"/>
            <x v="21"/>
            <x v="22"/>
            <x v="23"/>
            <x v="24"/>
            <x v="25"/>
            <x v="26"/>
            <x v="27"/>
            <x v="28"/>
            <x v="29"/>
            <x v="30"/>
            <x v="31"/>
            <x v="32"/>
            <x v="33"/>
            <x v="34"/>
            <x v="35"/>
            <x v="36"/>
            <x v="37"/>
            <x v="38"/>
            <x v="39"/>
            <x v="40"/>
            <x v="41"/>
            <x v="42"/>
            <x v="43"/>
            <x v="44"/>
          </reference>
        </references>
      </pivotArea>
    </format>
    <format dxfId="413">
      <pivotArea dataOnly="0" labelOnly="1" outline="0" fieldPosition="0">
        <references count="1">
          <reference field="19" count="0"/>
        </references>
      </pivotArea>
    </format>
    <format dxfId="412">
      <pivotArea dataOnly="0" labelOnly="1" grandCol="1" outline="0" fieldPosition="0"/>
    </format>
    <format dxfId="411">
      <pivotArea dataOnly="0" labelOnly="1" outline="0" fieldPosition="0">
        <references count="1">
          <reference field="4" count="45">
            <x v="0"/>
            <x v="1"/>
            <x v="2"/>
            <x v="3"/>
            <x v="4"/>
            <x v="5"/>
            <x v="6"/>
            <x v="7"/>
            <x v="8"/>
            <x v="9"/>
            <x v="10"/>
            <x v="11"/>
            <x v="12"/>
            <x v="13"/>
            <x v="14"/>
            <x v="15"/>
            <x v="16"/>
            <x v="17"/>
            <x v="18"/>
            <x v="19"/>
            <x v="20"/>
            <x v="21"/>
            <x v="22"/>
            <x v="23"/>
            <x v="24"/>
            <x v="25"/>
            <x v="26"/>
            <x v="27"/>
            <x v="28"/>
            <x v="29"/>
            <x v="30"/>
            <x v="31"/>
            <x v="32"/>
            <x v="33"/>
            <x v="34"/>
            <x v="35"/>
            <x v="36"/>
            <x v="37"/>
            <x v="38"/>
            <x v="39"/>
            <x v="40"/>
            <x v="41"/>
            <x v="42"/>
            <x v="43"/>
            <x v="44"/>
          </reference>
        </references>
      </pivotArea>
    </format>
    <format dxfId="410">
      <pivotArea field="4" grandCol="1" outline="0" axis="axisRow" fieldPosition="0">
        <references count="1">
          <reference field="4" count="35" selected="0">
            <x v="8"/>
            <x v="9"/>
            <x v="10"/>
            <x v="11"/>
            <x v="12"/>
            <x v="13"/>
            <x v="14"/>
            <x v="15"/>
            <x v="16"/>
            <x v="17"/>
            <x v="18"/>
            <x v="19"/>
            <x v="20"/>
            <x v="21"/>
            <x v="22"/>
            <x v="23"/>
            <x v="24"/>
            <x v="25"/>
            <x v="26"/>
            <x v="27"/>
            <x v="28"/>
            <x v="29"/>
            <x v="30"/>
            <x v="31"/>
            <x v="32"/>
            <x v="33"/>
            <x v="34"/>
            <x v="35"/>
            <x v="36"/>
            <x v="37"/>
            <x v="38"/>
            <x v="39"/>
            <x v="40"/>
            <x v="41"/>
            <x v="4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47710C-038B-47C3-A4B0-85FAC6EA97AB}"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Brood" colHeaderCaption="FW Age (Years)">
  <location ref="A3:K51" firstHeaderRow="1" firstDataRow="3" firstDataCol="1" rowPageCount="1" colPageCount="1"/>
  <pivotFields count="34">
    <pivotField axis="axisPage" showAll="0">
      <items count="3">
        <item x="0"/>
        <item x="1"/>
        <item t="default"/>
      </items>
    </pivotField>
    <pivotField showAll="0"/>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h="1" x="43"/>
        <item t="default"/>
      </items>
    </pivotField>
    <pivotField axis="axisRow" showAll="0">
      <items count="47">
        <item x="2"/>
        <item x="1"/>
        <item x="0"/>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x="1"/>
        <item x="2"/>
        <item x="3"/>
        <item x="4"/>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3"/>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Fields count="2">
    <field x="21"/>
    <field x="-2"/>
  </colFields>
  <colItems count="10">
    <i>
      <x/>
      <x/>
    </i>
    <i r="1" i="1">
      <x v="1"/>
    </i>
    <i>
      <x v="1"/>
      <x/>
    </i>
    <i r="1" i="1">
      <x v="1"/>
    </i>
    <i>
      <x v="2"/>
      <x/>
    </i>
    <i r="1" i="1">
      <x v="1"/>
    </i>
    <i>
      <x v="3"/>
      <x/>
    </i>
    <i r="1" i="1">
      <x v="1"/>
    </i>
    <i t="grand">
      <x/>
    </i>
    <i t="grand" i="1">
      <x/>
    </i>
  </colItems>
  <pageFields count="1">
    <pageField fld="0" item="0" hier="-1"/>
  </pageFields>
  <dataFields count="2">
    <dataField name="At Age" fld="25" baseField="2" baseItem="0" numFmtId="3"/>
    <dataField name="(%)" fld="25" showDataAs="percentOfRow" baseField="2" baseItem="0" numFmtId="9"/>
  </dataFields>
  <formats count="53">
    <format dxfId="409">
      <pivotArea dataOnly="0" labelOnly="1" fieldPosition="0">
        <references count="1">
          <reference field="21" count="4">
            <x v="0"/>
            <x v="1"/>
            <x v="2"/>
            <x v="3"/>
          </reference>
        </references>
      </pivotArea>
    </format>
    <format dxfId="408">
      <pivotArea field="21" dataOnly="0" labelOnly="1" grandCol="1" outline="0" axis="axisCol" fieldPosition="0">
        <references count="1">
          <reference field="4294967294" count="1" selected="0">
            <x v="0"/>
          </reference>
        </references>
      </pivotArea>
    </format>
    <format dxfId="406">
      <pivotArea field="21" dataOnly="0" labelOnly="1" grandCol="1" outline="0" axis="axisCol" fieldPosition="0">
        <references count="1">
          <reference field="4294967294" count="1" selected="0">
            <x v="1"/>
          </reference>
        </references>
      </pivotArea>
    </format>
    <format dxfId="404">
      <pivotArea dataOnly="0" labelOnly="1" outline="0" fieldPosition="0">
        <references count="2">
          <reference field="4294967294" count="2">
            <x v="0"/>
            <x v="1"/>
          </reference>
          <reference field="21" count="1" selected="0">
            <x v="0"/>
          </reference>
        </references>
      </pivotArea>
    </format>
    <format dxfId="403">
      <pivotArea dataOnly="0" labelOnly="1" outline="0" fieldPosition="0">
        <references count="2">
          <reference field="4294967294" count="2">
            <x v="0"/>
            <x v="1"/>
          </reference>
          <reference field="21" count="1" selected="0">
            <x v="1"/>
          </reference>
        </references>
      </pivotArea>
    </format>
    <format dxfId="402">
      <pivotArea dataOnly="0" labelOnly="1" outline="0" fieldPosition="0">
        <references count="2">
          <reference field="4294967294" count="2">
            <x v="0"/>
            <x v="1"/>
          </reference>
          <reference field="21" count="1" selected="0">
            <x v="2"/>
          </reference>
        </references>
      </pivotArea>
    </format>
    <format dxfId="401">
      <pivotArea dataOnly="0" labelOnly="1" outline="0" fieldPosition="0">
        <references count="2">
          <reference field="4294967294" count="2">
            <x v="0"/>
            <x v="1"/>
          </reference>
          <reference field="21" count="1" selected="0">
            <x v="3"/>
          </reference>
        </references>
      </pivotArea>
    </format>
    <format dxfId="386">
      <pivotArea type="all" dataOnly="0" outline="0" fieldPosition="0"/>
    </format>
    <format dxfId="385">
      <pivotArea outline="0" collapsedLevelsAreSubtotals="1" fieldPosition="0"/>
    </format>
    <format dxfId="384">
      <pivotArea dataOnly="0" labelOnly="1" grandRow="1" outline="0" fieldPosition="0"/>
    </format>
    <format dxfId="383">
      <pivotArea dataOnly="0" labelOnly="1" fieldPosition="0">
        <references count="1">
          <reference field="21" count="4">
            <x v="0"/>
            <x v="1"/>
            <x v="2"/>
            <x v="3"/>
          </reference>
        </references>
      </pivotArea>
    </format>
    <format dxfId="382">
      <pivotArea field="21" dataOnly="0" labelOnly="1" grandCol="1" outline="0" axis="axisCol" fieldPosition="0">
        <references count="1">
          <reference field="4294967294" count="1" selected="0">
            <x v="0"/>
          </reference>
        </references>
      </pivotArea>
    </format>
    <format dxfId="380">
      <pivotArea field="21" dataOnly="0" labelOnly="1" grandCol="1" outline="0" axis="axisCol" fieldPosition="0">
        <references count="1">
          <reference field="4294967294" count="1" selected="0">
            <x v="1"/>
          </reference>
        </references>
      </pivotArea>
    </format>
    <format dxfId="378">
      <pivotArea dataOnly="0" labelOnly="1" outline="0" fieldPosition="0">
        <references count="2">
          <reference field="4294967294" count="2">
            <x v="0"/>
            <x v="1"/>
          </reference>
          <reference field="21" count="1" selected="0">
            <x v="0"/>
          </reference>
        </references>
      </pivotArea>
    </format>
    <format dxfId="377">
      <pivotArea dataOnly="0" labelOnly="1" outline="0" fieldPosition="0">
        <references count="2">
          <reference field="4294967294" count="2">
            <x v="0"/>
            <x v="1"/>
          </reference>
          <reference field="21" count="1" selected="0">
            <x v="1"/>
          </reference>
        </references>
      </pivotArea>
    </format>
    <format dxfId="376">
      <pivotArea dataOnly="0" labelOnly="1" outline="0" fieldPosition="0">
        <references count="2">
          <reference field="4294967294" count="2">
            <x v="0"/>
            <x v="1"/>
          </reference>
          <reference field="21" count="1" selected="0">
            <x v="2"/>
          </reference>
        </references>
      </pivotArea>
    </format>
    <format dxfId="375">
      <pivotArea dataOnly="0" labelOnly="1" outline="0" fieldPosition="0">
        <references count="2">
          <reference field="4294967294" count="2">
            <x v="0"/>
            <x v="1"/>
          </reference>
          <reference field="21" count="1" selected="0">
            <x v="3"/>
          </reference>
        </references>
      </pivotArea>
    </format>
    <format dxfId="374">
      <pivotArea dataOnly="0" labelOnly="1" fieldPosition="0">
        <references count="1">
          <reference field="21" count="4">
            <x v="0"/>
            <x v="1"/>
            <x v="2"/>
            <x v="3"/>
          </reference>
        </references>
      </pivotArea>
    </format>
    <format dxfId="373">
      <pivotArea field="21" dataOnly="0" labelOnly="1" grandCol="1" outline="0" axis="axisCol" fieldPosition="0">
        <references count="1">
          <reference field="4294967294" count="1" selected="0">
            <x v="0"/>
          </reference>
        </references>
      </pivotArea>
    </format>
    <format dxfId="371">
      <pivotArea field="21" dataOnly="0" labelOnly="1" grandCol="1" outline="0" axis="axisCol" fieldPosition="0">
        <references count="1">
          <reference field="4294967294" count="1" selected="0">
            <x v="1"/>
          </reference>
        </references>
      </pivotArea>
    </format>
    <format dxfId="369">
      <pivotArea dataOnly="0" labelOnly="1" outline="0" fieldPosition="0">
        <references count="2">
          <reference field="4294967294" count="2">
            <x v="0"/>
            <x v="1"/>
          </reference>
          <reference field="21" count="1" selected="0">
            <x v="0"/>
          </reference>
        </references>
      </pivotArea>
    </format>
    <format dxfId="368">
      <pivotArea dataOnly="0" labelOnly="1" outline="0" fieldPosition="0">
        <references count="2">
          <reference field="4294967294" count="2">
            <x v="0"/>
            <x v="1"/>
          </reference>
          <reference field="21" count="1" selected="0">
            <x v="1"/>
          </reference>
        </references>
      </pivotArea>
    </format>
    <format dxfId="367">
      <pivotArea dataOnly="0" labelOnly="1" outline="0" fieldPosition="0">
        <references count="2">
          <reference field="4294967294" count="2">
            <x v="0"/>
            <x v="1"/>
          </reference>
          <reference field="21" count="1" selected="0">
            <x v="2"/>
          </reference>
        </references>
      </pivotArea>
    </format>
    <format dxfId="366">
      <pivotArea dataOnly="0" labelOnly="1" outline="0" fieldPosition="0">
        <references count="2">
          <reference field="4294967294" count="2">
            <x v="0"/>
            <x v="1"/>
          </reference>
          <reference field="21" count="1" selected="0">
            <x v="3"/>
          </reference>
        </references>
      </pivotArea>
    </format>
    <format dxfId="362">
      <pivotArea type="topRight" dataOnly="0" labelOnly="1" outline="0" fieldPosition="0"/>
    </format>
    <format dxfId="359">
      <pivotArea dataOnly="0" labelOnly="1" fieldPosition="0">
        <references count="1">
          <reference field="21" count="4">
            <x v="0"/>
            <x v="1"/>
            <x v="2"/>
            <x v="3"/>
          </reference>
        </references>
      </pivotArea>
    </format>
    <format dxfId="356">
      <pivotArea field="21" type="button" dataOnly="0" labelOnly="1" outline="0" axis="axisCol" fieldPosition="0"/>
    </format>
    <format dxfId="354">
      <pivotArea field="-2" type="button" dataOnly="0" labelOnly="1" outline="0" axis="axisCol" fieldPosition="1"/>
    </format>
    <format dxfId="352">
      <pivotArea type="topRight" dataOnly="0" labelOnly="1" outline="0" offset="A1:F1" fieldPosition="0"/>
    </format>
    <format dxfId="350">
      <pivotArea field="2" type="button" dataOnly="0" labelOnly="1" outline="0"/>
    </format>
    <format dxfId="346">
      <pivotArea dataOnly="0" labelOnly="1" outline="0" fieldPosition="0">
        <references count="2">
          <reference field="4294967294" count="2">
            <x v="0"/>
            <x v="1"/>
          </reference>
          <reference field="21" count="1" selected="0">
            <x v="0"/>
          </reference>
        </references>
      </pivotArea>
    </format>
    <format dxfId="344">
      <pivotArea dataOnly="0" labelOnly="1" outline="0" fieldPosition="0">
        <references count="2">
          <reference field="4294967294" count="2">
            <x v="0"/>
            <x v="1"/>
          </reference>
          <reference field="21" count="1" selected="0">
            <x v="1"/>
          </reference>
        </references>
      </pivotArea>
    </format>
    <format dxfId="342">
      <pivotArea dataOnly="0" labelOnly="1" outline="0" fieldPosition="0">
        <references count="2">
          <reference field="4294967294" count="2">
            <x v="0"/>
            <x v="1"/>
          </reference>
          <reference field="21" count="1" selected="0">
            <x v="2"/>
          </reference>
        </references>
      </pivotArea>
    </format>
    <format dxfId="340">
      <pivotArea dataOnly="0" labelOnly="1" outline="0" fieldPosition="0">
        <references count="2">
          <reference field="4294967294" count="2">
            <x v="0"/>
            <x v="1"/>
          </reference>
          <reference field="21" count="1" selected="0">
            <x v="3"/>
          </reference>
        </references>
      </pivotArea>
    </format>
    <format dxfId="338">
      <pivotArea dataOnly="0" labelOnly="1" fieldPosition="0">
        <references count="1">
          <reference field="21" count="1">
            <x v="0"/>
          </reference>
        </references>
      </pivotArea>
    </format>
    <format dxfId="337">
      <pivotArea dataOnly="0" labelOnly="1" outline="0" fieldPosition="0">
        <references count="2">
          <reference field="4294967294" count="2">
            <x v="0"/>
            <x v="1"/>
          </reference>
          <reference field="21" count="1" selected="0">
            <x v="0"/>
          </reference>
        </references>
      </pivotArea>
    </format>
    <format dxfId="336">
      <pivotArea dataOnly="0" labelOnly="1" fieldPosition="0">
        <references count="1">
          <reference field="21" count="1">
            <x v="1"/>
          </reference>
        </references>
      </pivotArea>
    </format>
    <format dxfId="335">
      <pivotArea dataOnly="0" labelOnly="1" outline="0" fieldPosition="0">
        <references count="2">
          <reference field="4294967294" count="2">
            <x v="0"/>
            <x v="1"/>
          </reference>
          <reference field="21" count="1" selected="0">
            <x v="1"/>
          </reference>
        </references>
      </pivotArea>
    </format>
    <format dxfId="334">
      <pivotArea dataOnly="0" labelOnly="1" fieldPosition="0">
        <references count="1">
          <reference field="21" count="1">
            <x v="2"/>
          </reference>
        </references>
      </pivotArea>
    </format>
    <format dxfId="333">
      <pivotArea dataOnly="0" labelOnly="1" outline="0" fieldPosition="0">
        <references count="2">
          <reference field="4294967294" count="2">
            <x v="0"/>
            <x v="1"/>
          </reference>
          <reference field="21" count="1" selected="0">
            <x v="2"/>
          </reference>
        </references>
      </pivotArea>
    </format>
    <format dxfId="332">
      <pivotArea dataOnly="0" labelOnly="1" fieldPosition="0">
        <references count="1">
          <reference field="21" count="1">
            <x v="3"/>
          </reference>
        </references>
      </pivotArea>
    </format>
    <format dxfId="331">
      <pivotArea dataOnly="0" labelOnly="1" outline="0" fieldPosition="0">
        <references count="2">
          <reference field="4294967294" count="2">
            <x v="0"/>
            <x v="1"/>
          </reference>
          <reference field="21" count="1" selected="0">
            <x v="3"/>
          </reference>
        </references>
      </pivotArea>
    </format>
    <format dxfId="330">
      <pivotArea dataOnly="0" labelOnly="1" fieldPosition="0">
        <references count="1">
          <reference field="21" count="4">
            <x v="0"/>
            <x v="1"/>
            <x v="2"/>
            <x v="3"/>
          </reference>
        </references>
      </pivotArea>
    </format>
    <format dxfId="23">
      <pivotArea type="origin" dataOnly="0" labelOnly="1" outline="0" fieldPosition="0"/>
    </format>
    <format dxfId="21">
      <pivotArea field="3" type="button" dataOnly="0" labelOnly="1" outline="0" axis="axisRow" fieldPosition="0"/>
    </format>
    <format dxfId="19">
      <pivotArea dataOnly="0" labelOnly="1" outline="0" fieldPosition="0">
        <references count="1">
          <reference field="0" count="1">
            <x v="0"/>
          </reference>
        </references>
      </pivotArea>
    </format>
    <format dxfId="18">
      <pivotArea dataOnly="0" labelOnly="1" outline="0" fieldPosition="0">
        <references count="1">
          <reference field="0" count="1">
            <x v="0"/>
          </reference>
        </references>
      </pivotArea>
    </format>
    <format dxfId="11">
      <pivotArea type="topRight" dataOnly="0" labelOnly="1" outline="0" offset="G1" fieldPosition="0"/>
    </format>
    <format dxfId="9">
      <pivotArea field="21" dataOnly="0" labelOnly="1" grandCol="1" outline="0" axis="axisCol" fieldPosition="0">
        <references count="1">
          <reference field="4294967294" count="1" selected="0">
            <x v="0"/>
          </reference>
        </references>
      </pivotArea>
    </format>
    <format dxfId="6">
      <pivotArea field="21" dataOnly="0" labelOnly="1" grandCol="1" outline="0" axis="axisCol" fieldPosition="0">
        <references count="1">
          <reference field="4294967294" count="1" selected="0">
            <x v="1"/>
          </reference>
        </references>
      </pivotArea>
    </format>
    <format dxfId="3">
      <pivotArea type="topRight" dataOnly="0" labelOnly="1" outline="0" offset="H1" fieldPosition="0"/>
    </format>
    <format dxfId="1">
      <pivotArea field="21" dataOnly="0" labelOnly="1" grandCol="1" outline="0" axis="axisCol" fieldPosition="0">
        <references count="1">
          <reference field="4294967294" count="1" selected="0">
            <x v="0"/>
          </reference>
        </references>
      </pivotArea>
    </format>
    <format dxfId="0">
      <pivotArea field="21" dataOnly="0" labelOnly="1" grandCol="1" outline="0" axis="axisCol" fieldPosition="0">
        <references count="1">
          <reference field="4294967294" count="1" selected="0">
            <x v="1"/>
          </reference>
        </references>
      </pivotArea>
    </format>
  </formats>
  <conditionalFormats count="5">
    <conditionalFormat priority="5">
      <pivotAreas count="1">
        <pivotArea type="data" grandCol="1" collapsedLevelsAreSubtotals="1" fieldPosition="0">
          <references count="2">
            <reference field="4294967294" count="1" selected="0">
              <x v="0"/>
            </reference>
            <reference field="3" count="45">
              <x v="0"/>
              <x v="1"/>
              <x v="2"/>
              <x v="3"/>
              <x v="4"/>
              <x v="5"/>
              <x v="6"/>
              <x v="7"/>
              <x v="8"/>
              <x v="9"/>
              <x v="10"/>
              <x v="11"/>
              <x v="12"/>
              <x v="13"/>
              <x v="14"/>
              <x v="15"/>
              <x v="16"/>
              <x v="17"/>
              <x v="18"/>
              <x v="19"/>
              <x v="20"/>
              <x v="21"/>
              <x v="22"/>
              <x v="23"/>
              <x v="24"/>
              <x v="25"/>
              <x v="26"/>
              <x v="27"/>
              <x v="28"/>
              <x v="29"/>
              <x v="30"/>
              <x v="31"/>
              <x v="32"/>
              <x v="33"/>
              <x v="34"/>
              <x v="35"/>
              <x v="36"/>
              <x v="37"/>
              <x v="38"/>
              <x v="39"/>
              <x v="40"/>
              <x v="41"/>
              <x v="42"/>
              <x v="43"/>
              <x v="44"/>
            </reference>
          </references>
        </pivotArea>
      </pivotAreas>
    </conditionalFormat>
    <conditionalFormat priority="4">
      <pivotAreas count="1">
        <pivotArea type="data" outline="0" collapsedLevelsAreSubtotals="1" fieldPosition="0">
          <references count="2">
            <reference field="4294967294" count="1" selected="0">
              <x v="1"/>
            </reference>
            <reference field="21" count="1" selected="0">
              <x v="0"/>
            </reference>
          </references>
        </pivotArea>
      </pivotAreas>
    </conditionalFormat>
    <conditionalFormat priority="3">
      <pivotAreas count="1">
        <pivotArea type="data" outline="0" collapsedLevelsAreSubtotals="1" fieldPosition="0">
          <references count="2">
            <reference field="4294967294" count="1" selected="0">
              <x v="1"/>
            </reference>
            <reference field="21" count="1" selected="0">
              <x v="1"/>
            </reference>
          </references>
        </pivotArea>
      </pivotAreas>
    </conditionalFormat>
    <conditionalFormat priority="2">
      <pivotAreas count="1">
        <pivotArea type="data" outline="0" collapsedLevelsAreSubtotals="1" fieldPosition="0">
          <references count="2">
            <reference field="4294967294" count="1" selected="0">
              <x v="1"/>
            </reference>
            <reference field="21" count="1" selected="0">
              <x v="2"/>
            </reference>
          </references>
        </pivotArea>
      </pivotAreas>
    </conditionalFormat>
    <conditionalFormat priority="1">
      <pivotAreas count="1">
        <pivotArea type="data" outline="0" collapsedLevelsAreSubtotals="1" fieldPosition="0">
          <references count="2">
            <reference field="4294967294" count="1" selected="0">
              <x v="1"/>
            </reference>
            <reference field="21" count="1" selected="0">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227" dT="2022-06-14T23:00:26.97" personId="{294E98C2-59BB-4772-9417-CDE16FB47E13}" id="{42B5370C-9C94-493D-A306-C461B4AEBCB5}">
    <text>Age comp (prelim) from JF 22.05.06 email</text>
  </threadedComment>
  <threadedComment ref="W233" dT="2022-06-14T23:00:26.97" personId="{294E98C2-59BB-4772-9417-CDE16FB47E13}" id="{6669782B-7F58-4FE5-B91C-013AF5B5DA5D}">
    <text>Age comp (prelim) from JF 22.05.06 email</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4.bin"/><Relationship Id="rId1" Type="http://schemas.openxmlformats.org/officeDocument/2006/relationships/pivotTable" Target="../pivotTables/pivotTable1.xml"/><Relationship Id="rId4"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printerSettings" Target="../printerSettings/printerSettings15.bin"/><Relationship Id="rId1" Type="http://schemas.openxmlformats.org/officeDocument/2006/relationships/pivotTable" Target="../pivotTables/pivotTable2.xml"/><Relationship Id="rId4" Type="http://schemas.openxmlformats.org/officeDocument/2006/relationships/comments" Target="../comments12.xm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ivotTable" Target="../pivotTables/pivotTable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hyperlink" Target="mailto:howard.stiff@dfo-mpo.gc.ca" TargetMode="External"/><Relationship Id="rId13" Type="http://schemas.openxmlformats.org/officeDocument/2006/relationships/hyperlink" Target="mailto:athena.ogden@dfo-mpo.gc.ca" TargetMode="External"/><Relationship Id="rId3" Type="http://schemas.openxmlformats.org/officeDocument/2006/relationships/hyperlink" Target="mailto:howard.stiff@dfo-mpo.gc.ca" TargetMode="External"/><Relationship Id="rId7" Type="http://schemas.openxmlformats.org/officeDocument/2006/relationships/hyperlink" Target="mailto:howard.stiff@dfo-mpo.gc.ca" TargetMode="External"/><Relationship Id="rId12" Type="http://schemas.openxmlformats.org/officeDocument/2006/relationships/hyperlink" Target="mailto:howard.stiff@dfo-mpo.gc.ca" TargetMode="External"/><Relationship Id="rId2" Type="http://schemas.openxmlformats.org/officeDocument/2006/relationships/hyperlink" Target="mailto:howard.stiff@dfo-mpo.gc.ca" TargetMode="External"/><Relationship Id="rId16" Type="http://schemas.openxmlformats.org/officeDocument/2006/relationships/comments" Target="../comments1.xml"/><Relationship Id="rId1" Type="http://schemas.openxmlformats.org/officeDocument/2006/relationships/hyperlink" Target="mailto:howard.stiff@dfo-mpo.gc.ca" TargetMode="External"/><Relationship Id="rId6" Type="http://schemas.openxmlformats.org/officeDocument/2006/relationships/hyperlink" Target="mailto:howard.stiff@dfo-mpo.gc.ca" TargetMode="External"/><Relationship Id="rId11" Type="http://schemas.openxmlformats.org/officeDocument/2006/relationships/hyperlink" Target="mailto:howard.stiff@dfo-mpo.gc.ca" TargetMode="External"/><Relationship Id="rId5" Type="http://schemas.openxmlformats.org/officeDocument/2006/relationships/hyperlink" Target="mailto:howard.stiff@dfo-mpo.gc.ca" TargetMode="External"/><Relationship Id="rId15" Type="http://schemas.openxmlformats.org/officeDocument/2006/relationships/vmlDrawing" Target="../drawings/vmlDrawing1.vml"/><Relationship Id="rId10" Type="http://schemas.openxmlformats.org/officeDocument/2006/relationships/hyperlink" Target="mailto:howard.stiff@dfo-mpo.gc.ca" TargetMode="External"/><Relationship Id="rId4" Type="http://schemas.openxmlformats.org/officeDocument/2006/relationships/hyperlink" Target="mailto:howard.stiff@dfo-mpo.gc.ca" TargetMode="External"/><Relationship Id="rId9" Type="http://schemas.openxmlformats.org/officeDocument/2006/relationships/hyperlink" Target="mailto:howard.stiff@dfo-mpo.gc.c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hyperlink" Target="mailto:howard.stiff@shaw.ca" TargetMode="External"/><Relationship Id="rId18" Type="http://schemas.openxmlformats.org/officeDocument/2006/relationships/hyperlink" Target="mailto:howard.stiff@shaw.ca" TargetMode="External"/><Relationship Id="rId26" Type="http://schemas.openxmlformats.org/officeDocument/2006/relationships/hyperlink" Target="mailto:howard.stiff@shaw.ca" TargetMode="External"/><Relationship Id="rId39" Type="http://schemas.openxmlformats.org/officeDocument/2006/relationships/vmlDrawing" Target="../drawings/vmlDrawing4.vml"/><Relationship Id="rId21" Type="http://schemas.openxmlformats.org/officeDocument/2006/relationships/hyperlink" Target="mailto:howard.stiff@shaw.ca" TargetMode="External"/><Relationship Id="rId34" Type="http://schemas.openxmlformats.org/officeDocument/2006/relationships/hyperlink" Target="mailto:howard.stiff@shaw.ca" TargetMode="External"/><Relationship Id="rId7" Type="http://schemas.openxmlformats.org/officeDocument/2006/relationships/hyperlink" Target="mailto:howard.stiff@shaw.ca" TargetMode="External"/><Relationship Id="rId12" Type="http://schemas.openxmlformats.org/officeDocument/2006/relationships/hyperlink" Target="mailto:howard.stiff@shaw.ca" TargetMode="External"/><Relationship Id="rId17" Type="http://schemas.openxmlformats.org/officeDocument/2006/relationships/hyperlink" Target="mailto:howard.stiff@shaw.ca" TargetMode="External"/><Relationship Id="rId25" Type="http://schemas.openxmlformats.org/officeDocument/2006/relationships/hyperlink" Target="mailto:howard.stiff@shaw.ca" TargetMode="External"/><Relationship Id="rId33" Type="http://schemas.openxmlformats.org/officeDocument/2006/relationships/hyperlink" Target="mailto:howard.stiff@shaw.ca" TargetMode="External"/><Relationship Id="rId38" Type="http://schemas.openxmlformats.org/officeDocument/2006/relationships/printerSettings" Target="../printerSettings/printerSettings5.bin"/><Relationship Id="rId2" Type="http://schemas.openxmlformats.org/officeDocument/2006/relationships/hyperlink" Target="mailto:howard.stiff@shaw.ca" TargetMode="External"/><Relationship Id="rId16" Type="http://schemas.openxmlformats.org/officeDocument/2006/relationships/hyperlink" Target="mailto:howard.stiff@shaw.ca" TargetMode="External"/><Relationship Id="rId20" Type="http://schemas.openxmlformats.org/officeDocument/2006/relationships/hyperlink" Target="mailto:howard.stiff@shaw.ca" TargetMode="External"/><Relationship Id="rId29" Type="http://schemas.openxmlformats.org/officeDocument/2006/relationships/hyperlink" Target="mailto:howard.stiff@shaw.ca" TargetMode="External"/><Relationship Id="rId1" Type="http://schemas.openxmlformats.org/officeDocument/2006/relationships/hyperlink" Target="mailto:howard.stiff@shaw.ca" TargetMode="External"/><Relationship Id="rId6" Type="http://schemas.openxmlformats.org/officeDocument/2006/relationships/hyperlink" Target="mailto:howard.stiff@shaw.ca" TargetMode="External"/><Relationship Id="rId11" Type="http://schemas.openxmlformats.org/officeDocument/2006/relationships/hyperlink" Target="mailto:howard.stiff@shaw.ca" TargetMode="External"/><Relationship Id="rId24" Type="http://schemas.openxmlformats.org/officeDocument/2006/relationships/hyperlink" Target="mailto:howard.stiff@shaw.ca" TargetMode="External"/><Relationship Id="rId32" Type="http://schemas.openxmlformats.org/officeDocument/2006/relationships/hyperlink" Target="mailto:howard.stiff@shaw.ca" TargetMode="External"/><Relationship Id="rId37" Type="http://schemas.openxmlformats.org/officeDocument/2006/relationships/hyperlink" Target="mailto:howard.stiff@shaw.ca" TargetMode="External"/><Relationship Id="rId40" Type="http://schemas.openxmlformats.org/officeDocument/2006/relationships/comments" Target="../comments4.xml"/><Relationship Id="rId5" Type="http://schemas.openxmlformats.org/officeDocument/2006/relationships/hyperlink" Target="mailto:howard.stiff@shaw.ca" TargetMode="External"/><Relationship Id="rId15" Type="http://schemas.openxmlformats.org/officeDocument/2006/relationships/hyperlink" Target="mailto:howard.stiff@shaw.ca" TargetMode="External"/><Relationship Id="rId23" Type="http://schemas.openxmlformats.org/officeDocument/2006/relationships/hyperlink" Target="mailto:howard.stiff@shaw.ca" TargetMode="External"/><Relationship Id="rId28" Type="http://schemas.openxmlformats.org/officeDocument/2006/relationships/hyperlink" Target="mailto:howard.stiff@shaw.ca" TargetMode="External"/><Relationship Id="rId36" Type="http://schemas.openxmlformats.org/officeDocument/2006/relationships/hyperlink" Target="mailto:howard.stiff@shaw.ca" TargetMode="External"/><Relationship Id="rId10" Type="http://schemas.openxmlformats.org/officeDocument/2006/relationships/hyperlink" Target="mailto:howard.stiff@shaw.ca" TargetMode="External"/><Relationship Id="rId19" Type="http://schemas.openxmlformats.org/officeDocument/2006/relationships/hyperlink" Target="mailto:howard.stiff@shaw.ca" TargetMode="External"/><Relationship Id="rId31" Type="http://schemas.openxmlformats.org/officeDocument/2006/relationships/hyperlink" Target="mailto:howard.stiff@shaw.ca" TargetMode="External"/><Relationship Id="rId4" Type="http://schemas.openxmlformats.org/officeDocument/2006/relationships/hyperlink" Target="mailto:howard.stiff@shaw.ca" TargetMode="External"/><Relationship Id="rId9" Type="http://schemas.openxmlformats.org/officeDocument/2006/relationships/hyperlink" Target="mailto:howard.stiff@shaw.ca" TargetMode="External"/><Relationship Id="rId14" Type="http://schemas.openxmlformats.org/officeDocument/2006/relationships/hyperlink" Target="mailto:howard.stiff@shaw.ca" TargetMode="External"/><Relationship Id="rId22" Type="http://schemas.openxmlformats.org/officeDocument/2006/relationships/hyperlink" Target="mailto:howard.stiff@shaw.ca" TargetMode="External"/><Relationship Id="rId27" Type="http://schemas.openxmlformats.org/officeDocument/2006/relationships/hyperlink" Target="mailto:howard.stiff@shaw.ca" TargetMode="External"/><Relationship Id="rId30" Type="http://schemas.openxmlformats.org/officeDocument/2006/relationships/hyperlink" Target="mailto:howard.stiff@shaw.ca" TargetMode="External"/><Relationship Id="rId35" Type="http://schemas.openxmlformats.org/officeDocument/2006/relationships/hyperlink" Target="mailto:howard.stiff@shaw.ca" TargetMode="External"/><Relationship Id="rId8" Type="http://schemas.openxmlformats.org/officeDocument/2006/relationships/hyperlink" Target="mailto:howard.stiff@shaw.ca" TargetMode="External"/><Relationship Id="rId3" Type="http://schemas.openxmlformats.org/officeDocument/2006/relationships/hyperlink" Target="mailto:howard.stiff@shaw.ca"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J104"/>
  <sheetViews>
    <sheetView workbookViewId="0">
      <pane ySplit="2" topLeftCell="A80" activePane="bottomLeft" state="frozen"/>
      <selection activeCell="G42" sqref="G42"/>
      <selection pane="bottomLeft" activeCell="C82" sqref="C82"/>
    </sheetView>
  </sheetViews>
  <sheetFormatPr defaultRowHeight="14.4" x14ac:dyDescent="0.3"/>
  <cols>
    <col min="1" max="1" width="15.6640625" customWidth="1"/>
    <col min="2" max="2" width="15.88671875" customWidth="1"/>
    <col min="3" max="3" width="142.5546875" bestFit="1" customWidth="1"/>
    <col min="6" max="6" width="10.109375" bestFit="1" customWidth="1"/>
    <col min="7" max="7" width="18" customWidth="1"/>
    <col min="8" max="8" width="9.109375" bestFit="1" customWidth="1"/>
    <col min="9" max="9" width="10.109375" bestFit="1" customWidth="1"/>
  </cols>
  <sheetData>
    <row r="1" spans="1:3" ht="39" customHeight="1" thickBot="1" x14ac:dyDescent="0.35">
      <c r="A1" s="901" t="s">
        <v>151</v>
      </c>
      <c r="B1" s="902"/>
      <c r="C1" s="903"/>
    </row>
    <row r="2" spans="1:3" ht="15" thickBot="1" x14ac:dyDescent="0.35">
      <c r="A2" s="243" t="s">
        <v>29</v>
      </c>
      <c r="B2" s="251" t="s">
        <v>93</v>
      </c>
      <c r="C2" s="252" t="s">
        <v>30</v>
      </c>
    </row>
    <row r="3" spans="1:3" ht="21.6" customHeight="1" thickBot="1" x14ac:dyDescent="0.35">
      <c r="A3" s="924" t="s">
        <v>104</v>
      </c>
      <c r="B3" s="308" t="s">
        <v>94</v>
      </c>
      <c r="C3" s="253" t="s">
        <v>188</v>
      </c>
    </row>
    <row r="4" spans="1:3" ht="18.600000000000001" thickBot="1" x14ac:dyDescent="0.35">
      <c r="A4" s="925"/>
      <c r="B4" s="245" t="s">
        <v>95</v>
      </c>
      <c r="C4" s="254" t="s">
        <v>120</v>
      </c>
    </row>
    <row r="5" spans="1:3" x14ac:dyDescent="0.3">
      <c r="A5" s="925"/>
      <c r="B5" s="918" t="s">
        <v>109</v>
      </c>
      <c r="C5" s="258" t="s">
        <v>106</v>
      </c>
    </row>
    <row r="6" spans="1:3" ht="28.8" x14ac:dyDescent="0.3">
      <c r="A6" s="925"/>
      <c r="B6" s="919"/>
      <c r="C6" s="259" t="s">
        <v>107</v>
      </c>
    </row>
    <row r="7" spans="1:3" ht="15" thickBot="1" x14ac:dyDescent="0.35">
      <c r="A7" s="925"/>
      <c r="B7" s="920"/>
      <c r="C7" s="260" t="s">
        <v>108</v>
      </c>
    </row>
    <row r="8" spans="1:3" ht="28.8" x14ac:dyDescent="0.3">
      <c r="A8" s="925"/>
      <c r="B8" s="921" t="s">
        <v>110</v>
      </c>
      <c r="C8" s="261" t="s">
        <v>171</v>
      </c>
    </row>
    <row r="9" spans="1:3" x14ac:dyDescent="0.3">
      <c r="A9" s="925"/>
      <c r="B9" s="922"/>
      <c r="C9" s="268" t="s">
        <v>100</v>
      </c>
    </row>
    <row r="10" spans="1:3" ht="29.4" thickBot="1" x14ac:dyDescent="0.35">
      <c r="A10" s="925"/>
      <c r="B10" s="923"/>
      <c r="C10" s="262" t="s">
        <v>172</v>
      </c>
    </row>
    <row r="11" spans="1:3" ht="23.4" customHeight="1" x14ac:dyDescent="0.3">
      <c r="A11" s="925"/>
      <c r="B11" s="904" t="s">
        <v>92</v>
      </c>
      <c r="C11" s="263" t="s">
        <v>173</v>
      </c>
    </row>
    <row r="12" spans="1:3" ht="23.4" customHeight="1" thickBot="1" x14ac:dyDescent="0.35">
      <c r="A12" s="926"/>
      <c r="B12" s="905"/>
      <c r="C12" s="264" t="s">
        <v>174</v>
      </c>
    </row>
    <row r="13" spans="1:3" ht="23.4" customHeight="1" x14ac:dyDescent="0.3">
      <c r="A13" s="926"/>
      <c r="B13" s="915" t="s">
        <v>36</v>
      </c>
      <c r="C13" s="255" t="s">
        <v>190</v>
      </c>
    </row>
    <row r="14" spans="1:3" ht="30" customHeight="1" x14ac:dyDescent="0.3">
      <c r="A14" s="926"/>
      <c r="B14" s="916"/>
      <c r="C14" s="256" t="s">
        <v>171</v>
      </c>
    </row>
    <row r="15" spans="1:3" ht="30.6" customHeight="1" thickBot="1" x14ac:dyDescent="0.35">
      <c r="A15" s="926"/>
      <c r="B15" s="917"/>
      <c r="C15" s="257" t="s">
        <v>105</v>
      </c>
    </row>
    <row r="16" spans="1:3" ht="28.8" x14ac:dyDescent="0.3">
      <c r="A16" s="926"/>
      <c r="B16" s="906" t="s">
        <v>111</v>
      </c>
      <c r="C16" s="265" t="s">
        <v>112</v>
      </c>
    </row>
    <row r="17" spans="1:3" ht="28.8" x14ac:dyDescent="0.3">
      <c r="A17" s="926"/>
      <c r="B17" s="907"/>
      <c r="C17" s="266" t="s">
        <v>195</v>
      </c>
    </row>
    <row r="18" spans="1:3" ht="19.95" customHeight="1" thickBot="1" x14ac:dyDescent="0.35">
      <c r="A18" s="927"/>
      <c r="B18" s="908"/>
      <c r="C18" s="267" t="s">
        <v>125</v>
      </c>
    </row>
    <row r="19" spans="1:3" ht="18.600000000000001" thickBot="1" x14ac:dyDescent="0.35">
      <c r="A19" s="912" t="s">
        <v>18</v>
      </c>
      <c r="B19" s="308" t="s">
        <v>94</v>
      </c>
      <c r="C19" s="253" t="s">
        <v>188</v>
      </c>
    </row>
    <row r="20" spans="1:3" ht="18" customHeight="1" thickBot="1" x14ac:dyDescent="0.35">
      <c r="A20" s="913"/>
      <c r="B20" s="245" t="s">
        <v>95</v>
      </c>
      <c r="C20" s="254" t="s">
        <v>121</v>
      </c>
    </row>
    <row r="21" spans="1:3" ht="43.2" x14ac:dyDescent="0.3">
      <c r="A21" s="913"/>
      <c r="B21" s="931" t="s">
        <v>91</v>
      </c>
      <c r="C21" s="258" t="s">
        <v>212</v>
      </c>
    </row>
    <row r="22" spans="1:3" ht="28.8" x14ac:dyDescent="0.3">
      <c r="A22" s="913"/>
      <c r="B22" s="932"/>
      <c r="C22" s="259" t="s">
        <v>98</v>
      </c>
    </row>
    <row r="23" spans="1:3" ht="15" thickBot="1" x14ac:dyDescent="0.35">
      <c r="A23" s="913"/>
      <c r="B23" s="933"/>
      <c r="C23" s="260" t="s">
        <v>99</v>
      </c>
    </row>
    <row r="24" spans="1:3" ht="43.2" x14ac:dyDescent="0.3">
      <c r="A24" s="913"/>
      <c r="B24" s="921" t="s">
        <v>113</v>
      </c>
      <c r="C24" s="261" t="s">
        <v>210</v>
      </c>
    </row>
    <row r="25" spans="1:3" x14ac:dyDescent="0.3">
      <c r="A25" s="913"/>
      <c r="B25" s="928"/>
      <c r="C25" s="268" t="s">
        <v>100</v>
      </c>
    </row>
    <row r="26" spans="1:3" ht="15" thickBot="1" x14ac:dyDescent="0.35">
      <c r="A26" s="913"/>
      <c r="B26" s="923"/>
      <c r="C26" s="262" t="s">
        <v>101</v>
      </c>
    </row>
    <row r="27" spans="1:3" ht="21" customHeight="1" x14ac:dyDescent="0.3">
      <c r="A27" s="913"/>
      <c r="B27" s="929" t="s">
        <v>92</v>
      </c>
      <c r="C27" s="263" t="s">
        <v>102</v>
      </c>
    </row>
    <row r="28" spans="1:3" ht="21" customHeight="1" thickBot="1" x14ac:dyDescent="0.35">
      <c r="A28" s="913"/>
      <c r="B28" s="930"/>
      <c r="C28" s="269" t="s">
        <v>103</v>
      </c>
    </row>
    <row r="29" spans="1:3" ht="28.8" x14ac:dyDescent="0.3">
      <c r="A29" s="913"/>
      <c r="B29" s="909" t="s">
        <v>111</v>
      </c>
      <c r="C29" s="265" t="s">
        <v>119</v>
      </c>
    </row>
    <row r="30" spans="1:3" ht="29.4" thickBot="1" x14ac:dyDescent="0.35">
      <c r="A30" s="913"/>
      <c r="B30" s="910"/>
      <c r="C30" s="267" t="s">
        <v>135</v>
      </c>
    </row>
    <row r="31" spans="1:3" ht="16.2" customHeight="1" thickBot="1" x14ac:dyDescent="0.35">
      <c r="A31" s="914"/>
      <c r="B31" s="911"/>
      <c r="C31" s="267" t="s">
        <v>126</v>
      </c>
    </row>
    <row r="32" spans="1:3" ht="64.2" customHeight="1" thickBot="1" x14ac:dyDescent="0.35">
      <c r="A32" s="946" t="s">
        <v>97</v>
      </c>
      <c r="B32" s="934" t="s">
        <v>133</v>
      </c>
      <c r="C32" s="935"/>
    </row>
    <row r="33" spans="1:3" ht="61.2" customHeight="1" thickBot="1" x14ac:dyDescent="0.35">
      <c r="A33" s="947"/>
      <c r="B33" s="934" t="s">
        <v>134</v>
      </c>
      <c r="C33" s="935"/>
    </row>
    <row r="34" spans="1:3" s="246" customFormat="1" ht="54.6" customHeight="1" thickBot="1" x14ac:dyDescent="0.35">
      <c r="A34" s="947"/>
      <c r="B34" s="934" t="s">
        <v>129</v>
      </c>
      <c r="C34" s="935"/>
    </row>
    <row r="35" spans="1:3" ht="18" x14ac:dyDescent="0.3">
      <c r="A35" s="947"/>
      <c r="B35" s="308" t="s">
        <v>94</v>
      </c>
      <c r="C35" s="253" t="s">
        <v>188</v>
      </c>
    </row>
    <row r="36" spans="1:3" ht="18" customHeight="1" x14ac:dyDescent="0.3">
      <c r="A36" s="947"/>
      <c r="B36" s="247" t="s">
        <v>95</v>
      </c>
      <c r="C36" s="270" t="s">
        <v>120</v>
      </c>
    </row>
    <row r="37" spans="1:3" ht="18" customHeight="1" x14ac:dyDescent="0.3">
      <c r="A37" s="947"/>
      <c r="B37" s="248" t="s">
        <v>115</v>
      </c>
      <c r="C37" s="259" t="s">
        <v>114</v>
      </c>
    </row>
    <row r="38" spans="1:3" ht="18" x14ac:dyDescent="0.3">
      <c r="A38" s="947"/>
      <c r="B38" s="249" t="s">
        <v>116</v>
      </c>
      <c r="C38" s="268" t="s">
        <v>130</v>
      </c>
    </row>
    <row r="39" spans="1:3" ht="18" customHeight="1" x14ac:dyDescent="0.3">
      <c r="A39" s="947"/>
      <c r="B39" s="250" t="s">
        <v>96</v>
      </c>
      <c r="C39" s="271" t="s">
        <v>140</v>
      </c>
    </row>
    <row r="40" spans="1:3" ht="14.4" customHeight="1" x14ac:dyDescent="0.3">
      <c r="A40" s="947"/>
      <c r="B40" s="948" t="s">
        <v>111</v>
      </c>
      <c r="C40" s="272" t="s">
        <v>136</v>
      </c>
    </row>
    <row r="41" spans="1:3" ht="15.6" customHeight="1" x14ac:dyDescent="0.3">
      <c r="A41" s="947"/>
      <c r="B41" s="948"/>
      <c r="C41" s="273" t="s">
        <v>137</v>
      </c>
    </row>
    <row r="42" spans="1:3" ht="28.8" x14ac:dyDescent="0.3">
      <c r="A42" s="947"/>
      <c r="B42" s="948"/>
      <c r="C42" s="272" t="s">
        <v>138</v>
      </c>
    </row>
    <row r="43" spans="1:3" ht="28.8" x14ac:dyDescent="0.3">
      <c r="A43" s="947"/>
      <c r="B43" s="948"/>
      <c r="C43" s="274" t="s">
        <v>139</v>
      </c>
    </row>
    <row r="44" spans="1:3" x14ac:dyDescent="0.3">
      <c r="A44" s="947"/>
      <c r="B44" s="949"/>
      <c r="C44" s="275" t="s">
        <v>127</v>
      </c>
    </row>
    <row r="45" spans="1:3" ht="15" customHeight="1" thickBot="1" x14ac:dyDescent="0.35">
      <c r="A45" s="947"/>
      <c r="B45" s="949"/>
      <c r="C45" s="295" t="s">
        <v>128</v>
      </c>
    </row>
    <row r="46" spans="1:3" ht="19.95" customHeight="1" x14ac:dyDescent="0.35">
      <c r="A46" s="944" t="s">
        <v>141</v>
      </c>
      <c r="B46" s="296" t="s">
        <v>141</v>
      </c>
      <c r="C46" s="359" t="s">
        <v>165</v>
      </c>
    </row>
    <row r="47" spans="1:3" ht="19.95" customHeight="1" thickBot="1" x14ac:dyDescent="0.4">
      <c r="A47" s="945"/>
      <c r="B47" s="297" t="s">
        <v>154</v>
      </c>
      <c r="C47" s="360" t="s">
        <v>166</v>
      </c>
    </row>
    <row r="48" spans="1:3" ht="19.95" customHeight="1" x14ac:dyDescent="0.3"/>
    <row r="49" spans="1:3" ht="19.95" customHeight="1" x14ac:dyDescent="0.3">
      <c r="A49" s="941" t="s">
        <v>156</v>
      </c>
      <c r="B49" s="939" t="s">
        <v>131</v>
      </c>
      <c r="C49" s="940"/>
    </row>
    <row r="50" spans="1:3" x14ac:dyDescent="0.3">
      <c r="A50" s="941"/>
      <c r="B50" s="937" t="s">
        <v>155</v>
      </c>
      <c r="C50" s="938"/>
    </row>
    <row r="51" spans="1:3" ht="16.2" x14ac:dyDescent="0.3">
      <c r="A51" s="941"/>
      <c r="B51" s="939" t="s">
        <v>132</v>
      </c>
      <c r="C51" s="940"/>
    </row>
    <row r="52" spans="1:3" x14ac:dyDescent="0.3">
      <c r="A52" s="303"/>
      <c r="B52" s="942"/>
      <c r="C52" s="943"/>
    </row>
    <row r="54" spans="1:3" ht="27.6" customHeight="1" x14ac:dyDescent="0.3">
      <c r="A54" s="936" t="s">
        <v>157</v>
      </c>
      <c r="B54" s="528" t="s">
        <v>175</v>
      </c>
      <c r="C54" s="528" t="s">
        <v>163</v>
      </c>
    </row>
    <row r="55" spans="1:3" ht="27.6" customHeight="1" x14ac:dyDescent="0.3">
      <c r="A55" s="936"/>
      <c r="B55" s="529"/>
      <c r="C55" s="529" t="s">
        <v>158</v>
      </c>
    </row>
    <row r="56" spans="1:3" ht="15.6" customHeight="1" x14ac:dyDescent="0.3">
      <c r="A56" s="936"/>
      <c r="B56" s="528" t="s">
        <v>175</v>
      </c>
      <c r="C56" s="530" t="s">
        <v>152</v>
      </c>
    </row>
    <row r="57" spans="1:3" ht="14.4" customHeight="1" x14ac:dyDescent="0.3">
      <c r="A57" s="936"/>
      <c r="B57" s="531"/>
      <c r="C57" s="531"/>
    </row>
    <row r="58" spans="1:3" ht="14.4" customHeight="1" x14ac:dyDescent="0.3">
      <c r="A58" s="936"/>
      <c r="B58" s="528" t="s">
        <v>175</v>
      </c>
      <c r="C58" s="532" t="s">
        <v>159</v>
      </c>
    </row>
    <row r="59" spans="1:3" ht="14.4" customHeight="1" x14ac:dyDescent="0.3">
      <c r="A59" s="936"/>
      <c r="B59" s="533"/>
      <c r="C59" s="533" t="s">
        <v>160</v>
      </c>
    </row>
    <row r="60" spans="1:3" ht="15.6" customHeight="1" x14ac:dyDescent="0.3">
      <c r="A60" s="936"/>
      <c r="B60" s="534"/>
      <c r="C60" s="534" t="s">
        <v>161</v>
      </c>
    </row>
    <row r="61" spans="1:3" ht="14.4" customHeight="1" x14ac:dyDescent="0.3">
      <c r="A61" s="936"/>
      <c r="B61" s="530"/>
      <c r="C61" s="530"/>
    </row>
    <row r="62" spans="1:3" ht="14.4" customHeight="1" x14ac:dyDescent="0.3">
      <c r="A62" s="936"/>
      <c r="B62" s="528" t="s">
        <v>175</v>
      </c>
      <c r="C62" s="530" t="s">
        <v>162</v>
      </c>
    </row>
    <row r="63" spans="1:3" x14ac:dyDescent="0.3">
      <c r="A63" s="936"/>
      <c r="B63" s="530"/>
      <c r="C63" s="530"/>
    </row>
    <row r="64" spans="1:3" x14ac:dyDescent="0.3">
      <c r="A64" s="936"/>
      <c r="B64" s="528" t="s">
        <v>176</v>
      </c>
      <c r="C64" s="530" t="s">
        <v>214</v>
      </c>
    </row>
    <row r="65" spans="1:3" x14ac:dyDescent="0.3">
      <c r="A65" s="936"/>
      <c r="B65" s="528" t="s">
        <v>176</v>
      </c>
      <c r="C65" s="530" t="s">
        <v>189</v>
      </c>
    </row>
    <row r="66" spans="1:3" x14ac:dyDescent="0.3">
      <c r="A66" s="936"/>
      <c r="B66" s="528" t="s">
        <v>176</v>
      </c>
      <c r="C66" s="530" t="s">
        <v>191</v>
      </c>
    </row>
    <row r="67" spans="1:3" x14ac:dyDescent="0.3">
      <c r="A67" s="936"/>
      <c r="B67" s="530" t="s">
        <v>176</v>
      </c>
      <c r="C67" s="530" t="s">
        <v>213</v>
      </c>
    </row>
    <row r="68" spans="1:3" x14ac:dyDescent="0.3">
      <c r="A68" s="936"/>
      <c r="B68" s="530" t="s">
        <v>218</v>
      </c>
      <c r="C68" s="530" t="s">
        <v>219</v>
      </c>
    </row>
    <row r="69" spans="1:3" x14ac:dyDescent="0.3">
      <c r="A69" s="936"/>
      <c r="B69" s="530"/>
      <c r="C69" s="530" t="s">
        <v>222</v>
      </c>
    </row>
    <row r="70" spans="1:3" x14ac:dyDescent="0.3">
      <c r="A70" s="936"/>
      <c r="B70" s="530" t="s">
        <v>220</v>
      </c>
      <c r="C70" s="530" t="s">
        <v>221</v>
      </c>
    </row>
    <row r="71" spans="1:3" x14ac:dyDescent="0.3">
      <c r="A71" s="936"/>
      <c r="B71" s="530" t="s">
        <v>223</v>
      </c>
      <c r="C71" s="530" t="s">
        <v>227</v>
      </c>
    </row>
    <row r="72" spans="1:3" ht="28.2" customHeight="1" x14ac:dyDescent="0.3">
      <c r="A72" s="936"/>
      <c r="B72" s="530" t="s">
        <v>224</v>
      </c>
      <c r="C72" s="528" t="s">
        <v>225</v>
      </c>
    </row>
    <row r="73" spans="1:3" x14ac:dyDescent="0.3">
      <c r="A73" s="936"/>
      <c r="B73" s="530"/>
      <c r="C73" s="530" t="s">
        <v>226</v>
      </c>
    </row>
    <row r="74" spans="1:3" x14ac:dyDescent="0.3">
      <c r="A74" s="936"/>
      <c r="B74" s="530" t="s">
        <v>229</v>
      </c>
      <c r="C74" s="530" t="s">
        <v>230</v>
      </c>
    </row>
    <row r="75" spans="1:3" x14ac:dyDescent="0.3">
      <c r="A75" s="303"/>
      <c r="B75" s="530" t="s">
        <v>259</v>
      </c>
      <c r="C75" s="530" t="s">
        <v>260</v>
      </c>
    </row>
    <row r="76" spans="1:3" ht="57.6" x14ac:dyDescent="0.3">
      <c r="A76" s="303"/>
      <c r="B76" s="530" t="s">
        <v>264</v>
      </c>
      <c r="C76" s="528" t="s">
        <v>265</v>
      </c>
    </row>
    <row r="77" spans="1:3" x14ac:dyDescent="0.3">
      <c r="A77" s="303"/>
      <c r="B77" s="530" t="s">
        <v>271</v>
      </c>
      <c r="C77" s="530" t="s">
        <v>272</v>
      </c>
    </row>
    <row r="78" spans="1:3" x14ac:dyDescent="0.3">
      <c r="A78" s="303"/>
      <c r="B78" s="530" t="s">
        <v>273</v>
      </c>
      <c r="C78" s="530" t="s">
        <v>274</v>
      </c>
    </row>
    <row r="79" spans="1:3" x14ac:dyDescent="0.3">
      <c r="A79" s="303"/>
      <c r="B79" s="530" t="s">
        <v>289</v>
      </c>
      <c r="C79" s="530" t="s">
        <v>290</v>
      </c>
    </row>
    <row r="80" spans="1:3" s="321" customFormat="1" ht="58.8" customHeight="1" x14ac:dyDescent="0.3">
      <c r="A80" s="868" t="s">
        <v>433</v>
      </c>
      <c r="B80" s="528" t="s">
        <v>295</v>
      </c>
      <c r="C80" s="528" t="s">
        <v>296</v>
      </c>
    </row>
    <row r="81" spans="1:10" s="321" customFormat="1" ht="45.6" customHeight="1" x14ac:dyDescent="0.3">
      <c r="A81" s="592"/>
      <c r="B81" s="528" t="s">
        <v>302</v>
      </c>
      <c r="C81" s="528" t="s">
        <v>430</v>
      </c>
    </row>
    <row r="82" spans="1:10" s="321" customFormat="1" ht="64.2" customHeight="1" x14ac:dyDescent="0.3">
      <c r="A82" s="592"/>
      <c r="B82" s="862" t="s">
        <v>301</v>
      </c>
      <c r="C82" s="862" t="s">
        <v>426</v>
      </c>
    </row>
    <row r="83" spans="1:10" s="321" customFormat="1" ht="120" customHeight="1" x14ac:dyDescent="0.3">
      <c r="A83" s="592"/>
      <c r="B83" s="862" t="s">
        <v>301</v>
      </c>
      <c r="C83" s="862" t="s">
        <v>429</v>
      </c>
    </row>
    <row r="84" spans="1:10" s="321" customFormat="1" ht="72" x14ac:dyDescent="0.3">
      <c r="A84" s="592"/>
      <c r="B84" s="862" t="s">
        <v>493</v>
      </c>
      <c r="C84" s="862" t="s">
        <v>512</v>
      </c>
    </row>
    <row r="85" spans="1:10" ht="52.8" customHeight="1" x14ac:dyDescent="0.3">
      <c r="A85" s="303"/>
      <c r="B85" s="593" t="s">
        <v>428</v>
      </c>
      <c r="C85" s="594" t="s">
        <v>503</v>
      </c>
    </row>
    <row r="86" spans="1:10" x14ac:dyDescent="0.3">
      <c r="A86" s="303"/>
      <c r="B86" s="593" t="s">
        <v>428</v>
      </c>
      <c r="C86" s="593" t="s">
        <v>511</v>
      </c>
    </row>
    <row r="87" spans="1:10" x14ac:dyDescent="0.3">
      <c r="A87" s="303"/>
      <c r="B87" s="530"/>
      <c r="C87" s="530"/>
    </row>
    <row r="88" spans="1:10" x14ac:dyDescent="0.3">
      <c r="A88" s="303"/>
      <c r="B88" s="530"/>
      <c r="C88" s="530"/>
    </row>
    <row r="89" spans="1:10" x14ac:dyDescent="0.3">
      <c r="A89" s="303"/>
      <c r="B89" s="303"/>
      <c r="C89" s="303"/>
    </row>
    <row r="90" spans="1:10" x14ac:dyDescent="0.3">
      <c r="A90" s="303"/>
      <c r="B90" s="303"/>
      <c r="C90" s="303"/>
    </row>
    <row r="91" spans="1:10" x14ac:dyDescent="0.3">
      <c r="A91" s="303"/>
      <c r="B91" s="303"/>
      <c r="C91" s="303"/>
    </row>
    <row r="92" spans="1:10" x14ac:dyDescent="0.3">
      <c r="A92" s="303"/>
      <c r="B92" s="303"/>
      <c r="C92" s="303"/>
    </row>
    <row r="93" spans="1:10" x14ac:dyDescent="0.3">
      <c r="A93" s="303"/>
      <c r="B93" s="303"/>
      <c r="C93" s="303"/>
    </row>
    <row r="94" spans="1:10" x14ac:dyDescent="0.3">
      <c r="A94" s="303"/>
      <c r="B94" s="303"/>
      <c r="C94" s="303"/>
    </row>
    <row r="95" spans="1:10" ht="15" thickBot="1" x14ac:dyDescent="0.35">
      <c r="A95" s="303"/>
      <c r="B95" s="303"/>
      <c r="C95" s="303"/>
    </row>
    <row r="96" spans="1:10" ht="106.2" customHeight="1" thickBot="1" x14ac:dyDescent="0.35">
      <c r="E96" s="898" t="s">
        <v>332</v>
      </c>
      <c r="F96" s="895" t="s">
        <v>504</v>
      </c>
      <c r="G96" s="895" t="s">
        <v>505</v>
      </c>
      <c r="H96" s="895" t="s">
        <v>506</v>
      </c>
      <c r="I96" s="895" t="s">
        <v>507</v>
      </c>
      <c r="J96" s="895" t="s">
        <v>508</v>
      </c>
    </row>
    <row r="97" spans="5:10" ht="15" thickBot="1" x14ac:dyDescent="0.35">
      <c r="E97" s="899">
        <v>2013</v>
      </c>
      <c r="F97" s="897">
        <v>6840</v>
      </c>
      <c r="G97" s="896">
        <f>H97/F97</f>
        <v>0.19795321637426899</v>
      </c>
      <c r="H97" s="897">
        <v>1354</v>
      </c>
      <c r="I97" s="897">
        <v>29009</v>
      </c>
      <c r="J97" s="896">
        <f t="shared" ref="J97:J103" si="0">H97/I97</f>
        <v>4.6675169774897447E-2</v>
      </c>
    </row>
    <row r="98" spans="5:10" ht="15" thickBot="1" x14ac:dyDescent="0.35">
      <c r="E98" s="899">
        <v>2014</v>
      </c>
      <c r="F98" s="897">
        <v>20916</v>
      </c>
      <c r="G98" s="896">
        <f>H98/F98</f>
        <v>0.20501051826353031</v>
      </c>
      <c r="H98" s="897">
        <v>4288</v>
      </c>
      <c r="I98" s="897">
        <v>99888</v>
      </c>
      <c r="J98" s="896">
        <f t="shared" si="0"/>
        <v>4.2928079448982859E-2</v>
      </c>
    </row>
    <row r="99" spans="5:10" ht="15" thickBot="1" x14ac:dyDescent="0.35">
      <c r="E99" s="899">
        <v>2015</v>
      </c>
      <c r="F99" s="897">
        <v>1632</v>
      </c>
      <c r="G99" s="896">
        <f t="shared" ref="G99:G103" si="1">H99/F99</f>
        <v>0</v>
      </c>
      <c r="H99" s="897">
        <v>0</v>
      </c>
      <c r="I99" s="897">
        <v>51533</v>
      </c>
      <c r="J99" s="896">
        <f t="shared" si="0"/>
        <v>0</v>
      </c>
    </row>
    <row r="100" spans="5:10" ht="15" thickBot="1" x14ac:dyDescent="0.35">
      <c r="E100" s="899">
        <v>2016</v>
      </c>
      <c r="F100" s="897">
        <v>4016</v>
      </c>
      <c r="G100" s="896">
        <f t="shared" si="1"/>
        <v>6.9970119521912344E-2</v>
      </c>
      <c r="H100" s="897">
        <v>281</v>
      </c>
      <c r="I100" s="897">
        <v>73697</v>
      </c>
      <c r="J100" s="896">
        <f t="shared" si="0"/>
        <v>3.8129096164022957E-3</v>
      </c>
    </row>
    <row r="101" spans="5:10" ht="15" thickBot="1" x14ac:dyDescent="0.35">
      <c r="E101" s="899">
        <v>2017</v>
      </c>
      <c r="F101" s="897">
        <v>5600</v>
      </c>
      <c r="G101" s="896">
        <f t="shared" si="1"/>
        <v>0.02</v>
      </c>
      <c r="H101" s="897">
        <v>112</v>
      </c>
      <c r="I101" s="897">
        <v>23854</v>
      </c>
      <c r="J101" s="896">
        <f t="shared" si="0"/>
        <v>4.6952293116458458E-3</v>
      </c>
    </row>
    <row r="102" spans="5:10" ht="15" thickBot="1" x14ac:dyDescent="0.35">
      <c r="E102" s="899">
        <v>2018</v>
      </c>
      <c r="F102" s="897">
        <v>23500</v>
      </c>
      <c r="G102" s="896">
        <f t="shared" si="1"/>
        <v>4.3829787234042549E-3</v>
      </c>
      <c r="H102" s="897">
        <v>103</v>
      </c>
      <c r="I102" s="897">
        <v>13962</v>
      </c>
      <c r="J102" s="896">
        <f t="shared" si="0"/>
        <v>7.3771665950436898E-3</v>
      </c>
    </row>
    <row r="103" spans="5:10" ht="15" thickBot="1" x14ac:dyDescent="0.35">
      <c r="E103" s="899">
        <v>2019</v>
      </c>
      <c r="F103" s="897">
        <v>2588</v>
      </c>
      <c r="G103" s="896">
        <f t="shared" si="1"/>
        <v>0.50502318392581147</v>
      </c>
      <c r="H103" s="897">
        <v>1307</v>
      </c>
      <c r="I103" s="897">
        <v>8875</v>
      </c>
      <c r="J103" s="896">
        <f t="shared" si="0"/>
        <v>0.14726760563380281</v>
      </c>
    </row>
    <row r="104" spans="5:10" x14ac:dyDescent="0.3">
      <c r="E104" s="900" t="s">
        <v>509</v>
      </c>
      <c r="I104" s="900" t="s">
        <v>510</v>
      </c>
    </row>
  </sheetData>
  <sheetProtection sheet="1" objects="1" scenarios="1"/>
  <sortState xmlns:xlrd2="http://schemas.microsoft.com/office/spreadsheetml/2017/richdata2" ref="E97:J103">
    <sortCondition ref="E97:E103"/>
  </sortState>
  <mergeCells count="24">
    <mergeCell ref="B32:C32"/>
    <mergeCell ref="B33:C33"/>
    <mergeCell ref="A54:A74"/>
    <mergeCell ref="B50:C50"/>
    <mergeCell ref="B51:C51"/>
    <mergeCell ref="B49:C49"/>
    <mergeCell ref="A49:A51"/>
    <mergeCell ref="B52:C52"/>
    <mergeCell ref="A46:A47"/>
    <mergeCell ref="A32:A45"/>
    <mergeCell ref="B40:B45"/>
    <mergeCell ref="B34:C34"/>
    <mergeCell ref="A1:C1"/>
    <mergeCell ref="B11:B12"/>
    <mergeCell ref="B16:B18"/>
    <mergeCell ref="B29:B31"/>
    <mergeCell ref="A19:A31"/>
    <mergeCell ref="B13:B15"/>
    <mergeCell ref="B5:B7"/>
    <mergeCell ref="B8:B10"/>
    <mergeCell ref="A3:A18"/>
    <mergeCell ref="B24:B26"/>
    <mergeCell ref="B27:B28"/>
    <mergeCell ref="B21:B23"/>
  </mergeCells>
  <phoneticPr fontId="57" type="noConversion"/>
  <pageMargins left="0.7" right="0.7" top="0.75" bottom="0.75" header="0.3" footer="0.3"/>
  <pageSetup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BAB60-4CE5-4319-8DB2-18C32AAFC78A}">
  <dimension ref="A1:B16"/>
  <sheetViews>
    <sheetView workbookViewId="0">
      <selection activeCell="B14" sqref="B14"/>
    </sheetView>
  </sheetViews>
  <sheetFormatPr defaultRowHeight="14.4" x14ac:dyDescent="0.3"/>
  <cols>
    <col min="1" max="1" width="21.33203125" bestFit="1" customWidth="1"/>
    <col min="2" max="2" width="12.6640625" bestFit="1" customWidth="1"/>
  </cols>
  <sheetData>
    <row r="1" spans="1:2" x14ac:dyDescent="0.3">
      <c r="A1" s="878" t="s">
        <v>450</v>
      </c>
      <c r="B1" s="878"/>
    </row>
    <row r="2" spans="1:2" x14ac:dyDescent="0.3">
      <c r="A2" s="879"/>
      <c r="B2" s="879"/>
    </row>
    <row r="3" spans="1:2" x14ac:dyDescent="0.3">
      <c r="A3" s="881" t="s">
        <v>275</v>
      </c>
      <c r="B3" s="880">
        <v>6.2260780886096767E-2</v>
      </c>
    </row>
    <row r="4" spans="1:2" x14ac:dyDescent="0.3">
      <c r="A4" s="881" t="s">
        <v>437</v>
      </c>
      <c r="B4" s="880">
        <v>8.2458385170811055E-3</v>
      </c>
    </row>
    <row r="5" spans="1:2" x14ac:dyDescent="0.3">
      <c r="A5" s="881" t="s">
        <v>438</v>
      </c>
      <c r="B5" s="880">
        <v>4.7100861832621951E-2</v>
      </c>
    </row>
    <row r="6" spans="1:2" x14ac:dyDescent="0.3">
      <c r="A6" s="881" t="s">
        <v>449</v>
      </c>
      <c r="B6" s="880">
        <f>B7/B3</f>
        <v>0.7835275730777288</v>
      </c>
    </row>
    <row r="7" spans="1:2" x14ac:dyDescent="0.3">
      <c r="A7" s="881" t="s">
        <v>439</v>
      </c>
      <c r="B7" s="880">
        <v>4.8783038545607643E-2</v>
      </c>
    </row>
    <row r="8" spans="1:2" x14ac:dyDescent="0.3">
      <c r="A8" s="881" t="s">
        <v>440</v>
      </c>
      <c r="B8" s="880">
        <v>2.3797848497422408E-3</v>
      </c>
    </row>
    <row r="9" spans="1:2" x14ac:dyDescent="0.3">
      <c r="A9" s="881" t="s">
        <v>441</v>
      </c>
      <c r="B9" s="882">
        <v>-0.12475647352943353</v>
      </c>
    </row>
    <row r="10" spans="1:2" x14ac:dyDescent="0.3">
      <c r="A10" s="881" t="s">
        <v>442</v>
      </c>
      <c r="B10" s="882">
        <v>0.95710833150725538</v>
      </c>
    </row>
    <row r="11" spans="1:2" x14ac:dyDescent="0.3">
      <c r="A11" s="881" t="s">
        <v>443</v>
      </c>
      <c r="B11" s="880">
        <v>0.17959534181172157</v>
      </c>
    </row>
    <row r="12" spans="1:2" x14ac:dyDescent="0.3">
      <c r="A12" s="881" t="s">
        <v>444</v>
      </c>
      <c r="B12" s="880">
        <v>2.8378881188189657E-3</v>
      </c>
    </row>
    <row r="13" spans="1:2" x14ac:dyDescent="0.3">
      <c r="A13" s="881" t="s">
        <v>445</v>
      </c>
      <c r="B13" s="880">
        <v>0.18243322993054054</v>
      </c>
    </row>
    <row r="14" spans="1:2" x14ac:dyDescent="0.3">
      <c r="A14" s="881" t="s">
        <v>446</v>
      </c>
      <c r="B14" s="882">
        <v>2.1791273310133867</v>
      </c>
    </row>
    <row r="15" spans="1:2" x14ac:dyDescent="0.3">
      <c r="A15" s="881" t="s">
        <v>447</v>
      </c>
      <c r="B15" s="879">
        <v>35</v>
      </c>
    </row>
    <row r="16" spans="1:2" x14ac:dyDescent="0.3">
      <c r="A16" s="881" t="s">
        <v>448</v>
      </c>
      <c r="B16" s="880">
        <v>1.6757560051058638E-2</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C8AA3-B43C-43FC-B9F2-BB1EBEF1E5C8}">
  <sheetPr>
    <tabColor theme="6" tint="-0.249977111117893"/>
  </sheetPr>
  <dimension ref="A1:H38"/>
  <sheetViews>
    <sheetView workbookViewId="0">
      <pane ySplit="1" topLeftCell="A2" activePane="bottomLeft" state="frozen"/>
      <selection pane="bottomLeft" activeCell="H1" sqref="H1"/>
    </sheetView>
  </sheetViews>
  <sheetFormatPr defaultRowHeight="14.4" x14ac:dyDescent="0.3"/>
  <cols>
    <col min="1" max="2" width="9.6640625" bestFit="1" customWidth="1"/>
    <col min="3" max="3" width="13.44140625" bestFit="1" customWidth="1"/>
  </cols>
  <sheetData>
    <row r="1" spans="1:8" x14ac:dyDescent="0.3">
      <c r="A1" t="s">
        <v>434</v>
      </c>
      <c r="B1" t="s">
        <v>435</v>
      </c>
      <c r="C1" t="s">
        <v>284</v>
      </c>
      <c r="H1" s="871" t="s">
        <v>436</v>
      </c>
    </row>
    <row r="2" spans="1:8" x14ac:dyDescent="0.3">
      <c r="A2" s="357">
        <v>1985</v>
      </c>
      <c r="B2" s="870">
        <v>1862581.902</v>
      </c>
    </row>
    <row r="3" spans="1:8" x14ac:dyDescent="0.3">
      <c r="A3" s="357">
        <v>1986</v>
      </c>
      <c r="B3" s="870">
        <v>2420214.3059999999</v>
      </c>
    </row>
    <row r="4" spans="1:8" x14ac:dyDescent="0.3">
      <c r="A4" s="357">
        <v>1987</v>
      </c>
      <c r="B4" s="870">
        <v>1310921.2320000001</v>
      </c>
    </row>
    <row r="5" spans="1:8" x14ac:dyDescent="0.3">
      <c r="A5" s="357">
        <v>1988</v>
      </c>
      <c r="B5" s="870">
        <v>530427.83799999999</v>
      </c>
    </row>
    <row r="6" spans="1:8" x14ac:dyDescent="0.3">
      <c r="A6" s="357">
        <v>1989</v>
      </c>
      <c r="B6" s="870">
        <v>731366.70200000005</v>
      </c>
    </row>
    <row r="7" spans="1:8" x14ac:dyDescent="0.3">
      <c r="A7" s="357">
        <v>1990</v>
      </c>
      <c r="B7" s="870">
        <v>315960.77400000003</v>
      </c>
    </row>
    <row r="8" spans="1:8" x14ac:dyDescent="0.3">
      <c r="A8" s="357">
        <v>1991</v>
      </c>
      <c r="B8" s="870">
        <v>485056.83199999999</v>
      </c>
    </row>
    <row r="9" spans="1:8" x14ac:dyDescent="0.3">
      <c r="A9" s="357">
        <v>1992</v>
      </c>
      <c r="B9" s="870">
        <v>177380.47</v>
      </c>
    </row>
    <row r="10" spans="1:8" x14ac:dyDescent="0.3">
      <c r="A10" s="357">
        <v>1993</v>
      </c>
      <c r="B10" s="870">
        <v>1479534.14</v>
      </c>
    </row>
    <row r="11" spans="1:8" x14ac:dyDescent="0.3">
      <c r="A11" s="357">
        <v>1994</v>
      </c>
      <c r="B11" s="870">
        <v>694473.36800000002</v>
      </c>
    </row>
    <row r="12" spans="1:8" x14ac:dyDescent="0.3">
      <c r="A12" s="357">
        <v>1995</v>
      </c>
      <c r="B12" s="870">
        <v>979216.21</v>
      </c>
    </row>
    <row r="13" spans="1:8" x14ac:dyDescent="0.3">
      <c r="A13" s="357">
        <v>1996</v>
      </c>
      <c r="B13" s="870">
        <v>140210.13</v>
      </c>
    </row>
    <row r="14" spans="1:8" x14ac:dyDescent="0.3">
      <c r="A14" s="357">
        <v>1997</v>
      </c>
      <c r="B14" s="870">
        <v>379994.25400000002</v>
      </c>
    </row>
    <row r="15" spans="1:8" x14ac:dyDescent="0.3">
      <c r="A15" s="357">
        <v>1998</v>
      </c>
      <c r="B15" s="313">
        <v>1209167</v>
      </c>
    </row>
    <row r="16" spans="1:8" x14ac:dyDescent="0.3">
      <c r="A16" s="357">
        <v>1999</v>
      </c>
      <c r="B16" s="313">
        <v>3099743</v>
      </c>
    </row>
    <row r="17" spans="1:2" x14ac:dyDescent="0.3">
      <c r="A17" s="357">
        <v>2000</v>
      </c>
      <c r="B17" s="313">
        <v>281333</v>
      </c>
    </row>
    <row r="18" spans="1:2" x14ac:dyDescent="0.3">
      <c r="A18" s="357">
        <v>2001</v>
      </c>
      <c r="B18" s="313">
        <v>1446600</v>
      </c>
    </row>
    <row r="19" spans="1:2" x14ac:dyDescent="0.3">
      <c r="A19" s="357">
        <v>2002</v>
      </c>
      <c r="B19" s="313">
        <v>2927009</v>
      </c>
    </row>
    <row r="20" spans="1:2" x14ac:dyDescent="0.3">
      <c r="A20" s="357">
        <v>2003</v>
      </c>
      <c r="B20" s="313">
        <v>2080978</v>
      </c>
    </row>
    <row r="21" spans="1:2" x14ac:dyDescent="0.3">
      <c r="A21" s="357">
        <v>2004</v>
      </c>
      <c r="B21" s="313">
        <v>627855</v>
      </c>
    </row>
    <row r="22" spans="1:2" x14ac:dyDescent="0.3">
      <c r="A22" s="357">
        <v>2005</v>
      </c>
      <c r="B22" s="313">
        <v>735805</v>
      </c>
    </row>
    <row r="23" spans="1:2" x14ac:dyDescent="0.3">
      <c r="A23" s="357">
        <v>2006</v>
      </c>
      <c r="B23" s="313">
        <v>1783500</v>
      </c>
    </row>
    <row r="24" spans="1:2" x14ac:dyDescent="0.3">
      <c r="A24" s="357">
        <v>2007</v>
      </c>
      <c r="B24" s="313">
        <v>2026709</v>
      </c>
    </row>
    <row r="25" spans="1:2" x14ac:dyDescent="0.3">
      <c r="A25" s="357">
        <v>2008</v>
      </c>
      <c r="B25" s="313">
        <v>2133694</v>
      </c>
    </row>
    <row r="26" spans="1:2" x14ac:dyDescent="0.3">
      <c r="A26" s="357">
        <v>2009</v>
      </c>
      <c r="B26" s="313">
        <v>875327</v>
      </c>
    </row>
    <row r="27" spans="1:2" x14ac:dyDescent="0.3">
      <c r="A27" s="357">
        <v>2010</v>
      </c>
      <c r="B27" s="313">
        <v>7488306</v>
      </c>
    </row>
    <row r="28" spans="1:2" x14ac:dyDescent="0.3">
      <c r="A28" s="357">
        <v>2011</v>
      </c>
      <c r="B28" s="313">
        <v>929531</v>
      </c>
    </row>
    <row r="29" spans="1:2" x14ac:dyDescent="0.3">
      <c r="A29" s="357">
        <v>2012</v>
      </c>
      <c r="B29" s="313">
        <v>4435800</v>
      </c>
    </row>
    <row r="30" spans="1:2" x14ac:dyDescent="0.3">
      <c r="A30" s="357">
        <v>2013</v>
      </c>
      <c r="B30" s="313">
        <v>2898435</v>
      </c>
    </row>
    <row r="31" spans="1:2" x14ac:dyDescent="0.3">
      <c r="A31" s="357">
        <v>2014</v>
      </c>
      <c r="B31" s="313">
        <v>5002124</v>
      </c>
    </row>
    <row r="32" spans="1:2" x14ac:dyDescent="0.3">
      <c r="A32" s="357">
        <v>2015</v>
      </c>
      <c r="B32" s="313">
        <v>2209546</v>
      </c>
    </row>
    <row r="33" spans="1:2" x14ac:dyDescent="0.3">
      <c r="A33" s="357">
        <v>2016</v>
      </c>
      <c r="B33" s="313">
        <v>7383151</v>
      </c>
    </row>
    <row r="34" spans="1:2" x14ac:dyDescent="0.3">
      <c r="A34" s="357">
        <v>2017</v>
      </c>
      <c r="B34" s="313">
        <v>1885712</v>
      </c>
    </row>
    <row r="35" spans="1:2" x14ac:dyDescent="0.3">
      <c r="A35" s="357">
        <v>2018</v>
      </c>
      <c r="B35" s="313">
        <v>4122796</v>
      </c>
    </row>
    <row r="36" spans="1:2" x14ac:dyDescent="0.3">
      <c r="A36" s="357">
        <v>2019</v>
      </c>
      <c r="B36" s="313">
        <v>912588</v>
      </c>
    </row>
    <row r="37" spans="1:2" x14ac:dyDescent="0.3">
      <c r="A37" s="357">
        <v>2020</v>
      </c>
      <c r="B37" s="313">
        <v>2540161</v>
      </c>
    </row>
    <row r="38" spans="1:2" x14ac:dyDescent="0.3">
      <c r="A38" s="357">
        <v>2021</v>
      </c>
      <c r="B38" s="313">
        <v>1464091</v>
      </c>
    </row>
  </sheetData>
  <conditionalFormatting sqref="B2:B38">
    <cfRule type="dataBar" priority="1">
      <dataBar>
        <cfvo type="min"/>
        <cfvo type="max"/>
        <color rgb="FF008AEF"/>
      </dataBar>
      <extLst>
        <ext xmlns:x14="http://schemas.microsoft.com/office/spreadsheetml/2009/9/main" uri="{B025F937-C7B1-47D3-B67F-A62EFF666E3E}">
          <x14:id>{5DE67CF2-4797-44E5-AFD5-A0E850D0E66F}</x14:id>
        </ext>
      </extLst>
    </cfRule>
  </conditionalFormatting>
  <pageMargins left="0.7" right="0.7" top="0.75" bottom="0.75" header="0.3" footer="0.3"/>
  <pageSetup orientation="portrait" horizontalDpi="0" verticalDpi="0" r:id="rId1"/>
  <legacyDrawing r:id="rId2"/>
  <extLst>
    <ext xmlns:x14="http://schemas.microsoft.com/office/spreadsheetml/2009/9/main" uri="{78C0D931-6437-407d-A8EE-F0AAD7539E65}">
      <x14:conditionalFormattings>
        <x14:conditionalFormatting xmlns:xm="http://schemas.microsoft.com/office/excel/2006/main">
          <x14:cfRule type="dataBar" id="{5DE67CF2-4797-44E5-AFD5-A0E850D0E66F}">
            <x14:dataBar minLength="0" maxLength="100" border="1" negativeBarBorderColorSameAsPositive="0">
              <x14:cfvo type="autoMin"/>
              <x14:cfvo type="autoMax"/>
              <x14:borderColor rgb="FF008AEF"/>
              <x14:negativeFillColor rgb="FFFF0000"/>
              <x14:negativeBorderColor rgb="FFFF0000"/>
              <x14:axisColor rgb="FF000000"/>
            </x14:dataBar>
          </x14:cfRule>
          <xm:sqref>B2:B38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4537F-DE70-4AB1-91C4-EAA738ECA5E3}">
  <sheetPr codeName="Sheet11">
    <tabColor rgb="FF0070C0"/>
  </sheetPr>
  <dimension ref="A1:AG44"/>
  <sheetViews>
    <sheetView zoomScaleNormal="100" workbookViewId="0">
      <pane xSplit="1" ySplit="1" topLeftCell="B15" activePane="bottomRight" state="frozen"/>
      <selection pane="topRight" activeCell="B1" sqref="B1"/>
      <selection pane="bottomLeft" activeCell="A2" sqref="A2"/>
      <selection pane="bottomRight" activeCell="G41" sqref="G41"/>
    </sheetView>
  </sheetViews>
  <sheetFormatPr defaultRowHeight="14.4" x14ac:dyDescent="0.3"/>
  <cols>
    <col min="1" max="6" width="8.88671875" style="627"/>
    <col min="7" max="7" width="8.88671875" style="703"/>
    <col min="8" max="8" width="13.5546875" style="627" hidden="1" customWidth="1"/>
    <col min="9" max="9" width="13.109375" style="627" bestFit="1" customWidth="1"/>
    <col min="10" max="11" width="10.88671875" style="627" hidden="1" customWidth="1"/>
    <col min="12" max="12" width="13.109375" style="627" hidden="1" customWidth="1"/>
    <col min="13" max="13" width="10.33203125" style="627" hidden="1" customWidth="1"/>
    <col min="14" max="14" width="7.88671875" style="627" hidden="1" customWidth="1"/>
    <col min="15" max="16" width="8.88671875" style="627"/>
    <col min="17" max="17" width="9.6640625" style="627" customWidth="1"/>
    <col min="18" max="18" width="8.33203125" style="627" customWidth="1"/>
    <col min="19" max="19" width="8.109375" style="627" bestFit="1" customWidth="1"/>
    <col min="20" max="20" width="11.109375" style="627" hidden="1" customWidth="1"/>
    <col min="21" max="21" width="12.21875" style="627" customWidth="1"/>
    <col min="22" max="22" width="10.33203125" style="627" bestFit="1" customWidth="1"/>
    <col min="23" max="23" width="12.77734375" style="627" customWidth="1"/>
    <col min="24" max="24" width="9.77734375" style="627" hidden="1" customWidth="1"/>
    <col min="25" max="26" width="8.33203125" style="627" hidden="1" customWidth="1"/>
    <col min="27" max="27" width="7.33203125" style="627" hidden="1" customWidth="1"/>
    <col min="28" max="28" width="2.44140625" style="627" hidden="1" customWidth="1"/>
    <col min="29" max="29" width="20.33203125" style="627" hidden="1" customWidth="1"/>
    <col min="30" max="30" width="11" style="627" hidden="1" customWidth="1"/>
    <col min="31" max="16384" width="8.88671875" style="627"/>
  </cols>
  <sheetData>
    <row r="1" spans="1:30" ht="83.4" customHeight="1" thickBot="1" x14ac:dyDescent="0.35">
      <c r="A1" s="607" t="s">
        <v>303</v>
      </c>
      <c r="B1" s="608" t="s">
        <v>304</v>
      </c>
      <c r="C1" s="608" t="s">
        <v>305</v>
      </c>
      <c r="D1" s="609" t="s">
        <v>306</v>
      </c>
      <c r="E1" s="610" t="s">
        <v>307</v>
      </c>
      <c r="F1" s="611" t="s">
        <v>308</v>
      </c>
      <c r="G1" s="609" t="s">
        <v>309</v>
      </c>
      <c r="H1" s="610" t="s">
        <v>310</v>
      </c>
      <c r="I1" s="612" t="s">
        <v>311</v>
      </c>
      <c r="J1" s="613" t="s">
        <v>312</v>
      </c>
      <c r="K1" s="614" t="s">
        <v>313</v>
      </c>
      <c r="L1" s="615" t="s">
        <v>314</v>
      </c>
      <c r="M1" s="616" t="s">
        <v>315</v>
      </c>
      <c r="N1" s="617" t="s">
        <v>316</v>
      </c>
      <c r="O1" s="618" t="s">
        <v>317</v>
      </c>
      <c r="P1" s="619" t="s">
        <v>318</v>
      </c>
      <c r="Q1" s="619" t="s">
        <v>319</v>
      </c>
      <c r="R1" s="620" t="s">
        <v>320</v>
      </c>
      <c r="S1" s="621" t="s">
        <v>431</v>
      </c>
      <c r="T1" s="622" t="s">
        <v>321</v>
      </c>
      <c r="U1" s="623" t="s">
        <v>322</v>
      </c>
      <c r="V1" s="624" t="s">
        <v>323</v>
      </c>
      <c r="W1" s="607" t="s">
        <v>432</v>
      </c>
      <c r="X1" s="622" t="s">
        <v>324</v>
      </c>
      <c r="Y1" s="625" t="s">
        <v>325</v>
      </c>
      <c r="Z1" s="626" t="s">
        <v>326</v>
      </c>
      <c r="AA1" s="626" t="s">
        <v>327</v>
      </c>
      <c r="AC1" s="628" t="s">
        <v>328</v>
      </c>
      <c r="AD1" s="629" t="s">
        <v>329</v>
      </c>
    </row>
    <row r="2" spans="1:30" x14ac:dyDescent="0.3">
      <c r="A2" s="630">
        <v>1980</v>
      </c>
      <c r="B2" s="631">
        <v>58886</v>
      </c>
      <c r="C2" s="631">
        <v>58882</v>
      </c>
      <c r="D2" s="632">
        <v>52657</v>
      </c>
      <c r="E2" s="633">
        <v>26573</v>
      </c>
      <c r="F2" s="634">
        <v>26573</v>
      </c>
      <c r="G2" s="635">
        <f>F2*1.132</f>
        <v>30080.635999999999</v>
      </c>
      <c r="H2" s="636">
        <f>E2/D2</f>
        <v>0.50464325730672088</v>
      </c>
      <c r="I2" s="637">
        <f>G2/D2</f>
        <v>0.57125616727120798</v>
      </c>
      <c r="J2" s="638">
        <f>B2*H2</f>
        <v>29716.422849763567</v>
      </c>
      <c r="K2" s="639">
        <f>B2*I2</f>
        <v>33638.990665932353</v>
      </c>
      <c r="L2" s="640"/>
      <c r="M2" s="632"/>
      <c r="N2" s="641">
        <f t="shared" ref="N2:N44" si="0">K2</f>
        <v>33638.990665932353</v>
      </c>
      <c r="O2" s="638">
        <f>'[4]Joint Staff Rprt 2022 Table 15'!C2</f>
        <v>4</v>
      </c>
      <c r="P2" s="642">
        <f>'[4]Joint Staff Rprt 2022 Table 15'!F2</f>
        <v>636</v>
      </c>
      <c r="Q2" s="642">
        <f>P2+O2</f>
        <v>640</v>
      </c>
      <c r="R2" s="632">
        <f>Q2*I2</f>
        <v>365.60394705357311</v>
      </c>
      <c r="S2" s="643">
        <f>G2+R2</f>
        <v>30446.239947053571</v>
      </c>
      <c r="T2" s="644">
        <f t="shared" ref="T2:T43" si="1">R2/S2</f>
        <v>1.2008180573015366E-2</v>
      </c>
      <c r="U2" s="644">
        <f t="shared" ref="U2:U44" si="2">(B2*I2-(F2+R2))/(B2*I2)</f>
        <v>0.19918512970320923</v>
      </c>
      <c r="V2" s="645">
        <f t="shared" ref="V2:V44" si="3">S2*U2</f>
        <v>6064.4382528288961</v>
      </c>
      <c r="W2" s="646">
        <f t="shared" ref="W2:W44" si="4">G2+R2+V2</f>
        <v>36510.678199882466</v>
      </c>
      <c r="X2" s="631">
        <f t="shared" ref="X2:X43" si="5">N2-S2</f>
        <v>3192.7507188787822</v>
      </c>
      <c r="Y2" s="647">
        <f t="shared" ref="Y2:Y43" si="6">X2/N2</f>
        <v>9.4912203240158977E-2</v>
      </c>
      <c r="Z2" s="648">
        <f t="shared" ref="Z2:Z43" si="7">(F2+R2)/B2</f>
        <v>0.4574704334995342</v>
      </c>
      <c r="AA2" s="648">
        <f t="shared" ref="AA2:AA43" si="8">(F2+R2)/C2</f>
        <v>0.45750151059837596</v>
      </c>
      <c r="AC2" s="649">
        <f t="shared" ref="AC2:AC43" si="9">G2+R2+X2</f>
        <v>33638.990665932353</v>
      </c>
      <c r="AD2" s="650" t="b">
        <f t="shared" ref="AD2:AD43" si="10">AC2=N2</f>
        <v>1</v>
      </c>
    </row>
    <row r="3" spans="1:30" x14ac:dyDescent="0.3">
      <c r="A3" s="651">
        <v>1981</v>
      </c>
      <c r="B3" s="652">
        <v>56037</v>
      </c>
      <c r="C3" s="652">
        <v>56037</v>
      </c>
      <c r="D3" s="653">
        <v>47139</v>
      </c>
      <c r="E3" s="654">
        <v>28234</v>
      </c>
      <c r="F3" s="655">
        <v>28234</v>
      </c>
      <c r="G3" s="656">
        <f t="shared" ref="G3:G19" si="11">F3*1.132</f>
        <v>31960.887999999995</v>
      </c>
      <c r="H3" s="657">
        <f t="shared" ref="H3:H43" si="12">E3/D3</f>
        <v>0.59895203546956877</v>
      </c>
      <c r="I3" s="658">
        <f t="shared" ref="I3:I44" si="13">G3/D3</f>
        <v>0.67801370415155171</v>
      </c>
      <c r="J3" s="659">
        <f t="shared" ref="J3:J43" si="14">B3*H3</f>
        <v>33563.475211608224</v>
      </c>
      <c r="K3" s="660">
        <f t="shared" ref="K3:K44" si="15">B3*I3</f>
        <v>37993.853939540502</v>
      </c>
      <c r="L3" s="661"/>
      <c r="M3" s="653"/>
      <c r="N3" s="662">
        <f t="shared" si="0"/>
        <v>37993.853939540502</v>
      </c>
      <c r="O3" s="659">
        <f>'[4]Joint Staff Rprt 2022 Table 15'!C3</f>
        <v>0</v>
      </c>
      <c r="P3" s="663">
        <f>'[4]Joint Staff Rprt 2022 Table 15'!F3</f>
        <v>1507</v>
      </c>
      <c r="Q3" s="663">
        <f t="shared" ref="Q3:Q43" si="16">P3+O3</f>
        <v>1507</v>
      </c>
      <c r="R3" s="653">
        <f t="shared" ref="R3:R43" si="17">Q3*I3</f>
        <v>1021.7666521563884</v>
      </c>
      <c r="S3" s="664">
        <f t="shared" ref="S3:S44" si="18">G3+R3</f>
        <v>32982.654652156387</v>
      </c>
      <c r="T3" s="665">
        <f t="shared" si="1"/>
        <v>3.0978908851704148E-2</v>
      </c>
      <c r="U3" s="665">
        <f t="shared" si="2"/>
        <v>0.22998686317237005</v>
      </c>
      <c r="V3" s="666">
        <f t="shared" si="3"/>
        <v>7585.5772825470258</v>
      </c>
      <c r="W3" s="667">
        <f t="shared" si="4"/>
        <v>40568.231934703414</v>
      </c>
      <c r="X3" s="652">
        <f t="shared" si="5"/>
        <v>5011.1992873841155</v>
      </c>
      <c r="Y3" s="668">
        <f t="shared" si="6"/>
        <v>0.13189499794778442</v>
      </c>
      <c r="Z3" s="669">
        <f t="shared" si="7"/>
        <v>0.52207945914585696</v>
      </c>
      <c r="AA3" s="669">
        <f t="shared" si="8"/>
        <v>0.52207945914585696</v>
      </c>
      <c r="AC3" s="649">
        <f t="shared" si="9"/>
        <v>37993.853939540502</v>
      </c>
      <c r="AD3" s="650" t="b">
        <f t="shared" si="10"/>
        <v>1</v>
      </c>
    </row>
    <row r="4" spans="1:30" x14ac:dyDescent="0.3">
      <c r="A4" s="651">
        <v>1982</v>
      </c>
      <c r="B4" s="652">
        <v>50319</v>
      </c>
      <c r="C4" s="652">
        <v>50219</v>
      </c>
      <c r="D4" s="653">
        <v>41111</v>
      </c>
      <c r="E4" s="654">
        <v>19005</v>
      </c>
      <c r="F4" s="655">
        <v>19005</v>
      </c>
      <c r="G4" s="656">
        <f t="shared" si="11"/>
        <v>21513.659999999996</v>
      </c>
      <c r="H4" s="657">
        <f t="shared" si="12"/>
        <v>0.46228503320279246</v>
      </c>
      <c r="I4" s="658">
        <f t="shared" si="13"/>
        <v>0.52330665758556094</v>
      </c>
      <c r="J4" s="659">
        <f t="shared" si="14"/>
        <v>23261.720585731313</v>
      </c>
      <c r="K4" s="660">
        <f t="shared" si="15"/>
        <v>26332.267703047841</v>
      </c>
      <c r="L4" s="661"/>
      <c r="M4" s="653"/>
      <c r="N4" s="662">
        <f t="shared" si="0"/>
        <v>26332.267703047841</v>
      </c>
      <c r="O4" s="659">
        <f>'[4]Joint Staff Rprt 2022 Table 15'!C4</f>
        <v>100</v>
      </c>
      <c r="P4" s="663">
        <f>'[4]Joint Staff Rprt 2022 Table 15'!F4</f>
        <v>775</v>
      </c>
      <c r="Q4" s="663">
        <f t="shared" si="16"/>
        <v>875</v>
      </c>
      <c r="R4" s="653">
        <f t="shared" si="17"/>
        <v>457.89332538736585</v>
      </c>
      <c r="S4" s="664">
        <f t="shared" si="18"/>
        <v>21971.553325387362</v>
      </c>
      <c r="T4" s="665">
        <f t="shared" si="1"/>
        <v>2.0840280093364454E-2</v>
      </c>
      <c r="U4" s="665">
        <f t="shared" si="2"/>
        <v>0.26087287487455463</v>
      </c>
      <c r="V4" s="666">
        <f t="shared" si="3"/>
        <v>5731.782281453382</v>
      </c>
      <c r="W4" s="667">
        <f t="shared" si="4"/>
        <v>27703.335606840745</v>
      </c>
      <c r="X4" s="652">
        <f t="shared" si="5"/>
        <v>4360.7143776604789</v>
      </c>
      <c r="Y4" s="668">
        <f t="shared" si="6"/>
        <v>0.16560344998906973</v>
      </c>
      <c r="Z4" s="669">
        <f t="shared" si="7"/>
        <v>0.3867901453802215</v>
      </c>
      <c r="AA4" s="669">
        <f t="shared" si="8"/>
        <v>0.38756035216526347</v>
      </c>
      <c r="AC4" s="649">
        <f t="shared" si="9"/>
        <v>26332.267703047841</v>
      </c>
      <c r="AD4" s="650" t="b">
        <f t="shared" si="10"/>
        <v>1</v>
      </c>
    </row>
    <row r="5" spans="1:30" x14ac:dyDescent="0.3">
      <c r="A5" s="651">
        <v>1983</v>
      </c>
      <c r="B5" s="652">
        <v>100610</v>
      </c>
      <c r="C5" s="652">
        <v>100527</v>
      </c>
      <c r="D5" s="653">
        <v>86424</v>
      </c>
      <c r="E5" s="654">
        <v>27925</v>
      </c>
      <c r="F5" s="655">
        <v>27925</v>
      </c>
      <c r="G5" s="656">
        <f t="shared" si="11"/>
        <v>31611.1</v>
      </c>
      <c r="H5" s="657">
        <f t="shared" si="12"/>
        <v>0.32311626400074056</v>
      </c>
      <c r="I5" s="658">
        <f t="shared" si="13"/>
        <v>0.36576761084883824</v>
      </c>
      <c r="J5" s="659">
        <f t="shared" si="14"/>
        <v>32508.727321114508</v>
      </c>
      <c r="K5" s="660">
        <f t="shared" si="15"/>
        <v>36799.879327501614</v>
      </c>
      <c r="L5" s="661"/>
      <c r="M5" s="653"/>
      <c r="N5" s="662">
        <f t="shared" si="0"/>
        <v>36799.879327501614</v>
      </c>
      <c r="O5" s="659">
        <f>'[4]Joint Staff Rprt 2022 Table 15'!C5</f>
        <v>83</v>
      </c>
      <c r="P5" s="663">
        <f>'[4]Joint Staff Rprt 2022 Table 15'!F5</f>
        <v>3349</v>
      </c>
      <c r="Q5" s="663">
        <f t="shared" si="16"/>
        <v>3432</v>
      </c>
      <c r="R5" s="653">
        <f t="shared" si="17"/>
        <v>1255.3144404332129</v>
      </c>
      <c r="S5" s="664">
        <f t="shared" si="18"/>
        <v>32866.414440433211</v>
      </c>
      <c r="T5" s="665">
        <f t="shared" si="1"/>
        <v>3.8194444444444441E-2</v>
      </c>
      <c r="U5" s="665">
        <f t="shared" si="2"/>
        <v>0.20705407263045236</v>
      </c>
      <c r="V5" s="666">
        <f t="shared" si="3"/>
        <v>6805.1249626520066</v>
      </c>
      <c r="W5" s="667">
        <f t="shared" si="4"/>
        <v>39671.539403085219</v>
      </c>
      <c r="X5" s="652">
        <f t="shared" si="5"/>
        <v>3933.4648870684032</v>
      </c>
      <c r="Y5" s="668">
        <f t="shared" si="6"/>
        <v>0.10688798330185857</v>
      </c>
      <c r="Z5" s="669">
        <f t="shared" si="7"/>
        <v>0.29003393738627586</v>
      </c>
      <c r="AA5" s="669">
        <f t="shared" si="8"/>
        <v>0.29027340356753123</v>
      </c>
      <c r="AC5" s="649">
        <f t="shared" si="9"/>
        <v>36799.879327501614</v>
      </c>
      <c r="AD5" s="650" t="b">
        <f t="shared" si="10"/>
        <v>1</v>
      </c>
    </row>
    <row r="6" spans="1:30" x14ac:dyDescent="0.3">
      <c r="A6" s="651">
        <v>1984</v>
      </c>
      <c r="B6" s="652">
        <v>161890</v>
      </c>
      <c r="C6" s="652">
        <v>152545</v>
      </c>
      <c r="D6" s="653">
        <v>109092</v>
      </c>
      <c r="E6" s="654">
        <v>81054</v>
      </c>
      <c r="F6" s="655">
        <v>81054</v>
      </c>
      <c r="G6" s="656">
        <f t="shared" si="11"/>
        <v>91753.127999999997</v>
      </c>
      <c r="H6" s="657">
        <f t="shared" si="12"/>
        <v>0.74298757012429872</v>
      </c>
      <c r="I6" s="658">
        <f t="shared" si="13"/>
        <v>0.84106192938070612</v>
      </c>
      <c r="J6" s="659">
        <f t="shared" si="14"/>
        <v>120282.25772742272</v>
      </c>
      <c r="K6" s="660">
        <f t="shared" si="15"/>
        <v>136159.51574744252</v>
      </c>
      <c r="L6" s="661"/>
      <c r="M6" s="653"/>
      <c r="N6" s="662">
        <f t="shared" si="0"/>
        <v>136159.51574744252</v>
      </c>
      <c r="O6" s="659">
        <f>'[4]Joint Staff Rprt 2022 Table 15'!C6</f>
        <v>9345</v>
      </c>
      <c r="P6" s="663">
        <f>'[4]Joint Staff Rprt 2022 Table 15'!F6</f>
        <v>24616</v>
      </c>
      <c r="Q6" s="663">
        <f t="shared" si="16"/>
        <v>33961</v>
      </c>
      <c r="R6" s="653">
        <f t="shared" si="17"/>
        <v>28563.304183698161</v>
      </c>
      <c r="S6" s="664">
        <f t="shared" si="18"/>
        <v>120316.43218369815</v>
      </c>
      <c r="T6" s="665">
        <f t="shared" si="1"/>
        <v>0.23740152251263519</v>
      </c>
      <c r="U6" s="665">
        <f t="shared" si="2"/>
        <v>0.19493467950471105</v>
      </c>
      <c r="V6" s="666">
        <f t="shared" si="3"/>
        <v>23453.845146879503</v>
      </c>
      <c r="W6" s="667">
        <f t="shared" si="4"/>
        <v>143770.27733057766</v>
      </c>
      <c r="X6" s="652">
        <f t="shared" si="5"/>
        <v>15843.083563744367</v>
      </c>
      <c r="Y6" s="668">
        <f t="shared" si="6"/>
        <v>0.11635678547161657</v>
      </c>
      <c r="Z6" s="669">
        <f t="shared" si="7"/>
        <v>0.67710979173326435</v>
      </c>
      <c r="AA6" s="669">
        <f t="shared" si="8"/>
        <v>0.71858995171063067</v>
      </c>
      <c r="AC6" s="649">
        <f t="shared" si="9"/>
        <v>136159.51574744252</v>
      </c>
      <c r="AD6" s="650" t="b">
        <f t="shared" si="10"/>
        <v>1</v>
      </c>
    </row>
    <row r="7" spans="1:30" x14ac:dyDescent="0.3">
      <c r="A7" s="651">
        <v>1985</v>
      </c>
      <c r="B7" s="631">
        <v>200758</v>
      </c>
      <c r="C7" s="631">
        <v>166340</v>
      </c>
      <c r="D7" s="632">
        <v>103200</v>
      </c>
      <c r="E7" s="654">
        <v>52989</v>
      </c>
      <c r="F7" s="655">
        <v>52989</v>
      </c>
      <c r="G7" s="656">
        <f t="shared" si="11"/>
        <v>59983.547999999995</v>
      </c>
      <c r="H7" s="636">
        <f t="shared" si="12"/>
        <v>0.51345930232558135</v>
      </c>
      <c r="I7" s="637">
        <f t="shared" si="13"/>
        <v>0.58123593023255804</v>
      </c>
      <c r="J7" s="659">
        <f t="shared" si="14"/>
        <v>103081.06261627906</v>
      </c>
      <c r="K7" s="660">
        <f t="shared" si="15"/>
        <v>116687.76288162789</v>
      </c>
      <c r="L7" s="661"/>
      <c r="M7" s="653"/>
      <c r="N7" s="662">
        <f t="shared" si="0"/>
        <v>116687.76288162789</v>
      </c>
      <c r="O7" s="659">
        <f>'[4]Joint Staff Rprt 2022 Table 15'!C7</f>
        <v>32213</v>
      </c>
      <c r="P7" s="663">
        <f>'[4]Joint Staff Rprt 2022 Table 15'!F7</f>
        <v>49969</v>
      </c>
      <c r="Q7" s="663">
        <f t="shared" si="16"/>
        <v>82182</v>
      </c>
      <c r="R7" s="653">
        <f t="shared" si="17"/>
        <v>47767.131218372087</v>
      </c>
      <c r="S7" s="664">
        <f t="shared" si="18"/>
        <v>107750.67921837208</v>
      </c>
      <c r="T7" s="665">
        <f t="shared" si="1"/>
        <v>0.44331164838010162</v>
      </c>
      <c r="U7" s="665">
        <f t="shared" si="2"/>
        <v>0.13653215444208491</v>
      </c>
      <c r="V7" s="666">
        <f t="shared" si="3"/>
        <v>14711.432376282326</v>
      </c>
      <c r="W7" s="667">
        <f t="shared" si="4"/>
        <v>122462.11159465442</v>
      </c>
      <c r="X7" s="652">
        <f t="shared" si="5"/>
        <v>8937.0836632558057</v>
      </c>
      <c r="Y7" s="668">
        <f t="shared" si="6"/>
        <v>7.658972494246799E-2</v>
      </c>
      <c r="Z7" s="669">
        <f t="shared" si="7"/>
        <v>0.50187853643875757</v>
      </c>
      <c r="AA7" s="669">
        <f t="shared" si="8"/>
        <v>0.6057240063627034</v>
      </c>
      <c r="AC7" s="649">
        <f t="shared" si="9"/>
        <v>116687.76288162789</v>
      </c>
      <c r="AD7" s="650" t="b">
        <f t="shared" si="10"/>
        <v>1</v>
      </c>
    </row>
    <row r="8" spans="1:30" x14ac:dyDescent="0.3">
      <c r="A8" s="651">
        <v>1986</v>
      </c>
      <c r="B8" s="652">
        <v>59963</v>
      </c>
      <c r="C8" s="652">
        <v>58123</v>
      </c>
      <c r="D8" s="653">
        <v>49788</v>
      </c>
      <c r="E8" s="654">
        <v>34788</v>
      </c>
      <c r="F8" s="655">
        <v>34788</v>
      </c>
      <c r="G8" s="656">
        <f t="shared" si="11"/>
        <v>39380.015999999996</v>
      </c>
      <c r="H8" s="657">
        <f t="shared" si="12"/>
        <v>0.69872258375512175</v>
      </c>
      <c r="I8" s="658">
        <f t="shared" si="13"/>
        <v>0.79095396481079772</v>
      </c>
      <c r="J8" s="659">
        <f t="shared" si="14"/>
        <v>41897.502289708369</v>
      </c>
      <c r="K8" s="660">
        <f t="shared" si="15"/>
        <v>47427.972591949867</v>
      </c>
      <c r="L8" s="661"/>
      <c r="M8" s="653"/>
      <c r="N8" s="662">
        <f t="shared" si="0"/>
        <v>47427.972591949867</v>
      </c>
      <c r="O8" s="659">
        <f>'[4]Joint Staff Rprt 2022 Table 15'!C8</f>
        <v>1840</v>
      </c>
      <c r="P8" s="663">
        <f>'[4]Joint Staff Rprt 2022 Table 15'!F8</f>
        <v>6672</v>
      </c>
      <c r="Q8" s="663">
        <f t="shared" si="16"/>
        <v>8512</v>
      </c>
      <c r="R8" s="653">
        <f t="shared" si="17"/>
        <v>6732.6001484695098</v>
      </c>
      <c r="S8" s="664">
        <f t="shared" si="18"/>
        <v>46112.616148469504</v>
      </c>
      <c r="T8" s="665">
        <f t="shared" si="1"/>
        <v>0.14600343053173243</v>
      </c>
      <c r="U8" s="665">
        <f t="shared" si="2"/>
        <v>0.12455460608246705</v>
      </c>
      <c r="V8" s="666">
        <f t="shared" si="3"/>
        <v>5743.5387398046278</v>
      </c>
      <c r="W8" s="667">
        <f t="shared" si="4"/>
        <v>51856.154888274134</v>
      </c>
      <c r="X8" s="652">
        <f t="shared" si="5"/>
        <v>1315.3564434803629</v>
      </c>
      <c r="Y8" s="668">
        <f t="shared" si="6"/>
        <v>2.7733769157647348E-2</v>
      </c>
      <c r="Z8" s="669">
        <f t="shared" si="7"/>
        <v>0.69243700529442331</v>
      </c>
      <c r="AA8" s="669">
        <f t="shared" si="8"/>
        <v>0.71435748582264347</v>
      </c>
      <c r="AC8" s="649">
        <f t="shared" si="9"/>
        <v>47427.972591949867</v>
      </c>
      <c r="AD8" s="650" t="b">
        <f t="shared" si="10"/>
        <v>1</v>
      </c>
    </row>
    <row r="9" spans="1:30" x14ac:dyDescent="0.3">
      <c r="A9" s="651">
        <v>1987</v>
      </c>
      <c r="B9" s="652">
        <v>145546</v>
      </c>
      <c r="C9" s="652">
        <v>116993</v>
      </c>
      <c r="D9" s="653">
        <v>69868</v>
      </c>
      <c r="E9" s="654">
        <v>40120</v>
      </c>
      <c r="F9" s="655">
        <v>40120</v>
      </c>
      <c r="G9" s="656">
        <f t="shared" si="11"/>
        <v>45415.839999999997</v>
      </c>
      <c r="H9" s="657">
        <f t="shared" si="12"/>
        <v>0.57422568271597874</v>
      </c>
      <c r="I9" s="658">
        <f t="shared" si="13"/>
        <v>0.6500234728344878</v>
      </c>
      <c r="J9" s="659">
        <f t="shared" si="14"/>
        <v>83576.25121657984</v>
      </c>
      <c r="K9" s="660">
        <f t="shared" si="15"/>
        <v>94608.316377168361</v>
      </c>
      <c r="L9" s="661">
        <v>0.44000000000000006</v>
      </c>
      <c r="M9" s="653">
        <f>L9*C9</f>
        <v>51476.920000000006</v>
      </c>
      <c r="N9" s="662">
        <f t="shared" si="0"/>
        <v>94608.316377168361</v>
      </c>
      <c r="O9" s="659">
        <f>'[4]Joint Staff Rprt 2022 Table 15'!C9</f>
        <v>28553</v>
      </c>
      <c r="P9" s="663">
        <f>'[4]Joint Staff Rprt 2022 Table 15'!F9</f>
        <v>39560</v>
      </c>
      <c r="Q9" s="663">
        <f t="shared" si="16"/>
        <v>68113</v>
      </c>
      <c r="R9" s="653">
        <f t="shared" si="17"/>
        <v>44275.048805175466</v>
      </c>
      <c r="S9" s="664">
        <f t="shared" si="18"/>
        <v>89690.888805175462</v>
      </c>
      <c r="T9" s="665">
        <f t="shared" si="1"/>
        <v>0.49364042875468361</v>
      </c>
      <c r="U9" s="665">
        <f t="shared" si="2"/>
        <v>0.10795316905626326</v>
      </c>
      <c r="V9" s="666">
        <f t="shared" si="3"/>
        <v>9682.415681991617</v>
      </c>
      <c r="W9" s="667">
        <f t="shared" si="4"/>
        <v>99373.304487167072</v>
      </c>
      <c r="X9" s="652">
        <f t="shared" si="5"/>
        <v>4917.4275719928992</v>
      </c>
      <c r="Y9" s="668">
        <f t="shared" si="6"/>
        <v>5.1976694653236767E-2</v>
      </c>
      <c r="Z9" s="669">
        <f t="shared" si="7"/>
        <v>0.57985137898104699</v>
      </c>
      <c r="AA9" s="669">
        <f t="shared" si="8"/>
        <v>0.7213683622539423</v>
      </c>
      <c r="AC9" s="649">
        <f t="shared" si="9"/>
        <v>94608.316377168361</v>
      </c>
      <c r="AD9" s="650" t="b">
        <f t="shared" si="10"/>
        <v>1</v>
      </c>
    </row>
    <row r="10" spans="1:30" x14ac:dyDescent="0.3">
      <c r="A10" s="651">
        <v>1988</v>
      </c>
      <c r="B10" s="652">
        <v>99780</v>
      </c>
      <c r="C10" s="652">
        <v>79714</v>
      </c>
      <c r="D10" s="653">
        <v>49177</v>
      </c>
      <c r="E10" s="654">
        <v>33978</v>
      </c>
      <c r="F10" s="655">
        <v>33978</v>
      </c>
      <c r="G10" s="656">
        <f t="shared" si="11"/>
        <v>38463.095999999998</v>
      </c>
      <c r="H10" s="657">
        <f t="shared" si="12"/>
        <v>0.69093275311629421</v>
      </c>
      <c r="I10" s="658">
        <f t="shared" si="13"/>
        <v>0.78213587652764505</v>
      </c>
      <c r="J10" s="659">
        <f t="shared" si="14"/>
        <v>68941.27010594384</v>
      </c>
      <c r="K10" s="660">
        <f t="shared" si="15"/>
        <v>78041.517759928422</v>
      </c>
      <c r="L10" s="661">
        <v>0.69</v>
      </c>
      <c r="M10" s="653">
        <f>L10*C10</f>
        <v>55002.659999999996</v>
      </c>
      <c r="N10" s="662">
        <f t="shared" si="0"/>
        <v>78041.517759928422</v>
      </c>
      <c r="O10" s="659">
        <f>'[4]Joint Staff Rprt 2022 Table 15'!C10</f>
        <v>17632</v>
      </c>
      <c r="P10" s="663">
        <f>'[4]Joint Staff Rprt 2022 Table 15'!F10</f>
        <v>30990</v>
      </c>
      <c r="Q10" s="663">
        <f t="shared" si="16"/>
        <v>48622</v>
      </c>
      <c r="R10" s="653">
        <f t="shared" si="17"/>
        <v>38029.010588527155</v>
      </c>
      <c r="S10" s="664">
        <f t="shared" si="18"/>
        <v>76492.106588527153</v>
      </c>
      <c r="T10" s="665">
        <f t="shared" si="1"/>
        <v>0.49716254767431162</v>
      </c>
      <c r="U10" s="665">
        <f t="shared" si="2"/>
        <v>7.7324318447581072E-2</v>
      </c>
      <c r="V10" s="666">
        <f t="shared" si="3"/>
        <v>5914.7000085775881</v>
      </c>
      <c r="W10" s="667">
        <f t="shared" si="4"/>
        <v>82406.806597104747</v>
      </c>
      <c r="X10" s="652">
        <f t="shared" si="5"/>
        <v>1549.4111714012688</v>
      </c>
      <c r="Y10" s="668">
        <f t="shared" si="6"/>
        <v>1.9853678091802017E-2</v>
      </c>
      <c r="Z10" s="669">
        <f t="shared" si="7"/>
        <v>0.7216577529417435</v>
      </c>
      <c r="AA10" s="669">
        <f t="shared" si="8"/>
        <v>0.90331699059797732</v>
      </c>
      <c r="AC10" s="649">
        <f t="shared" si="9"/>
        <v>78041.517759928422</v>
      </c>
      <c r="AD10" s="650" t="b">
        <f t="shared" si="10"/>
        <v>1</v>
      </c>
    </row>
    <row r="11" spans="1:30" x14ac:dyDescent="0.3">
      <c r="A11" s="651">
        <v>1989</v>
      </c>
      <c r="B11" s="652">
        <v>47478</v>
      </c>
      <c r="C11" s="652">
        <v>41884</v>
      </c>
      <c r="D11" s="653">
        <v>37360</v>
      </c>
      <c r="E11" s="654">
        <v>15976</v>
      </c>
      <c r="F11" s="655">
        <v>15976</v>
      </c>
      <c r="G11" s="656">
        <f t="shared" si="11"/>
        <v>18084.831999999999</v>
      </c>
      <c r="H11" s="657">
        <f t="shared" si="12"/>
        <v>0.42762312633832977</v>
      </c>
      <c r="I11" s="658">
        <f t="shared" si="13"/>
        <v>0.48406937901498925</v>
      </c>
      <c r="J11" s="659">
        <f t="shared" si="14"/>
        <v>20302.690792291221</v>
      </c>
      <c r="K11" s="660">
        <f t="shared" si="15"/>
        <v>22982.64597687366</v>
      </c>
      <c r="L11" s="661">
        <v>0.41499999999999992</v>
      </c>
      <c r="M11" s="653">
        <f t="shared" ref="M11:M15" si="19">L11*C11</f>
        <v>17381.859999999997</v>
      </c>
      <c r="N11" s="662">
        <f t="shared" si="0"/>
        <v>22982.64597687366</v>
      </c>
      <c r="O11" s="659">
        <f>'[4]Joint Staff Rprt 2022 Table 15'!C11</f>
        <v>36</v>
      </c>
      <c r="P11" s="663">
        <f>'[4]Joint Staff Rprt 2022 Table 15'!F11</f>
        <v>2138</v>
      </c>
      <c r="Q11" s="663">
        <f t="shared" si="16"/>
        <v>2174</v>
      </c>
      <c r="R11" s="653">
        <f t="shared" si="17"/>
        <v>1052.3668299785866</v>
      </c>
      <c r="S11" s="664">
        <f t="shared" si="18"/>
        <v>19137.198829978584</v>
      </c>
      <c r="T11" s="665">
        <f t="shared" si="1"/>
        <v>5.4990640967268675E-2</v>
      </c>
      <c r="U11" s="665">
        <f t="shared" si="2"/>
        <v>0.25907718166509552</v>
      </c>
      <c r="V11" s="666">
        <f t="shared" si="3"/>
        <v>4958.0115378354149</v>
      </c>
      <c r="W11" s="667">
        <f t="shared" si="4"/>
        <v>24095.210367813997</v>
      </c>
      <c r="X11" s="652">
        <f t="shared" si="5"/>
        <v>3845.447146895076</v>
      </c>
      <c r="Y11" s="668">
        <f t="shared" si="6"/>
        <v>0.16731960065714652</v>
      </c>
      <c r="Z11" s="669">
        <f t="shared" si="7"/>
        <v>0.35865804856941291</v>
      </c>
      <c r="AA11" s="669">
        <f t="shared" si="8"/>
        <v>0.40656018598936555</v>
      </c>
      <c r="AC11" s="649">
        <f t="shared" si="9"/>
        <v>22982.64597687366</v>
      </c>
      <c r="AD11" s="650" t="b">
        <f t="shared" si="10"/>
        <v>1</v>
      </c>
    </row>
    <row r="12" spans="1:30" x14ac:dyDescent="0.3">
      <c r="A12" s="651">
        <v>1990</v>
      </c>
      <c r="B12" s="652">
        <v>49754</v>
      </c>
      <c r="C12" s="652">
        <v>49581</v>
      </c>
      <c r="D12" s="653">
        <v>44143</v>
      </c>
      <c r="E12" s="654">
        <v>7609</v>
      </c>
      <c r="F12" s="655">
        <v>7609</v>
      </c>
      <c r="G12" s="656">
        <f t="shared" si="11"/>
        <v>8613.387999999999</v>
      </c>
      <c r="H12" s="657">
        <f t="shared" si="12"/>
        <v>0.17237161044786262</v>
      </c>
      <c r="I12" s="658">
        <f t="shared" si="13"/>
        <v>0.19512466302698048</v>
      </c>
      <c r="J12" s="659">
        <f t="shared" si="14"/>
        <v>8576.1771062229564</v>
      </c>
      <c r="K12" s="660">
        <f t="shared" si="15"/>
        <v>9708.2324842443868</v>
      </c>
      <c r="L12" s="661">
        <v>0.25</v>
      </c>
      <c r="M12" s="653">
        <f t="shared" si="19"/>
        <v>12395.25</v>
      </c>
      <c r="N12" s="662">
        <f t="shared" si="0"/>
        <v>9708.2324842443868</v>
      </c>
      <c r="O12" s="659">
        <f>'[4]Joint Staff Rprt 2022 Table 15'!C12</f>
        <v>173</v>
      </c>
      <c r="P12" s="663">
        <f>'[4]Joint Staff Rprt 2022 Table 15'!F12</f>
        <v>2716</v>
      </c>
      <c r="Q12" s="663">
        <f t="shared" si="16"/>
        <v>2889</v>
      </c>
      <c r="R12" s="653">
        <f t="shared" si="17"/>
        <v>563.71515148494655</v>
      </c>
      <c r="S12" s="664">
        <f t="shared" si="18"/>
        <v>9177.1031514849456</v>
      </c>
      <c r="T12" s="665">
        <f t="shared" si="1"/>
        <v>6.1426262969892835E-2</v>
      </c>
      <c r="U12" s="665">
        <f t="shared" si="2"/>
        <v>0.1581665184936033</v>
      </c>
      <c r="V12" s="666">
        <f t="shared" si="3"/>
        <v>1451.5104553270487</v>
      </c>
      <c r="W12" s="667">
        <f t="shared" si="4"/>
        <v>10628.613606811994</v>
      </c>
      <c r="X12" s="652">
        <f t="shared" si="5"/>
        <v>531.12933275944124</v>
      </c>
      <c r="Y12" s="668">
        <f t="shared" si="6"/>
        <v>5.4709169112031233E-2</v>
      </c>
      <c r="Z12" s="669">
        <f t="shared" si="7"/>
        <v>0.16426247440376546</v>
      </c>
      <c r="AA12" s="669">
        <f t="shared" si="8"/>
        <v>0.16483562557199222</v>
      </c>
      <c r="AC12" s="649">
        <f t="shared" si="9"/>
        <v>9708.2324842443868</v>
      </c>
      <c r="AD12" s="650" t="b">
        <f t="shared" si="10"/>
        <v>1</v>
      </c>
    </row>
    <row r="13" spans="1:30" x14ac:dyDescent="0.3">
      <c r="A13" s="651">
        <v>1991</v>
      </c>
      <c r="B13" s="652">
        <v>76484</v>
      </c>
      <c r="C13" s="652">
        <v>76481</v>
      </c>
      <c r="D13" s="653">
        <v>62119</v>
      </c>
      <c r="E13" s="654">
        <v>27490</v>
      </c>
      <c r="F13" s="655">
        <v>27490</v>
      </c>
      <c r="G13" s="656">
        <f t="shared" si="11"/>
        <v>31118.679999999997</v>
      </c>
      <c r="H13" s="657">
        <f t="shared" si="12"/>
        <v>0.44253770987942498</v>
      </c>
      <c r="I13" s="658">
        <f t="shared" si="13"/>
        <v>0.50095268758350897</v>
      </c>
      <c r="J13" s="659">
        <f t="shared" si="14"/>
        <v>33847.054202417938</v>
      </c>
      <c r="K13" s="660">
        <f t="shared" si="15"/>
        <v>38314.865357137103</v>
      </c>
      <c r="L13" s="661">
        <v>0.53000000000000014</v>
      </c>
      <c r="M13" s="653">
        <f t="shared" si="19"/>
        <v>40534.930000000008</v>
      </c>
      <c r="N13" s="662">
        <f t="shared" si="0"/>
        <v>38314.865357137103</v>
      </c>
      <c r="O13" s="659">
        <f>'[4]Joint Staff Rprt 2022 Table 15'!C13</f>
        <v>3</v>
      </c>
      <c r="P13" s="663">
        <f>'[4]Joint Staff Rprt 2022 Table 15'!F13</f>
        <v>3271</v>
      </c>
      <c r="Q13" s="663">
        <f t="shared" si="16"/>
        <v>3274</v>
      </c>
      <c r="R13" s="653">
        <f t="shared" si="17"/>
        <v>1640.1190991484084</v>
      </c>
      <c r="S13" s="664">
        <f t="shared" si="18"/>
        <v>32758.799099148404</v>
      </c>
      <c r="T13" s="665">
        <f t="shared" si="1"/>
        <v>5.006652088143991E-2</v>
      </c>
      <c r="U13" s="665">
        <f t="shared" si="2"/>
        <v>0.2397175658162089</v>
      </c>
      <c r="V13" s="666">
        <f t="shared" si="3"/>
        <v>7852.8595791100724</v>
      </c>
      <c r="W13" s="667">
        <f t="shared" si="4"/>
        <v>40611.658678258478</v>
      </c>
      <c r="X13" s="652">
        <f t="shared" si="5"/>
        <v>5556.0662579886994</v>
      </c>
      <c r="Y13" s="668">
        <f t="shared" si="6"/>
        <v>0.14501072119659017</v>
      </c>
      <c r="Z13" s="669">
        <f t="shared" si="7"/>
        <v>0.38086552872690244</v>
      </c>
      <c r="AA13" s="669">
        <f t="shared" si="8"/>
        <v>0.38088046834048206</v>
      </c>
      <c r="AC13" s="649">
        <f t="shared" si="9"/>
        <v>38314.865357137103</v>
      </c>
      <c r="AD13" s="650" t="b">
        <f t="shared" si="10"/>
        <v>1</v>
      </c>
    </row>
    <row r="14" spans="1:30" x14ac:dyDescent="0.3">
      <c r="A14" s="651">
        <v>1992</v>
      </c>
      <c r="B14" s="652">
        <v>85000</v>
      </c>
      <c r="C14" s="652">
        <v>84992</v>
      </c>
      <c r="D14" s="653">
        <v>68359</v>
      </c>
      <c r="E14" s="654">
        <v>41951</v>
      </c>
      <c r="F14" s="655">
        <v>41951</v>
      </c>
      <c r="G14" s="656">
        <f t="shared" si="11"/>
        <v>47488.531999999992</v>
      </c>
      <c r="H14" s="657">
        <f t="shared" si="12"/>
        <v>0.61368656650916487</v>
      </c>
      <c r="I14" s="658">
        <f t="shared" si="13"/>
        <v>0.69469319328837453</v>
      </c>
      <c r="J14" s="659">
        <f t="shared" si="14"/>
        <v>52163.358153279012</v>
      </c>
      <c r="K14" s="660">
        <f t="shared" si="15"/>
        <v>59048.921429511836</v>
      </c>
      <c r="L14" s="661">
        <v>0.63</v>
      </c>
      <c r="M14" s="653">
        <f t="shared" si="19"/>
        <v>53544.959999999999</v>
      </c>
      <c r="N14" s="662">
        <f t="shared" si="0"/>
        <v>59048.921429511836</v>
      </c>
      <c r="O14" s="659">
        <f>'[4]Joint Staff Rprt 2022 Table 15'!C14</f>
        <v>8</v>
      </c>
      <c r="P14" s="663">
        <f>'[4]Joint Staff Rprt 2022 Table 15'!F14</f>
        <v>2185</v>
      </c>
      <c r="Q14" s="663">
        <f t="shared" si="16"/>
        <v>2193</v>
      </c>
      <c r="R14" s="653">
        <f t="shared" si="17"/>
        <v>1523.4621728814054</v>
      </c>
      <c r="S14" s="664">
        <f t="shared" si="18"/>
        <v>49011.994172881401</v>
      </c>
      <c r="T14" s="665">
        <f t="shared" si="1"/>
        <v>3.1083456174169407E-2</v>
      </c>
      <c r="U14" s="665">
        <f t="shared" si="2"/>
        <v>0.26375518603200987</v>
      </c>
      <c r="V14" s="666">
        <f t="shared" si="3"/>
        <v>12927.167640868118</v>
      </c>
      <c r="W14" s="667">
        <f t="shared" si="4"/>
        <v>61939.161813749517</v>
      </c>
      <c r="X14" s="652">
        <f t="shared" si="5"/>
        <v>10036.927256630435</v>
      </c>
      <c r="Y14" s="668">
        <f t="shared" si="6"/>
        <v>0.16997647058823528</v>
      </c>
      <c r="Z14" s="669">
        <f t="shared" si="7"/>
        <v>0.51146426085742835</v>
      </c>
      <c r="AA14" s="669">
        <f t="shared" si="8"/>
        <v>0.51151240320125901</v>
      </c>
      <c r="AC14" s="649">
        <f t="shared" si="9"/>
        <v>59048.921429511836</v>
      </c>
      <c r="AD14" s="650" t="b">
        <f t="shared" si="10"/>
        <v>1</v>
      </c>
    </row>
    <row r="15" spans="1:30" x14ac:dyDescent="0.3">
      <c r="A15" s="651">
        <v>1993</v>
      </c>
      <c r="B15" s="652">
        <v>88025</v>
      </c>
      <c r="C15" s="652">
        <v>80178</v>
      </c>
      <c r="D15" s="653">
        <v>65630</v>
      </c>
      <c r="E15" s="654">
        <v>27849</v>
      </c>
      <c r="F15" s="655">
        <v>27849</v>
      </c>
      <c r="G15" s="656">
        <f t="shared" si="11"/>
        <v>31525.067999999996</v>
      </c>
      <c r="H15" s="657">
        <f t="shared" si="12"/>
        <v>0.42433338412311444</v>
      </c>
      <c r="I15" s="658">
        <f t="shared" si="13"/>
        <v>0.48034539082736549</v>
      </c>
      <c r="J15" s="659">
        <f t="shared" si="14"/>
        <v>37351.946137437146</v>
      </c>
      <c r="K15" s="660">
        <f t="shared" si="15"/>
        <v>42282.403027578846</v>
      </c>
      <c r="L15" s="661">
        <v>0.57999999999999996</v>
      </c>
      <c r="M15" s="653">
        <f t="shared" si="19"/>
        <v>46503.24</v>
      </c>
      <c r="N15" s="662">
        <f t="shared" si="0"/>
        <v>42282.403027578846</v>
      </c>
      <c r="O15" s="659">
        <f>'[4]Joint Staff Rprt 2022 Table 15'!C15</f>
        <v>64</v>
      </c>
      <c r="P15" s="663">
        <f>'[4]Joint Staff Rprt 2022 Table 15'!F15</f>
        <v>5020</v>
      </c>
      <c r="Q15" s="663">
        <f t="shared" si="16"/>
        <v>5084</v>
      </c>
      <c r="R15" s="653">
        <f t="shared" si="17"/>
        <v>2442.0759669663262</v>
      </c>
      <c r="S15" s="664">
        <f t="shared" si="18"/>
        <v>33967.143966966323</v>
      </c>
      <c r="T15" s="665">
        <f t="shared" si="1"/>
        <v>7.1895239980767606E-2</v>
      </c>
      <c r="U15" s="665">
        <f t="shared" si="2"/>
        <v>0.28360088835989605</v>
      </c>
      <c r="V15" s="666">
        <f t="shared" si="3"/>
        <v>9633.1122040801329</v>
      </c>
      <c r="W15" s="667">
        <f t="shared" si="4"/>
        <v>43600.256171046458</v>
      </c>
      <c r="X15" s="652">
        <f t="shared" si="5"/>
        <v>8315.2590606125232</v>
      </c>
      <c r="Y15" s="668">
        <f t="shared" si="6"/>
        <v>0.1966600397614314</v>
      </c>
      <c r="Z15" s="669">
        <f t="shared" si="7"/>
        <v>0.34411901126914318</v>
      </c>
      <c r="AA15" s="669">
        <f t="shared" si="8"/>
        <v>0.37779784937222588</v>
      </c>
      <c r="AC15" s="649">
        <f t="shared" si="9"/>
        <v>42282.403027578846</v>
      </c>
      <c r="AD15" s="650" t="b">
        <f t="shared" si="10"/>
        <v>1</v>
      </c>
    </row>
    <row r="16" spans="1:30" x14ac:dyDescent="0.3">
      <c r="A16" s="651">
        <v>1994</v>
      </c>
      <c r="B16" s="652">
        <v>12873</v>
      </c>
      <c r="C16" s="652">
        <v>12678</v>
      </c>
      <c r="D16" s="653">
        <v>11367</v>
      </c>
      <c r="E16" s="654">
        <v>1666</v>
      </c>
      <c r="F16" s="655">
        <v>1666</v>
      </c>
      <c r="G16" s="656">
        <f t="shared" si="11"/>
        <v>1885.9119999999998</v>
      </c>
      <c r="H16" s="657">
        <f t="shared" si="12"/>
        <v>0.14656461687340547</v>
      </c>
      <c r="I16" s="658">
        <f t="shared" si="13"/>
        <v>0.16591114630069498</v>
      </c>
      <c r="J16" s="659">
        <f t="shared" si="14"/>
        <v>1886.7263130113486</v>
      </c>
      <c r="K16" s="660">
        <f t="shared" si="15"/>
        <v>2135.7741863288466</v>
      </c>
      <c r="L16" s="661"/>
      <c r="M16" s="653"/>
      <c r="N16" s="662">
        <f t="shared" si="0"/>
        <v>2135.7741863288466</v>
      </c>
      <c r="O16" s="659">
        <f>'[4]Joint Staff Rprt 2022 Table 15'!C16</f>
        <v>1</v>
      </c>
      <c r="P16" s="663">
        <f>'[4]Joint Staff Rprt 2022 Table 15'!F16</f>
        <v>472</v>
      </c>
      <c r="Q16" s="663">
        <f t="shared" si="16"/>
        <v>473</v>
      </c>
      <c r="R16" s="653">
        <f t="shared" si="17"/>
        <v>78.475972200228725</v>
      </c>
      <c r="S16" s="664">
        <f t="shared" si="18"/>
        <v>1964.3879722002284</v>
      </c>
      <c r="T16" s="665">
        <f t="shared" si="1"/>
        <v>3.9949324324324326E-2</v>
      </c>
      <c r="U16" s="665">
        <f t="shared" si="2"/>
        <v>0.18321141655954515</v>
      </c>
      <c r="V16" s="666">
        <f t="shared" si="3"/>
        <v>359.89830305933623</v>
      </c>
      <c r="W16" s="667">
        <f t="shared" si="4"/>
        <v>2324.2862752595647</v>
      </c>
      <c r="X16" s="652">
        <f t="shared" si="5"/>
        <v>171.38621412861812</v>
      </c>
      <c r="Y16" s="668">
        <f t="shared" si="6"/>
        <v>8.0245475025246732E-2</v>
      </c>
      <c r="Z16" s="669">
        <f t="shared" si="7"/>
        <v>0.13551433016392672</v>
      </c>
      <c r="AA16" s="669">
        <f t="shared" si="8"/>
        <v>0.13759867267709644</v>
      </c>
      <c r="AC16" s="649">
        <f t="shared" si="9"/>
        <v>2135.7741863288466</v>
      </c>
      <c r="AD16" s="650" t="b">
        <f t="shared" si="10"/>
        <v>1</v>
      </c>
    </row>
    <row r="17" spans="1:30" x14ac:dyDescent="0.3">
      <c r="A17" s="651">
        <v>1995</v>
      </c>
      <c r="B17" s="652">
        <v>9913</v>
      </c>
      <c r="C17" s="652">
        <v>8774</v>
      </c>
      <c r="D17" s="653">
        <v>9462</v>
      </c>
      <c r="E17" s="654">
        <v>4892</v>
      </c>
      <c r="F17" s="655">
        <v>4892</v>
      </c>
      <c r="G17" s="656">
        <f t="shared" si="11"/>
        <v>5537.7439999999997</v>
      </c>
      <c r="H17" s="657">
        <f t="shared" si="12"/>
        <v>0.5170154301416191</v>
      </c>
      <c r="I17" s="658">
        <f t="shared" si="13"/>
        <v>0.58526146692031278</v>
      </c>
      <c r="J17" s="659">
        <f t="shared" si="14"/>
        <v>5125.1739589938697</v>
      </c>
      <c r="K17" s="660">
        <f t="shared" si="15"/>
        <v>5801.6969215810605</v>
      </c>
      <c r="L17" s="661"/>
      <c r="M17" s="653"/>
      <c r="N17" s="662">
        <f t="shared" si="0"/>
        <v>5801.6969215810605</v>
      </c>
      <c r="O17" s="659">
        <f>'[4]Joint Staff Rprt 2022 Table 15'!C17</f>
        <v>1</v>
      </c>
      <c r="P17" s="663">
        <f>'[4]Joint Staff Rprt 2022 Table 15'!F17</f>
        <v>445</v>
      </c>
      <c r="Q17" s="663">
        <f t="shared" si="16"/>
        <v>446</v>
      </c>
      <c r="R17" s="653">
        <f t="shared" si="17"/>
        <v>261.02661424645947</v>
      </c>
      <c r="S17" s="664">
        <f t="shared" si="18"/>
        <v>5798.7706142464594</v>
      </c>
      <c r="T17" s="665">
        <f t="shared" si="1"/>
        <v>4.5014129995962854E-2</v>
      </c>
      <c r="U17" s="665">
        <f t="shared" si="2"/>
        <v>0.11180699648781844</v>
      </c>
      <c r="V17" s="666">
        <f t="shared" si="3"/>
        <v>648.3431257007187</v>
      </c>
      <c r="W17" s="667">
        <f t="shared" si="4"/>
        <v>6447.1137399471781</v>
      </c>
      <c r="X17" s="652">
        <f t="shared" si="5"/>
        <v>2.926307334601006</v>
      </c>
      <c r="Y17" s="668">
        <f t="shared" si="6"/>
        <v>5.043881771410317E-4</v>
      </c>
      <c r="Z17" s="669">
        <f t="shared" si="7"/>
        <v>0.51982514014389791</v>
      </c>
      <c r="AA17" s="669">
        <f t="shared" si="8"/>
        <v>0.58730642970668567</v>
      </c>
      <c r="AC17" s="649">
        <f t="shared" si="9"/>
        <v>5801.6969215810605</v>
      </c>
      <c r="AD17" s="650" t="b">
        <f t="shared" si="10"/>
        <v>1</v>
      </c>
    </row>
    <row r="18" spans="1:30" x14ac:dyDescent="0.3">
      <c r="A18" s="651">
        <v>1996</v>
      </c>
      <c r="B18" s="652">
        <v>30942</v>
      </c>
      <c r="C18" s="652">
        <v>30232</v>
      </c>
      <c r="D18" s="653">
        <v>29500</v>
      </c>
      <c r="E18" s="654">
        <v>17701</v>
      </c>
      <c r="F18" s="655">
        <v>17701</v>
      </c>
      <c r="G18" s="656">
        <f t="shared" si="11"/>
        <v>20037.531999999999</v>
      </c>
      <c r="H18" s="657">
        <f t="shared" si="12"/>
        <v>0.6000338983050848</v>
      </c>
      <c r="I18" s="658">
        <f t="shared" si="13"/>
        <v>0.67923837288135591</v>
      </c>
      <c r="J18" s="659">
        <f t="shared" si="14"/>
        <v>18566.248881355932</v>
      </c>
      <c r="K18" s="660">
        <f t="shared" si="15"/>
        <v>21016.993733694915</v>
      </c>
      <c r="L18" s="661"/>
      <c r="M18" s="653"/>
      <c r="N18" s="662">
        <f t="shared" si="0"/>
        <v>21016.993733694915</v>
      </c>
      <c r="O18" s="659">
        <f>'[4]Joint Staff Rprt 2022 Table 15'!C18</f>
        <v>25</v>
      </c>
      <c r="P18" s="663">
        <f>'[4]Joint Staff Rprt 2022 Table 15'!F18</f>
        <v>1414</v>
      </c>
      <c r="Q18" s="663">
        <f t="shared" si="16"/>
        <v>1439</v>
      </c>
      <c r="R18" s="653">
        <f t="shared" si="17"/>
        <v>977.42401857627112</v>
      </c>
      <c r="S18" s="664">
        <f t="shared" si="18"/>
        <v>21014.956018576271</v>
      </c>
      <c r="T18" s="665">
        <f t="shared" si="1"/>
        <v>4.6510876240343897E-2</v>
      </c>
      <c r="U18" s="665">
        <f t="shared" si="2"/>
        <v>0.11127041977318554</v>
      </c>
      <c r="V18" s="666">
        <f t="shared" si="3"/>
        <v>2338.3429777020137</v>
      </c>
      <c r="W18" s="667">
        <f t="shared" si="4"/>
        <v>23353.298996278285</v>
      </c>
      <c r="X18" s="652">
        <f t="shared" si="5"/>
        <v>2.0377151186439733</v>
      </c>
      <c r="Y18" s="668">
        <f t="shared" si="6"/>
        <v>9.6955594337788792E-5</v>
      </c>
      <c r="Z18" s="669">
        <f t="shared" si="7"/>
        <v>0.60365923400479193</v>
      </c>
      <c r="AA18" s="669">
        <f t="shared" si="8"/>
        <v>0.61783620066738132</v>
      </c>
      <c r="AC18" s="649">
        <f t="shared" si="9"/>
        <v>21016.993733694915</v>
      </c>
      <c r="AD18" s="650" t="b">
        <f t="shared" si="10"/>
        <v>1</v>
      </c>
    </row>
    <row r="19" spans="1:30" x14ac:dyDescent="0.3">
      <c r="A19" s="651">
        <v>1997</v>
      </c>
      <c r="B19" s="652">
        <v>49979</v>
      </c>
      <c r="C19" s="652">
        <v>47008</v>
      </c>
      <c r="D19" s="653">
        <v>41504</v>
      </c>
      <c r="E19" s="654">
        <v>24621</v>
      </c>
      <c r="F19" s="655">
        <v>24621</v>
      </c>
      <c r="G19" s="656">
        <f t="shared" si="11"/>
        <v>27870.971999999998</v>
      </c>
      <c r="H19" s="657">
        <f t="shared" si="12"/>
        <v>0.59321993060909795</v>
      </c>
      <c r="I19" s="658">
        <f t="shared" si="13"/>
        <v>0.6715249614494988</v>
      </c>
      <c r="J19" s="659">
        <f t="shared" si="14"/>
        <v>29648.538911912106</v>
      </c>
      <c r="K19" s="660">
        <f t="shared" si="15"/>
        <v>33562.1460482845</v>
      </c>
      <c r="L19" s="661"/>
      <c r="M19" s="653"/>
      <c r="N19" s="662">
        <f t="shared" si="0"/>
        <v>33562.1460482845</v>
      </c>
      <c r="O19" s="659">
        <f>'[4]Joint Staff Rprt 2022 Table 15'!C19</f>
        <v>12</v>
      </c>
      <c r="P19" s="663">
        <f>'[4]Joint Staff Rprt 2022 Table 15'!F19</f>
        <v>2046</v>
      </c>
      <c r="Q19" s="663">
        <f t="shared" si="16"/>
        <v>2058</v>
      </c>
      <c r="R19" s="653">
        <f t="shared" si="17"/>
        <v>1381.9983706630685</v>
      </c>
      <c r="S19" s="664">
        <f t="shared" si="18"/>
        <v>29252.970370663068</v>
      </c>
      <c r="T19" s="665">
        <f t="shared" si="1"/>
        <v>4.7243009962811625E-2</v>
      </c>
      <c r="U19" s="665">
        <f t="shared" si="2"/>
        <v>0.22522837683699934</v>
      </c>
      <c r="V19" s="666">
        <f t="shared" si="3"/>
        <v>6588.5990342452778</v>
      </c>
      <c r="W19" s="667">
        <f t="shared" si="4"/>
        <v>35841.569404908347</v>
      </c>
      <c r="X19" s="652">
        <f t="shared" si="5"/>
        <v>4309.1756776214315</v>
      </c>
      <c r="Y19" s="668">
        <f t="shared" si="6"/>
        <v>0.12839392544868838</v>
      </c>
      <c r="Z19" s="669">
        <f t="shared" si="7"/>
        <v>0.52027848437669966</v>
      </c>
      <c r="AA19" s="669">
        <f t="shared" si="8"/>
        <v>0.55316112939633832</v>
      </c>
      <c r="AC19" s="649">
        <f t="shared" si="9"/>
        <v>33562.1460482845</v>
      </c>
      <c r="AD19" s="650" t="b">
        <f t="shared" si="10"/>
        <v>1</v>
      </c>
    </row>
    <row r="20" spans="1:30" x14ac:dyDescent="0.3">
      <c r="A20" s="651">
        <v>1998</v>
      </c>
      <c r="B20" s="652">
        <v>13220</v>
      </c>
      <c r="C20" s="652">
        <v>13218</v>
      </c>
      <c r="D20" s="653">
        <v>9334</v>
      </c>
      <c r="E20" s="654">
        <v>4664</v>
      </c>
      <c r="F20" s="655">
        <v>4135</v>
      </c>
      <c r="G20" s="656">
        <v>4666</v>
      </c>
      <c r="H20" s="657">
        <f t="shared" si="12"/>
        <v>0.49967859438611528</v>
      </c>
      <c r="I20" s="658">
        <f t="shared" si="13"/>
        <v>0.49989286479537176</v>
      </c>
      <c r="J20" s="659">
        <f t="shared" si="14"/>
        <v>6605.7510177844442</v>
      </c>
      <c r="K20" s="660">
        <f t="shared" si="15"/>
        <v>6608.5836725948147</v>
      </c>
      <c r="L20" s="661"/>
      <c r="M20" s="653"/>
      <c r="N20" s="662">
        <f t="shared" si="0"/>
        <v>6608.5836725948147</v>
      </c>
      <c r="O20" s="659">
        <f>'[4]Joint Staff Rprt 2022 Table 15'!C20</f>
        <v>2</v>
      </c>
      <c r="P20" s="663">
        <f>'[4]Joint Staff Rprt 2022 Table 15'!F20</f>
        <v>425</v>
      </c>
      <c r="Q20" s="663">
        <f t="shared" si="16"/>
        <v>427</v>
      </c>
      <c r="R20" s="653">
        <f t="shared" si="17"/>
        <v>213.45425326762376</v>
      </c>
      <c r="S20" s="664">
        <f t="shared" si="18"/>
        <v>4879.4542532676242</v>
      </c>
      <c r="T20" s="665">
        <f t="shared" si="1"/>
        <v>4.3745517877266674E-2</v>
      </c>
      <c r="U20" s="665">
        <f t="shared" si="2"/>
        <v>0.34199906232552341</v>
      </c>
      <c r="V20" s="666">
        <f t="shared" si="3"/>
        <v>1668.7687792778145</v>
      </c>
      <c r="W20" s="667">
        <f t="shared" si="4"/>
        <v>6548.2230325454384</v>
      </c>
      <c r="X20" s="652">
        <f t="shared" si="5"/>
        <v>1729.1294193271906</v>
      </c>
      <c r="Y20" s="668">
        <f t="shared" si="6"/>
        <v>0.26164901664145229</v>
      </c>
      <c r="Z20" s="669">
        <f t="shared" si="7"/>
        <v>0.32892997377213495</v>
      </c>
      <c r="AA20" s="669">
        <f t="shared" si="8"/>
        <v>0.32897974377875805</v>
      </c>
      <c r="AC20" s="649">
        <f t="shared" si="9"/>
        <v>6608.5836725948147</v>
      </c>
      <c r="AD20" s="650" t="b">
        <f t="shared" si="10"/>
        <v>1</v>
      </c>
    </row>
    <row r="21" spans="1:30" x14ac:dyDescent="0.3">
      <c r="A21" s="651">
        <v>1999</v>
      </c>
      <c r="B21" s="652">
        <v>19094</v>
      </c>
      <c r="C21" s="652">
        <v>17877</v>
      </c>
      <c r="D21" s="653">
        <v>18371</v>
      </c>
      <c r="E21" s="654">
        <v>12388</v>
      </c>
      <c r="F21" s="655">
        <v>11013</v>
      </c>
      <c r="G21" s="656">
        <v>12388</v>
      </c>
      <c r="H21" s="657">
        <f t="shared" si="12"/>
        <v>0.67432366229383267</v>
      </c>
      <c r="I21" s="658">
        <f t="shared" si="13"/>
        <v>0.67432366229383267</v>
      </c>
      <c r="J21" s="659">
        <f t="shared" si="14"/>
        <v>12875.53600783844</v>
      </c>
      <c r="K21" s="660">
        <f t="shared" si="15"/>
        <v>12875.53600783844</v>
      </c>
      <c r="L21" s="661"/>
      <c r="M21" s="653"/>
      <c r="N21" s="662">
        <f t="shared" si="0"/>
        <v>12875.53600783844</v>
      </c>
      <c r="O21" s="659">
        <f>'[4]Joint Staff Rprt 2022 Table 15'!C21</f>
        <v>1</v>
      </c>
      <c r="P21" s="663">
        <f>'[4]Joint Staff Rprt 2022 Table 15'!F21</f>
        <v>704</v>
      </c>
      <c r="Q21" s="663">
        <f t="shared" si="16"/>
        <v>705</v>
      </c>
      <c r="R21" s="653">
        <f t="shared" si="17"/>
        <v>475.39818191715204</v>
      </c>
      <c r="S21" s="664">
        <f t="shared" si="18"/>
        <v>12863.398181917151</v>
      </c>
      <c r="T21" s="665">
        <f t="shared" si="1"/>
        <v>3.6957433424197945E-2</v>
      </c>
      <c r="U21" s="665">
        <f t="shared" si="2"/>
        <v>0.10773437510304965</v>
      </c>
      <c r="V21" s="666">
        <f t="shared" si="3"/>
        <v>1385.8301648305492</v>
      </c>
      <c r="W21" s="667">
        <f t="shared" si="4"/>
        <v>14249.228346747701</v>
      </c>
      <c r="X21" s="652">
        <f t="shared" si="5"/>
        <v>12.137825921288822</v>
      </c>
      <c r="Y21" s="668">
        <f t="shared" si="6"/>
        <v>9.4270451450716218E-4</v>
      </c>
      <c r="Z21" s="669">
        <f t="shared" si="7"/>
        <v>0.60167582391940666</v>
      </c>
      <c r="AA21" s="669">
        <f t="shared" si="8"/>
        <v>0.64263568730307941</v>
      </c>
      <c r="AC21" s="649">
        <f t="shared" si="9"/>
        <v>12875.53600783844</v>
      </c>
      <c r="AD21" s="650" t="b">
        <f t="shared" si="10"/>
        <v>1</v>
      </c>
    </row>
    <row r="22" spans="1:30" x14ac:dyDescent="0.3">
      <c r="A22" s="651">
        <v>2000</v>
      </c>
      <c r="B22" s="652">
        <v>93764</v>
      </c>
      <c r="C22" s="652">
        <v>93398</v>
      </c>
      <c r="D22" s="653">
        <v>76512</v>
      </c>
      <c r="E22" s="654">
        <v>59944</v>
      </c>
      <c r="F22" s="655">
        <v>53351</v>
      </c>
      <c r="G22" s="656">
        <v>59944</v>
      </c>
      <c r="H22" s="657">
        <f t="shared" si="12"/>
        <v>0.78345880384776245</v>
      </c>
      <c r="I22" s="658">
        <f t="shared" si="13"/>
        <v>0.78345880384776245</v>
      </c>
      <c r="J22" s="659">
        <f t="shared" si="14"/>
        <v>73460.2312839816</v>
      </c>
      <c r="K22" s="660">
        <f t="shared" si="15"/>
        <v>73460.2312839816</v>
      </c>
      <c r="L22" s="661">
        <v>0.55000000000000004</v>
      </c>
      <c r="M22" s="653">
        <f t="shared" ref="M22:M43" si="20">L22*C22</f>
        <v>51368.9</v>
      </c>
      <c r="N22" s="662">
        <f t="shared" si="0"/>
        <v>73460.2312839816</v>
      </c>
      <c r="O22" s="659">
        <f>'[4]Joint Staff Rprt 2022 Table 15'!C22</f>
        <v>366</v>
      </c>
      <c r="P22" s="663">
        <f>'[4]Joint Staff Rprt 2022 Table 15'!F22</f>
        <v>2910</v>
      </c>
      <c r="Q22" s="663">
        <f t="shared" si="16"/>
        <v>3276</v>
      </c>
      <c r="R22" s="653">
        <f t="shared" si="17"/>
        <v>2566.6110414052696</v>
      </c>
      <c r="S22" s="664">
        <f t="shared" si="18"/>
        <v>62510.611041405267</v>
      </c>
      <c r="T22" s="665">
        <f t="shared" si="1"/>
        <v>4.105880583546398E-2</v>
      </c>
      <c r="U22" s="665">
        <f t="shared" si="2"/>
        <v>0.23880431542286196</v>
      </c>
      <c r="V22" s="666">
        <f t="shared" si="3"/>
        <v>14927.80367640758</v>
      </c>
      <c r="W22" s="667">
        <f t="shared" si="4"/>
        <v>77438.414717812848</v>
      </c>
      <c r="X22" s="652">
        <f t="shared" si="5"/>
        <v>10949.620242576333</v>
      </c>
      <c r="Y22" s="668">
        <f t="shared" si="6"/>
        <v>0.14905507444221669</v>
      </c>
      <c r="Z22" s="669">
        <f t="shared" si="7"/>
        <v>0.59636546053288331</v>
      </c>
      <c r="AA22" s="669">
        <f t="shared" si="8"/>
        <v>0.59870244589183141</v>
      </c>
      <c r="AC22" s="649">
        <f t="shared" si="9"/>
        <v>73460.2312839816</v>
      </c>
      <c r="AD22" s="650" t="b">
        <f t="shared" si="10"/>
        <v>1</v>
      </c>
    </row>
    <row r="23" spans="1:30" x14ac:dyDescent="0.3">
      <c r="A23" s="651">
        <v>2001</v>
      </c>
      <c r="B23" s="652">
        <v>117879</v>
      </c>
      <c r="C23" s="652">
        <v>114934</v>
      </c>
      <c r="D23" s="653">
        <v>104840</v>
      </c>
      <c r="E23" s="654">
        <v>74486</v>
      </c>
      <c r="F23" s="655">
        <v>64819</v>
      </c>
      <c r="G23" s="656">
        <v>74486</v>
      </c>
      <c r="H23" s="657">
        <f t="shared" si="12"/>
        <v>0.7104731018695154</v>
      </c>
      <c r="I23" s="658">
        <f t="shared" si="13"/>
        <v>0.7104731018695154</v>
      </c>
      <c r="J23" s="659">
        <f t="shared" si="14"/>
        <v>83749.858775276603</v>
      </c>
      <c r="K23" s="660">
        <f t="shared" si="15"/>
        <v>83749.858775276603</v>
      </c>
      <c r="L23" s="661">
        <v>0.56000000000000005</v>
      </c>
      <c r="M23" s="653">
        <f t="shared" si="20"/>
        <v>64363.040000000008</v>
      </c>
      <c r="N23" s="662">
        <f t="shared" si="0"/>
        <v>83749.858775276603</v>
      </c>
      <c r="O23" s="659">
        <f>'[4]Joint Staff Rprt 2022 Table 15'!C23</f>
        <v>1691</v>
      </c>
      <c r="P23" s="663">
        <f>'[4]Joint Staff Rprt 2022 Table 15'!F23</f>
        <v>7300</v>
      </c>
      <c r="Q23" s="663">
        <f t="shared" si="16"/>
        <v>8991</v>
      </c>
      <c r="R23" s="653">
        <f t="shared" si="17"/>
        <v>6387.8636589088128</v>
      </c>
      <c r="S23" s="664">
        <f t="shared" si="18"/>
        <v>80873.863658908813</v>
      </c>
      <c r="T23" s="665">
        <f t="shared" si="1"/>
        <v>7.8985513612284869E-2</v>
      </c>
      <c r="U23" s="665">
        <f t="shared" si="2"/>
        <v>0.14976735841458574</v>
      </c>
      <c r="V23" s="666">
        <f t="shared" si="3"/>
        <v>12112.264924976136</v>
      </c>
      <c r="W23" s="667">
        <f t="shared" si="4"/>
        <v>92986.128583884944</v>
      </c>
      <c r="X23" s="652">
        <f t="shared" si="5"/>
        <v>2875.9951163677906</v>
      </c>
      <c r="Y23" s="668">
        <f t="shared" si="6"/>
        <v>3.4340298102291243E-2</v>
      </c>
      <c r="Z23" s="669">
        <f t="shared" si="7"/>
        <v>0.60406742217790121</v>
      </c>
      <c r="AA23" s="669">
        <f t="shared" si="8"/>
        <v>0.61954568412226851</v>
      </c>
      <c r="AC23" s="649">
        <f t="shared" si="9"/>
        <v>83749.858775276603</v>
      </c>
      <c r="AD23" s="650" t="b">
        <f t="shared" si="10"/>
        <v>1</v>
      </c>
    </row>
    <row r="24" spans="1:30" x14ac:dyDescent="0.3">
      <c r="A24" s="651">
        <v>2002</v>
      </c>
      <c r="B24" s="652">
        <v>50557</v>
      </c>
      <c r="C24" s="652">
        <v>49610</v>
      </c>
      <c r="D24" s="653">
        <v>44320</v>
      </c>
      <c r="E24" s="654">
        <v>10586</v>
      </c>
      <c r="F24" s="655">
        <v>9594</v>
      </c>
      <c r="G24" s="656">
        <v>10659</v>
      </c>
      <c r="H24" s="657">
        <f t="shared" si="12"/>
        <v>0.23885379061371842</v>
      </c>
      <c r="I24" s="658">
        <f t="shared" si="13"/>
        <v>0.24050090252707582</v>
      </c>
      <c r="J24" s="659">
        <f t="shared" si="14"/>
        <v>12075.731092057762</v>
      </c>
      <c r="K24" s="660">
        <f t="shared" si="15"/>
        <v>12159.004129061372</v>
      </c>
      <c r="L24" s="661">
        <v>0.27</v>
      </c>
      <c r="M24" s="653">
        <f t="shared" si="20"/>
        <v>13394.7</v>
      </c>
      <c r="N24" s="662">
        <f t="shared" si="0"/>
        <v>12159.004129061372</v>
      </c>
      <c r="O24" s="659">
        <f>'[4]Joint Staff Rprt 2022 Table 15'!C24</f>
        <v>24</v>
      </c>
      <c r="P24" s="663">
        <f>'[4]Joint Staff Rprt 2022 Table 15'!F24</f>
        <v>2564</v>
      </c>
      <c r="Q24" s="663">
        <f t="shared" si="16"/>
        <v>2588</v>
      </c>
      <c r="R24" s="653">
        <f t="shared" si="17"/>
        <v>622.41633574007221</v>
      </c>
      <c r="S24" s="664">
        <f t="shared" si="18"/>
        <v>11281.416335740072</v>
      </c>
      <c r="T24" s="665">
        <f t="shared" si="1"/>
        <v>5.5171825701372905E-2</v>
      </c>
      <c r="U24" s="665">
        <f t="shared" si="2"/>
        <v>0.15976536998439689</v>
      </c>
      <c r="V24" s="666">
        <f t="shared" si="3"/>
        <v>1802.3796548275316</v>
      </c>
      <c r="W24" s="667">
        <f t="shared" si="4"/>
        <v>13083.795990567603</v>
      </c>
      <c r="X24" s="652">
        <f t="shared" si="5"/>
        <v>877.58779332129961</v>
      </c>
      <c r="Y24" s="668">
        <f t="shared" si="6"/>
        <v>7.217595980774176E-2</v>
      </c>
      <c r="Z24" s="669">
        <f t="shared" si="7"/>
        <v>0.20207718685325618</v>
      </c>
      <c r="AA24" s="669">
        <f t="shared" si="8"/>
        <v>0.20593461672525845</v>
      </c>
      <c r="AC24" s="649">
        <f t="shared" si="9"/>
        <v>12159.004129061372</v>
      </c>
      <c r="AD24" s="650" t="b">
        <f t="shared" si="10"/>
        <v>1</v>
      </c>
    </row>
    <row r="25" spans="1:30" x14ac:dyDescent="0.3">
      <c r="A25" s="651">
        <v>2003</v>
      </c>
      <c r="B25" s="652">
        <v>39291</v>
      </c>
      <c r="C25" s="652">
        <v>39291</v>
      </c>
      <c r="D25" s="653">
        <v>34779</v>
      </c>
      <c r="E25" s="654">
        <v>28977</v>
      </c>
      <c r="F25" s="655">
        <v>24684</v>
      </c>
      <c r="G25" s="656">
        <v>29374</v>
      </c>
      <c r="H25" s="657">
        <f t="shared" si="12"/>
        <v>0.8331751919261623</v>
      </c>
      <c r="I25" s="658">
        <f t="shared" si="13"/>
        <v>0.84459012622559593</v>
      </c>
      <c r="J25" s="659">
        <f t="shared" si="14"/>
        <v>32736.286465970843</v>
      </c>
      <c r="K25" s="660">
        <f t="shared" si="15"/>
        <v>33184.790649529888</v>
      </c>
      <c r="L25" s="661">
        <v>0.84000000000000008</v>
      </c>
      <c r="M25" s="653">
        <f t="shared" si="20"/>
        <v>33004.44</v>
      </c>
      <c r="N25" s="662">
        <f t="shared" si="0"/>
        <v>33184.790649529888</v>
      </c>
      <c r="O25" s="659">
        <f>'[4]Joint Staff Rprt 2022 Table 15'!C25</f>
        <v>0</v>
      </c>
      <c r="P25" s="663">
        <f>'[4]Joint Staff Rprt 2022 Table 15'!F25</f>
        <v>1090</v>
      </c>
      <c r="Q25" s="663">
        <f t="shared" si="16"/>
        <v>1090</v>
      </c>
      <c r="R25" s="653">
        <f t="shared" si="17"/>
        <v>920.60323758589959</v>
      </c>
      <c r="S25" s="664">
        <f t="shared" si="18"/>
        <v>30294.603237585899</v>
      </c>
      <c r="T25" s="665">
        <f t="shared" si="1"/>
        <v>3.0388357634726366E-2</v>
      </c>
      <c r="U25" s="665">
        <f t="shared" si="2"/>
        <v>0.22842354173632171</v>
      </c>
      <c r="V25" s="666">
        <f t="shared" si="3"/>
        <v>6920.0005670260098</v>
      </c>
      <c r="W25" s="667">
        <f t="shared" si="4"/>
        <v>37214.603804611907</v>
      </c>
      <c r="X25" s="652">
        <f t="shared" si="5"/>
        <v>2890.187411943989</v>
      </c>
      <c r="Y25" s="668">
        <f t="shared" si="6"/>
        <v>8.7093736479091896E-2</v>
      </c>
      <c r="Z25" s="669">
        <f t="shared" si="7"/>
        <v>0.65166585827761825</v>
      </c>
      <c r="AA25" s="669">
        <f t="shared" si="8"/>
        <v>0.65166585827761825</v>
      </c>
      <c r="AC25" s="649">
        <f t="shared" si="9"/>
        <v>33184.790649529888</v>
      </c>
      <c r="AD25" s="650" t="b">
        <f t="shared" si="10"/>
        <v>1</v>
      </c>
    </row>
    <row r="26" spans="1:30" x14ac:dyDescent="0.3">
      <c r="A26" s="651">
        <v>2004</v>
      </c>
      <c r="B26" s="652">
        <v>130231</v>
      </c>
      <c r="C26" s="652">
        <v>123291</v>
      </c>
      <c r="D26" s="653">
        <v>106666</v>
      </c>
      <c r="E26" s="654">
        <v>78053</v>
      </c>
      <c r="F26" s="655">
        <v>64959</v>
      </c>
      <c r="G26" s="656">
        <v>78053</v>
      </c>
      <c r="H26" s="657">
        <f t="shared" si="12"/>
        <v>0.73175144844655282</v>
      </c>
      <c r="I26" s="658">
        <f t="shared" si="13"/>
        <v>0.73175144844655282</v>
      </c>
      <c r="J26" s="659">
        <f t="shared" si="14"/>
        <v>95296.722882643022</v>
      </c>
      <c r="K26" s="660">
        <f t="shared" si="15"/>
        <v>95296.722882643022</v>
      </c>
      <c r="L26" s="661">
        <v>0.77000000000000013</v>
      </c>
      <c r="M26" s="653">
        <f t="shared" si="20"/>
        <v>94934.070000000022</v>
      </c>
      <c r="N26" s="662">
        <f t="shared" si="0"/>
        <v>95296.722882643022</v>
      </c>
      <c r="O26" s="659">
        <f>'[4]Joint Staff Rprt 2022 Table 15'!C26</f>
        <v>682</v>
      </c>
      <c r="P26" s="663">
        <f>'[4]Joint Staff Rprt 2022 Table 15'!F26</f>
        <v>4317</v>
      </c>
      <c r="Q26" s="663">
        <f t="shared" si="16"/>
        <v>4999</v>
      </c>
      <c r="R26" s="653">
        <f t="shared" si="17"/>
        <v>3658.0254907843178</v>
      </c>
      <c r="S26" s="664">
        <f t="shared" si="18"/>
        <v>81711.025490784319</v>
      </c>
      <c r="T26" s="665">
        <f t="shared" si="1"/>
        <v>4.4767832355706805E-2</v>
      </c>
      <c r="U26" s="665">
        <f t="shared" si="2"/>
        <v>0.27996447920580109</v>
      </c>
      <c r="V26" s="666">
        <f t="shared" si="3"/>
        <v>22876.18469689937</v>
      </c>
      <c r="W26" s="667">
        <f t="shared" si="4"/>
        <v>104587.2101876837</v>
      </c>
      <c r="X26" s="652">
        <f t="shared" si="5"/>
        <v>13585.697391858703</v>
      </c>
      <c r="Y26" s="668">
        <f t="shared" si="6"/>
        <v>0.14256206279610847</v>
      </c>
      <c r="Z26" s="669">
        <f t="shared" si="7"/>
        <v>0.52688703527412306</v>
      </c>
      <c r="AA26" s="669">
        <f t="shared" si="8"/>
        <v>0.55654529114683404</v>
      </c>
      <c r="AC26" s="649">
        <f t="shared" si="9"/>
        <v>95296.722882643022</v>
      </c>
      <c r="AD26" s="650" t="b">
        <f t="shared" si="10"/>
        <v>1</v>
      </c>
    </row>
    <row r="27" spans="1:30" x14ac:dyDescent="0.3">
      <c r="A27" s="651">
        <v>2005</v>
      </c>
      <c r="B27" s="652">
        <v>77399</v>
      </c>
      <c r="C27" s="652">
        <v>72971</v>
      </c>
      <c r="D27" s="653">
        <v>71226</v>
      </c>
      <c r="E27" s="654">
        <v>55559</v>
      </c>
      <c r="F27" s="655">
        <v>46891</v>
      </c>
      <c r="G27" s="656">
        <v>55559</v>
      </c>
      <c r="H27" s="657">
        <f t="shared" si="12"/>
        <v>0.78003818830202454</v>
      </c>
      <c r="I27" s="658">
        <f t="shared" si="13"/>
        <v>0.78003818830202454</v>
      </c>
      <c r="J27" s="659">
        <f t="shared" si="14"/>
        <v>60374.175736388395</v>
      </c>
      <c r="K27" s="660">
        <f t="shared" si="15"/>
        <v>60374.175736388395</v>
      </c>
      <c r="L27" s="661">
        <v>0.78000000000000014</v>
      </c>
      <c r="M27" s="653">
        <f t="shared" si="20"/>
        <v>56917.380000000012</v>
      </c>
      <c r="N27" s="662">
        <f t="shared" si="0"/>
        <v>60374.175736388395</v>
      </c>
      <c r="O27" s="659">
        <f>'[4]Joint Staff Rprt 2022 Table 15'!C27</f>
        <v>4</v>
      </c>
      <c r="P27" s="663">
        <f>'[4]Joint Staff Rprt 2022 Table 15'!F27</f>
        <v>2766</v>
      </c>
      <c r="Q27" s="663">
        <f t="shared" si="16"/>
        <v>2770</v>
      </c>
      <c r="R27" s="653">
        <f t="shared" si="17"/>
        <v>2160.7057815966082</v>
      </c>
      <c r="S27" s="664">
        <f t="shared" si="18"/>
        <v>57719.705781596611</v>
      </c>
      <c r="T27" s="665">
        <f t="shared" si="1"/>
        <v>3.7434455916536033E-2</v>
      </c>
      <c r="U27" s="665">
        <f t="shared" si="2"/>
        <v>0.18753829458855148</v>
      </c>
      <c r="V27" s="666">
        <f t="shared" si="3"/>
        <v>10824.655186433583</v>
      </c>
      <c r="W27" s="667">
        <f t="shared" si="4"/>
        <v>68544.360968030189</v>
      </c>
      <c r="X27" s="652">
        <f t="shared" si="5"/>
        <v>2654.4699547917844</v>
      </c>
      <c r="Y27" s="668">
        <f t="shared" si="6"/>
        <v>4.3966976317523401E-2</v>
      </c>
      <c r="Z27" s="669">
        <f t="shared" si="7"/>
        <v>0.63375115675391946</v>
      </c>
      <c r="AA27" s="669">
        <f t="shared" si="8"/>
        <v>0.67220821671070163</v>
      </c>
      <c r="AC27" s="649">
        <f t="shared" si="9"/>
        <v>60374.175736388395</v>
      </c>
      <c r="AD27" s="650" t="b">
        <f t="shared" si="10"/>
        <v>1</v>
      </c>
    </row>
    <row r="28" spans="1:30" x14ac:dyDescent="0.3">
      <c r="A28" s="651">
        <v>2006</v>
      </c>
      <c r="B28" s="652">
        <v>37067</v>
      </c>
      <c r="C28" s="652">
        <v>37066</v>
      </c>
      <c r="D28" s="653">
        <v>35132</v>
      </c>
      <c r="E28" s="654">
        <v>22075</v>
      </c>
      <c r="F28" s="655">
        <v>18880</v>
      </c>
      <c r="G28" s="656">
        <v>22075</v>
      </c>
      <c r="H28" s="657">
        <f t="shared" si="12"/>
        <v>0.62834452920414441</v>
      </c>
      <c r="I28" s="658">
        <f t="shared" si="13"/>
        <v>0.62834452920414441</v>
      </c>
      <c r="J28" s="659">
        <f t="shared" si="14"/>
        <v>23290.84666401002</v>
      </c>
      <c r="K28" s="660">
        <f t="shared" si="15"/>
        <v>23290.84666401002</v>
      </c>
      <c r="L28" s="661">
        <v>0.72799999999999987</v>
      </c>
      <c r="M28" s="653">
        <f t="shared" si="20"/>
        <v>26984.047999999995</v>
      </c>
      <c r="N28" s="662">
        <f t="shared" si="0"/>
        <v>23290.84666401002</v>
      </c>
      <c r="O28" s="659">
        <f>'[4]Joint Staff Rprt 2022 Table 15'!C28</f>
        <v>1</v>
      </c>
      <c r="P28" s="663">
        <f>'[4]Joint Staff Rprt 2022 Table 15'!F28</f>
        <v>1596</v>
      </c>
      <c r="Q28" s="663">
        <f t="shared" si="16"/>
        <v>1597</v>
      </c>
      <c r="R28" s="653">
        <f t="shared" si="17"/>
        <v>1003.4662131390186</v>
      </c>
      <c r="S28" s="664">
        <f t="shared" si="18"/>
        <v>23078.466213139018</v>
      </c>
      <c r="T28" s="665">
        <f t="shared" si="1"/>
        <v>4.3480628386288765E-2</v>
      </c>
      <c r="U28" s="665">
        <f t="shared" si="2"/>
        <v>0.14629697666320679</v>
      </c>
      <c r="V28" s="666">
        <f t="shared" si="3"/>
        <v>3376.3098330062053</v>
      </c>
      <c r="W28" s="667">
        <f t="shared" si="4"/>
        <v>26454.776046145224</v>
      </c>
      <c r="X28" s="652">
        <f t="shared" si="5"/>
        <v>212.38045087100181</v>
      </c>
      <c r="Y28" s="668">
        <f t="shared" si="6"/>
        <v>9.1186230339655658E-3</v>
      </c>
      <c r="Z28" s="669">
        <f t="shared" si="7"/>
        <v>0.53641962427871204</v>
      </c>
      <c r="AA28" s="669">
        <f t="shared" si="8"/>
        <v>0.53643409629145355</v>
      </c>
      <c r="AC28" s="649">
        <f t="shared" si="9"/>
        <v>23290.84666401002</v>
      </c>
      <c r="AD28" s="650" t="b">
        <f t="shared" si="10"/>
        <v>1</v>
      </c>
    </row>
    <row r="29" spans="1:30" x14ac:dyDescent="0.3">
      <c r="A29" s="651">
        <v>2007</v>
      </c>
      <c r="B29" s="652">
        <v>26604</v>
      </c>
      <c r="C29" s="652">
        <v>24376</v>
      </c>
      <c r="D29" s="653">
        <v>25122</v>
      </c>
      <c r="E29" s="654">
        <v>22273</v>
      </c>
      <c r="F29" s="655">
        <v>19106</v>
      </c>
      <c r="G29" s="656">
        <v>22273</v>
      </c>
      <c r="H29" s="657">
        <f t="shared" si="12"/>
        <v>0.88659342409043862</v>
      </c>
      <c r="I29" s="658">
        <f t="shared" si="13"/>
        <v>0.88659342409043862</v>
      </c>
      <c r="J29" s="659">
        <f t="shared" si="14"/>
        <v>23586.931454502028</v>
      </c>
      <c r="K29" s="660">
        <f t="shared" si="15"/>
        <v>23586.931454502028</v>
      </c>
      <c r="L29" s="661">
        <v>0.85299999999999987</v>
      </c>
      <c r="M29" s="653">
        <f t="shared" si="20"/>
        <v>20792.727999999996</v>
      </c>
      <c r="N29" s="662">
        <f t="shared" si="0"/>
        <v>23586.931454502028</v>
      </c>
      <c r="O29" s="659">
        <f>'[4]Joint Staff Rprt 2022 Table 15'!C29</f>
        <v>0</v>
      </c>
      <c r="P29" s="663">
        <f>'[4]Joint Staff Rprt 2022 Table 15'!F29</f>
        <v>1414</v>
      </c>
      <c r="Q29" s="663">
        <f t="shared" si="16"/>
        <v>1414</v>
      </c>
      <c r="R29" s="653">
        <f t="shared" si="17"/>
        <v>1253.6431016638803</v>
      </c>
      <c r="S29" s="664">
        <f t="shared" si="18"/>
        <v>23526.643101663882</v>
      </c>
      <c r="T29" s="665">
        <f t="shared" si="1"/>
        <v>5.3286101899306604E-2</v>
      </c>
      <c r="U29" s="665">
        <f t="shared" si="2"/>
        <v>0.13682527373530629</v>
      </c>
      <c r="V29" s="666">
        <f t="shared" si="3"/>
        <v>3219.039382458016</v>
      </c>
      <c r="W29" s="667">
        <f t="shared" si="4"/>
        <v>26745.682484121899</v>
      </c>
      <c r="X29" s="652">
        <f t="shared" si="5"/>
        <v>60.288352838146238</v>
      </c>
      <c r="Y29" s="668">
        <f t="shared" si="6"/>
        <v>2.5560066155463825E-3</v>
      </c>
      <c r="Z29" s="669">
        <f t="shared" si="7"/>
        <v>0.76528503614734178</v>
      </c>
      <c r="AA29" s="669">
        <f t="shared" si="8"/>
        <v>0.83523314332392029</v>
      </c>
      <c r="AC29" s="649">
        <f t="shared" si="9"/>
        <v>23586.931454502028</v>
      </c>
      <c r="AD29" s="650" t="b">
        <f t="shared" si="10"/>
        <v>1</v>
      </c>
    </row>
    <row r="30" spans="1:30" x14ac:dyDescent="0.3">
      <c r="A30" s="651">
        <v>2008</v>
      </c>
      <c r="B30" s="652">
        <v>214465</v>
      </c>
      <c r="C30" s="652">
        <v>213607</v>
      </c>
      <c r="D30" s="653">
        <v>193739</v>
      </c>
      <c r="E30" s="654">
        <v>165334</v>
      </c>
      <c r="F30" s="655">
        <v>145067</v>
      </c>
      <c r="G30" s="656">
        <v>165334</v>
      </c>
      <c r="H30" s="657">
        <f t="shared" si="12"/>
        <v>0.85338522445145271</v>
      </c>
      <c r="I30" s="658">
        <f t="shared" si="13"/>
        <v>0.85338522445145271</v>
      </c>
      <c r="J30" s="659">
        <f t="shared" si="14"/>
        <v>183021.26216198079</v>
      </c>
      <c r="K30" s="660">
        <f t="shared" si="15"/>
        <v>183021.26216198079</v>
      </c>
      <c r="L30" s="661">
        <v>0.83299999999999996</v>
      </c>
      <c r="M30" s="653">
        <f t="shared" si="20"/>
        <v>177934.63099999999</v>
      </c>
      <c r="N30" s="662">
        <f t="shared" si="0"/>
        <v>183021.26216198079</v>
      </c>
      <c r="O30" s="659">
        <f>'[4]Joint Staff Rprt 2022 Table 15'!C30</f>
        <v>974</v>
      </c>
      <c r="P30" s="663">
        <f>'[4]Joint Staff Rprt 2022 Table 15'!F30</f>
        <v>9017</v>
      </c>
      <c r="Q30" s="663">
        <f t="shared" si="16"/>
        <v>9991</v>
      </c>
      <c r="R30" s="653">
        <f t="shared" si="17"/>
        <v>8526.1717774944645</v>
      </c>
      <c r="S30" s="664">
        <f t="shared" si="18"/>
        <v>173860.17177749446</v>
      </c>
      <c r="T30" s="665">
        <f t="shared" si="1"/>
        <v>4.9040396603347573E-2</v>
      </c>
      <c r="U30" s="665">
        <f t="shared" si="2"/>
        <v>0.16079055535329745</v>
      </c>
      <c r="V30" s="666">
        <f t="shared" si="3"/>
        <v>27955.073573923026</v>
      </c>
      <c r="W30" s="667">
        <f t="shared" si="4"/>
        <v>201815.24535141748</v>
      </c>
      <c r="X30" s="652">
        <f t="shared" si="5"/>
        <v>9161.0903844863351</v>
      </c>
      <c r="Y30" s="668">
        <f t="shared" si="6"/>
        <v>5.0054787494462918E-2</v>
      </c>
      <c r="Z30" s="669">
        <f t="shared" si="7"/>
        <v>0.71616894028160516</v>
      </c>
      <c r="AA30" s="669">
        <f t="shared" si="8"/>
        <v>0.71904559203347485</v>
      </c>
      <c r="AC30" s="649">
        <f t="shared" si="9"/>
        <v>183021.26216198079</v>
      </c>
      <c r="AD30" s="650" t="b">
        <f t="shared" si="10"/>
        <v>1</v>
      </c>
    </row>
    <row r="31" spans="1:30" x14ac:dyDescent="0.3">
      <c r="A31" s="651">
        <v>2009</v>
      </c>
      <c r="B31" s="652">
        <v>179732</v>
      </c>
      <c r="C31" s="652">
        <v>177823</v>
      </c>
      <c r="D31" s="653">
        <v>162830</v>
      </c>
      <c r="E31" s="654">
        <v>134937</v>
      </c>
      <c r="F31" s="655">
        <v>116964</v>
      </c>
      <c r="G31" s="656">
        <v>134937</v>
      </c>
      <c r="H31" s="657">
        <f t="shared" si="12"/>
        <v>0.82869864275624883</v>
      </c>
      <c r="I31" s="658">
        <f t="shared" si="13"/>
        <v>0.82869864275624883</v>
      </c>
      <c r="J31" s="659">
        <f t="shared" si="14"/>
        <v>148943.66445986612</v>
      </c>
      <c r="K31" s="660">
        <f t="shared" si="15"/>
        <v>148943.66445986612</v>
      </c>
      <c r="L31" s="661">
        <v>0.82599999999999996</v>
      </c>
      <c r="M31" s="653">
        <f t="shared" si="20"/>
        <v>146881.79799999998</v>
      </c>
      <c r="N31" s="662">
        <f t="shared" si="0"/>
        <v>148943.66445986612</v>
      </c>
      <c r="O31" s="659">
        <f>'[4]Joint Staff Rprt 2022 Table 15'!C31</f>
        <v>1188</v>
      </c>
      <c r="P31" s="663">
        <f>'[4]Joint Staff Rprt 2022 Table 15'!F31</f>
        <v>9731</v>
      </c>
      <c r="Q31" s="663">
        <f t="shared" si="16"/>
        <v>10919</v>
      </c>
      <c r="R31" s="653">
        <f t="shared" si="17"/>
        <v>9048.5604802554808</v>
      </c>
      <c r="S31" s="664">
        <f t="shared" si="18"/>
        <v>143985.56048025549</v>
      </c>
      <c r="T31" s="665">
        <f t="shared" si="1"/>
        <v>6.2843527156990819E-2</v>
      </c>
      <c r="U31" s="665">
        <f t="shared" si="2"/>
        <v>0.15395823691305496</v>
      </c>
      <c r="V31" s="666">
        <f t="shared" si="3"/>
        <v>22167.763032478179</v>
      </c>
      <c r="W31" s="667">
        <f t="shared" si="4"/>
        <v>166153.32351273368</v>
      </c>
      <c r="X31" s="652">
        <f t="shared" si="5"/>
        <v>4958.1039796106343</v>
      </c>
      <c r="Y31" s="668">
        <f t="shared" si="6"/>
        <v>3.3288451694745494E-2</v>
      </c>
      <c r="Z31" s="669">
        <f t="shared" si="7"/>
        <v>0.70111366078525517</v>
      </c>
      <c r="AA31" s="669">
        <f t="shared" si="8"/>
        <v>0.70864039230164544</v>
      </c>
      <c r="AC31" s="649">
        <f t="shared" si="9"/>
        <v>148943.66445986612</v>
      </c>
      <c r="AD31" s="650" t="b">
        <f t="shared" si="10"/>
        <v>1</v>
      </c>
    </row>
    <row r="32" spans="1:30" x14ac:dyDescent="0.3">
      <c r="A32" s="651">
        <v>2010</v>
      </c>
      <c r="B32" s="652">
        <v>392193</v>
      </c>
      <c r="C32" s="652">
        <v>386525</v>
      </c>
      <c r="D32" s="653">
        <v>338310</v>
      </c>
      <c r="E32" s="654">
        <v>291764</v>
      </c>
      <c r="F32" s="655">
        <v>255083</v>
      </c>
      <c r="G32" s="656">
        <v>291764</v>
      </c>
      <c r="H32" s="657">
        <f t="shared" si="12"/>
        <v>0.86241612722059646</v>
      </c>
      <c r="I32" s="658">
        <f t="shared" si="13"/>
        <v>0.86241612722059646</v>
      </c>
      <c r="J32" s="659">
        <f t="shared" si="14"/>
        <v>338233.56818302738</v>
      </c>
      <c r="K32" s="660">
        <f t="shared" si="15"/>
        <v>338233.56818302738</v>
      </c>
      <c r="L32" s="661">
        <v>0.81799999999999995</v>
      </c>
      <c r="M32" s="653">
        <f t="shared" si="20"/>
        <v>316177.44999999995</v>
      </c>
      <c r="N32" s="662">
        <f t="shared" si="0"/>
        <v>338233.56818302738</v>
      </c>
      <c r="O32" s="659">
        <f>'[4]Joint Staff Rprt 2022 Table 15'!C32</f>
        <v>468</v>
      </c>
      <c r="P32" s="663">
        <f>'[4]Joint Staff Rprt 2022 Table 15'!F32</f>
        <v>26125</v>
      </c>
      <c r="Q32" s="663">
        <f t="shared" si="16"/>
        <v>26593</v>
      </c>
      <c r="R32" s="653">
        <f t="shared" si="17"/>
        <v>22934.232071177321</v>
      </c>
      <c r="S32" s="664">
        <f t="shared" si="18"/>
        <v>314698.23207117734</v>
      </c>
      <c r="T32" s="665">
        <f t="shared" si="1"/>
        <v>7.2876901532736085E-2</v>
      </c>
      <c r="U32" s="665">
        <f t="shared" si="2"/>
        <v>0.17803181521966899</v>
      </c>
      <c r="V32" s="666">
        <f t="shared" si="3"/>
        <v>56026.297502052352</v>
      </c>
      <c r="W32" s="667">
        <f t="shared" si="4"/>
        <v>370724.52957322967</v>
      </c>
      <c r="X32" s="652">
        <f t="shared" si="5"/>
        <v>23535.336111850047</v>
      </c>
      <c r="Y32" s="668">
        <f t="shared" si="6"/>
        <v>6.9583087918448222E-2</v>
      </c>
      <c r="Z32" s="669">
        <f t="shared" si="7"/>
        <v>0.70887861861679669</v>
      </c>
      <c r="AA32" s="669">
        <f t="shared" si="8"/>
        <v>0.71927360991184874</v>
      </c>
      <c r="AC32" s="649">
        <f t="shared" si="9"/>
        <v>338233.56818302738</v>
      </c>
      <c r="AD32" s="650" t="b">
        <f t="shared" si="10"/>
        <v>1</v>
      </c>
    </row>
    <row r="33" spans="1:33" x14ac:dyDescent="0.3">
      <c r="A33" s="651">
        <v>2011</v>
      </c>
      <c r="B33" s="652">
        <v>187365</v>
      </c>
      <c r="C33" s="652">
        <v>185796</v>
      </c>
      <c r="D33" s="653">
        <v>146111</v>
      </c>
      <c r="E33" s="654">
        <v>111508</v>
      </c>
      <c r="F33" s="655">
        <v>97386</v>
      </c>
      <c r="G33" s="656">
        <v>111508</v>
      </c>
      <c r="H33" s="657">
        <f t="shared" si="12"/>
        <v>0.76317320393399535</v>
      </c>
      <c r="I33" s="658">
        <f t="shared" si="13"/>
        <v>0.76317320393399535</v>
      </c>
      <c r="J33" s="659">
        <f t="shared" si="14"/>
        <v>142991.94735509303</v>
      </c>
      <c r="K33" s="660">
        <f t="shared" si="15"/>
        <v>142991.94735509303</v>
      </c>
      <c r="L33" s="661">
        <v>0.7679999999999999</v>
      </c>
      <c r="M33" s="653">
        <f t="shared" si="20"/>
        <v>142691.32799999998</v>
      </c>
      <c r="N33" s="662">
        <f t="shared" si="0"/>
        <v>142991.94735509303</v>
      </c>
      <c r="O33" s="659">
        <f>'[4]Joint Staff Rprt 2022 Table 15'!C33</f>
        <v>1873</v>
      </c>
      <c r="P33" s="663">
        <f>'[4]Joint Staff Rprt 2022 Table 15'!F33</f>
        <v>12853</v>
      </c>
      <c r="Q33" s="663">
        <f t="shared" si="16"/>
        <v>14726</v>
      </c>
      <c r="R33" s="653">
        <f t="shared" si="17"/>
        <v>11238.488601132016</v>
      </c>
      <c r="S33" s="664">
        <f t="shared" si="18"/>
        <v>122746.48860113202</v>
      </c>
      <c r="T33" s="665">
        <f t="shared" si="1"/>
        <v>9.1558534416831941E-2</v>
      </c>
      <c r="U33" s="665">
        <f t="shared" si="2"/>
        <v>0.2403454137778544</v>
      </c>
      <c r="V33" s="666">
        <f t="shared" si="3"/>
        <v>29501.555592617762</v>
      </c>
      <c r="W33" s="667">
        <f t="shared" si="4"/>
        <v>152248.04419374978</v>
      </c>
      <c r="X33" s="652">
        <f t="shared" si="5"/>
        <v>20245.458753961007</v>
      </c>
      <c r="Y33" s="668">
        <f t="shared" si="6"/>
        <v>0.14158460758412711</v>
      </c>
      <c r="Z33" s="669">
        <f t="shared" si="7"/>
        <v>0.57974802445030837</v>
      </c>
      <c r="AA33" s="669">
        <f t="shared" si="8"/>
        <v>0.58464384917399737</v>
      </c>
      <c r="AC33" s="649">
        <f t="shared" si="9"/>
        <v>142991.94735509303</v>
      </c>
      <c r="AD33" s="650" t="b">
        <f t="shared" si="10"/>
        <v>1</v>
      </c>
    </row>
    <row r="34" spans="1:33" x14ac:dyDescent="0.3">
      <c r="A34" s="651">
        <v>2012</v>
      </c>
      <c r="B34" s="652">
        <v>521159</v>
      </c>
      <c r="C34" s="652">
        <v>515673</v>
      </c>
      <c r="D34" s="653">
        <v>410620</v>
      </c>
      <c r="E34" s="654">
        <v>326107</v>
      </c>
      <c r="F34" s="655">
        <v>300056</v>
      </c>
      <c r="G34" s="656">
        <v>326107</v>
      </c>
      <c r="H34" s="657">
        <f t="shared" si="12"/>
        <v>0.79418196873021285</v>
      </c>
      <c r="I34" s="658">
        <f t="shared" si="13"/>
        <v>0.79418196873021285</v>
      </c>
      <c r="J34" s="659">
        <f t="shared" si="14"/>
        <v>413895.08064146899</v>
      </c>
      <c r="K34" s="660">
        <f t="shared" si="15"/>
        <v>413895.08064146899</v>
      </c>
      <c r="L34" s="661">
        <v>0.82400000000000007</v>
      </c>
      <c r="M34" s="653">
        <f t="shared" si="20"/>
        <v>424914.55200000003</v>
      </c>
      <c r="N34" s="662">
        <f t="shared" si="0"/>
        <v>413895.08064146899</v>
      </c>
      <c r="O34" s="659">
        <f>'[4]Joint Staff Rprt 2022 Table 15'!C34</f>
        <v>5491</v>
      </c>
      <c r="P34" s="663">
        <f>'[4]Joint Staff Rprt 2022 Table 15'!F34</f>
        <v>45352</v>
      </c>
      <c r="Q34" s="663">
        <f t="shared" si="16"/>
        <v>50843</v>
      </c>
      <c r="R34" s="653">
        <f t="shared" si="17"/>
        <v>40378.593836150212</v>
      </c>
      <c r="S34" s="664">
        <f t="shared" si="18"/>
        <v>366485.59383615019</v>
      </c>
      <c r="T34" s="665">
        <f t="shared" si="1"/>
        <v>0.1101778474113851</v>
      </c>
      <c r="U34" s="665">
        <f t="shared" si="2"/>
        <v>0.17748576931976862</v>
      </c>
      <c r="V34" s="666">
        <f t="shared" si="3"/>
        <v>65045.977566621368</v>
      </c>
      <c r="W34" s="667">
        <f t="shared" si="4"/>
        <v>431531.57140277157</v>
      </c>
      <c r="X34" s="652">
        <f t="shared" si="5"/>
        <v>47409.486805318797</v>
      </c>
      <c r="Y34" s="668">
        <f t="shared" si="6"/>
        <v>0.11454469749155251</v>
      </c>
      <c r="Z34" s="669">
        <f t="shared" si="7"/>
        <v>0.6532259710302426</v>
      </c>
      <c r="AA34" s="669">
        <f t="shared" si="8"/>
        <v>0.6601753317240775</v>
      </c>
      <c r="AC34" s="649">
        <f t="shared" si="9"/>
        <v>413895.08064146899</v>
      </c>
      <c r="AD34" s="650" t="b">
        <f t="shared" si="10"/>
        <v>1</v>
      </c>
    </row>
    <row r="35" spans="1:33" x14ac:dyDescent="0.3">
      <c r="A35" s="651">
        <v>2013</v>
      </c>
      <c r="B35" s="652">
        <v>186191</v>
      </c>
      <c r="C35" s="652">
        <v>185505</v>
      </c>
      <c r="D35" s="653">
        <v>159219</v>
      </c>
      <c r="E35" s="654">
        <v>129993</v>
      </c>
      <c r="F35" s="655">
        <v>113049</v>
      </c>
      <c r="G35" s="656">
        <v>129993</v>
      </c>
      <c r="H35" s="657">
        <f t="shared" si="12"/>
        <v>0.81644150509675351</v>
      </c>
      <c r="I35" s="658">
        <f t="shared" si="13"/>
        <v>0.81644150509675351</v>
      </c>
      <c r="J35" s="659">
        <f t="shared" si="14"/>
        <v>152014.06027546964</v>
      </c>
      <c r="K35" s="660">
        <f t="shared" si="15"/>
        <v>152014.06027546964</v>
      </c>
      <c r="L35" s="661">
        <v>0.72</v>
      </c>
      <c r="M35" s="653">
        <f t="shared" si="20"/>
        <v>133563.6</v>
      </c>
      <c r="N35" s="662">
        <f t="shared" si="0"/>
        <v>152014.06027546964</v>
      </c>
      <c r="O35" s="659">
        <f>'[4]Joint Staff Rprt 2022 Table 15'!C35</f>
        <v>718</v>
      </c>
      <c r="P35" s="663">
        <f>'[4]Joint Staff Rprt 2022 Table 15'!F35</f>
        <v>8046</v>
      </c>
      <c r="Q35" s="663">
        <f t="shared" si="16"/>
        <v>8764</v>
      </c>
      <c r="R35" s="653">
        <f t="shared" si="17"/>
        <v>7155.2933506679474</v>
      </c>
      <c r="S35" s="664">
        <f t="shared" si="18"/>
        <v>137148.29335066795</v>
      </c>
      <c r="T35" s="665">
        <f t="shared" si="1"/>
        <v>5.2171945970723221E-2</v>
      </c>
      <c r="U35" s="665">
        <f t="shared" si="2"/>
        <v>0.20925542589388227</v>
      </c>
      <c r="V35" s="666">
        <f t="shared" si="3"/>
        <v>28699.024535713124</v>
      </c>
      <c r="W35" s="667">
        <f t="shared" si="4"/>
        <v>165847.31788638109</v>
      </c>
      <c r="X35" s="652">
        <f t="shared" si="5"/>
        <v>14865.76692480169</v>
      </c>
      <c r="Y35" s="668">
        <f t="shared" si="6"/>
        <v>9.779205224742335E-2</v>
      </c>
      <c r="Z35" s="669">
        <f t="shared" si="7"/>
        <v>0.6455966902302902</v>
      </c>
      <c r="AA35" s="669">
        <f t="shared" si="8"/>
        <v>0.64798411552609336</v>
      </c>
      <c r="AC35" s="649">
        <f t="shared" si="9"/>
        <v>152014.06027546964</v>
      </c>
      <c r="AD35" s="650" t="b">
        <f t="shared" si="10"/>
        <v>1</v>
      </c>
    </row>
    <row r="36" spans="1:33" x14ac:dyDescent="0.3">
      <c r="A36" s="651">
        <v>2014</v>
      </c>
      <c r="B36" s="652">
        <v>651146</v>
      </c>
      <c r="C36" s="652">
        <v>614179</v>
      </c>
      <c r="D36" s="653">
        <v>581121</v>
      </c>
      <c r="E36" s="654">
        <v>490804</v>
      </c>
      <c r="F36" s="655">
        <v>443068</v>
      </c>
      <c r="G36" s="656">
        <v>490804</v>
      </c>
      <c r="H36" s="657">
        <f t="shared" si="12"/>
        <v>0.84458142108097967</v>
      </c>
      <c r="I36" s="658">
        <f t="shared" si="13"/>
        <v>0.84458142108097967</v>
      </c>
      <c r="J36" s="659">
        <f t="shared" si="14"/>
        <v>549945.81401119556</v>
      </c>
      <c r="K36" s="660">
        <f t="shared" si="15"/>
        <v>549945.81401119556</v>
      </c>
      <c r="L36" s="661">
        <v>0.81100000000000017</v>
      </c>
      <c r="M36" s="653">
        <f t="shared" si="20"/>
        <v>498099.16900000011</v>
      </c>
      <c r="N36" s="662">
        <f t="shared" si="0"/>
        <v>549945.81401119556</v>
      </c>
      <c r="O36" s="659">
        <f>'[4]Joint Staff Rprt 2022 Table 15'!C36</f>
        <v>1738</v>
      </c>
      <c r="P36" s="663">
        <f>'[4]Joint Staff Rprt 2022 Table 15'!F36</f>
        <v>30702</v>
      </c>
      <c r="Q36" s="663">
        <f t="shared" si="16"/>
        <v>32440</v>
      </c>
      <c r="R36" s="653">
        <f t="shared" si="17"/>
        <v>27398.221299866982</v>
      </c>
      <c r="S36" s="664">
        <f t="shared" si="18"/>
        <v>518202.22129986697</v>
      </c>
      <c r="T36" s="665">
        <f t="shared" si="1"/>
        <v>5.2871678610602699E-2</v>
      </c>
      <c r="U36" s="665">
        <f t="shared" si="2"/>
        <v>0.14452258874673529</v>
      </c>
      <c r="V36" s="666">
        <f t="shared" si="3"/>
        <v>74891.926516565392</v>
      </c>
      <c r="W36" s="667">
        <f t="shared" si="4"/>
        <v>593094.14781643241</v>
      </c>
      <c r="X36" s="652">
        <f t="shared" si="5"/>
        <v>31743.592711328587</v>
      </c>
      <c r="Y36" s="668">
        <f t="shared" si="6"/>
        <v>5.7721309813774428E-2</v>
      </c>
      <c r="Z36" s="669">
        <f t="shared" si="7"/>
        <v>0.72252032769895991</v>
      </c>
      <c r="AA36" s="669">
        <f t="shared" si="8"/>
        <v>0.76600831565368888</v>
      </c>
      <c r="AC36" s="649">
        <f t="shared" si="9"/>
        <v>549945.81401119556</v>
      </c>
      <c r="AD36" s="650" t="b">
        <f t="shared" si="10"/>
        <v>1</v>
      </c>
    </row>
    <row r="37" spans="1:33" x14ac:dyDescent="0.3">
      <c r="A37" s="651">
        <v>2015</v>
      </c>
      <c r="B37" s="652">
        <v>512455</v>
      </c>
      <c r="C37" s="652">
        <v>510706</v>
      </c>
      <c r="D37" s="653">
        <v>264678</v>
      </c>
      <c r="E37" s="654">
        <v>187055</v>
      </c>
      <c r="F37" s="655">
        <v>157149</v>
      </c>
      <c r="G37" s="656">
        <v>187055</v>
      </c>
      <c r="H37" s="657">
        <f t="shared" si="12"/>
        <v>0.70672666409750717</v>
      </c>
      <c r="I37" s="658">
        <f t="shared" si="13"/>
        <v>0.70672666409750717</v>
      </c>
      <c r="J37" s="659">
        <f t="shared" si="14"/>
        <v>362165.61265008803</v>
      </c>
      <c r="K37" s="660">
        <f t="shared" si="15"/>
        <v>362165.61265008803</v>
      </c>
      <c r="L37" s="661">
        <v>0.78400000000000003</v>
      </c>
      <c r="M37" s="653">
        <f t="shared" si="20"/>
        <v>400393.50400000002</v>
      </c>
      <c r="N37" s="662">
        <f t="shared" si="0"/>
        <v>362165.61265008803</v>
      </c>
      <c r="O37" s="659">
        <f>'[4]Joint Staff Rprt 2022 Table 15'!C37</f>
        <v>1547</v>
      </c>
      <c r="P37" s="663">
        <f>'[4]Joint Staff Rprt 2022 Table 15'!F37</f>
        <v>30095</v>
      </c>
      <c r="Q37" s="663">
        <f t="shared" si="16"/>
        <v>31642</v>
      </c>
      <c r="R37" s="653">
        <f t="shared" si="17"/>
        <v>22362.24510537332</v>
      </c>
      <c r="S37" s="664">
        <f t="shared" si="18"/>
        <v>209417.24510537332</v>
      </c>
      <c r="T37" s="665">
        <f t="shared" si="1"/>
        <v>0.10678320734341253</v>
      </c>
      <c r="U37" s="665">
        <f t="shared" si="2"/>
        <v>0.50433934411434334</v>
      </c>
      <c r="V37" s="666">
        <f t="shared" si="3"/>
        <v>105617.35604267666</v>
      </c>
      <c r="W37" s="667">
        <f t="shared" si="4"/>
        <v>315034.60114804999</v>
      </c>
      <c r="X37" s="652">
        <f t="shared" si="5"/>
        <v>152748.36754471471</v>
      </c>
      <c r="Y37" s="668">
        <f t="shared" si="6"/>
        <v>0.42176386219277789</v>
      </c>
      <c r="Z37" s="669">
        <f t="shared" si="7"/>
        <v>0.35029660185845257</v>
      </c>
      <c r="AA37" s="669">
        <f t="shared" si="8"/>
        <v>0.35149625245321836</v>
      </c>
      <c r="AC37" s="649">
        <f t="shared" si="9"/>
        <v>362165.61265008803</v>
      </c>
      <c r="AD37" s="650" t="b">
        <f t="shared" si="10"/>
        <v>1</v>
      </c>
    </row>
    <row r="38" spans="1:33" x14ac:dyDescent="0.3">
      <c r="A38" s="651">
        <v>2016</v>
      </c>
      <c r="B38" s="652">
        <v>356606</v>
      </c>
      <c r="C38" s="652">
        <v>342498</v>
      </c>
      <c r="D38" s="653">
        <v>310341</v>
      </c>
      <c r="E38" s="654">
        <v>216036</v>
      </c>
      <c r="F38" s="655">
        <v>183730</v>
      </c>
      <c r="G38" s="656">
        <v>216036</v>
      </c>
      <c r="H38" s="657">
        <f t="shared" si="12"/>
        <v>0.69612458553655499</v>
      </c>
      <c r="I38" s="658">
        <f t="shared" si="13"/>
        <v>0.69612458553655499</v>
      </c>
      <c r="J38" s="659">
        <f t="shared" si="14"/>
        <v>248242.20394984871</v>
      </c>
      <c r="K38" s="660">
        <f t="shared" si="15"/>
        <v>248242.20394984871</v>
      </c>
      <c r="L38" s="661">
        <v>0.70099999999999996</v>
      </c>
      <c r="M38" s="653">
        <f t="shared" si="20"/>
        <v>240091.098</v>
      </c>
      <c r="N38" s="662">
        <f t="shared" si="0"/>
        <v>248242.20394984871</v>
      </c>
      <c r="O38" s="659">
        <f>'[4]Joint Staff Rprt 2022 Table 15'!C38</f>
        <v>1197</v>
      </c>
      <c r="P38" s="663">
        <f>'[4]Joint Staff Rprt 2022 Table 15'!F38</f>
        <v>16683</v>
      </c>
      <c r="Q38" s="663">
        <f t="shared" si="16"/>
        <v>17880</v>
      </c>
      <c r="R38" s="653">
        <f t="shared" si="17"/>
        <v>12446.707589393603</v>
      </c>
      <c r="S38" s="664">
        <f t="shared" si="18"/>
        <v>228482.7075893936</v>
      </c>
      <c r="T38" s="665">
        <f t="shared" si="1"/>
        <v>5.4475490599321802E-2</v>
      </c>
      <c r="U38" s="665">
        <f t="shared" si="2"/>
        <v>0.20973668269144791</v>
      </c>
      <c r="V38" s="666">
        <f t="shared" si="3"/>
        <v>47921.205142159524</v>
      </c>
      <c r="W38" s="667">
        <f t="shared" si="4"/>
        <v>276403.91273155314</v>
      </c>
      <c r="X38" s="652">
        <f t="shared" si="5"/>
        <v>19759.496360455116</v>
      </c>
      <c r="Y38" s="668">
        <f t="shared" si="6"/>
        <v>7.9597651189267718E-2</v>
      </c>
      <c r="Z38" s="669">
        <f t="shared" si="7"/>
        <v>0.55012172422615879</v>
      </c>
      <c r="AA38" s="669">
        <f t="shared" si="8"/>
        <v>0.57278205300291851</v>
      </c>
      <c r="AC38" s="649">
        <f t="shared" si="9"/>
        <v>248242.20394984871</v>
      </c>
      <c r="AD38" s="650" t="b">
        <f t="shared" si="10"/>
        <v>1</v>
      </c>
    </row>
    <row r="39" spans="1:33" x14ac:dyDescent="0.3">
      <c r="A39" s="651">
        <v>2017</v>
      </c>
      <c r="B39" s="652">
        <v>88263</v>
      </c>
      <c r="C39" s="652">
        <v>87693</v>
      </c>
      <c r="D39" s="653">
        <v>73218</v>
      </c>
      <c r="E39" s="654">
        <v>42299</v>
      </c>
      <c r="F39" s="655">
        <v>36720</v>
      </c>
      <c r="G39" s="656">
        <v>42299</v>
      </c>
      <c r="H39" s="657">
        <f t="shared" si="12"/>
        <v>0.57771313065093288</v>
      </c>
      <c r="I39" s="658">
        <f t="shared" si="13"/>
        <v>0.57771313065093288</v>
      </c>
      <c r="J39" s="659">
        <f t="shared" si="14"/>
        <v>50990.694050643287</v>
      </c>
      <c r="K39" s="660">
        <f t="shared" si="15"/>
        <v>50990.694050643287</v>
      </c>
      <c r="L39" s="661">
        <v>0.59199999999999997</v>
      </c>
      <c r="M39" s="653">
        <f t="shared" si="20"/>
        <v>51914.255999999994</v>
      </c>
      <c r="N39" s="662">
        <f t="shared" si="0"/>
        <v>50990.694050643287</v>
      </c>
      <c r="O39" s="659">
        <f>'[4]Joint Staff Rprt 2022 Table 15'!C39</f>
        <v>429</v>
      </c>
      <c r="P39" s="663">
        <f>'[4]Joint Staff Rprt 2022 Table 15'!F39</f>
        <v>4480</v>
      </c>
      <c r="Q39" s="663">
        <f t="shared" si="16"/>
        <v>4909</v>
      </c>
      <c r="R39" s="653">
        <f t="shared" si="17"/>
        <v>2835.9937583654296</v>
      </c>
      <c r="S39" s="664">
        <f t="shared" si="18"/>
        <v>45134.993758365432</v>
      </c>
      <c r="T39" s="665">
        <f t="shared" si="1"/>
        <v>6.2833591460058624E-2</v>
      </c>
      <c r="U39" s="665">
        <f t="shared" si="2"/>
        <v>0.22425072859218315</v>
      </c>
      <c r="V39" s="666">
        <f t="shared" si="3"/>
        <v>10121.555235317086</v>
      </c>
      <c r="W39" s="667">
        <f t="shared" si="4"/>
        <v>55256.548993682518</v>
      </c>
      <c r="X39" s="652">
        <f t="shared" si="5"/>
        <v>5855.7002922778556</v>
      </c>
      <c r="Y39" s="668">
        <f t="shared" si="6"/>
        <v>0.11483860734396066</v>
      </c>
      <c r="Z39" s="669">
        <f t="shared" si="7"/>
        <v>0.44816054018519008</v>
      </c>
      <c r="AA39" s="669">
        <f t="shared" si="8"/>
        <v>0.45107356069886345</v>
      </c>
      <c r="AC39" s="649">
        <f t="shared" si="9"/>
        <v>50990.694050643287</v>
      </c>
      <c r="AD39" s="650" t="b">
        <f t="shared" si="10"/>
        <v>1</v>
      </c>
    </row>
    <row r="40" spans="1:33" x14ac:dyDescent="0.3">
      <c r="A40" s="651">
        <v>2018</v>
      </c>
      <c r="B40" s="652">
        <v>210915</v>
      </c>
      <c r="C40" s="652">
        <v>193816</v>
      </c>
      <c r="D40" s="653">
        <v>172009</v>
      </c>
      <c r="E40" s="654">
        <v>153637</v>
      </c>
      <c r="F40" s="655">
        <v>129762</v>
      </c>
      <c r="G40" s="656">
        <v>153637</v>
      </c>
      <c r="H40" s="657">
        <f t="shared" si="12"/>
        <v>0.89319163532140755</v>
      </c>
      <c r="I40" s="658">
        <f t="shared" si="13"/>
        <v>0.89319163532140755</v>
      </c>
      <c r="J40" s="659">
        <f t="shared" si="14"/>
        <v>188387.51376381467</v>
      </c>
      <c r="K40" s="660">
        <f t="shared" si="15"/>
        <v>188387.51376381467</v>
      </c>
      <c r="L40" s="661">
        <v>0.90199999999999991</v>
      </c>
      <c r="M40" s="653">
        <f t="shared" si="20"/>
        <v>174822.03199999998</v>
      </c>
      <c r="N40" s="662">
        <f t="shared" si="0"/>
        <v>188387.51376381467</v>
      </c>
      <c r="O40" s="659">
        <f>'[4]Joint Staff Rprt 2022 Table 15'!C40</f>
        <v>112</v>
      </c>
      <c r="P40" s="663">
        <f>'[4]Joint Staff Rprt 2022 Table 15'!F40</f>
        <v>7724</v>
      </c>
      <c r="Q40" s="663">
        <f t="shared" si="16"/>
        <v>7836</v>
      </c>
      <c r="R40" s="653">
        <f t="shared" si="17"/>
        <v>6999.0496543785493</v>
      </c>
      <c r="S40" s="664">
        <f t="shared" si="18"/>
        <v>160636.04965437856</v>
      </c>
      <c r="T40" s="665">
        <f t="shared" si="1"/>
        <v>4.3570852678695537E-2</v>
      </c>
      <c r="U40" s="665">
        <f t="shared" si="2"/>
        <v>0.27404398029352034</v>
      </c>
      <c r="V40" s="666">
        <f t="shared" si="3"/>
        <v>44021.34242591347</v>
      </c>
      <c r="W40" s="667">
        <f t="shared" si="4"/>
        <v>204657.39208029202</v>
      </c>
      <c r="X40" s="652">
        <f t="shared" si="5"/>
        <v>27751.464109436114</v>
      </c>
      <c r="Y40" s="668">
        <f t="shared" si="6"/>
        <v>0.14731052793779476</v>
      </c>
      <c r="Z40" s="669">
        <f t="shared" si="7"/>
        <v>0.6484178444130505</v>
      </c>
      <c r="AA40" s="669">
        <f t="shared" si="8"/>
        <v>0.70562311498730013</v>
      </c>
      <c r="AC40" s="649">
        <f t="shared" si="9"/>
        <v>188387.51376381467</v>
      </c>
      <c r="AD40" s="650" t="b">
        <f t="shared" si="10"/>
        <v>1</v>
      </c>
    </row>
    <row r="41" spans="1:33" x14ac:dyDescent="0.3">
      <c r="A41" s="651">
        <v>2019</v>
      </c>
      <c r="B41" s="652">
        <v>63222</v>
      </c>
      <c r="C41" s="652">
        <v>63046</v>
      </c>
      <c r="D41" s="653">
        <v>58562</v>
      </c>
      <c r="E41" s="654">
        <v>49862</v>
      </c>
      <c r="F41" s="655">
        <v>42140</v>
      </c>
      <c r="G41" s="656">
        <v>49862</v>
      </c>
      <c r="H41" s="657">
        <f t="shared" si="12"/>
        <v>0.85143950001707591</v>
      </c>
      <c r="I41" s="658">
        <f t="shared" si="13"/>
        <v>0.85143950001707591</v>
      </c>
      <c r="J41" s="659">
        <f t="shared" si="14"/>
        <v>53829.70807007957</v>
      </c>
      <c r="K41" s="660">
        <f t="shared" si="15"/>
        <v>53829.70807007957</v>
      </c>
      <c r="L41" s="661">
        <v>0.85500000000000009</v>
      </c>
      <c r="M41" s="653">
        <f t="shared" si="20"/>
        <v>53904.330000000009</v>
      </c>
      <c r="N41" s="662">
        <f t="shared" si="0"/>
        <v>53829.70807007957</v>
      </c>
      <c r="O41" s="659">
        <f>'[4]Joint Staff Rprt 2022 Table 15'!C41</f>
        <v>41</v>
      </c>
      <c r="P41" s="663">
        <f>'[4]Joint Staff Rprt 2022 Table 15'!F41</f>
        <v>1118</v>
      </c>
      <c r="Q41" s="663">
        <f t="shared" si="16"/>
        <v>1159</v>
      </c>
      <c r="R41" s="653">
        <f t="shared" si="17"/>
        <v>986.81838051979094</v>
      </c>
      <c r="S41" s="664">
        <f t="shared" si="18"/>
        <v>50848.818380519791</v>
      </c>
      <c r="T41" s="665">
        <f t="shared" si="1"/>
        <v>1.9406908792552031E-2</v>
      </c>
      <c r="U41" s="665">
        <f t="shared" si="2"/>
        <v>0.19882867794166653</v>
      </c>
      <c r="V41" s="666">
        <f t="shared" si="3"/>
        <v>10110.203333494663</v>
      </c>
      <c r="W41" s="667">
        <f t="shared" si="4"/>
        <v>60959.021714014452</v>
      </c>
      <c r="X41" s="652">
        <f t="shared" si="5"/>
        <v>2980.8896895597791</v>
      </c>
      <c r="Y41" s="668">
        <f t="shared" si="6"/>
        <v>5.5376293062541451E-2</v>
      </c>
      <c r="Z41" s="669">
        <f t="shared" si="7"/>
        <v>0.68214890988136712</v>
      </c>
      <c r="AA41" s="669">
        <f t="shared" si="8"/>
        <v>0.68405320528693003</v>
      </c>
      <c r="AC41" s="649">
        <f t="shared" si="9"/>
        <v>53829.70807007957</v>
      </c>
      <c r="AD41" s="650" t="b">
        <f t="shared" si="10"/>
        <v>1</v>
      </c>
    </row>
    <row r="42" spans="1:33" x14ac:dyDescent="0.3">
      <c r="A42" s="651">
        <v>2020</v>
      </c>
      <c r="B42" s="652">
        <v>345018</v>
      </c>
      <c r="C42" s="652">
        <v>341739</v>
      </c>
      <c r="D42" s="653">
        <v>280440</v>
      </c>
      <c r="E42" s="654">
        <v>226107</v>
      </c>
      <c r="F42" s="655">
        <v>198627</v>
      </c>
      <c r="G42" s="656">
        <v>226107</v>
      </c>
      <c r="H42" s="657">
        <f t="shared" si="12"/>
        <v>0.80625802310654682</v>
      </c>
      <c r="I42" s="658">
        <f t="shared" si="13"/>
        <v>0.80625802310654682</v>
      </c>
      <c r="J42" s="659">
        <f t="shared" si="14"/>
        <v>278173.53061617457</v>
      </c>
      <c r="K42" s="660">
        <f t="shared" si="15"/>
        <v>278173.53061617457</v>
      </c>
      <c r="L42" s="661">
        <v>0.80700000000000005</v>
      </c>
      <c r="M42" s="653">
        <f t="shared" si="20"/>
        <v>275783.37300000002</v>
      </c>
      <c r="N42" s="662">
        <f t="shared" si="0"/>
        <v>278173.53061617457</v>
      </c>
      <c r="O42" s="659">
        <f>'[4]Joint Staff Rprt 2022 Table 15'!C42</f>
        <v>3357</v>
      </c>
      <c r="P42" s="663">
        <f>'[4]Joint Staff Rprt 2022 Table 15'!F42</f>
        <v>15258</v>
      </c>
      <c r="Q42" s="663">
        <f t="shared" si="16"/>
        <v>18615</v>
      </c>
      <c r="R42" s="653">
        <f t="shared" si="17"/>
        <v>15008.493100128369</v>
      </c>
      <c r="S42" s="664">
        <f t="shared" si="18"/>
        <v>241115.49310012837</v>
      </c>
      <c r="T42" s="665">
        <f t="shared" si="1"/>
        <v>6.224607513668054E-2</v>
      </c>
      <c r="U42" s="665">
        <f t="shared" si="2"/>
        <v>0.23200639317871027</v>
      </c>
      <c r="V42" s="666">
        <f t="shared" si="3"/>
        <v>55940.33589366699</v>
      </c>
      <c r="W42" s="667">
        <f t="shared" si="4"/>
        <v>297055.82899379538</v>
      </c>
      <c r="X42" s="652">
        <f t="shared" si="5"/>
        <v>37058.037516046199</v>
      </c>
      <c r="Y42" s="668">
        <f t="shared" si="6"/>
        <v>0.1332191363928838</v>
      </c>
      <c r="Z42" s="669">
        <f t="shared" si="7"/>
        <v>0.61920100719419968</v>
      </c>
      <c r="AA42" s="669">
        <f t="shared" si="8"/>
        <v>0.62514226675951057</v>
      </c>
      <c r="AC42" s="649">
        <f t="shared" si="9"/>
        <v>278173.53061617457</v>
      </c>
      <c r="AD42" s="650" t="b">
        <f t="shared" si="10"/>
        <v>1</v>
      </c>
    </row>
    <row r="43" spans="1:33" ht="15" thickBot="1" x14ac:dyDescent="0.35">
      <c r="A43" s="670">
        <v>2021</v>
      </c>
      <c r="B43" s="671">
        <v>152309</v>
      </c>
      <c r="C43" s="671">
        <v>151765</v>
      </c>
      <c r="D43" s="672">
        <v>109367</v>
      </c>
      <c r="E43" s="673">
        <v>76255</v>
      </c>
      <c r="F43" s="674">
        <v>64035</v>
      </c>
      <c r="G43" s="675">
        <v>76255</v>
      </c>
      <c r="H43" s="676">
        <f t="shared" si="12"/>
        <v>0.69723956952279942</v>
      </c>
      <c r="I43" s="677">
        <f t="shared" si="13"/>
        <v>0.69723956952279942</v>
      </c>
      <c r="J43" s="678">
        <f t="shared" si="14"/>
        <v>106195.86159444806</v>
      </c>
      <c r="K43" s="679">
        <f t="shared" si="15"/>
        <v>106195.86159444806</v>
      </c>
      <c r="L43" s="680">
        <v>0.69262486130169598</v>
      </c>
      <c r="M43" s="672">
        <f t="shared" si="20"/>
        <v>105116.21207545188</v>
      </c>
      <c r="N43" s="681">
        <f t="shared" si="0"/>
        <v>106195.86159444806</v>
      </c>
      <c r="O43" s="678">
        <f>'[4]Joint Staff Rprt 2022 Table 15'!C43</f>
        <v>550</v>
      </c>
      <c r="P43" s="682">
        <f>'[4]Joint Staff Rprt 2022 Table 15'!F43</f>
        <v>9528</v>
      </c>
      <c r="Q43" s="682">
        <f t="shared" si="16"/>
        <v>10078</v>
      </c>
      <c r="R43" s="672">
        <f t="shared" si="17"/>
        <v>7026.7803816507721</v>
      </c>
      <c r="S43" s="683">
        <f t="shared" si="18"/>
        <v>83281.780381650766</v>
      </c>
      <c r="T43" s="684">
        <f t="shared" si="1"/>
        <v>8.4373561053204413E-2</v>
      </c>
      <c r="U43" s="684">
        <f t="shared" si="2"/>
        <v>0.33084228222537543</v>
      </c>
      <c r="V43" s="685">
        <f t="shared" si="3"/>
        <v>27553.134289257836</v>
      </c>
      <c r="W43" s="686">
        <f t="shared" si="4"/>
        <v>110834.91467090861</v>
      </c>
      <c r="X43" s="687">
        <f t="shared" si="5"/>
        <v>22914.081212797289</v>
      </c>
      <c r="Y43" s="688">
        <f t="shared" si="6"/>
        <v>0.21577188478684789</v>
      </c>
      <c r="Z43" s="689">
        <f t="shared" si="7"/>
        <v>0.46656323908403813</v>
      </c>
      <c r="AA43" s="689">
        <f t="shared" si="8"/>
        <v>0.46823562996508261</v>
      </c>
      <c r="AC43" s="649">
        <f t="shared" si="9"/>
        <v>106195.86159444806</v>
      </c>
      <c r="AD43" s="650" t="b">
        <f t="shared" si="10"/>
        <v>1</v>
      </c>
    </row>
    <row r="44" spans="1:33" ht="15" thickBot="1" x14ac:dyDescent="0.35">
      <c r="A44" s="690">
        <v>2022</v>
      </c>
      <c r="B44" s="691">
        <f>C44</f>
        <v>663253</v>
      </c>
      <c r="C44" s="692">
        <v>663253</v>
      </c>
      <c r="D44" s="692">
        <v>659933</v>
      </c>
      <c r="E44" s="693"/>
      <c r="F44" s="694">
        <v>421642</v>
      </c>
      <c r="G44" s="695">
        <v>478415</v>
      </c>
      <c r="H44" s="693"/>
      <c r="I44" s="696">
        <f t="shared" si="13"/>
        <v>0.72494480500293212</v>
      </c>
      <c r="J44" s="693"/>
      <c r="K44" s="694">
        <f t="shared" si="15"/>
        <v>480821.81675260974</v>
      </c>
      <c r="L44" s="693"/>
      <c r="M44" s="693"/>
      <c r="N44" s="697">
        <f t="shared" si="0"/>
        <v>480821.81675260974</v>
      </c>
      <c r="O44" s="693"/>
      <c r="P44" s="693"/>
      <c r="Q44" s="693"/>
      <c r="R44" s="693"/>
      <c r="S44" s="698">
        <f t="shared" si="18"/>
        <v>478415</v>
      </c>
      <c r="T44" s="693"/>
      <c r="U44" s="699">
        <f t="shared" si="2"/>
        <v>0.12308055643627058</v>
      </c>
      <c r="V44" s="694">
        <f t="shared" si="3"/>
        <v>58883.584407458387</v>
      </c>
      <c r="W44" s="700">
        <f t="shared" si="4"/>
        <v>537298.58440745843</v>
      </c>
      <c r="AE44" s="701" t="s">
        <v>330</v>
      </c>
      <c r="AF44" s="702"/>
      <c r="AG44" s="702"/>
    </row>
  </sheetData>
  <sheetProtection sheet="1" objects="1" scenarios="1" formatCells="0" formatColumns="0" formatRows="0" sort="0" pivotTables="0"/>
  <conditionalFormatting sqref="N2:R43 N44">
    <cfRule type="colorScale" priority="76">
      <colorScale>
        <cfvo type="min"/>
        <cfvo type="percentile" val="50"/>
        <cfvo type="max"/>
        <color rgb="FFF8696B"/>
        <color rgb="FFFFEB84"/>
        <color rgb="FF63BE7B"/>
      </colorScale>
    </cfRule>
  </conditionalFormatting>
  <conditionalFormatting sqref="S2:W43 S44 U44:W44">
    <cfRule type="colorScale" priority="75">
      <colorScale>
        <cfvo type="min"/>
        <cfvo type="percentile" val="50"/>
        <cfvo type="max"/>
        <color rgb="FFF8696B"/>
        <color rgb="FFFFEB84"/>
        <color rgb="FF63BE7B"/>
      </colorScale>
    </cfRule>
  </conditionalFormatting>
  <conditionalFormatting sqref="K2:K41">
    <cfRule type="colorScale" priority="74">
      <colorScale>
        <cfvo type="min"/>
        <cfvo type="percentile" val="50"/>
        <cfvo type="max"/>
        <color rgb="FFF8696B"/>
        <color rgb="FFFFEB84"/>
        <color rgb="FF63BE7B"/>
      </colorScale>
    </cfRule>
  </conditionalFormatting>
  <conditionalFormatting sqref="K42">
    <cfRule type="colorScale" priority="73">
      <colorScale>
        <cfvo type="min"/>
        <cfvo type="percentile" val="50"/>
        <cfvo type="max"/>
        <color rgb="FFF8696B"/>
        <color rgb="FFFFEB84"/>
        <color rgb="FF63BE7B"/>
      </colorScale>
    </cfRule>
  </conditionalFormatting>
  <conditionalFormatting sqref="M8:M42">
    <cfRule type="colorScale" priority="72">
      <colorScale>
        <cfvo type="min"/>
        <cfvo type="percentile" val="50"/>
        <cfvo type="max"/>
        <color rgb="FFF8696B"/>
        <color rgb="FFFFEB84"/>
        <color rgb="FF63BE7B"/>
      </colorScale>
    </cfRule>
  </conditionalFormatting>
  <conditionalFormatting sqref="M42:M43">
    <cfRule type="colorScale" priority="71">
      <colorScale>
        <cfvo type="min"/>
        <cfvo type="percentile" val="50"/>
        <cfvo type="max"/>
        <color rgb="FFF8696B"/>
        <color rgb="FFFFEB84"/>
        <color rgb="FF63BE7B"/>
      </colorScale>
    </cfRule>
  </conditionalFormatting>
  <conditionalFormatting sqref="D8:D42">
    <cfRule type="colorScale" priority="70">
      <colorScale>
        <cfvo type="min"/>
        <cfvo type="percentile" val="50"/>
        <cfvo type="max"/>
        <color rgb="FFF8696B"/>
        <color rgb="FFFFEB84"/>
        <color rgb="FF63BE7B"/>
      </colorScale>
    </cfRule>
  </conditionalFormatting>
  <conditionalFormatting sqref="D43">
    <cfRule type="colorScale" priority="69">
      <colorScale>
        <cfvo type="min"/>
        <cfvo type="percentile" val="50"/>
        <cfvo type="max"/>
        <color rgb="FFF8696B"/>
        <color rgb="FFFFEB84"/>
        <color rgb="FF63BE7B"/>
      </colorScale>
    </cfRule>
  </conditionalFormatting>
  <conditionalFormatting sqref="D42">
    <cfRule type="colorScale" priority="68">
      <colorScale>
        <cfvo type="min"/>
        <cfvo type="percentile" val="50"/>
        <cfvo type="max"/>
        <color rgb="FFF8696B"/>
        <color rgb="FFFFEB84"/>
        <color rgb="FF63BE7B"/>
      </colorScale>
    </cfRule>
  </conditionalFormatting>
  <conditionalFormatting sqref="D7:D43">
    <cfRule type="colorScale" priority="67">
      <colorScale>
        <cfvo type="min"/>
        <cfvo type="percentile" val="50"/>
        <cfvo type="max"/>
        <color rgb="FFF8696B"/>
        <color rgb="FFFFEB84"/>
        <color rgb="FF63BE7B"/>
      </colorScale>
    </cfRule>
  </conditionalFormatting>
  <conditionalFormatting sqref="K43">
    <cfRule type="colorScale" priority="66">
      <colorScale>
        <cfvo type="min"/>
        <cfvo type="percentile" val="50"/>
        <cfvo type="max"/>
        <color rgb="FFF8696B"/>
        <color rgb="FFFFEB84"/>
        <color rgb="FF63BE7B"/>
      </colorScale>
    </cfRule>
  </conditionalFormatting>
  <conditionalFormatting sqref="M8:M43">
    <cfRule type="colorScale" priority="65">
      <colorScale>
        <cfvo type="min"/>
        <cfvo type="percentile" val="50"/>
        <cfvo type="max"/>
        <color rgb="FFF8696B"/>
        <color rgb="FFFFEB84"/>
        <color rgb="FF63BE7B"/>
      </colorScale>
    </cfRule>
  </conditionalFormatting>
  <conditionalFormatting sqref="K2:K43">
    <cfRule type="colorScale" priority="44">
      <colorScale>
        <cfvo type="min"/>
        <cfvo type="percentile" val="50"/>
        <cfvo type="max"/>
        <color rgb="FFF8696B"/>
        <color rgb="FFFFEB84"/>
        <color rgb="FF63BE7B"/>
      </colorScale>
    </cfRule>
  </conditionalFormatting>
  <conditionalFormatting sqref="H2:I43">
    <cfRule type="colorScale" priority="64">
      <colorScale>
        <cfvo type="min"/>
        <cfvo type="percentile" val="50"/>
        <cfvo type="max"/>
        <color rgb="FFF8696B"/>
        <color rgb="FFFCFCFF"/>
        <color rgb="FF5A8AC6"/>
      </colorScale>
    </cfRule>
  </conditionalFormatting>
  <conditionalFormatting sqref="L8:L43">
    <cfRule type="colorScale" priority="63">
      <colorScale>
        <cfvo type="min"/>
        <cfvo type="percentile" val="50"/>
        <cfvo type="max"/>
        <color rgb="FFF8696B"/>
        <color rgb="FFFCFCFF"/>
        <color rgb="FF5A8AC6"/>
      </colorScale>
    </cfRule>
  </conditionalFormatting>
  <conditionalFormatting sqref="S2:W6">
    <cfRule type="colorScale" priority="62">
      <colorScale>
        <cfvo type="min"/>
        <cfvo type="percentile" val="50"/>
        <cfvo type="max"/>
        <color rgb="FFF8696B"/>
        <color rgb="FFFFEB84"/>
        <color rgb="FF63BE7B"/>
      </colorScale>
    </cfRule>
  </conditionalFormatting>
  <conditionalFormatting sqref="M2:M7">
    <cfRule type="colorScale" priority="61">
      <colorScale>
        <cfvo type="min"/>
        <cfvo type="percentile" val="50"/>
        <cfvo type="max"/>
        <color rgb="FFF8696B"/>
        <color rgb="FFFFEB84"/>
        <color rgb="FF63BE7B"/>
      </colorScale>
    </cfRule>
  </conditionalFormatting>
  <conditionalFormatting sqref="M2:M7">
    <cfRule type="colorScale" priority="60">
      <colorScale>
        <cfvo type="min"/>
        <cfvo type="percentile" val="50"/>
        <cfvo type="max"/>
        <color rgb="FFF8696B"/>
        <color rgb="FFFFEB84"/>
        <color rgb="FF63BE7B"/>
      </colorScale>
    </cfRule>
  </conditionalFormatting>
  <conditionalFormatting sqref="L2:L7">
    <cfRule type="colorScale" priority="59">
      <colorScale>
        <cfvo type="min"/>
        <cfvo type="percentile" val="50"/>
        <cfvo type="max"/>
        <color rgb="FFF8696B"/>
        <color rgb="FFFCFCFF"/>
        <color rgb="FF5A8AC6"/>
      </colorScale>
    </cfRule>
  </conditionalFormatting>
  <conditionalFormatting sqref="D2:D6">
    <cfRule type="colorScale" priority="58">
      <colorScale>
        <cfvo type="min"/>
        <cfvo type="percentile" val="50"/>
        <cfvo type="max"/>
        <color rgb="FFF8696B"/>
        <color rgb="FFFFEB84"/>
        <color rgb="FF63BE7B"/>
      </colorScale>
    </cfRule>
  </conditionalFormatting>
  <conditionalFormatting sqref="D2:D43">
    <cfRule type="colorScale" priority="57">
      <colorScale>
        <cfvo type="min"/>
        <cfvo type="percentile" val="50"/>
        <cfvo type="max"/>
        <color rgb="FFF8696B"/>
        <color rgb="FFFFEB84"/>
        <color rgb="FF63BE7B"/>
      </colorScale>
    </cfRule>
  </conditionalFormatting>
  <conditionalFormatting sqref="G8:G42">
    <cfRule type="colorScale" priority="56">
      <colorScale>
        <cfvo type="min"/>
        <cfvo type="percentile" val="50"/>
        <cfvo type="max"/>
        <color rgb="FFF8696B"/>
        <color rgb="FFFFEB84"/>
        <color rgb="FF63BE7B"/>
      </colorScale>
    </cfRule>
  </conditionalFormatting>
  <conditionalFormatting sqref="G43">
    <cfRule type="colorScale" priority="55">
      <colorScale>
        <cfvo type="min"/>
        <cfvo type="percentile" val="50"/>
        <cfvo type="max"/>
        <color rgb="FFF8696B"/>
        <color rgb="FFFFEB84"/>
        <color rgb="FF63BE7B"/>
      </colorScale>
    </cfRule>
  </conditionalFormatting>
  <conditionalFormatting sqref="G42">
    <cfRule type="colorScale" priority="54">
      <colorScale>
        <cfvo type="min"/>
        <cfvo type="percentile" val="50"/>
        <cfvo type="max"/>
        <color rgb="FFF8696B"/>
        <color rgb="FFFFEB84"/>
        <color rgb="FF63BE7B"/>
      </colorScale>
    </cfRule>
  </conditionalFormatting>
  <conditionalFormatting sqref="G7:G43">
    <cfRule type="colorScale" priority="53">
      <colorScale>
        <cfvo type="min"/>
        <cfvo type="percentile" val="50"/>
        <cfvo type="max"/>
        <color rgb="FFF8696B"/>
        <color rgb="FFFFEB84"/>
        <color rgb="FF63BE7B"/>
      </colorScale>
    </cfRule>
  </conditionalFormatting>
  <conditionalFormatting sqref="G2:G6">
    <cfRule type="colorScale" priority="52">
      <colorScale>
        <cfvo type="min"/>
        <cfvo type="percentile" val="50"/>
        <cfvo type="max"/>
        <color rgb="FFF8696B"/>
        <color rgb="FFFFEB84"/>
        <color rgb="FF63BE7B"/>
      </colorScale>
    </cfRule>
  </conditionalFormatting>
  <conditionalFormatting sqref="G2:G43">
    <cfRule type="colorScale" priority="51">
      <colorScale>
        <cfvo type="min"/>
        <cfvo type="percentile" val="50"/>
        <cfvo type="max"/>
        <color rgb="FFF8696B"/>
        <color rgb="FFFFEB84"/>
        <color rgb="FF63BE7B"/>
      </colorScale>
    </cfRule>
  </conditionalFormatting>
  <conditionalFormatting sqref="B8:C42">
    <cfRule type="colorScale" priority="50">
      <colorScale>
        <cfvo type="min"/>
        <cfvo type="percentile" val="50"/>
        <cfvo type="max"/>
        <color rgb="FFF8696B"/>
        <color rgb="FFFFEB84"/>
        <color rgb="FF63BE7B"/>
      </colorScale>
    </cfRule>
  </conditionalFormatting>
  <conditionalFormatting sqref="B43:C43">
    <cfRule type="colorScale" priority="49">
      <colorScale>
        <cfvo type="min"/>
        <cfvo type="percentile" val="50"/>
        <cfvo type="max"/>
        <color rgb="FFF8696B"/>
        <color rgb="FFFFEB84"/>
        <color rgb="FF63BE7B"/>
      </colorScale>
    </cfRule>
  </conditionalFormatting>
  <conditionalFormatting sqref="B42:C42">
    <cfRule type="colorScale" priority="48">
      <colorScale>
        <cfvo type="min"/>
        <cfvo type="percentile" val="50"/>
        <cfvo type="max"/>
        <color rgb="FFF8696B"/>
        <color rgb="FFFFEB84"/>
        <color rgb="FF63BE7B"/>
      </colorScale>
    </cfRule>
  </conditionalFormatting>
  <conditionalFormatting sqref="B7:C43">
    <cfRule type="colorScale" priority="47">
      <colorScale>
        <cfvo type="min"/>
        <cfvo type="percentile" val="50"/>
        <cfvo type="max"/>
        <color rgb="FFF8696B"/>
        <color rgb="FFFFEB84"/>
        <color rgb="FF63BE7B"/>
      </colorScale>
    </cfRule>
  </conditionalFormatting>
  <conditionalFormatting sqref="B2:C6">
    <cfRule type="colorScale" priority="46">
      <colorScale>
        <cfvo type="min"/>
        <cfvo type="percentile" val="50"/>
        <cfvo type="max"/>
        <color rgb="FFF8696B"/>
        <color rgb="FFFFEB84"/>
        <color rgb="FF63BE7B"/>
      </colorScale>
    </cfRule>
  </conditionalFormatting>
  <conditionalFormatting sqref="B2:C43">
    <cfRule type="colorScale" priority="45">
      <colorScale>
        <cfvo type="min"/>
        <cfvo type="percentile" val="50"/>
        <cfvo type="max"/>
        <color rgb="FFF8696B"/>
        <color rgb="FFFFEB84"/>
        <color rgb="FF63BE7B"/>
      </colorScale>
    </cfRule>
  </conditionalFormatting>
  <conditionalFormatting sqref="M2:M43">
    <cfRule type="colorScale" priority="43">
      <colorScale>
        <cfvo type="min"/>
        <cfvo type="percentile" val="50"/>
        <cfvo type="max"/>
        <color rgb="FFF8696B"/>
        <color rgb="FFFFEB84"/>
        <color rgb="FF63BE7B"/>
      </colorScale>
    </cfRule>
  </conditionalFormatting>
  <conditionalFormatting sqref="Q2:R43">
    <cfRule type="colorScale" priority="42">
      <colorScale>
        <cfvo type="min"/>
        <cfvo type="max"/>
        <color rgb="FFFCFCFF"/>
        <color rgb="FFF8696B"/>
      </colorScale>
    </cfRule>
  </conditionalFormatting>
  <conditionalFormatting sqref="O2:P43">
    <cfRule type="colorScale" priority="41">
      <colorScale>
        <cfvo type="min"/>
        <cfvo type="max"/>
        <color rgb="FFFCFCFF"/>
        <color rgb="FFF8696B"/>
      </colorScale>
    </cfRule>
  </conditionalFormatting>
  <conditionalFormatting sqref="X2:X43">
    <cfRule type="colorScale" priority="40">
      <colorScale>
        <cfvo type="min"/>
        <cfvo type="max"/>
        <color rgb="FFFCFCFF"/>
        <color rgb="FFF8696B"/>
      </colorScale>
    </cfRule>
  </conditionalFormatting>
  <conditionalFormatting sqref="F8:F42">
    <cfRule type="colorScale" priority="39">
      <colorScale>
        <cfvo type="min"/>
        <cfvo type="percentile" val="50"/>
        <cfvo type="max"/>
        <color rgb="FFF8696B"/>
        <color rgb="FFFFEB84"/>
        <color rgb="FF63BE7B"/>
      </colorScale>
    </cfRule>
  </conditionalFormatting>
  <conditionalFormatting sqref="F43">
    <cfRule type="colorScale" priority="38">
      <colorScale>
        <cfvo type="min"/>
        <cfvo type="percentile" val="50"/>
        <cfvo type="max"/>
        <color rgb="FFF8696B"/>
        <color rgb="FFFFEB84"/>
        <color rgb="FF63BE7B"/>
      </colorScale>
    </cfRule>
  </conditionalFormatting>
  <conditionalFormatting sqref="F42">
    <cfRule type="colorScale" priority="37">
      <colorScale>
        <cfvo type="min"/>
        <cfvo type="percentile" val="50"/>
        <cfvo type="max"/>
        <color rgb="FFF8696B"/>
        <color rgb="FFFFEB84"/>
        <color rgb="FF63BE7B"/>
      </colorScale>
    </cfRule>
  </conditionalFormatting>
  <conditionalFormatting sqref="F7:F43">
    <cfRule type="colorScale" priority="36">
      <colorScale>
        <cfvo type="min"/>
        <cfvo type="percentile" val="50"/>
        <cfvo type="max"/>
        <color rgb="FFF8696B"/>
        <color rgb="FFFFEB84"/>
        <color rgb="FF63BE7B"/>
      </colorScale>
    </cfRule>
  </conditionalFormatting>
  <conditionalFormatting sqref="F2:F6">
    <cfRule type="colorScale" priority="35">
      <colorScale>
        <cfvo type="min"/>
        <cfvo type="percentile" val="50"/>
        <cfvo type="max"/>
        <color rgb="FFF8696B"/>
        <color rgb="FFFFEB84"/>
        <color rgb="FF63BE7B"/>
      </colorScale>
    </cfRule>
  </conditionalFormatting>
  <conditionalFormatting sqref="F2:F43">
    <cfRule type="colorScale" priority="34">
      <colorScale>
        <cfvo type="min"/>
        <cfvo type="percentile" val="50"/>
        <cfvo type="max"/>
        <color rgb="FFF8696B"/>
        <color rgb="FFFFEB84"/>
        <color rgb="FF63BE7B"/>
      </colorScale>
    </cfRule>
  </conditionalFormatting>
  <conditionalFormatting sqref="E8:E42">
    <cfRule type="colorScale" priority="33">
      <colorScale>
        <cfvo type="min"/>
        <cfvo type="percentile" val="50"/>
        <cfvo type="max"/>
        <color rgb="FFF8696B"/>
        <color rgb="FFFFEB84"/>
        <color rgb="FF63BE7B"/>
      </colorScale>
    </cfRule>
  </conditionalFormatting>
  <conditionalFormatting sqref="E43">
    <cfRule type="colorScale" priority="32">
      <colorScale>
        <cfvo type="min"/>
        <cfvo type="percentile" val="50"/>
        <cfvo type="max"/>
        <color rgb="FFF8696B"/>
        <color rgb="FFFFEB84"/>
        <color rgb="FF63BE7B"/>
      </colorScale>
    </cfRule>
  </conditionalFormatting>
  <conditionalFormatting sqref="E42">
    <cfRule type="colorScale" priority="31">
      <colorScale>
        <cfvo type="min"/>
        <cfvo type="percentile" val="50"/>
        <cfvo type="max"/>
        <color rgb="FFF8696B"/>
        <color rgb="FFFFEB84"/>
        <color rgb="FF63BE7B"/>
      </colorScale>
    </cfRule>
  </conditionalFormatting>
  <conditionalFormatting sqref="E7:E43">
    <cfRule type="colorScale" priority="30">
      <colorScale>
        <cfvo type="min"/>
        <cfvo type="percentile" val="50"/>
        <cfvo type="max"/>
        <color rgb="FFF8696B"/>
        <color rgb="FFFFEB84"/>
        <color rgb="FF63BE7B"/>
      </colorScale>
    </cfRule>
  </conditionalFormatting>
  <conditionalFormatting sqref="E2:E6">
    <cfRule type="colorScale" priority="29">
      <colorScale>
        <cfvo type="min"/>
        <cfvo type="percentile" val="50"/>
        <cfvo type="max"/>
        <color rgb="FFF8696B"/>
        <color rgb="FFFFEB84"/>
        <color rgb="FF63BE7B"/>
      </colorScale>
    </cfRule>
  </conditionalFormatting>
  <conditionalFormatting sqref="E2:E43">
    <cfRule type="colorScale" priority="28">
      <colorScale>
        <cfvo type="min"/>
        <cfvo type="percentile" val="50"/>
        <cfvo type="max"/>
        <color rgb="FFF8696B"/>
        <color rgb="FFFFEB84"/>
        <color rgb="FF63BE7B"/>
      </colorScale>
    </cfRule>
  </conditionalFormatting>
  <conditionalFormatting sqref="G44">
    <cfRule type="colorScale" priority="27">
      <colorScale>
        <cfvo type="min"/>
        <cfvo type="percentile" val="50"/>
        <cfvo type="max"/>
        <color rgb="FFF8696B"/>
        <color rgb="FFFFEB84"/>
        <color rgb="FF63BE7B"/>
      </colorScale>
    </cfRule>
  </conditionalFormatting>
  <conditionalFormatting sqref="G44">
    <cfRule type="colorScale" priority="26">
      <colorScale>
        <cfvo type="min"/>
        <cfvo type="percentile" val="50"/>
        <cfvo type="max"/>
        <color rgb="FFF8696B"/>
        <color rgb="FFFFEB84"/>
        <color rgb="FF63BE7B"/>
      </colorScale>
    </cfRule>
  </conditionalFormatting>
  <conditionalFormatting sqref="G44">
    <cfRule type="colorScale" priority="25">
      <colorScale>
        <cfvo type="min"/>
        <cfvo type="percentile" val="50"/>
        <cfvo type="max"/>
        <color rgb="FFF8696B"/>
        <color rgb="FFFFEB84"/>
        <color rgb="FF63BE7B"/>
      </colorScale>
    </cfRule>
  </conditionalFormatting>
  <conditionalFormatting sqref="F44">
    <cfRule type="colorScale" priority="24">
      <colorScale>
        <cfvo type="min"/>
        <cfvo type="percentile" val="50"/>
        <cfvo type="max"/>
        <color rgb="FFF8696B"/>
        <color rgb="FFFFEB84"/>
        <color rgb="FF63BE7B"/>
      </colorScale>
    </cfRule>
  </conditionalFormatting>
  <conditionalFormatting sqref="F44">
    <cfRule type="colorScale" priority="23">
      <colorScale>
        <cfvo type="min"/>
        <cfvo type="percentile" val="50"/>
        <cfvo type="max"/>
        <color rgb="FFF8696B"/>
        <color rgb="FFFFEB84"/>
        <color rgb="FF63BE7B"/>
      </colorScale>
    </cfRule>
  </conditionalFormatting>
  <conditionalFormatting sqref="F44">
    <cfRule type="colorScale" priority="22">
      <colorScale>
        <cfvo type="min"/>
        <cfvo type="percentile" val="50"/>
        <cfvo type="max"/>
        <color rgb="FFF8696B"/>
        <color rgb="FFFFEB84"/>
        <color rgb="FF63BE7B"/>
      </colorScale>
    </cfRule>
  </conditionalFormatting>
  <conditionalFormatting sqref="J2:J41">
    <cfRule type="colorScale" priority="21">
      <colorScale>
        <cfvo type="min"/>
        <cfvo type="percentile" val="50"/>
        <cfvo type="max"/>
        <color rgb="FFF8696B"/>
        <color rgb="FFFFEB84"/>
        <color rgb="FF63BE7B"/>
      </colorScale>
    </cfRule>
  </conditionalFormatting>
  <conditionalFormatting sqref="J42">
    <cfRule type="colorScale" priority="20">
      <colorScale>
        <cfvo type="min"/>
        <cfvo type="percentile" val="50"/>
        <cfvo type="max"/>
        <color rgb="FFF8696B"/>
        <color rgb="FFFFEB84"/>
        <color rgb="FF63BE7B"/>
      </colorScale>
    </cfRule>
  </conditionalFormatting>
  <conditionalFormatting sqref="J43">
    <cfRule type="colorScale" priority="19">
      <colorScale>
        <cfvo type="min"/>
        <cfvo type="percentile" val="50"/>
        <cfvo type="max"/>
        <color rgb="FFF8696B"/>
        <color rgb="FFFFEB84"/>
        <color rgb="FF63BE7B"/>
      </colorScale>
    </cfRule>
  </conditionalFormatting>
  <conditionalFormatting sqref="J2:J43">
    <cfRule type="colorScale" priority="18">
      <colorScale>
        <cfvo type="min"/>
        <cfvo type="percentile" val="50"/>
        <cfvo type="max"/>
        <color rgb="FFF8696B"/>
        <color rgb="FFFFEB84"/>
        <color rgb="FF63BE7B"/>
      </colorScale>
    </cfRule>
  </conditionalFormatting>
  <conditionalFormatting sqref="Y2:Y43">
    <cfRule type="colorScale" priority="17">
      <colorScale>
        <cfvo type="min"/>
        <cfvo type="percentile" val="50"/>
        <cfvo type="max"/>
        <color rgb="FF63BE7B"/>
        <color rgb="FFFFEB84"/>
        <color rgb="FFF8696B"/>
      </colorScale>
    </cfRule>
  </conditionalFormatting>
  <conditionalFormatting sqref="Z2:Z43">
    <cfRule type="colorScale" priority="16">
      <colorScale>
        <cfvo type="min"/>
        <cfvo type="percentile" val="50"/>
        <cfvo type="max"/>
        <color rgb="FFF8696B"/>
        <color rgb="FFFCFCFF"/>
        <color rgb="FF63BE7B"/>
      </colorScale>
    </cfRule>
  </conditionalFormatting>
  <conditionalFormatting sqref="AA2:AA43">
    <cfRule type="colorScale" priority="15">
      <colorScale>
        <cfvo type="min"/>
        <cfvo type="percentile" val="50"/>
        <cfvo type="max"/>
        <color rgb="FFF8696B"/>
        <color rgb="FFFCFCFF"/>
        <color rgb="FF63BE7B"/>
      </colorScale>
    </cfRule>
  </conditionalFormatting>
  <conditionalFormatting sqref="Z2:AA43">
    <cfRule type="colorScale" priority="14">
      <colorScale>
        <cfvo type="min"/>
        <cfvo type="percentile" val="50"/>
        <cfvo type="max"/>
        <color rgb="FFF8696B"/>
        <color rgb="FFFCFCFF"/>
        <color rgb="FF63BE7B"/>
      </colorScale>
    </cfRule>
  </conditionalFormatting>
  <conditionalFormatting sqref="T2:V43 U44:V44">
    <cfRule type="colorScale" priority="13">
      <colorScale>
        <cfvo type="min"/>
        <cfvo type="max"/>
        <color rgb="FFFCFCFF"/>
        <color rgb="FFF8696B"/>
      </colorScale>
    </cfRule>
  </conditionalFormatting>
  <conditionalFormatting sqref="U2:U44">
    <cfRule type="colorScale" priority="12">
      <colorScale>
        <cfvo type="min"/>
        <cfvo type="max"/>
        <color rgb="FFFCFCFF"/>
        <color rgb="FFF8696B"/>
      </colorScale>
    </cfRule>
  </conditionalFormatting>
  <conditionalFormatting sqref="C44">
    <cfRule type="colorScale" priority="11">
      <colorScale>
        <cfvo type="min"/>
        <cfvo type="percentile" val="50"/>
        <cfvo type="max"/>
        <color rgb="FFF8696B"/>
        <color rgb="FFFFEB84"/>
        <color rgb="FF63BE7B"/>
      </colorScale>
    </cfRule>
  </conditionalFormatting>
  <conditionalFormatting sqref="C44">
    <cfRule type="colorScale" priority="10">
      <colorScale>
        <cfvo type="min"/>
        <cfvo type="percentile" val="50"/>
        <cfvo type="max"/>
        <color rgb="FFF8696B"/>
        <color rgb="FFFFEB84"/>
        <color rgb="FF63BE7B"/>
      </colorScale>
    </cfRule>
  </conditionalFormatting>
  <conditionalFormatting sqref="C44">
    <cfRule type="colorScale" priority="9">
      <colorScale>
        <cfvo type="min"/>
        <cfvo type="percentile" val="50"/>
        <cfvo type="max"/>
        <color rgb="FFF8696B"/>
        <color rgb="FFFFEB84"/>
        <color rgb="FF63BE7B"/>
      </colorScale>
    </cfRule>
  </conditionalFormatting>
  <conditionalFormatting sqref="C44">
    <cfRule type="colorScale" priority="8">
      <colorScale>
        <cfvo type="min"/>
        <cfvo type="percentile" val="50"/>
        <cfvo type="max"/>
        <color rgb="FFF8696B"/>
        <color rgb="FFFFEB84"/>
        <color rgb="FF63BE7B"/>
      </colorScale>
    </cfRule>
  </conditionalFormatting>
  <conditionalFormatting sqref="D44">
    <cfRule type="colorScale" priority="7">
      <colorScale>
        <cfvo type="min"/>
        <cfvo type="percentile" val="50"/>
        <cfvo type="max"/>
        <color rgb="FFF8696B"/>
        <color rgb="FFFFEB84"/>
        <color rgb="FF63BE7B"/>
      </colorScale>
    </cfRule>
  </conditionalFormatting>
  <conditionalFormatting sqref="D44">
    <cfRule type="colorScale" priority="6">
      <colorScale>
        <cfvo type="min"/>
        <cfvo type="percentile" val="50"/>
        <cfvo type="max"/>
        <color rgb="FFF8696B"/>
        <color rgb="FFFFEB84"/>
        <color rgb="FF63BE7B"/>
      </colorScale>
    </cfRule>
  </conditionalFormatting>
  <conditionalFormatting sqref="D44">
    <cfRule type="colorScale" priority="5">
      <colorScale>
        <cfvo type="min"/>
        <cfvo type="percentile" val="50"/>
        <cfvo type="max"/>
        <color rgb="FFF8696B"/>
        <color rgb="FFFFEB84"/>
        <color rgb="FF63BE7B"/>
      </colorScale>
    </cfRule>
  </conditionalFormatting>
  <conditionalFormatting sqref="D44">
    <cfRule type="colorScale" priority="4">
      <colorScale>
        <cfvo type="min"/>
        <cfvo type="percentile" val="50"/>
        <cfvo type="max"/>
        <color rgb="FFF8696B"/>
        <color rgb="FFFFEB84"/>
        <color rgb="FF63BE7B"/>
      </colorScale>
    </cfRule>
  </conditionalFormatting>
  <conditionalFormatting sqref="I44">
    <cfRule type="colorScale" priority="3">
      <colorScale>
        <cfvo type="min"/>
        <cfvo type="percentile" val="50"/>
        <cfvo type="max"/>
        <color rgb="FFF8696B"/>
        <color rgb="FFFCFCFF"/>
        <color rgb="FF5A8AC6"/>
      </colorScale>
    </cfRule>
  </conditionalFormatting>
  <conditionalFormatting sqref="K44">
    <cfRule type="colorScale" priority="2">
      <colorScale>
        <cfvo type="min"/>
        <cfvo type="percentile" val="50"/>
        <cfvo type="max"/>
        <color rgb="FFF8696B"/>
        <color rgb="FFFFEB84"/>
        <color rgb="FF63BE7B"/>
      </colorScale>
    </cfRule>
  </conditionalFormatting>
  <conditionalFormatting sqref="K4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0440C-CF43-487A-870D-EAECF5D0EE37}">
  <sheetPr codeName="Sheet12">
    <tabColor rgb="FF0070C0"/>
  </sheetPr>
  <dimension ref="A1:AM254"/>
  <sheetViews>
    <sheetView zoomScaleNormal="100" workbookViewId="0">
      <pane xSplit="5" ySplit="1" topLeftCell="K199" activePane="bottomRight" state="frozen"/>
      <selection pane="topRight" activeCell="F1" sqref="F1"/>
      <selection pane="bottomLeft" activeCell="A2" sqref="A2"/>
      <selection pane="bottomRight" activeCell="A119" sqref="A119"/>
    </sheetView>
  </sheetViews>
  <sheetFormatPr defaultRowHeight="13.2" x14ac:dyDescent="0.25"/>
  <cols>
    <col min="1" max="1" width="16.5546875" style="728" bestFit="1" customWidth="1"/>
    <col min="2" max="2" width="8" style="726" bestFit="1" customWidth="1"/>
    <col min="3" max="3" width="7.44140625" style="726" customWidth="1"/>
    <col min="4" max="4" width="6.77734375" style="726" bestFit="1" customWidth="1"/>
    <col min="5" max="5" width="6.5546875" style="726" bestFit="1" customWidth="1"/>
    <col min="6" max="6" width="8.88671875" style="726" hidden="1" customWidth="1"/>
    <col min="7" max="8" width="9.21875" style="833" hidden="1" customWidth="1"/>
    <col min="9" max="9" width="9.33203125" style="835" hidden="1" customWidth="1"/>
    <col min="10" max="10" width="11.21875" style="743" hidden="1" customWidth="1"/>
    <col min="11" max="11" width="11.21875" style="836" customWidth="1"/>
    <col min="12" max="12" width="11.44140625" style="743" hidden="1" customWidth="1"/>
    <col min="13" max="13" width="9.88671875" style="743" hidden="1" customWidth="1"/>
    <col min="14" max="14" width="11.44140625" style="743" hidden="1" customWidth="1"/>
    <col min="15" max="15" width="7.33203125" style="743" hidden="1" customWidth="1"/>
    <col min="16" max="16" width="11.5546875" style="772" hidden="1" customWidth="1"/>
    <col min="17" max="17" width="8.33203125" style="772" hidden="1" customWidth="1"/>
    <col min="18" max="18" width="8.88671875" style="772" hidden="1" customWidth="1"/>
    <col min="19" max="19" width="13.109375" style="728" hidden="1" customWidth="1"/>
    <col min="20" max="20" width="4.6640625" style="726" bestFit="1" customWidth="1"/>
    <col min="21" max="22" width="8" style="728" hidden="1" customWidth="1"/>
    <col min="23" max="23" width="10.6640625" style="833" bestFit="1" customWidth="1"/>
    <col min="24" max="24" width="15.21875" style="833" hidden="1" customWidth="1"/>
    <col min="25" max="25" width="9.6640625" style="833" customWidth="1"/>
    <col min="26" max="26" width="10.21875" style="833" bestFit="1" customWidth="1"/>
    <col min="27" max="29" width="18.6640625" style="833" hidden="1" customWidth="1"/>
    <col min="30" max="30" width="11.77734375" style="833" hidden="1" customWidth="1"/>
    <col min="31" max="31" width="12.109375" style="743" hidden="1" customWidth="1"/>
    <col min="32" max="32" width="10" style="743" hidden="1" customWidth="1"/>
    <col min="33" max="33" width="7.6640625" style="743" hidden="1" customWidth="1"/>
    <col min="34" max="34" width="112.77734375" style="728" bestFit="1" customWidth="1"/>
    <col min="35" max="35" width="12.21875" style="726" bestFit="1" customWidth="1"/>
    <col min="36" max="16384" width="8.88671875" style="728"/>
  </cols>
  <sheetData>
    <row r="1" spans="1:36" ht="79.2" customHeight="1" thickBot="1" x14ac:dyDescent="0.3">
      <c r="A1" s="704" t="s">
        <v>94</v>
      </c>
      <c r="B1" s="705" t="s">
        <v>331</v>
      </c>
      <c r="C1" s="706" t="s">
        <v>303</v>
      </c>
      <c r="D1" s="707" t="s">
        <v>332</v>
      </c>
      <c r="E1" s="708" t="s">
        <v>333</v>
      </c>
      <c r="F1" s="709" t="str">
        <f>'[3]Sockeye Returns Data'!B1</f>
        <v>Total Sox (Mouth)  [16-hour]</v>
      </c>
      <c r="G1" s="709" t="str">
        <f>'[3]Sockeye Returns Data'!C1</f>
        <v>Total Sox (Bonn)  [16-hour]</v>
      </c>
      <c r="H1" s="709" t="str">
        <f>'[3]Sockeye Returns Data'!D1</f>
        <v>Total Sox (Rock)  [24-hour]</v>
      </c>
      <c r="I1" s="710" t="str">
        <f>'[3]Sockeye Returns Data'!G1</f>
        <v>Total Sox (Wells) [24-hour]</v>
      </c>
      <c r="J1" s="710" t="str">
        <f>'[3]Sockeye Returns Data'!I1</f>
        <v>Ok Stock Composition (Wells:Rock [adj])</v>
      </c>
      <c r="K1" s="711" t="s">
        <v>334</v>
      </c>
      <c r="L1" s="712" t="s">
        <v>335</v>
      </c>
      <c r="M1" s="712" t="s">
        <v>336</v>
      </c>
      <c r="N1" s="712" t="s">
        <v>337</v>
      </c>
      <c r="O1" s="713" t="s">
        <v>338</v>
      </c>
      <c r="P1" s="713" t="s">
        <v>339</v>
      </c>
      <c r="Q1" s="713" t="s">
        <v>340</v>
      </c>
      <c r="R1" s="713" t="s">
        <v>341</v>
      </c>
      <c r="S1" s="714" t="s">
        <v>342</v>
      </c>
      <c r="T1" s="715" t="s">
        <v>211</v>
      </c>
      <c r="U1" s="716" t="s">
        <v>343</v>
      </c>
      <c r="V1" s="717" t="s">
        <v>344</v>
      </c>
      <c r="W1" s="718" t="s">
        <v>345</v>
      </c>
      <c r="X1" s="718" t="s">
        <v>346</v>
      </c>
      <c r="Y1" s="719" t="s">
        <v>347</v>
      </c>
      <c r="Z1" s="720" t="s">
        <v>348</v>
      </c>
      <c r="AA1" s="721" t="s">
        <v>349</v>
      </c>
      <c r="AB1" s="722" t="s">
        <v>350</v>
      </c>
      <c r="AC1" s="722" t="s">
        <v>351</v>
      </c>
      <c r="AD1" s="723" t="s">
        <v>352</v>
      </c>
      <c r="AE1" s="722" t="s">
        <v>353</v>
      </c>
      <c r="AF1" s="722" t="s">
        <v>354</v>
      </c>
      <c r="AG1" s="724" t="s">
        <v>355</v>
      </c>
      <c r="AH1" s="725" t="s">
        <v>356</v>
      </c>
      <c r="AJ1" s="727"/>
    </row>
    <row r="2" spans="1:36" ht="14.4" x14ac:dyDescent="0.3">
      <c r="A2" s="729" t="s">
        <v>357</v>
      </c>
      <c r="B2" s="726" t="str">
        <f t="shared" ref="B2:B26" si="0">LEFT(C2,3)*10 &amp; "s"</f>
        <v>1980s</v>
      </c>
      <c r="C2" s="730">
        <v>1980</v>
      </c>
      <c r="D2" s="731">
        <f t="shared" ref="D2:D62" si="1">C2-U2</f>
        <v>1977</v>
      </c>
      <c r="E2" s="732">
        <f t="shared" ref="E2:E62" si="2">C2-(T2-INT(T2))*10</f>
        <v>1979</v>
      </c>
      <c r="F2" s="733">
        <f t="shared" ref="F2:F65" si="3">VLOOKUP($C2,SockeyeReturnsData,2)</f>
        <v>58886</v>
      </c>
      <c r="G2" s="734">
        <f t="shared" ref="G2:G65" si="4">VLOOKUP($C2,SockeyeReturnsData,3)</f>
        <v>58882</v>
      </c>
      <c r="H2" s="734">
        <f t="shared" ref="H2:H65" si="5">VLOOKUP($C2,SockeyeReturnsData,4)</f>
        <v>52657</v>
      </c>
      <c r="I2" s="735">
        <f t="shared" ref="I2:I65" si="6">VLOOKUP($C2,SockeyeReturnsData,7)</f>
        <v>30080.635999999999</v>
      </c>
      <c r="J2" s="736">
        <f t="shared" ref="J2:J65" si="7">VLOOKUP($C2,SockeyeReturnsData,9)</f>
        <v>0.57125616727120798</v>
      </c>
      <c r="K2" s="737">
        <f t="shared" ref="K2:K65" si="8">VLOOKUP($C2,SockeyeReturnsData,23)</f>
        <v>36510.678199882466</v>
      </c>
      <c r="L2" s="738">
        <f>J2*G2</f>
        <v>33636.705641263266</v>
      </c>
      <c r="M2" s="739"/>
      <c r="N2" s="739"/>
      <c r="O2" s="740">
        <f t="shared" ref="O2:O65" si="9">VLOOKUP($C2,SockeyeReturnsData,6)/G2</f>
        <v>0.45129241533915287</v>
      </c>
      <c r="P2" s="741">
        <f t="shared" ref="P2:P65" si="10">VLOOKUP($C2,SockeyeReturnsData,18)</f>
        <v>365.60394705357311</v>
      </c>
      <c r="Q2" s="742">
        <f t="shared" ref="Q2:Q65" si="11">VLOOKUP($C2,SockeyeReturnsData,20)</f>
        <v>1.2008180573015366E-2</v>
      </c>
      <c r="R2" s="743">
        <f t="shared" ref="R2:R65" si="12">VLOOKUP($C2,SockeyeReturnsData,19)</f>
        <v>30446.239947053571</v>
      </c>
      <c r="S2" s="744">
        <f t="shared" ref="S2:S65" si="13">VLOOKUP($C2,SockeyeReturnsData,24)</f>
        <v>3192.7507188787822</v>
      </c>
      <c r="T2" s="745">
        <v>1.1000000000000001</v>
      </c>
      <c r="U2" s="726">
        <f t="shared" ref="U2:U65" si="14">INT(T2) + (T2-INT(T2))*10 + 1</f>
        <v>3.0000000000000009</v>
      </c>
      <c r="V2" s="746">
        <f t="shared" ref="V2:V65" si="15">INT(T2)</f>
        <v>1</v>
      </c>
      <c r="W2" s="728"/>
      <c r="X2" s="728"/>
      <c r="Y2" s="747">
        <v>5.1999999999999998E-2</v>
      </c>
      <c r="Z2" s="748">
        <f t="shared" ref="Z2:Z26" si="16">K2*Y2</f>
        <v>1898.5552663938881</v>
      </c>
      <c r="AA2" s="749"/>
      <c r="AB2" s="749"/>
      <c r="AC2" s="749"/>
      <c r="AD2" s="749"/>
      <c r="AE2" s="749"/>
      <c r="AF2" s="749"/>
      <c r="AG2" s="750"/>
      <c r="AH2" s="725" t="s">
        <v>358</v>
      </c>
      <c r="AJ2" s="727"/>
    </row>
    <row r="3" spans="1:36" ht="14.4" x14ac:dyDescent="0.3">
      <c r="A3" s="729" t="s">
        <v>357</v>
      </c>
      <c r="B3" s="726" t="str">
        <f t="shared" si="0"/>
        <v>1980s</v>
      </c>
      <c r="C3" s="730">
        <v>1980</v>
      </c>
      <c r="D3" s="731">
        <f t="shared" si="1"/>
        <v>1976</v>
      </c>
      <c r="E3" s="732">
        <f t="shared" si="2"/>
        <v>1978</v>
      </c>
      <c r="F3" s="751">
        <f t="shared" si="3"/>
        <v>58886</v>
      </c>
      <c r="G3" s="741">
        <f t="shared" si="4"/>
        <v>58882</v>
      </c>
      <c r="H3" s="741">
        <f t="shared" si="5"/>
        <v>52657</v>
      </c>
      <c r="I3" s="752">
        <f t="shared" si="6"/>
        <v>30080.635999999999</v>
      </c>
      <c r="J3" s="753">
        <f t="shared" si="7"/>
        <v>0.57125616727120798</v>
      </c>
      <c r="K3" s="754">
        <f t="shared" si="8"/>
        <v>36510.678199882466</v>
      </c>
      <c r="L3" s="738">
        <f t="shared" ref="L3:L66" si="17">J3*G3</f>
        <v>33636.705641263266</v>
      </c>
      <c r="M3" s="739"/>
      <c r="N3" s="739"/>
      <c r="O3" s="740">
        <f t="shared" si="9"/>
        <v>0.45129241533915287</v>
      </c>
      <c r="P3" s="741">
        <f t="shared" si="10"/>
        <v>365.60394705357311</v>
      </c>
      <c r="Q3" s="742">
        <f t="shared" si="11"/>
        <v>1.2008180573015366E-2</v>
      </c>
      <c r="R3" s="743">
        <f t="shared" si="12"/>
        <v>30446.239947053571</v>
      </c>
      <c r="S3" s="744">
        <f t="shared" si="13"/>
        <v>3192.7507188787822</v>
      </c>
      <c r="T3" s="745">
        <v>1.2</v>
      </c>
      <c r="U3" s="726">
        <f t="shared" si="14"/>
        <v>3.9999999999999996</v>
      </c>
      <c r="V3" s="746">
        <f t="shared" si="15"/>
        <v>1</v>
      </c>
      <c r="W3" s="728"/>
      <c r="X3" s="728"/>
      <c r="Y3" s="755">
        <v>0.82499999999999996</v>
      </c>
      <c r="Z3" s="748">
        <f t="shared" si="16"/>
        <v>30121.309514903034</v>
      </c>
      <c r="AA3" s="749"/>
      <c r="AB3" s="749"/>
      <c r="AC3" s="749"/>
      <c r="AD3" s="749"/>
      <c r="AE3" s="749"/>
      <c r="AF3" s="749"/>
      <c r="AG3" s="750"/>
      <c r="AH3" s="725" t="s">
        <v>358</v>
      </c>
      <c r="AJ3" s="727"/>
    </row>
    <row r="4" spans="1:36" ht="14.4" x14ac:dyDescent="0.3">
      <c r="A4" s="729" t="s">
        <v>357</v>
      </c>
      <c r="B4" s="726" t="str">
        <f t="shared" si="0"/>
        <v>1980s</v>
      </c>
      <c r="C4" s="730">
        <v>1980</v>
      </c>
      <c r="D4" s="731">
        <f t="shared" si="1"/>
        <v>1975</v>
      </c>
      <c r="E4" s="732">
        <f t="shared" si="2"/>
        <v>1977</v>
      </c>
      <c r="F4" s="751">
        <f t="shared" si="3"/>
        <v>58886</v>
      </c>
      <c r="G4" s="741">
        <f t="shared" si="4"/>
        <v>58882</v>
      </c>
      <c r="H4" s="741">
        <f t="shared" si="5"/>
        <v>52657</v>
      </c>
      <c r="I4" s="752">
        <f t="shared" si="6"/>
        <v>30080.635999999999</v>
      </c>
      <c r="J4" s="753">
        <f t="shared" si="7"/>
        <v>0.57125616727120798</v>
      </c>
      <c r="K4" s="754">
        <f t="shared" si="8"/>
        <v>36510.678199882466</v>
      </c>
      <c r="L4" s="738">
        <f t="shared" si="17"/>
        <v>33636.705641263266</v>
      </c>
      <c r="M4" s="739"/>
      <c r="N4" s="739"/>
      <c r="O4" s="740">
        <f t="shared" si="9"/>
        <v>0.45129241533915287</v>
      </c>
      <c r="P4" s="741">
        <f t="shared" si="10"/>
        <v>365.60394705357311</v>
      </c>
      <c r="Q4" s="742">
        <f t="shared" si="11"/>
        <v>1.2008180573015366E-2</v>
      </c>
      <c r="R4" s="743">
        <f t="shared" si="12"/>
        <v>30446.239947053571</v>
      </c>
      <c r="S4" s="744">
        <f t="shared" si="13"/>
        <v>3192.7507188787822</v>
      </c>
      <c r="T4" s="745">
        <v>1.3</v>
      </c>
      <c r="U4" s="726">
        <f t="shared" si="14"/>
        <v>5</v>
      </c>
      <c r="V4" s="746">
        <f t="shared" si="15"/>
        <v>1</v>
      </c>
      <c r="W4" s="728"/>
      <c r="X4" s="728"/>
      <c r="Y4" s="755">
        <v>8.3000000000000004E-2</v>
      </c>
      <c r="Z4" s="748">
        <f t="shared" si="16"/>
        <v>3030.3862905902447</v>
      </c>
      <c r="AA4" s="749"/>
      <c r="AB4" s="749"/>
      <c r="AC4" s="749"/>
      <c r="AD4" s="749"/>
      <c r="AE4" s="749"/>
      <c r="AF4" s="749"/>
      <c r="AG4" s="750"/>
      <c r="AH4" s="725" t="s">
        <v>358</v>
      </c>
      <c r="AJ4" s="727"/>
    </row>
    <row r="5" spans="1:36" ht="14.4" x14ac:dyDescent="0.3">
      <c r="A5" s="729" t="s">
        <v>357</v>
      </c>
      <c r="B5" s="726" t="str">
        <f t="shared" si="0"/>
        <v>1980s</v>
      </c>
      <c r="C5" s="730">
        <v>1980</v>
      </c>
      <c r="D5" s="731">
        <f t="shared" si="1"/>
        <v>1976</v>
      </c>
      <c r="E5" s="732">
        <f t="shared" si="2"/>
        <v>1979</v>
      </c>
      <c r="F5" s="751">
        <f t="shared" si="3"/>
        <v>58886</v>
      </c>
      <c r="G5" s="741">
        <f t="shared" si="4"/>
        <v>58882</v>
      </c>
      <c r="H5" s="741">
        <f t="shared" si="5"/>
        <v>52657</v>
      </c>
      <c r="I5" s="752">
        <f t="shared" si="6"/>
        <v>30080.635999999999</v>
      </c>
      <c r="J5" s="753">
        <f t="shared" si="7"/>
        <v>0.57125616727120798</v>
      </c>
      <c r="K5" s="754">
        <f t="shared" si="8"/>
        <v>36510.678199882466</v>
      </c>
      <c r="L5" s="738">
        <f t="shared" si="17"/>
        <v>33636.705641263266</v>
      </c>
      <c r="M5" s="739"/>
      <c r="N5" s="739"/>
      <c r="O5" s="740">
        <f t="shared" si="9"/>
        <v>0.45129241533915287</v>
      </c>
      <c r="P5" s="741">
        <f t="shared" si="10"/>
        <v>365.60394705357311</v>
      </c>
      <c r="Q5" s="742">
        <f t="shared" si="11"/>
        <v>1.2008180573015366E-2</v>
      </c>
      <c r="R5" s="743">
        <f t="shared" si="12"/>
        <v>30446.239947053571</v>
      </c>
      <c r="S5" s="744">
        <f t="shared" si="13"/>
        <v>3192.7507188787822</v>
      </c>
      <c r="T5" s="745">
        <v>2.1</v>
      </c>
      <c r="U5" s="726">
        <f t="shared" si="14"/>
        <v>4.0000000000000009</v>
      </c>
      <c r="V5" s="746">
        <f t="shared" si="15"/>
        <v>2</v>
      </c>
      <c r="W5" s="728"/>
      <c r="X5" s="728"/>
      <c r="Y5" s="747">
        <v>2.3E-2</v>
      </c>
      <c r="Z5" s="748">
        <f t="shared" si="16"/>
        <v>839.74559859729675</v>
      </c>
      <c r="AA5" s="749"/>
      <c r="AB5" s="749"/>
      <c r="AC5" s="749"/>
      <c r="AD5" s="749"/>
      <c r="AE5" s="749"/>
      <c r="AF5" s="749"/>
      <c r="AG5" s="750"/>
      <c r="AH5" s="725" t="s">
        <v>358</v>
      </c>
      <c r="AJ5" s="727"/>
    </row>
    <row r="6" spans="1:36" ht="14.4" x14ac:dyDescent="0.3">
      <c r="A6" s="729" t="s">
        <v>357</v>
      </c>
      <c r="B6" s="726" t="str">
        <f t="shared" si="0"/>
        <v>1980s</v>
      </c>
      <c r="C6" s="730">
        <v>1980</v>
      </c>
      <c r="D6" s="731">
        <f t="shared" si="1"/>
        <v>1975</v>
      </c>
      <c r="E6" s="732">
        <f t="shared" si="2"/>
        <v>1978</v>
      </c>
      <c r="F6" s="751">
        <f t="shared" si="3"/>
        <v>58886</v>
      </c>
      <c r="G6" s="741">
        <f t="shared" si="4"/>
        <v>58882</v>
      </c>
      <c r="H6" s="741">
        <f t="shared" si="5"/>
        <v>52657</v>
      </c>
      <c r="I6" s="752">
        <f t="shared" si="6"/>
        <v>30080.635999999999</v>
      </c>
      <c r="J6" s="753">
        <f t="shared" si="7"/>
        <v>0.57125616727120798</v>
      </c>
      <c r="K6" s="754">
        <f t="shared" si="8"/>
        <v>36510.678199882466</v>
      </c>
      <c r="L6" s="738">
        <f t="shared" si="17"/>
        <v>33636.705641263266</v>
      </c>
      <c r="M6" s="739"/>
      <c r="N6" s="739"/>
      <c r="O6" s="740">
        <f t="shared" si="9"/>
        <v>0.45129241533915287</v>
      </c>
      <c r="P6" s="741">
        <f t="shared" si="10"/>
        <v>365.60394705357311</v>
      </c>
      <c r="Q6" s="742">
        <f t="shared" si="11"/>
        <v>1.2008180573015366E-2</v>
      </c>
      <c r="R6" s="743">
        <f t="shared" si="12"/>
        <v>30446.239947053571</v>
      </c>
      <c r="S6" s="744">
        <f t="shared" si="13"/>
        <v>3192.7507188787822</v>
      </c>
      <c r="T6" s="745">
        <v>2.2000000000000002</v>
      </c>
      <c r="U6" s="726">
        <f t="shared" si="14"/>
        <v>5.0000000000000018</v>
      </c>
      <c r="V6" s="746">
        <f t="shared" si="15"/>
        <v>2</v>
      </c>
      <c r="W6" s="728"/>
      <c r="X6" s="728"/>
      <c r="Y6" s="747">
        <v>1.6E-2</v>
      </c>
      <c r="Z6" s="748">
        <f t="shared" si="16"/>
        <v>584.17085119811952</v>
      </c>
      <c r="AA6" s="749"/>
      <c r="AB6" s="749"/>
      <c r="AC6" s="749"/>
      <c r="AD6" s="749"/>
      <c r="AE6" s="749"/>
      <c r="AF6" s="749"/>
      <c r="AG6" s="750"/>
      <c r="AH6" s="725" t="s">
        <v>358</v>
      </c>
      <c r="AJ6" s="727"/>
    </row>
    <row r="7" spans="1:36" ht="14.4" x14ac:dyDescent="0.3">
      <c r="A7" s="729" t="s">
        <v>357</v>
      </c>
      <c r="B7" s="726" t="str">
        <f t="shared" si="0"/>
        <v>1980s</v>
      </c>
      <c r="C7" s="730">
        <v>1981</v>
      </c>
      <c r="D7" s="731">
        <f t="shared" si="1"/>
        <v>1978</v>
      </c>
      <c r="E7" s="732">
        <f t="shared" si="2"/>
        <v>1980</v>
      </c>
      <c r="F7" s="751">
        <f t="shared" si="3"/>
        <v>56037</v>
      </c>
      <c r="G7" s="741">
        <f t="shared" si="4"/>
        <v>56037</v>
      </c>
      <c r="H7" s="741">
        <f t="shared" si="5"/>
        <v>47139</v>
      </c>
      <c r="I7" s="752">
        <f t="shared" si="6"/>
        <v>31960.887999999995</v>
      </c>
      <c r="J7" s="753">
        <f t="shared" si="7"/>
        <v>0.67801370415155171</v>
      </c>
      <c r="K7" s="754">
        <f t="shared" si="8"/>
        <v>40568.231934703414</v>
      </c>
      <c r="L7" s="738">
        <f t="shared" si="17"/>
        <v>37993.853939540502</v>
      </c>
      <c r="M7" s="739"/>
      <c r="N7" s="739"/>
      <c r="O7" s="740">
        <f t="shared" si="9"/>
        <v>0.50384567339436448</v>
      </c>
      <c r="P7" s="741">
        <f t="shared" si="10"/>
        <v>1021.7666521563884</v>
      </c>
      <c r="Q7" s="742">
        <f t="shared" si="11"/>
        <v>3.0978908851704148E-2</v>
      </c>
      <c r="R7" s="743">
        <f t="shared" si="12"/>
        <v>32982.654652156387</v>
      </c>
      <c r="S7" s="744">
        <f t="shared" si="13"/>
        <v>5011.1992873841155</v>
      </c>
      <c r="T7" s="745">
        <v>1.1000000000000001</v>
      </c>
      <c r="U7" s="726">
        <f t="shared" si="14"/>
        <v>3.0000000000000009</v>
      </c>
      <c r="V7" s="746">
        <f t="shared" si="15"/>
        <v>1</v>
      </c>
      <c r="W7" s="728"/>
      <c r="X7" s="728"/>
      <c r="Y7" s="747">
        <v>5.1999999999999998E-2</v>
      </c>
      <c r="Z7" s="748">
        <f t="shared" si="16"/>
        <v>2109.5480606045776</v>
      </c>
      <c r="AA7" s="756"/>
      <c r="AB7" s="756"/>
      <c r="AC7" s="756"/>
      <c r="AD7" s="757"/>
      <c r="AE7" s="756"/>
      <c r="AF7" s="756"/>
      <c r="AG7" s="758"/>
      <c r="AH7" s="725" t="s">
        <v>358</v>
      </c>
      <c r="AJ7" s="727"/>
    </row>
    <row r="8" spans="1:36" ht="14.4" x14ac:dyDescent="0.3">
      <c r="A8" s="729" t="s">
        <v>357</v>
      </c>
      <c r="B8" s="726" t="str">
        <f t="shared" si="0"/>
        <v>1980s</v>
      </c>
      <c r="C8" s="730">
        <v>1981</v>
      </c>
      <c r="D8" s="731">
        <f t="shared" si="1"/>
        <v>1977</v>
      </c>
      <c r="E8" s="732">
        <f t="shared" si="2"/>
        <v>1979</v>
      </c>
      <c r="F8" s="751">
        <f t="shared" si="3"/>
        <v>56037</v>
      </c>
      <c r="G8" s="741">
        <f t="shared" si="4"/>
        <v>56037</v>
      </c>
      <c r="H8" s="741">
        <f t="shared" si="5"/>
        <v>47139</v>
      </c>
      <c r="I8" s="752">
        <f t="shared" si="6"/>
        <v>31960.887999999995</v>
      </c>
      <c r="J8" s="753">
        <f t="shared" si="7"/>
        <v>0.67801370415155171</v>
      </c>
      <c r="K8" s="754">
        <f t="shared" si="8"/>
        <v>40568.231934703414</v>
      </c>
      <c r="L8" s="738">
        <f t="shared" si="17"/>
        <v>37993.853939540502</v>
      </c>
      <c r="M8" s="739"/>
      <c r="N8" s="739"/>
      <c r="O8" s="740">
        <f t="shared" si="9"/>
        <v>0.50384567339436448</v>
      </c>
      <c r="P8" s="741">
        <f t="shared" si="10"/>
        <v>1021.7666521563884</v>
      </c>
      <c r="Q8" s="742">
        <f t="shared" si="11"/>
        <v>3.0978908851704148E-2</v>
      </c>
      <c r="R8" s="743">
        <f t="shared" si="12"/>
        <v>32982.654652156387</v>
      </c>
      <c r="S8" s="744">
        <f t="shared" si="13"/>
        <v>5011.1992873841155</v>
      </c>
      <c r="T8" s="745">
        <v>1.2</v>
      </c>
      <c r="U8" s="726">
        <f t="shared" si="14"/>
        <v>3.9999999999999996</v>
      </c>
      <c r="V8" s="746">
        <f t="shared" si="15"/>
        <v>1</v>
      </c>
      <c r="W8" s="728"/>
      <c r="X8" s="728"/>
      <c r="Y8" s="755">
        <v>0.82499999999999996</v>
      </c>
      <c r="Z8" s="748">
        <f t="shared" si="16"/>
        <v>33468.791346130318</v>
      </c>
      <c r="AA8" s="756"/>
      <c r="AB8" s="756"/>
      <c r="AC8" s="756"/>
      <c r="AD8" s="757"/>
      <c r="AE8" s="756"/>
      <c r="AF8" s="756"/>
      <c r="AG8" s="758"/>
      <c r="AH8" s="725" t="s">
        <v>358</v>
      </c>
      <c r="AJ8" s="727"/>
    </row>
    <row r="9" spans="1:36" ht="14.4" x14ac:dyDescent="0.3">
      <c r="A9" s="729" t="s">
        <v>357</v>
      </c>
      <c r="B9" s="726" t="str">
        <f t="shared" si="0"/>
        <v>1980s</v>
      </c>
      <c r="C9" s="730">
        <v>1981</v>
      </c>
      <c r="D9" s="731">
        <f t="shared" si="1"/>
        <v>1976</v>
      </c>
      <c r="E9" s="732">
        <f t="shared" si="2"/>
        <v>1978</v>
      </c>
      <c r="F9" s="751">
        <f t="shared" si="3"/>
        <v>56037</v>
      </c>
      <c r="G9" s="741">
        <f t="shared" si="4"/>
        <v>56037</v>
      </c>
      <c r="H9" s="741">
        <f t="shared" si="5"/>
        <v>47139</v>
      </c>
      <c r="I9" s="752">
        <f t="shared" si="6"/>
        <v>31960.887999999995</v>
      </c>
      <c r="J9" s="753">
        <f t="shared" si="7"/>
        <v>0.67801370415155171</v>
      </c>
      <c r="K9" s="754">
        <f t="shared" si="8"/>
        <v>40568.231934703414</v>
      </c>
      <c r="L9" s="738">
        <f t="shared" si="17"/>
        <v>37993.853939540502</v>
      </c>
      <c r="M9" s="739"/>
      <c r="N9" s="739"/>
      <c r="O9" s="740">
        <f t="shared" si="9"/>
        <v>0.50384567339436448</v>
      </c>
      <c r="P9" s="741">
        <f t="shared" si="10"/>
        <v>1021.7666521563884</v>
      </c>
      <c r="Q9" s="742">
        <f t="shared" si="11"/>
        <v>3.0978908851704148E-2</v>
      </c>
      <c r="R9" s="743">
        <f t="shared" si="12"/>
        <v>32982.654652156387</v>
      </c>
      <c r="S9" s="744">
        <f t="shared" si="13"/>
        <v>5011.1992873841155</v>
      </c>
      <c r="T9" s="745">
        <v>1.3</v>
      </c>
      <c r="U9" s="726">
        <f t="shared" si="14"/>
        <v>5</v>
      </c>
      <c r="V9" s="746">
        <f t="shared" si="15"/>
        <v>1</v>
      </c>
      <c r="W9" s="728"/>
      <c r="X9" s="728"/>
      <c r="Y9" s="755">
        <v>8.3000000000000004E-2</v>
      </c>
      <c r="Z9" s="748">
        <f t="shared" si="16"/>
        <v>3367.1632505803836</v>
      </c>
      <c r="AA9" s="756"/>
      <c r="AB9" s="756"/>
      <c r="AC9" s="756"/>
      <c r="AD9" s="757"/>
      <c r="AE9" s="756"/>
      <c r="AF9" s="756"/>
      <c r="AG9" s="758"/>
      <c r="AH9" s="725" t="s">
        <v>358</v>
      </c>
      <c r="AJ9" s="727"/>
    </row>
    <row r="10" spans="1:36" ht="14.4" x14ac:dyDescent="0.3">
      <c r="A10" s="729" t="s">
        <v>357</v>
      </c>
      <c r="B10" s="726" t="str">
        <f t="shared" si="0"/>
        <v>1980s</v>
      </c>
      <c r="C10" s="730">
        <v>1981</v>
      </c>
      <c r="D10" s="731">
        <f t="shared" si="1"/>
        <v>1977</v>
      </c>
      <c r="E10" s="732">
        <f t="shared" si="2"/>
        <v>1980</v>
      </c>
      <c r="F10" s="751">
        <f t="shared" si="3"/>
        <v>56037</v>
      </c>
      <c r="G10" s="741">
        <f t="shared" si="4"/>
        <v>56037</v>
      </c>
      <c r="H10" s="741">
        <f t="shared" si="5"/>
        <v>47139</v>
      </c>
      <c r="I10" s="752">
        <f t="shared" si="6"/>
        <v>31960.887999999995</v>
      </c>
      <c r="J10" s="753">
        <f t="shared" si="7"/>
        <v>0.67801370415155171</v>
      </c>
      <c r="K10" s="754">
        <f t="shared" si="8"/>
        <v>40568.231934703414</v>
      </c>
      <c r="L10" s="738">
        <f t="shared" si="17"/>
        <v>37993.853939540502</v>
      </c>
      <c r="M10" s="739"/>
      <c r="N10" s="739"/>
      <c r="O10" s="740">
        <f t="shared" si="9"/>
        <v>0.50384567339436448</v>
      </c>
      <c r="P10" s="741">
        <f t="shared" si="10"/>
        <v>1021.7666521563884</v>
      </c>
      <c r="Q10" s="742">
        <f t="shared" si="11"/>
        <v>3.0978908851704148E-2</v>
      </c>
      <c r="R10" s="743">
        <f t="shared" si="12"/>
        <v>32982.654652156387</v>
      </c>
      <c r="S10" s="744">
        <f t="shared" si="13"/>
        <v>5011.1992873841155</v>
      </c>
      <c r="T10" s="745">
        <v>2.1</v>
      </c>
      <c r="U10" s="726">
        <f t="shared" si="14"/>
        <v>4.0000000000000009</v>
      </c>
      <c r="V10" s="746">
        <f t="shared" si="15"/>
        <v>2</v>
      </c>
      <c r="W10" s="728"/>
      <c r="X10" s="728"/>
      <c r="Y10" s="747">
        <v>2.3E-2</v>
      </c>
      <c r="Z10" s="748">
        <f t="shared" si="16"/>
        <v>933.06933449817848</v>
      </c>
      <c r="AA10" s="756"/>
      <c r="AB10" s="756"/>
      <c r="AC10" s="756"/>
      <c r="AD10" s="757"/>
      <c r="AE10" s="756"/>
      <c r="AF10" s="756"/>
      <c r="AG10" s="758"/>
      <c r="AH10" s="725" t="s">
        <v>358</v>
      </c>
      <c r="AJ10" s="727"/>
    </row>
    <row r="11" spans="1:36" ht="14.4" x14ac:dyDescent="0.3">
      <c r="A11" s="729" t="s">
        <v>357</v>
      </c>
      <c r="B11" s="726" t="str">
        <f t="shared" si="0"/>
        <v>1980s</v>
      </c>
      <c r="C11" s="730">
        <v>1981</v>
      </c>
      <c r="D11" s="731">
        <f t="shared" si="1"/>
        <v>1976</v>
      </c>
      <c r="E11" s="732">
        <f t="shared" si="2"/>
        <v>1979</v>
      </c>
      <c r="F11" s="751">
        <f t="shared" si="3"/>
        <v>56037</v>
      </c>
      <c r="G11" s="741">
        <f t="shared" si="4"/>
        <v>56037</v>
      </c>
      <c r="H11" s="741">
        <f t="shared" si="5"/>
        <v>47139</v>
      </c>
      <c r="I11" s="752">
        <f t="shared" si="6"/>
        <v>31960.887999999995</v>
      </c>
      <c r="J11" s="753">
        <f t="shared" si="7"/>
        <v>0.67801370415155171</v>
      </c>
      <c r="K11" s="754">
        <f t="shared" si="8"/>
        <v>40568.231934703414</v>
      </c>
      <c r="L11" s="738">
        <f t="shared" si="17"/>
        <v>37993.853939540502</v>
      </c>
      <c r="M11" s="739"/>
      <c r="N11" s="739"/>
      <c r="O11" s="740">
        <f t="shared" si="9"/>
        <v>0.50384567339436448</v>
      </c>
      <c r="P11" s="741">
        <f t="shared" si="10"/>
        <v>1021.7666521563884</v>
      </c>
      <c r="Q11" s="742">
        <f t="shared" si="11"/>
        <v>3.0978908851704148E-2</v>
      </c>
      <c r="R11" s="743">
        <f t="shared" si="12"/>
        <v>32982.654652156387</v>
      </c>
      <c r="S11" s="744">
        <f t="shared" si="13"/>
        <v>5011.1992873841155</v>
      </c>
      <c r="T11" s="745">
        <v>2.2000000000000002</v>
      </c>
      <c r="U11" s="726">
        <f t="shared" si="14"/>
        <v>5.0000000000000018</v>
      </c>
      <c r="V11" s="746">
        <f t="shared" si="15"/>
        <v>2</v>
      </c>
      <c r="W11" s="728"/>
      <c r="X11" s="728"/>
      <c r="Y11" s="747">
        <v>1.6E-2</v>
      </c>
      <c r="Z11" s="748">
        <f t="shared" si="16"/>
        <v>649.0917109552546</v>
      </c>
      <c r="AA11" s="756"/>
      <c r="AB11" s="756"/>
      <c r="AC11" s="756"/>
      <c r="AD11" s="757"/>
      <c r="AE11" s="756"/>
      <c r="AF11" s="756"/>
      <c r="AG11" s="758"/>
      <c r="AH11" s="725" t="s">
        <v>358</v>
      </c>
      <c r="AJ11" s="727"/>
    </row>
    <row r="12" spans="1:36" ht="14.4" x14ac:dyDescent="0.3">
      <c r="A12" s="729" t="s">
        <v>357</v>
      </c>
      <c r="B12" s="726" t="str">
        <f t="shared" si="0"/>
        <v>1980s</v>
      </c>
      <c r="C12" s="730">
        <v>1982</v>
      </c>
      <c r="D12" s="731">
        <f t="shared" si="1"/>
        <v>1979</v>
      </c>
      <c r="E12" s="732">
        <f t="shared" si="2"/>
        <v>1981</v>
      </c>
      <c r="F12" s="751">
        <f t="shared" si="3"/>
        <v>50319</v>
      </c>
      <c r="G12" s="741">
        <f t="shared" si="4"/>
        <v>50219</v>
      </c>
      <c r="H12" s="741">
        <f t="shared" si="5"/>
        <v>41111</v>
      </c>
      <c r="I12" s="752">
        <f t="shared" si="6"/>
        <v>21513.659999999996</v>
      </c>
      <c r="J12" s="753">
        <f t="shared" si="7"/>
        <v>0.52330665758556094</v>
      </c>
      <c r="K12" s="754">
        <f t="shared" si="8"/>
        <v>27703.335606840745</v>
      </c>
      <c r="L12" s="738">
        <f t="shared" si="17"/>
        <v>26279.937037289284</v>
      </c>
      <c r="M12" s="739"/>
      <c r="N12" s="739"/>
      <c r="O12" s="740">
        <f t="shared" si="9"/>
        <v>0.37844242219080426</v>
      </c>
      <c r="P12" s="741">
        <f t="shared" si="10"/>
        <v>457.89332538736585</v>
      </c>
      <c r="Q12" s="742">
        <f t="shared" si="11"/>
        <v>2.0840280093364454E-2</v>
      </c>
      <c r="R12" s="743">
        <f t="shared" si="12"/>
        <v>21971.553325387362</v>
      </c>
      <c r="S12" s="744">
        <f t="shared" si="13"/>
        <v>4360.7143776604789</v>
      </c>
      <c r="T12" s="745">
        <v>1.1000000000000001</v>
      </c>
      <c r="U12" s="726">
        <f t="shared" si="14"/>
        <v>3.0000000000000009</v>
      </c>
      <c r="V12" s="746">
        <f t="shared" si="15"/>
        <v>1</v>
      </c>
      <c r="W12" s="728"/>
      <c r="X12" s="728"/>
      <c r="Y12" s="747">
        <v>5.1999999999999998E-2</v>
      </c>
      <c r="Z12" s="748">
        <f t="shared" si="16"/>
        <v>1440.5734515557187</v>
      </c>
      <c r="AA12" s="756"/>
      <c r="AB12" s="756"/>
      <c r="AC12" s="756"/>
      <c r="AD12" s="757"/>
      <c r="AE12" s="756"/>
      <c r="AF12" s="756"/>
      <c r="AG12" s="758"/>
      <c r="AH12" s="725" t="s">
        <v>358</v>
      </c>
      <c r="AJ12" s="727"/>
    </row>
    <row r="13" spans="1:36" ht="14.4" x14ac:dyDescent="0.3">
      <c r="A13" s="729" t="s">
        <v>357</v>
      </c>
      <c r="B13" s="726" t="str">
        <f t="shared" si="0"/>
        <v>1980s</v>
      </c>
      <c r="C13" s="730">
        <v>1982</v>
      </c>
      <c r="D13" s="731">
        <f t="shared" si="1"/>
        <v>1978</v>
      </c>
      <c r="E13" s="732">
        <f t="shared" si="2"/>
        <v>1980</v>
      </c>
      <c r="F13" s="751">
        <f t="shared" si="3"/>
        <v>50319</v>
      </c>
      <c r="G13" s="741">
        <f t="shared" si="4"/>
        <v>50219</v>
      </c>
      <c r="H13" s="741">
        <f t="shared" si="5"/>
        <v>41111</v>
      </c>
      <c r="I13" s="752">
        <f t="shared" si="6"/>
        <v>21513.659999999996</v>
      </c>
      <c r="J13" s="753">
        <f t="shared" si="7"/>
        <v>0.52330665758556094</v>
      </c>
      <c r="K13" s="754">
        <f t="shared" si="8"/>
        <v>27703.335606840745</v>
      </c>
      <c r="L13" s="738">
        <f t="shared" si="17"/>
        <v>26279.937037289284</v>
      </c>
      <c r="M13" s="739"/>
      <c r="N13" s="739"/>
      <c r="O13" s="740">
        <f t="shared" si="9"/>
        <v>0.37844242219080426</v>
      </c>
      <c r="P13" s="741">
        <f t="shared" si="10"/>
        <v>457.89332538736585</v>
      </c>
      <c r="Q13" s="742">
        <f t="shared" si="11"/>
        <v>2.0840280093364454E-2</v>
      </c>
      <c r="R13" s="743">
        <f t="shared" si="12"/>
        <v>21971.553325387362</v>
      </c>
      <c r="S13" s="744">
        <f t="shared" si="13"/>
        <v>4360.7143776604789</v>
      </c>
      <c r="T13" s="745">
        <v>1.2</v>
      </c>
      <c r="U13" s="726">
        <f t="shared" si="14"/>
        <v>3.9999999999999996</v>
      </c>
      <c r="V13" s="746">
        <f t="shared" si="15"/>
        <v>1</v>
      </c>
      <c r="W13" s="728"/>
      <c r="X13" s="728"/>
      <c r="Y13" s="755">
        <v>0.82499999999999996</v>
      </c>
      <c r="Z13" s="748">
        <f t="shared" si="16"/>
        <v>22855.251875643615</v>
      </c>
      <c r="AA13" s="756"/>
      <c r="AB13" s="756"/>
      <c r="AC13" s="756"/>
      <c r="AD13" s="757"/>
      <c r="AE13" s="756"/>
      <c r="AF13" s="756"/>
      <c r="AG13" s="758"/>
      <c r="AH13" s="725" t="s">
        <v>358</v>
      </c>
      <c r="AJ13" s="727"/>
    </row>
    <row r="14" spans="1:36" ht="14.4" x14ac:dyDescent="0.3">
      <c r="A14" s="729" t="s">
        <v>357</v>
      </c>
      <c r="B14" s="726" t="str">
        <f t="shared" si="0"/>
        <v>1980s</v>
      </c>
      <c r="C14" s="730">
        <v>1982</v>
      </c>
      <c r="D14" s="731">
        <f t="shared" si="1"/>
        <v>1977</v>
      </c>
      <c r="E14" s="732">
        <f t="shared" si="2"/>
        <v>1979</v>
      </c>
      <c r="F14" s="751">
        <f t="shared" si="3"/>
        <v>50319</v>
      </c>
      <c r="G14" s="741">
        <f t="shared" si="4"/>
        <v>50219</v>
      </c>
      <c r="H14" s="741">
        <f t="shared" si="5"/>
        <v>41111</v>
      </c>
      <c r="I14" s="752">
        <f t="shared" si="6"/>
        <v>21513.659999999996</v>
      </c>
      <c r="J14" s="753">
        <f t="shared" si="7"/>
        <v>0.52330665758556094</v>
      </c>
      <c r="K14" s="754">
        <f t="shared" si="8"/>
        <v>27703.335606840745</v>
      </c>
      <c r="L14" s="738">
        <f t="shared" si="17"/>
        <v>26279.937037289284</v>
      </c>
      <c r="M14" s="739"/>
      <c r="N14" s="739"/>
      <c r="O14" s="740">
        <f t="shared" si="9"/>
        <v>0.37844242219080426</v>
      </c>
      <c r="P14" s="741">
        <f t="shared" si="10"/>
        <v>457.89332538736585</v>
      </c>
      <c r="Q14" s="742">
        <f t="shared" si="11"/>
        <v>2.0840280093364454E-2</v>
      </c>
      <c r="R14" s="743">
        <f t="shared" si="12"/>
        <v>21971.553325387362</v>
      </c>
      <c r="S14" s="744">
        <f t="shared" si="13"/>
        <v>4360.7143776604789</v>
      </c>
      <c r="T14" s="745">
        <v>1.3</v>
      </c>
      <c r="U14" s="726">
        <f t="shared" si="14"/>
        <v>5</v>
      </c>
      <c r="V14" s="746">
        <f t="shared" si="15"/>
        <v>1</v>
      </c>
      <c r="W14" s="728"/>
      <c r="X14" s="728"/>
      <c r="Y14" s="755">
        <v>8.3000000000000004E-2</v>
      </c>
      <c r="Z14" s="748">
        <f t="shared" si="16"/>
        <v>2299.3768553677819</v>
      </c>
      <c r="AA14" s="756"/>
      <c r="AB14" s="756"/>
      <c r="AC14" s="756"/>
      <c r="AD14" s="757"/>
      <c r="AE14" s="756"/>
      <c r="AF14" s="756"/>
      <c r="AG14" s="758"/>
      <c r="AH14" s="725" t="s">
        <v>358</v>
      </c>
      <c r="AJ14" s="727"/>
    </row>
    <row r="15" spans="1:36" ht="14.4" x14ac:dyDescent="0.3">
      <c r="A15" s="729" t="s">
        <v>357</v>
      </c>
      <c r="B15" s="726" t="str">
        <f t="shared" si="0"/>
        <v>1980s</v>
      </c>
      <c r="C15" s="730">
        <v>1982</v>
      </c>
      <c r="D15" s="731">
        <f t="shared" si="1"/>
        <v>1978</v>
      </c>
      <c r="E15" s="732">
        <f t="shared" si="2"/>
        <v>1981</v>
      </c>
      <c r="F15" s="751">
        <f t="shared" si="3"/>
        <v>50319</v>
      </c>
      <c r="G15" s="741">
        <f t="shared" si="4"/>
        <v>50219</v>
      </c>
      <c r="H15" s="741">
        <f t="shared" si="5"/>
        <v>41111</v>
      </c>
      <c r="I15" s="752">
        <f t="shared" si="6"/>
        <v>21513.659999999996</v>
      </c>
      <c r="J15" s="753">
        <f t="shared" si="7"/>
        <v>0.52330665758556094</v>
      </c>
      <c r="K15" s="754">
        <f t="shared" si="8"/>
        <v>27703.335606840745</v>
      </c>
      <c r="L15" s="738">
        <f t="shared" si="17"/>
        <v>26279.937037289284</v>
      </c>
      <c r="M15" s="739"/>
      <c r="N15" s="739"/>
      <c r="O15" s="740">
        <f t="shared" si="9"/>
        <v>0.37844242219080426</v>
      </c>
      <c r="P15" s="741">
        <f t="shared" si="10"/>
        <v>457.89332538736585</v>
      </c>
      <c r="Q15" s="742">
        <f t="shared" si="11"/>
        <v>2.0840280093364454E-2</v>
      </c>
      <c r="R15" s="743">
        <f t="shared" si="12"/>
        <v>21971.553325387362</v>
      </c>
      <c r="S15" s="744">
        <f t="shared" si="13"/>
        <v>4360.7143776604789</v>
      </c>
      <c r="T15" s="745">
        <v>2.1</v>
      </c>
      <c r="U15" s="726">
        <f t="shared" si="14"/>
        <v>4.0000000000000009</v>
      </c>
      <c r="V15" s="746">
        <f t="shared" si="15"/>
        <v>2</v>
      </c>
      <c r="W15" s="728"/>
      <c r="X15" s="728"/>
      <c r="Y15" s="747">
        <v>2.3E-2</v>
      </c>
      <c r="Z15" s="748">
        <f t="shared" si="16"/>
        <v>637.17671895733713</v>
      </c>
      <c r="AA15" s="756"/>
      <c r="AB15" s="756"/>
      <c r="AC15" s="756"/>
      <c r="AD15" s="757"/>
      <c r="AE15" s="756"/>
      <c r="AF15" s="756"/>
      <c r="AG15" s="758"/>
      <c r="AH15" s="725" t="s">
        <v>358</v>
      </c>
      <c r="AJ15" s="727"/>
    </row>
    <row r="16" spans="1:36" ht="14.4" x14ac:dyDescent="0.3">
      <c r="A16" s="729" t="s">
        <v>357</v>
      </c>
      <c r="B16" s="726" t="str">
        <f t="shared" si="0"/>
        <v>1980s</v>
      </c>
      <c r="C16" s="730">
        <v>1982</v>
      </c>
      <c r="D16" s="731">
        <f t="shared" si="1"/>
        <v>1977</v>
      </c>
      <c r="E16" s="732">
        <f t="shared" si="2"/>
        <v>1980</v>
      </c>
      <c r="F16" s="751">
        <f t="shared" si="3"/>
        <v>50319</v>
      </c>
      <c r="G16" s="741">
        <f t="shared" si="4"/>
        <v>50219</v>
      </c>
      <c r="H16" s="741">
        <f t="shared" si="5"/>
        <v>41111</v>
      </c>
      <c r="I16" s="752">
        <f t="shared" si="6"/>
        <v>21513.659999999996</v>
      </c>
      <c r="J16" s="753">
        <f t="shared" si="7"/>
        <v>0.52330665758556094</v>
      </c>
      <c r="K16" s="754">
        <f t="shared" si="8"/>
        <v>27703.335606840745</v>
      </c>
      <c r="L16" s="738">
        <f t="shared" si="17"/>
        <v>26279.937037289284</v>
      </c>
      <c r="M16" s="739"/>
      <c r="N16" s="739"/>
      <c r="O16" s="740">
        <f t="shared" si="9"/>
        <v>0.37844242219080426</v>
      </c>
      <c r="P16" s="741">
        <f t="shared" si="10"/>
        <v>457.89332538736585</v>
      </c>
      <c r="Q16" s="742">
        <f t="shared" si="11"/>
        <v>2.0840280093364454E-2</v>
      </c>
      <c r="R16" s="743">
        <f t="shared" si="12"/>
        <v>21971.553325387362</v>
      </c>
      <c r="S16" s="744">
        <f t="shared" si="13"/>
        <v>4360.7143776604789</v>
      </c>
      <c r="T16" s="745">
        <v>2.2000000000000002</v>
      </c>
      <c r="U16" s="726">
        <f t="shared" si="14"/>
        <v>5.0000000000000018</v>
      </c>
      <c r="V16" s="746">
        <f t="shared" si="15"/>
        <v>2</v>
      </c>
      <c r="W16" s="728"/>
      <c r="X16" s="728"/>
      <c r="Y16" s="747">
        <v>1.6E-2</v>
      </c>
      <c r="Z16" s="748">
        <f t="shared" si="16"/>
        <v>443.25336970945193</v>
      </c>
      <c r="AA16" s="756"/>
      <c r="AB16" s="756"/>
      <c r="AC16" s="756"/>
      <c r="AD16" s="757"/>
      <c r="AE16" s="756"/>
      <c r="AF16" s="756"/>
      <c r="AG16" s="758"/>
      <c r="AH16" s="725" t="s">
        <v>358</v>
      </c>
      <c r="AJ16" s="727"/>
    </row>
    <row r="17" spans="1:36" ht="14.4" x14ac:dyDescent="0.3">
      <c r="A17" s="729" t="s">
        <v>357</v>
      </c>
      <c r="B17" s="726" t="str">
        <f t="shared" si="0"/>
        <v>1980s</v>
      </c>
      <c r="C17" s="730">
        <v>1983</v>
      </c>
      <c r="D17" s="731">
        <f t="shared" si="1"/>
        <v>1980</v>
      </c>
      <c r="E17" s="732">
        <f t="shared" si="2"/>
        <v>1982</v>
      </c>
      <c r="F17" s="751">
        <f t="shared" si="3"/>
        <v>100610</v>
      </c>
      <c r="G17" s="741">
        <f t="shared" si="4"/>
        <v>100527</v>
      </c>
      <c r="H17" s="741">
        <f t="shared" si="5"/>
        <v>86424</v>
      </c>
      <c r="I17" s="752">
        <f t="shared" si="6"/>
        <v>31611.1</v>
      </c>
      <c r="J17" s="753">
        <f t="shared" si="7"/>
        <v>0.36576761084883824</v>
      </c>
      <c r="K17" s="754">
        <f t="shared" si="8"/>
        <v>39671.539403085219</v>
      </c>
      <c r="L17" s="738">
        <f t="shared" si="17"/>
        <v>36769.520615801164</v>
      </c>
      <c r="M17" s="739"/>
      <c r="N17" s="739"/>
      <c r="O17" s="740">
        <f t="shared" si="9"/>
        <v>0.27778606742467199</v>
      </c>
      <c r="P17" s="741">
        <f t="shared" si="10"/>
        <v>1255.3144404332129</v>
      </c>
      <c r="Q17" s="742">
        <f t="shared" si="11"/>
        <v>3.8194444444444441E-2</v>
      </c>
      <c r="R17" s="743">
        <f t="shared" si="12"/>
        <v>32866.414440433211</v>
      </c>
      <c r="S17" s="744">
        <f t="shared" si="13"/>
        <v>3933.4648870684032</v>
      </c>
      <c r="T17" s="745">
        <v>1.1000000000000001</v>
      </c>
      <c r="U17" s="726">
        <f t="shared" si="14"/>
        <v>3.0000000000000009</v>
      </c>
      <c r="V17" s="746">
        <f t="shared" si="15"/>
        <v>1</v>
      </c>
      <c r="W17" s="728"/>
      <c r="X17" s="728"/>
      <c r="Y17" s="747">
        <v>5.1999999999999998E-2</v>
      </c>
      <c r="Z17" s="748">
        <f t="shared" si="16"/>
        <v>2062.9200489604314</v>
      </c>
      <c r="AA17" s="756"/>
      <c r="AB17" s="756"/>
      <c r="AC17" s="756"/>
      <c r="AD17" s="757"/>
      <c r="AE17" s="756"/>
      <c r="AF17" s="756"/>
      <c r="AG17" s="758"/>
      <c r="AH17" s="725" t="s">
        <v>358</v>
      </c>
      <c r="AJ17" s="727"/>
    </row>
    <row r="18" spans="1:36" ht="14.4" x14ac:dyDescent="0.3">
      <c r="A18" s="729" t="s">
        <v>357</v>
      </c>
      <c r="B18" s="726" t="str">
        <f t="shared" si="0"/>
        <v>1980s</v>
      </c>
      <c r="C18" s="730">
        <v>1983</v>
      </c>
      <c r="D18" s="731">
        <f t="shared" si="1"/>
        <v>1979</v>
      </c>
      <c r="E18" s="732">
        <f t="shared" si="2"/>
        <v>1981</v>
      </c>
      <c r="F18" s="751">
        <f t="shared" si="3"/>
        <v>100610</v>
      </c>
      <c r="G18" s="741">
        <f t="shared" si="4"/>
        <v>100527</v>
      </c>
      <c r="H18" s="741">
        <f t="shared" si="5"/>
        <v>86424</v>
      </c>
      <c r="I18" s="752">
        <f t="shared" si="6"/>
        <v>31611.1</v>
      </c>
      <c r="J18" s="753">
        <f t="shared" si="7"/>
        <v>0.36576761084883824</v>
      </c>
      <c r="K18" s="754">
        <f t="shared" si="8"/>
        <v>39671.539403085219</v>
      </c>
      <c r="L18" s="738">
        <f t="shared" si="17"/>
        <v>36769.520615801164</v>
      </c>
      <c r="M18" s="739"/>
      <c r="N18" s="739"/>
      <c r="O18" s="740">
        <f t="shared" si="9"/>
        <v>0.27778606742467199</v>
      </c>
      <c r="P18" s="741">
        <f t="shared" si="10"/>
        <v>1255.3144404332129</v>
      </c>
      <c r="Q18" s="742">
        <f t="shared" si="11"/>
        <v>3.8194444444444441E-2</v>
      </c>
      <c r="R18" s="743">
        <f t="shared" si="12"/>
        <v>32866.414440433211</v>
      </c>
      <c r="S18" s="744">
        <f t="shared" si="13"/>
        <v>3933.4648870684032</v>
      </c>
      <c r="T18" s="745">
        <v>1.2</v>
      </c>
      <c r="U18" s="726">
        <f t="shared" si="14"/>
        <v>3.9999999999999996</v>
      </c>
      <c r="V18" s="746">
        <f t="shared" si="15"/>
        <v>1</v>
      </c>
      <c r="W18" s="728"/>
      <c r="X18" s="728"/>
      <c r="Y18" s="755">
        <v>0.82499999999999996</v>
      </c>
      <c r="Z18" s="748">
        <f t="shared" si="16"/>
        <v>32729.020007545303</v>
      </c>
      <c r="AA18" s="756"/>
      <c r="AB18" s="756"/>
      <c r="AC18" s="756"/>
      <c r="AD18" s="757"/>
      <c r="AE18" s="756"/>
      <c r="AF18" s="756"/>
      <c r="AG18" s="758"/>
      <c r="AH18" s="725" t="s">
        <v>358</v>
      </c>
      <c r="AJ18" s="727"/>
    </row>
    <row r="19" spans="1:36" ht="14.4" x14ac:dyDescent="0.3">
      <c r="A19" s="729" t="s">
        <v>357</v>
      </c>
      <c r="B19" s="726" t="str">
        <f t="shared" si="0"/>
        <v>1980s</v>
      </c>
      <c r="C19" s="730">
        <v>1983</v>
      </c>
      <c r="D19" s="731">
        <f t="shared" si="1"/>
        <v>1978</v>
      </c>
      <c r="E19" s="732">
        <f t="shared" si="2"/>
        <v>1980</v>
      </c>
      <c r="F19" s="751">
        <f t="shared" si="3"/>
        <v>100610</v>
      </c>
      <c r="G19" s="741">
        <f t="shared" si="4"/>
        <v>100527</v>
      </c>
      <c r="H19" s="741">
        <f t="shared" si="5"/>
        <v>86424</v>
      </c>
      <c r="I19" s="752">
        <f t="shared" si="6"/>
        <v>31611.1</v>
      </c>
      <c r="J19" s="753">
        <f t="shared" si="7"/>
        <v>0.36576761084883824</v>
      </c>
      <c r="K19" s="754">
        <f t="shared" si="8"/>
        <v>39671.539403085219</v>
      </c>
      <c r="L19" s="738">
        <f t="shared" si="17"/>
        <v>36769.520615801164</v>
      </c>
      <c r="M19" s="739"/>
      <c r="N19" s="739"/>
      <c r="O19" s="740">
        <f t="shared" si="9"/>
        <v>0.27778606742467199</v>
      </c>
      <c r="P19" s="741">
        <f t="shared" si="10"/>
        <v>1255.3144404332129</v>
      </c>
      <c r="Q19" s="742">
        <f t="shared" si="11"/>
        <v>3.8194444444444441E-2</v>
      </c>
      <c r="R19" s="743">
        <f t="shared" si="12"/>
        <v>32866.414440433211</v>
      </c>
      <c r="S19" s="744">
        <f t="shared" si="13"/>
        <v>3933.4648870684032</v>
      </c>
      <c r="T19" s="745">
        <v>1.3</v>
      </c>
      <c r="U19" s="726">
        <f t="shared" si="14"/>
        <v>5</v>
      </c>
      <c r="V19" s="746">
        <f t="shared" si="15"/>
        <v>1</v>
      </c>
      <c r="W19" s="728"/>
      <c r="X19" s="728"/>
      <c r="Y19" s="755">
        <v>8.3000000000000004E-2</v>
      </c>
      <c r="Z19" s="748">
        <f t="shared" si="16"/>
        <v>3292.7377704560731</v>
      </c>
      <c r="AA19" s="756"/>
      <c r="AB19" s="756"/>
      <c r="AC19" s="756"/>
      <c r="AD19" s="757"/>
      <c r="AE19" s="756"/>
      <c r="AF19" s="756"/>
      <c r="AG19" s="758"/>
      <c r="AH19" s="725" t="s">
        <v>358</v>
      </c>
      <c r="AJ19" s="727"/>
    </row>
    <row r="20" spans="1:36" ht="14.4" x14ac:dyDescent="0.3">
      <c r="A20" s="729" t="s">
        <v>357</v>
      </c>
      <c r="B20" s="726" t="str">
        <f t="shared" si="0"/>
        <v>1980s</v>
      </c>
      <c r="C20" s="730">
        <v>1983</v>
      </c>
      <c r="D20" s="731">
        <f t="shared" si="1"/>
        <v>1979</v>
      </c>
      <c r="E20" s="732">
        <f t="shared" si="2"/>
        <v>1982</v>
      </c>
      <c r="F20" s="751">
        <f t="shared" si="3"/>
        <v>100610</v>
      </c>
      <c r="G20" s="741">
        <f t="shared" si="4"/>
        <v>100527</v>
      </c>
      <c r="H20" s="741">
        <f t="shared" si="5"/>
        <v>86424</v>
      </c>
      <c r="I20" s="752">
        <f t="shared" si="6"/>
        <v>31611.1</v>
      </c>
      <c r="J20" s="753">
        <f t="shared" si="7"/>
        <v>0.36576761084883824</v>
      </c>
      <c r="K20" s="754">
        <f t="shared" si="8"/>
        <v>39671.539403085219</v>
      </c>
      <c r="L20" s="738">
        <f t="shared" si="17"/>
        <v>36769.520615801164</v>
      </c>
      <c r="M20" s="739"/>
      <c r="N20" s="739"/>
      <c r="O20" s="740">
        <f t="shared" si="9"/>
        <v>0.27778606742467199</v>
      </c>
      <c r="P20" s="741">
        <f t="shared" si="10"/>
        <v>1255.3144404332129</v>
      </c>
      <c r="Q20" s="742">
        <f t="shared" si="11"/>
        <v>3.8194444444444441E-2</v>
      </c>
      <c r="R20" s="743">
        <f t="shared" si="12"/>
        <v>32866.414440433211</v>
      </c>
      <c r="S20" s="744">
        <f t="shared" si="13"/>
        <v>3933.4648870684032</v>
      </c>
      <c r="T20" s="745">
        <v>2.1</v>
      </c>
      <c r="U20" s="726">
        <f t="shared" si="14"/>
        <v>4.0000000000000009</v>
      </c>
      <c r="V20" s="746">
        <f t="shared" si="15"/>
        <v>2</v>
      </c>
      <c r="W20" s="728"/>
      <c r="X20" s="728"/>
      <c r="Y20" s="747">
        <v>2.3E-2</v>
      </c>
      <c r="Z20" s="748">
        <f t="shared" si="16"/>
        <v>912.44540627096001</v>
      </c>
      <c r="AA20" s="756"/>
      <c r="AB20" s="756"/>
      <c r="AC20" s="756"/>
      <c r="AD20" s="757"/>
      <c r="AE20" s="756"/>
      <c r="AF20" s="756"/>
      <c r="AG20" s="758"/>
      <c r="AH20" s="725" t="s">
        <v>358</v>
      </c>
      <c r="AJ20" s="727"/>
    </row>
    <row r="21" spans="1:36" ht="14.4" x14ac:dyDescent="0.3">
      <c r="A21" s="729" t="s">
        <v>357</v>
      </c>
      <c r="B21" s="726" t="str">
        <f t="shared" si="0"/>
        <v>1980s</v>
      </c>
      <c r="C21" s="730">
        <v>1983</v>
      </c>
      <c r="D21" s="731">
        <f t="shared" si="1"/>
        <v>1978</v>
      </c>
      <c r="E21" s="732">
        <f t="shared" si="2"/>
        <v>1981</v>
      </c>
      <c r="F21" s="751">
        <f t="shared" si="3"/>
        <v>100610</v>
      </c>
      <c r="G21" s="741">
        <f t="shared" si="4"/>
        <v>100527</v>
      </c>
      <c r="H21" s="741">
        <f t="shared" si="5"/>
        <v>86424</v>
      </c>
      <c r="I21" s="752">
        <f t="shared" si="6"/>
        <v>31611.1</v>
      </c>
      <c r="J21" s="753">
        <f t="shared" si="7"/>
        <v>0.36576761084883824</v>
      </c>
      <c r="K21" s="754">
        <f t="shared" si="8"/>
        <v>39671.539403085219</v>
      </c>
      <c r="L21" s="738">
        <f t="shared" si="17"/>
        <v>36769.520615801164</v>
      </c>
      <c r="M21" s="739"/>
      <c r="N21" s="739"/>
      <c r="O21" s="740">
        <f t="shared" si="9"/>
        <v>0.27778606742467199</v>
      </c>
      <c r="P21" s="741">
        <f t="shared" si="10"/>
        <v>1255.3144404332129</v>
      </c>
      <c r="Q21" s="742">
        <f t="shared" si="11"/>
        <v>3.8194444444444441E-2</v>
      </c>
      <c r="R21" s="743">
        <f t="shared" si="12"/>
        <v>32866.414440433211</v>
      </c>
      <c r="S21" s="744">
        <f t="shared" si="13"/>
        <v>3933.4648870684032</v>
      </c>
      <c r="T21" s="745">
        <v>2.2000000000000002</v>
      </c>
      <c r="U21" s="726">
        <f t="shared" si="14"/>
        <v>5.0000000000000018</v>
      </c>
      <c r="V21" s="746">
        <f t="shared" si="15"/>
        <v>2</v>
      </c>
      <c r="W21" s="728"/>
      <c r="X21" s="728"/>
      <c r="Y21" s="747">
        <v>1.6E-2</v>
      </c>
      <c r="Z21" s="748">
        <f t="shared" si="16"/>
        <v>634.74463044936351</v>
      </c>
      <c r="AA21" s="756"/>
      <c r="AB21" s="756"/>
      <c r="AC21" s="756"/>
      <c r="AD21" s="757"/>
      <c r="AE21" s="756"/>
      <c r="AF21" s="756"/>
      <c r="AG21" s="758"/>
      <c r="AH21" s="725" t="s">
        <v>358</v>
      </c>
      <c r="AJ21" s="727"/>
    </row>
    <row r="22" spans="1:36" ht="14.4" x14ac:dyDescent="0.3">
      <c r="A22" s="729" t="s">
        <v>357</v>
      </c>
      <c r="B22" s="726" t="str">
        <f t="shared" si="0"/>
        <v>1980s</v>
      </c>
      <c r="C22" s="730">
        <v>1984</v>
      </c>
      <c r="D22" s="731">
        <f t="shared" si="1"/>
        <v>1981</v>
      </c>
      <c r="E22" s="732">
        <f t="shared" si="2"/>
        <v>1983</v>
      </c>
      <c r="F22" s="751">
        <f t="shared" si="3"/>
        <v>161890</v>
      </c>
      <c r="G22" s="741">
        <f t="shared" si="4"/>
        <v>152545</v>
      </c>
      <c r="H22" s="741">
        <f t="shared" si="5"/>
        <v>109092</v>
      </c>
      <c r="I22" s="752">
        <f t="shared" si="6"/>
        <v>91753.127999999997</v>
      </c>
      <c r="J22" s="753">
        <f t="shared" si="7"/>
        <v>0.84106192938070612</v>
      </c>
      <c r="K22" s="754">
        <f t="shared" si="8"/>
        <v>143770.27733057766</v>
      </c>
      <c r="L22" s="738">
        <f t="shared" si="17"/>
        <v>128299.79201737982</v>
      </c>
      <c r="M22" s="739"/>
      <c r="N22" s="739"/>
      <c r="O22" s="740">
        <f t="shared" si="9"/>
        <v>0.53134484906093282</v>
      </c>
      <c r="P22" s="741">
        <f t="shared" si="10"/>
        <v>28563.304183698161</v>
      </c>
      <c r="Q22" s="742">
        <f t="shared" si="11"/>
        <v>0.23740152251263519</v>
      </c>
      <c r="R22" s="743">
        <f t="shared" si="12"/>
        <v>120316.43218369815</v>
      </c>
      <c r="S22" s="744">
        <f t="shared" si="13"/>
        <v>15843.083563744367</v>
      </c>
      <c r="T22" s="745">
        <v>1.1000000000000001</v>
      </c>
      <c r="U22" s="726">
        <f t="shared" si="14"/>
        <v>3.0000000000000009</v>
      </c>
      <c r="V22" s="746">
        <f t="shared" si="15"/>
        <v>1</v>
      </c>
      <c r="W22" s="728"/>
      <c r="X22" s="728"/>
      <c r="Y22" s="747">
        <v>5.1999999999999998E-2</v>
      </c>
      <c r="Z22" s="748">
        <f t="shared" si="16"/>
        <v>7476.0544211900378</v>
      </c>
      <c r="AA22" s="756"/>
      <c r="AB22" s="756"/>
      <c r="AC22" s="756"/>
      <c r="AD22" s="757"/>
      <c r="AE22" s="756"/>
      <c r="AF22" s="756"/>
      <c r="AG22" s="758"/>
      <c r="AH22" s="725" t="s">
        <v>358</v>
      </c>
      <c r="AJ22" s="727"/>
    </row>
    <row r="23" spans="1:36" ht="14.4" x14ac:dyDescent="0.3">
      <c r="A23" s="729" t="s">
        <v>357</v>
      </c>
      <c r="B23" s="726" t="str">
        <f t="shared" si="0"/>
        <v>1980s</v>
      </c>
      <c r="C23" s="730">
        <v>1984</v>
      </c>
      <c r="D23" s="731">
        <f t="shared" si="1"/>
        <v>1980</v>
      </c>
      <c r="E23" s="732">
        <f t="shared" si="2"/>
        <v>1982</v>
      </c>
      <c r="F23" s="751">
        <f t="shared" si="3"/>
        <v>161890</v>
      </c>
      <c r="G23" s="741">
        <f t="shared" si="4"/>
        <v>152545</v>
      </c>
      <c r="H23" s="741">
        <f t="shared" si="5"/>
        <v>109092</v>
      </c>
      <c r="I23" s="752">
        <f t="shared" si="6"/>
        <v>91753.127999999997</v>
      </c>
      <c r="J23" s="753">
        <f t="shared" si="7"/>
        <v>0.84106192938070612</v>
      </c>
      <c r="K23" s="754">
        <f t="shared" si="8"/>
        <v>143770.27733057766</v>
      </c>
      <c r="L23" s="738">
        <f t="shared" si="17"/>
        <v>128299.79201737982</v>
      </c>
      <c r="M23" s="739"/>
      <c r="N23" s="739"/>
      <c r="O23" s="740">
        <f t="shared" si="9"/>
        <v>0.53134484906093282</v>
      </c>
      <c r="P23" s="741">
        <f t="shared" si="10"/>
        <v>28563.304183698161</v>
      </c>
      <c r="Q23" s="742">
        <f t="shared" si="11"/>
        <v>0.23740152251263519</v>
      </c>
      <c r="R23" s="743">
        <f t="shared" si="12"/>
        <v>120316.43218369815</v>
      </c>
      <c r="S23" s="744">
        <f t="shared" si="13"/>
        <v>15843.083563744367</v>
      </c>
      <c r="T23" s="745">
        <v>1.2</v>
      </c>
      <c r="U23" s="726">
        <f t="shared" si="14"/>
        <v>3.9999999999999996</v>
      </c>
      <c r="V23" s="746">
        <f t="shared" si="15"/>
        <v>1</v>
      </c>
      <c r="W23" s="728"/>
      <c r="X23" s="728"/>
      <c r="Y23" s="755">
        <v>0.82499999999999996</v>
      </c>
      <c r="Z23" s="748">
        <f t="shared" si="16"/>
        <v>118610.47879772657</v>
      </c>
      <c r="AA23" s="756"/>
      <c r="AB23" s="756"/>
      <c r="AC23" s="756"/>
      <c r="AD23" s="757"/>
      <c r="AE23" s="756"/>
      <c r="AF23" s="756"/>
      <c r="AG23" s="758"/>
      <c r="AH23" s="725" t="s">
        <v>358</v>
      </c>
      <c r="AJ23" s="727"/>
    </row>
    <row r="24" spans="1:36" ht="14.4" x14ac:dyDescent="0.3">
      <c r="A24" s="729" t="s">
        <v>357</v>
      </c>
      <c r="B24" s="726" t="str">
        <f t="shared" si="0"/>
        <v>1980s</v>
      </c>
      <c r="C24" s="730">
        <v>1984</v>
      </c>
      <c r="D24" s="731">
        <f t="shared" si="1"/>
        <v>1979</v>
      </c>
      <c r="E24" s="732">
        <f t="shared" si="2"/>
        <v>1981</v>
      </c>
      <c r="F24" s="751">
        <f t="shared" si="3"/>
        <v>161890</v>
      </c>
      <c r="G24" s="741">
        <f t="shared" si="4"/>
        <v>152545</v>
      </c>
      <c r="H24" s="741">
        <f t="shared" si="5"/>
        <v>109092</v>
      </c>
      <c r="I24" s="752">
        <f t="shared" si="6"/>
        <v>91753.127999999997</v>
      </c>
      <c r="J24" s="753">
        <f t="shared" si="7"/>
        <v>0.84106192938070612</v>
      </c>
      <c r="K24" s="754">
        <f t="shared" si="8"/>
        <v>143770.27733057766</v>
      </c>
      <c r="L24" s="738">
        <f t="shared" si="17"/>
        <v>128299.79201737982</v>
      </c>
      <c r="M24" s="739"/>
      <c r="N24" s="739"/>
      <c r="O24" s="740">
        <f t="shared" si="9"/>
        <v>0.53134484906093282</v>
      </c>
      <c r="P24" s="741">
        <f t="shared" si="10"/>
        <v>28563.304183698161</v>
      </c>
      <c r="Q24" s="742">
        <f t="shared" si="11"/>
        <v>0.23740152251263519</v>
      </c>
      <c r="R24" s="743">
        <f t="shared" si="12"/>
        <v>120316.43218369815</v>
      </c>
      <c r="S24" s="744">
        <f t="shared" si="13"/>
        <v>15843.083563744367</v>
      </c>
      <c r="T24" s="745">
        <v>1.3</v>
      </c>
      <c r="U24" s="726">
        <f t="shared" si="14"/>
        <v>5</v>
      </c>
      <c r="V24" s="746">
        <f t="shared" si="15"/>
        <v>1</v>
      </c>
      <c r="W24" s="728"/>
      <c r="X24" s="728"/>
      <c r="Y24" s="755">
        <v>8.3000000000000004E-2</v>
      </c>
      <c r="Z24" s="748">
        <f t="shared" si="16"/>
        <v>11932.933018437947</v>
      </c>
      <c r="AA24" s="756"/>
      <c r="AB24" s="756"/>
      <c r="AC24" s="756"/>
      <c r="AD24" s="757"/>
      <c r="AE24" s="756"/>
      <c r="AF24" s="756"/>
      <c r="AG24" s="758"/>
      <c r="AH24" s="725" t="s">
        <v>358</v>
      </c>
      <c r="AJ24" s="727"/>
    </row>
    <row r="25" spans="1:36" ht="14.4" x14ac:dyDescent="0.3">
      <c r="A25" s="729" t="s">
        <v>357</v>
      </c>
      <c r="B25" s="726" t="str">
        <f t="shared" si="0"/>
        <v>1980s</v>
      </c>
      <c r="C25" s="730">
        <v>1984</v>
      </c>
      <c r="D25" s="731">
        <f t="shared" si="1"/>
        <v>1980</v>
      </c>
      <c r="E25" s="732">
        <f t="shared" si="2"/>
        <v>1983</v>
      </c>
      <c r="F25" s="751">
        <f t="shared" si="3"/>
        <v>161890</v>
      </c>
      <c r="G25" s="741">
        <f t="shared" si="4"/>
        <v>152545</v>
      </c>
      <c r="H25" s="741">
        <f t="shared" si="5"/>
        <v>109092</v>
      </c>
      <c r="I25" s="752">
        <f t="shared" si="6"/>
        <v>91753.127999999997</v>
      </c>
      <c r="J25" s="753">
        <f t="shared" si="7"/>
        <v>0.84106192938070612</v>
      </c>
      <c r="K25" s="754">
        <f t="shared" si="8"/>
        <v>143770.27733057766</v>
      </c>
      <c r="L25" s="738">
        <f t="shared" si="17"/>
        <v>128299.79201737982</v>
      </c>
      <c r="M25" s="739"/>
      <c r="N25" s="739"/>
      <c r="O25" s="740">
        <f t="shared" si="9"/>
        <v>0.53134484906093282</v>
      </c>
      <c r="P25" s="741">
        <f t="shared" si="10"/>
        <v>28563.304183698161</v>
      </c>
      <c r="Q25" s="742">
        <f t="shared" si="11"/>
        <v>0.23740152251263519</v>
      </c>
      <c r="R25" s="743">
        <f t="shared" si="12"/>
        <v>120316.43218369815</v>
      </c>
      <c r="S25" s="744">
        <f t="shared" si="13"/>
        <v>15843.083563744367</v>
      </c>
      <c r="T25" s="745">
        <v>2.1</v>
      </c>
      <c r="U25" s="726">
        <f t="shared" si="14"/>
        <v>4.0000000000000009</v>
      </c>
      <c r="V25" s="746">
        <f t="shared" si="15"/>
        <v>2</v>
      </c>
      <c r="W25" s="728"/>
      <c r="X25" s="728"/>
      <c r="Y25" s="747">
        <v>2.3E-2</v>
      </c>
      <c r="Z25" s="748">
        <f t="shared" si="16"/>
        <v>3306.7163786032861</v>
      </c>
      <c r="AA25" s="756"/>
      <c r="AB25" s="756"/>
      <c r="AC25" s="756"/>
      <c r="AD25" s="757"/>
      <c r="AE25" s="756"/>
      <c r="AF25" s="756"/>
      <c r="AG25" s="758"/>
      <c r="AH25" s="725" t="s">
        <v>358</v>
      </c>
      <c r="AJ25" s="727"/>
    </row>
    <row r="26" spans="1:36" ht="14.4" x14ac:dyDescent="0.3">
      <c r="A26" s="729" t="s">
        <v>357</v>
      </c>
      <c r="B26" s="726" t="str">
        <f t="shared" si="0"/>
        <v>1980s</v>
      </c>
      <c r="C26" s="730">
        <v>1984</v>
      </c>
      <c r="D26" s="731">
        <f t="shared" si="1"/>
        <v>1979</v>
      </c>
      <c r="E26" s="732">
        <f t="shared" si="2"/>
        <v>1982</v>
      </c>
      <c r="F26" s="751">
        <f t="shared" si="3"/>
        <v>161890</v>
      </c>
      <c r="G26" s="741">
        <f t="shared" si="4"/>
        <v>152545</v>
      </c>
      <c r="H26" s="741">
        <f t="shared" si="5"/>
        <v>109092</v>
      </c>
      <c r="I26" s="752">
        <f t="shared" si="6"/>
        <v>91753.127999999997</v>
      </c>
      <c r="J26" s="753">
        <f t="shared" si="7"/>
        <v>0.84106192938070612</v>
      </c>
      <c r="K26" s="754">
        <f t="shared" si="8"/>
        <v>143770.27733057766</v>
      </c>
      <c r="L26" s="738">
        <f t="shared" si="17"/>
        <v>128299.79201737982</v>
      </c>
      <c r="M26" s="739"/>
      <c r="N26" s="739"/>
      <c r="O26" s="740">
        <f t="shared" si="9"/>
        <v>0.53134484906093282</v>
      </c>
      <c r="P26" s="741">
        <f t="shared" si="10"/>
        <v>28563.304183698161</v>
      </c>
      <c r="Q26" s="742">
        <f t="shared" si="11"/>
        <v>0.23740152251263519</v>
      </c>
      <c r="R26" s="743">
        <f t="shared" si="12"/>
        <v>120316.43218369815</v>
      </c>
      <c r="S26" s="744">
        <f t="shared" si="13"/>
        <v>15843.083563744367</v>
      </c>
      <c r="T26" s="745">
        <v>2.2000000000000002</v>
      </c>
      <c r="U26" s="726">
        <f t="shared" si="14"/>
        <v>5.0000000000000018</v>
      </c>
      <c r="V26" s="746">
        <f t="shared" si="15"/>
        <v>2</v>
      </c>
      <c r="W26" s="728"/>
      <c r="X26" s="728"/>
      <c r="Y26" s="747">
        <v>1.6E-2</v>
      </c>
      <c r="Z26" s="748">
        <f t="shared" si="16"/>
        <v>2300.3244372892427</v>
      </c>
      <c r="AA26" s="756"/>
      <c r="AB26" s="756"/>
      <c r="AC26" s="756"/>
      <c r="AD26" s="757"/>
      <c r="AE26" s="756"/>
      <c r="AF26" s="756"/>
      <c r="AG26" s="758"/>
      <c r="AH26" s="725" t="s">
        <v>358</v>
      </c>
      <c r="AJ26" s="727"/>
    </row>
    <row r="27" spans="1:36" ht="14.4" x14ac:dyDescent="0.3">
      <c r="A27" s="729" t="s">
        <v>357</v>
      </c>
      <c r="B27" s="726" t="str">
        <f>LEFT(E27,3)*10 &amp; "s"</f>
        <v>1980s</v>
      </c>
      <c r="C27" s="730">
        <v>1985</v>
      </c>
      <c r="D27" s="731">
        <f t="shared" si="1"/>
        <v>1982</v>
      </c>
      <c r="E27" s="732">
        <f t="shared" si="2"/>
        <v>1984</v>
      </c>
      <c r="F27" s="759">
        <f t="shared" si="3"/>
        <v>200758</v>
      </c>
      <c r="G27" s="760">
        <f t="shared" si="4"/>
        <v>166340</v>
      </c>
      <c r="H27" s="760">
        <f t="shared" si="5"/>
        <v>103200</v>
      </c>
      <c r="I27" s="761">
        <f t="shared" si="6"/>
        <v>59983.547999999995</v>
      </c>
      <c r="J27" s="762">
        <f t="shared" si="7"/>
        <v>0.58123593023255804</v>
      </c>
      <c r="K27" s="763">
        <f t="shared" si="8"/>
        <v>122462.11159465442</v>
      </c>
      <c r="L27" s="764">
        <f t="shared" si="17"/>
        <v>96682.784634883705</v>
      </c>
      <c r="M27" s="762"/>
      <c r="N27" s="764"/>
      <c r="O27" s="740">
        <f t="shared" si="9"/>
        <v>0.31855837441385115</v>
      </c>
      <c r="P27" s="765">
        <f t="shared" si="10"/>
        <v>47767.131218372087</v>
      </c>
      <c r="Q27" s="766">
        <f t="shared" si="11"/>
        <v>0.44331164838010162</v>
      </c>
      <c r="R27" s="743">
        <f t="shared" si="12"/>
        <v>107750.67921837208</v>
      </c>
      <c r="S27" s="744">
        <f t="shared" si="13"/>
        <v>8937.0836632558057</v>
      </c>
      <c r="T27" s="745">
        <v>1.1000000000000001</v>
      </c>
      <c r="U27" s="726">
        <f t="shared" si="14"/>
        <v>3.0000000000000009</v>
      </c>
      <c r="V27" s="746">
        <f t="shared" si="15"/>
        <v>1</v>
      </c>
      <c r="W27" s="767">
        <v>6.9000000000000006E-2</v>
      </c>
      <c r="X27" s="768">
        <f t="shared" ref="X27:X90" si="18">W27*G27</f>
        <v>11477.460000000001</v>
      </c>
      <c r="Y27" s="747">
        <v>5.1999999999999998E-2</v>
      </c>
      <c r="Z27" s="769">
        <f t="shared" ref="Z27:Z90" si="19">K27*W27</f>
        <v>8449.8857000311546</v>
      </c>
      <c r="AA27" s="770">
        <f>L27*W27</f>
        <v>6671.1121398069763</v>
      </c>
      <c r="AB27" s="770" t="str">
        <f>IF(N27,N27*W27,"")</f>
        <v/>
      </c>
      <c r="AC27" s="770">
        <f>IF(Y27,L27*Y27,"")</f>
        <v>5027.5048010139526</v>
      </c>
      <c r="AD27" s="771">
        <f t="shared" ref="AD27:AD90" si="20">L27*W27</f>
        <v>6671.1121398069763</v>
      </c>
      <c r="AE27" s="743">
        <f t="shared" ref="AE27:AE90" si="21">Y27*I27</f>
        <v>3119.1444959999994</v>
      </c>
      <c r="AF27" s="772">
        <f t="shared" ref="AF27:AF90" si="22">Y27*R27</f>
        <v>5603.0353193553483</v>
      </c>
      <c r="AG27" s="773">
        <f t="shared" ref="AG27:AG90" si="23">IF(X27=0,0,AF27/X27)</f>
        <v>0.48817729004111954</v>
      </c>
      <c r="AH27" s="728" t="s">
        <v>359</v>
      </c>
      <c r="AJ27" s="774"/>
    </row>
    <row r="28" spans="1:36" ht="14.4" x14ac:dyDescent="0.3">
      <c r="A28" s="729" t="s">
        <v>357</v>
      </c>
      <c r="B28" s="726" t="str">
        <f t="shared" ref="B28:B91" si="24">LEFT(E28,3)*10 &amp; "s"</f>
        <v>1980s</v>
      </c>
      <c r="C28" s="730">
        <v>1985</v>
      </c>
      <c r="D28" s="731">
        <f t="shared" si="1"/>
        <v>1981</v>
      </c>
      <c r="E28" s="732">
        <f t="shared" si="2"/>
        <v>1983</v>
      </c>
      <c r="F28" s="759">
        <f t="shared" si="3"/>
        <v>200758</v>
      </c>
      <c r="G28" s="760">
        <f t="shared" si="4"/>
        <v>166340</v>
      </c>
      <c r="H28" s="760">
        <f t="shared" si="5"/>
        <v>103200</v>
      </c>
      <c r="I28" s="761">
        <f t="shared" si="6"/>
        <v>59983.547999999995</v>
      </c>
      <c r="J28" s="762">
        <f t="shared" si="7"/>
        <v>0.58123593023255804</v>
      </c>
      <c r="K28" s="763">
        <f t="shared" si="8"/>
        <v>122462.11159465442</v>
      </c>
      <c r="L28" s="764">
        <f t="shared" si="17"/>
        <v>96682.784634883705</v>
      </c>
      <c r="M28" s="764"/>
      <c r="N28" s="764"/>
      <c r="O28" s="740">
        <f t="shared" si="9"/>
        <v>0.31855837441385115</v>
      </c>
      <c r="P28" s="765">
        <f t="shared" si="10"/>
        <v>47767.131218372087</v>
      </c>
      <c r="Q28" s="742">
        <f t="shared" si="11"/>
        <v>0.44331164838010162</v>
      </c>
      <c r="R28" s="743">
        <f t="shared" si="12"/>
        <v>107750.67921837208</v>
      </c>
      <c r="S28" s="744">
        <f t="shared" si="13"/>
        <v>8937.0836632558057</v>
      </c>
      <c r="T28" s="745">
        <v>1.2</v>
      </c>
      <c r="U28" s="726">
        <f t="shared" si="14"/>
        <v>3.9999999999999996</v>
      </c>
      <c r="V28" s="746">
        <f t="shared" si="15"/>
        <v>1</v>
      </c>
      <c r="W28" s="767">
        <v>0.88</v>
      </c>
      <c r="X28" s="768">
        <f t="shared" si="18"/>
        <v>146379.20000000001</v>
      </c>
      <c r="Y28" s="755">
        <v>0.82499999999999996</v>
      </c>
      <c r="Z28" s="769">
        <f t="shared" si="19"/>
        <v>107766.65820329588</v>
      </c>
      <c r="AA28" s="770">
        <f t="shared" ref="AA28:AA91" si="25">L28*W28</f>
        <v>85080.850478697655</v>
      </c>
      <c r="AB28" s="770" t="str">
        <f t="shared" ref="AB28:AB91" si="26">IF(N28,N28*W28,"")</f>
        <v/>
      </c>
      <c r="AC28" s="770">
        <f t="shared" ref="AC28:AC91" si="27">IF(Y28,L28*Y28,"")</f>
        <v>79763.297323779057</v>
      </c>
      <c r="AD28" s="771">
        <f t="shared" si="20"/>
        <v>85080.850478697655</v>
      </c>
      <c r="AE28" s="743">
        <f t="shared" si="21"/>
        <v>49486.427099999994</v>
      </c>
      <c r="AF28" s="743">
        <f t="shared" si="22"/>
        <v>88894.310355156966</v>
      </c>
      <c r="AG28" s="773">
        <f t="shared" si="23"/>
        <v>0.60728785479874847</v>
      </c>
      <c r="AH28" s="728" t="s">
        <v>359</v>
      </c>
      <c r="AJ28" s="774"/>
    </row>
    <row r="29" spans="1:36" ht="14.4" x14ac:dyDescent="0.3">
      <c r="A29" s="729" t="s">
        <v>357</v>
      </c>
      <c r="B29" s="726" t="str">
        <f t="shared" si="24"/>
        <v>1980s</v>
      </c>
      <c r="C29" s="730">
        <v>1985</v>
      </c>
      <c r="D29" s="731">
        <f t="shared" si="1"/>
        <v>1980</v>
      </c>
      <c r="E29" s="732">
        <f t="shared" si="2"/>
        <v>1982</v>
      </c>
      <c r="F29" s="759">
        <f t="shared" si="3"/>
        <v>200758</v>
      </c>
      <c r="G29" s="760">
        <f t="shared" si="4"/>
        <v>166340</v>
      </c>
      <c r="H29" s="760">
        <f t="shared" si="5"/>
        <v>103200</v>
      </c>
      <c r="I29" s="761">
        <f t="shared" si="6"/>
        <v>59983.547999999995</v>
      </c>
      <c r="J29" s="762">
        <f t="shared" si="7"/>
        <v>0.58123593023255804</v>
      </c>
      <c r="K29" s="763">
        <f t="shared" si="8"/>
        <v>122462.11159465442</v>
      </c>
      <c r="L29" s="764">
        <f t="shared" si="17"/>
        <v>96682.784634883705</v>
      </c>
      <c r="M29" s="764"/>
      <c r="N29" s="764"/>
      <c r="O29" s="740">
        <f t="shared" si="9"/>
        <v>0.31855837441385115</v>
      </c>
      <c r="P29" s="765">
        <f t="shared" si="10"/>
        <v>47767.131218372087</v>
      </c>
      <c r="Q29" s="742">
        <f t="shared" si="11"/>
        <v>0.44331164838010162</v>
      </c>
      <c r="R29" s="743">
        <f t="shared" si="12"/>
        <v>107750.67921837208</v>
      </c>
      <c r="S29" s="744">
        <f t="shared" si="13"/>
        <v>8937.0836632558057</v>
      </c>
      <c r="T29" s="745">
        <v>1.3</v>
      </c>
      <c r="U29" s="726">
        <f t="shared" si="14"/>
        <v>5</v>
      </c>
      <c r="V29" s="746">
        <f t="shared" si="15"/>
        <v>1</v>
      </c>
      <c r="W29" s="767">
        <v>6.0000000000000001E-3</v>
      </c>
      <c r="X29" s="768">
        <f t="shared" si="18"/>
        <v>998.04000000000008</v>
      </c>
      <c r="Y29" s="755">
        <v>8.3000000000000004E-2</v>
      </c>
      <c r="Z29" s="769">
        <f t="shared" si="19"/>
        <v>734.77266956792653</v>
      </c>
      <c r="AA29" s="770">
        <f t="shared" si="25"/>
        <v>580.09670780930219</v>
      </c>
      <c r="AB29" s="770" t="str">
        <f t="shared" si="26"/>
        <v/>
      </c>
      <c r="AC29" s="770">
        <f t="shared" si="27"/>
        <v>8024.6711246953482</v>
      </c>
      <c r="AD29" s="771">
        <f t="shared" si="20"/>
        <v>580.09670780930219</v>
      </c>
      <c r="AE29" s="743">
        <f t="shared" si="21"/>
        <v>4978.6344840000002</v>
      </c>
      <c r="AF29" s="743">
        <f t="shared" si="22"/>
        <v>8943.3063751248828</v>
      </c>
      <c r="AG29" s="773">
        <f t="shared" si="23"/>
        <v>8.9608696796970886</v>
      </c>
      <c r="AH29" s="728" t="s">
        <v>359</v>
      </c>
      <c r="AJ29" s="774"/>
    </row>
    <row r="30" spans="1:36" ht="14.4" x14ac:dyDescent="0.3">
      <c r="A30" s="729" t="s">
        <v>357</v>
      </c>
      <c r="B30" s="726" t="str">
        <f t="shared" si="24"/>
        <v>1980s</v>
      </c>
      <c r="C30" s="730">
        <v>1985</v>
      </c>
      <c r="D30" s="731">
        <f t="shared" si="1"/>
        <v>1981</v>
      </c>
      <c r="E30" s="732">
        <f t="shared" si="2"/>
        <v>1984</v>
      </c>
      <c r="F30" s="759">
        <f t="shared" si="3"/>
        <v>200758</v>
      </c>
      <c r="G30" s="760">
        <f t="shared" si="4"/>
        <v>166340</v>
      </c>
      <c r="H30" s="760">
        <f t="shared" si="5"/>
        <v>103200</v>
      </c>
      <c r="I30" s="761">
        <f t="shared" si="6"/>
        <v>59983.547999999995</v>
      </c>
      <c r="J30" s="762">
        <f t="shared" si="7"/>
        <v>0.58123593023255804</v>
      </c>
      <c r="K30" s="763">
        <f t="shared" si="8"/>
        <v>122462.11159465442</v>
      </c>
      <c r="L30" s="764">
        <f t="shared" si="17"/>
        <v>96682.784634883705</v>
      </c>
      <c r="M30" s="764"/>
      <c r="N30" s="764"/>
      <c r="O30" s="740">
        <f t="shared" si="9"/>
        <v>0.31855837441385115</v>
      </c>
      <c r="P30" s="765">
        <f t="shared" si="10"/>
        <v>47767.131218372087</v>
      </c>
      <c r="Q30" s="742">
        <f t="shared" si="11"/>
        <v>0.44331164838010162</v>
      </c>
      <c r="R30" s="743">
        <f t="shared" si="12"/>
        <v>107750.67921837208</v>
      </c>
      <c r="S30" s="744">
        <f t="shared" si="13"/>
        <v>8937.0836632558057</v>
      </c>
      <c r="T30" s="745">
        <v>2.1</v>
      </c>
      <c r="U30" s="726">
        <f t="shared" si="14"/>
        <v>4.0000000000000009</v>
      </c>
      <c r="V30" s="746">
        <f t="shared" si="15"/>
        <v>2</v>
      </c>
      <c r="W30" s="767">
        <v>1.0999999999999999E-2</v>
      </c>
      <c r="X30" s="768">
        <f t="shared" si="18"/>
        <v>1829.7399999999998</v>
      </c>
      <c r="Y30" s="747">
        <v>2.3E-2</v>
      </c>
      <c r="Z30" s="769">
        <f t="shared" si="19"/>
        <v>1347.0832275411985</v>
      </c>
      <c r="AA30" s="770">
        <f t="shared" si="25"/>
        <v>1063.5106309837206</v>
      </c>
      <c r="AB30" s="770" t="str">
        <f t="shared" si="26"/>
        <v/>
      </c>
      <c r="AC30" s="770">
        <f t="shared" si="27"/>
        <v>2223.704046602325</v>
      </c>
      <c r="AD30" s="771">
        <f t="shared" si="20"/>
        <v>1063.5106309837206</v>
      </c>
      <c r="AE30" s="743">
        <f t="shared" si="21"/>
        <v>1379.6216039999999</v>
      </c>
      <c r="AF30" s="743">
        <f t="shared" si="22"/>
        <v>2478.2656220225576</v>
      </c>
      <c r="AG30" s="773">
        <f t="shared" si="23"/>
        <v>1.3544359428238755</v>
      </c>
      <c r="AH30" s="728" t="s">
        <v>359</v>
      </c>
      <c r="AJ30" s="774"/>
    </row>
    <row r="31" spans="1:36" ht="14.4" x14ac:dyDescent="0.3">
      <c r="A31" s="729" t="s">
        <v>357</v>
      </c>
      <c r="B31" s="726" t="str">
        <f t="shared" si="24"/>
        <v>1980s</v>
      </c>
      <c r="C31" s="730">
        <v>1985</v>
      </c>
      <c r="D31" s="731">
        <f t="shared" si="1"/>
        <v>1980</v>
      </c>
      <c r="E31" s="732">
        <f t="shared" si="2"/>
        <v>1983</v>
      </c>
      <c r="F31" s="759">
        <f t="shared" si="3"/>
        <v>200758</v>
      </c>
      <c r="G31" s="760">
        <f t="shared" si="4"/>
        <v>166340</v>
      </c>
      <c r="H31" s="760">
        <f t="shared" si="5"/>
        <v>103200</v>
      </c>
      <c r="I31" s="761">
        <f t="shared" si="6"/>
        <v>59983.547999999995</v>
      </c>
      <c r="J31" s="762">
        <f t="shared" si="7"/>
        <v>0.58123593023255804</v>
      </c>
      <c r="K31" s="763">
        <f t="shared" si="8"/>
        <v>122462.11159465442</v>
      </c>
      <c r="L31" s="764">
        <f t="shared" si="17"/>
        <v>96682.784634883705</v>
      </c>
      <c r="M31" s="764"/>
      <c r="N31" s="764"/>
      <c r="O31" s="740">
        <f t="shared" si="9"/>
        <v>0.31855837441385115</v>
      </c>
      <c r="P31" s="765">
        <f t="shared" si="10"/>
        <v>47767.131218372087</v>
      </c>
      <c r="Q31" s="742">
        <f t="shared" si="11"/>
        <v>0.44331164838010162</v>
      </c>
      <c r="R31" s="743">
        <f t="shared" si="12"/>
        <v>107750.67921837208</v>
      </c>
      <c r="S31" s="744">
        <f t="shared" si="13"/>
        <v>8937.0836632558057</v>
      </c>
      <c r="T31" s="745">
        <v>2.2000000000000002</v>
      </c>
      <c r="U31" s="726">
        <f t="shared" si="14"/>
        <v>5.0000000000000018</v>
      </c>
      <c r="V31" s="746">
        <f t="shared" si="15"/>
        <v>2</v>
      </c>
      <c r="W31" s="767">
        <v>3.4000000000000002E-2</v>
      </c>
      <c r="X31" s="768">
        <f t="shared" si="18"/>
        <v>5655.56</v>
      </c>
      <c r="Y31" s="747">
        <v>1.6E-2</v>
      </c>
      <c r="Z31" s="769">
        <f t="shared" si="19"/>
        <v>4163.7117942182504</v>
      </c>
      <c r="AA31" s="770">
        <f t="shared" si="25"/>
        <v>3287.214677586046</v>
      </c>
      <c r="AB31" s="770" t="str">
        <f t="shared" si="26"/>
        <v/>
      </c>
      <c r="AC31" s="770">
        <f t="shared" si="27"/>
        <v>1546.9245541581392</v>
      </c>
      <c r="AD31" s="771">
        <f t="shared" si="20"/>
        <v>3287.214677586046</v>
      </c>
      <c r="AE31" s="743">
        <f t="shared" si="21"/>
        <v>959.73676799999998</v>
      </c>
      <c r="AF31" s="743">
        <f t="shared" si="22"/>
        <v>1724.0108674939534</v>
      </c>
      <c r="AG31" s="773">
        <f t="shared" si="23"/>
        <v>0.30483468789897961</v>
      </c>
      <c r="AH31" s="728" t="s">
        <v>359</v>
      </c>
      <c r="AI31" s="728"/>
    </row>
    <row r="32" spans="1:36" ht="14.4" x14ac:dyDescent="0.3">
      <c r="A32" s="729" t="s">
        <v>357</v>
      </c>
      <c r="B32" s="726" t="str">
        <f t="shared" si="24"/>
        <v>1980s</v>
      </c>
      <c r="C32" s="730">
        <v>1986</v>
      </c>
      <c r="D32" s="731">
        <f t="shared" si="1"/>
        <v>1983</v>
      </c>
      <c r="E32" s="732">
        <f t="shared" si="2"/>
        <v>1985</v>
      </c>
      <c r="F32" s="759">
        <f t="shared" si="3"/>
        <v>59963</v>
      </c>
      <c r="G32" s="760">
        <f t="shared" si="4"/>
        <v>58123</v>
      </c>
      <c r="H32" s="760">
        <f t="shared" si="5"/>
        <v>49788</v>
      </c>
      <c r="I32" s="761">
        <f t="shared" si="6"/>
        <v>39380.015999999996</v>
      </c>
      <c r="J32" s="762">
        <f t="shared" si="7"/>
        <v>0.79095396481079772</v>
      </c>
      <c r="K32" s="763">
        <f t="shared" si="8"/>
        <v>51856.154888274134</v>
      </c>
      <c r="L32" s="764">
        <f t="shared" si="17"/>
        <v>45972.617296697994</v>
      </c>
      <c r="M32" s="762"/>
      <c r="N32" s="764"/>
      <c r="O32" s="740">
        <f t="shared" si="9"/>
        <v>0.5985238201744576</v>
      </c>
      <c r="P32" s="765">
        <f t="shared" si="10"/>
        <v>6732.6001484695098</v>
      </c>
      <c r="Q32" s="766">
        <f t="shared" si="11"/>
        <v>0.14600343053173243</v>
      </c>
      <c r="R32" s="743">
        <f t="shared" si="12"/>
        <v>46112.616148469504</v>
      </c>
      <c r="S32" s="744">
        <f t="shared" si="13"/>
        <v>1315.3564434803629</v>
      </c>
      <c r="T32" s="775">
        <v>1.1000000000000001</v>
      </c>
      <c r="U32" s="726">
        <f t="shared" si="14"/>
        <v>3.0000000000000009</v>
      </c>
      <c r="V32" s="746">
        <f t="shared" si="15"/>
        <v>1</v>
      </c>
      <c r="W32" s="747">
        <v>5.1999999999999998E-2</v>
      </c>
      <c r="X32" s="768">
        <f t="shared" si="18"/>
        <v>3022.3959999999997</v>
      </c>
      <c r="Y32" s="747">
        <v>5.1999999999999998E-2</v>
      </c>
      <c r="Z32" s="769">
        <f t="shared" si="19"/>
        <v>2696.520054190255</v>
      </c>
      <c r="AA32" s="770">
        <f t="shared" si="25"/>
        <v>2390.5760994282955</v>
      </c>
      <c r="AB32" s="770" t="str">
        <f t="shared" si="26"/>
        <v/>
      </c>
      <c r="AC32" s="770">
        <f t="shared" si="27"/>
        <v>2390.5760994282955</v>
      </c>
      <c r="AD32" s="771">
        <f t="shared" si="20"/>
        <v>2390.5760994282955</v>
      </c>
      <c r="AE32" s="743">
        <f t="shared" si="21"/>
        <v>2047.7608319999997</v>
      </c>
      <c r="AF32" s="772">
        <f t="shared" si="22"/>
        <v>2397.8560397204142</v>
      </c>
      <c r="AG32" s="773">
        <f t="shared" si="23"/>
        <v>0.79336263008567187</v>
      </c>
      <c r="AH32" s="728" t="s">
        <v>360</v>
      </c>
      <c r="AI32" s="728"/>
    </row>
    <row r="33" spans="1:39" ht="14.4" x14ac:dyDescent="0.3">
      <c r="A33" s="729" t="s">
        <v>357</v>
      </c>
      <c r="B33" s="726" t="str">
        <f t="shared" si="24"/>
        <v>1980s</v>
      </c>
      <c r="C33" s="730">
        <v>1986</v>
      </c>
      <c r="D33" s="731">
        <f t="shared" si="1"/>
        <v>1982</v>
      </c>
      <c r="E33" s="732">
        <f t="shared" si="2"/>
        <v>1984</v>
      </c>
      <c r="F33" s="759">
        <f t="shared" si="3"/>
        <v>59963</v>
      </c>
      <c r="G33" s="760">
        <f t="shared" si="4"/>
        <v>58123</v>
      </c>
      <c r="H33" s="760">
        <f t="shared" si="5"/>
        <v>49788</v>
      </c>
      <c r="I33" s="761">
        <f t="shared" si="6"/>
        <v>39380.015999999996</v>
      </c>
      <c r="J33" s="762">
        <f t="shared" si="7"/>
        <v>0.79095396481079772</v>
      </c>
      <c r="K33" s="763">
        <f t="shared" si="8"/>
        <v>51856.154888274134</v>
      </c>
      <c r="L33" s="764">
        <f t="shared" si="17"/>
        <v>45972.617296697994</v>
      </c>
      <c r="M33" s="764"/>
      <c r="N33" s="764"/>
      <c r="O33" s="740">
        <f t="shared" si="9"/>
        <v>0.5985238201744576</v>
      </c>
      <c r="P33" s="765">
        <f t="shared" si="10"/>
        <v>6732.6001484695098</v>
      </c>
      <c r="Q33" s="766">
        <f t="shared" si="11"/>
        <v>0.14600343053173243</v>
      </c>
      <c r="R33" s="743">
        <f t="shared" si="12"/>
        <v>46112.616148469504</v>
      </c>
      <c r="S33" s="744">
        <f t="shared" si="13"/>
        <v>1315.3564434803629</v>
      </c>
      <c r="T33" s="745">
        <v>1.2</v>
      </c>
      <c r="U33" s="726">
        <f t="shared" si="14"/>
        <v>3.9999999999999996</v>
      </c>
      <c r="V33" s="746">
        <f t="shared" si="15"/>
        <v>1</v>
      </c>
      <c r="W33" s="747">
        <v>0.82499999999999996</v>
      </c>
      <c r="X33" s="768">
        <f t="shared" si="18"/>
        <v>47951.474999999999</v>
      </c>
      <c r="Y33" s="747">
        <v>0.82499999999999996</v>
      </c>
      <c r="Z33" s="769">
        <f t="shared" si="19"/>
        <v>42781.327782826156</v>
      </c>
      <c r="AA33" s="770">
        <f t="shared" si="25"/>
        <v>37927.409269775846</v>
      </c>
      <c r="AB33" s="770" t="str">
        <f t="shared" si="26"/>
        <v/>
      </c>
      <c r="AC33" s="770">
        <f t="shared" si="27"/>
        <v>37927.409269775846</v>
      </c>
      <c r="AD33" s="771">
        <f t="shared" si="20"/>
        <v>37927.409269775846</v>
      </c>
      <c r="AE33" s="743">
        <f t="shared" si="21"/>
        <v>32488.513199999994</v>
      </c>
      <c r="AF33" s="743">
        <f t="shared" si="22"/>
        <v>38042.908322487339</v>
      </c>
      <c r="AG33" s="773">
        <f t="shared" si="23"/>
        <v>0.79336263008567187</v>
      </c>
      <c r="AH33" s="728" t="s">
        <v>360</v>
      </c>
      <c r="AI33" s="728"/>
    </row>
    <row r="34" spans="1:39" ht="14.4" x14ac:dyDescent="0.3">
      <c r="A34" s="729" t="s">
        <v>357</v>
      </c>
      <c r="B34" s="726" t="str">
        <f t="shared" si="24"/>
        <v>1980s</v>
      </c>
      <c r="C34" s="730">
        <v>1986</v>
      </c>
      <c r="D34" s="731">
        <f t="shared" si="1"/>
        <v>1981</v>
      </c>
      <c r="E34" s="732">
        <f t="shared" si="2"/>
        <v>1983</v>
      </c>
      <c r="F34" s="759">
        <f t="shared" si="3"/>
        <v>59963</v>
      </c>
      <c r="G34" s="760">
        <f t="shared" si="4"/>
        <v>58123</v>
      </c>
      <c r="H34" s="760">
        <f t="shared" si="5"/>
        <v>49788</v>
      </c>
      <c r="I34" s="761">
        <f t="shared" si="6"/>
        <v>39380.015999999996</v>
      </c>
      <c r="J34" s="762">
        <f t="shared" si="7"/>
        <v>0.79095396481079772</v>
      </c>
      <c r="K34" s="763">
        <f t="shared" si="8"/>
        <v>51856.154888274134</v>
      </c>
      <c r="L34" s="764">
        <f t="shared" si="17"/>
        <v>45972.617296697994</v>
      </c>
      <c r="M34" s="764"/>
      <c r="N34" s="764"/>
      <c r="O34" s="740">
        <f t="shared" si="9"/>
        <v>0.5985238201744576</v>
      </c>
      <c r="P34" s="765">
        <f t="shared" si="10"/>
        <v>6732.6001484695098</v>
      </c>
      <c r="Q34" s="766">
        <f t="shared" si="11"/>
        <v>0.14600343053173243</v>
      </c>
      <c r="R34" s="743">
        <f t="shared" si="12"/>
        <v>46112.616148469504</v>
      </c>
      <c r="S34" s="744">
        <f t="shared" si="13"/>
        <v>1315.3564434803629</v>
      </c>
      <c r="T34" s="745">
        <v>1.3</v>
      </c>
      <c r="U34" s="726">
        <f t="shared" si="14"/>
        <v>5</v>
      </c>
      <c r="V34" s="746">
        <f t="shared" si="15"/>
        <v>1</v>
      </c>
      <c r="W34" s="747">
        <v>8.3000000000000004E-2</v>
      </c>
      <c r="X34" s="768">
        <f t="shared" si="18"/>
        <v>4824.2089999999998</v>
      </c>
      <c r="Y34" s="747">
        <v>8.3000000000000004E-2</v>
      </c>
      <c r="Z34" s="769">
        <f t="shared" si="19"/>
        <v>4304.0608557267533</v>
      </c>
      <c r="AA34" s="770">
        <f t="shared" si="25"/>
        <v>3815.7272356259336</v>
      </c>
      <c r="AB34" s="770" t="str">
        <f t="shared" si="26"/>
        <v/>
      </c>
      <c r="AC34" s="770">
        <f t="shared" si="27"/>
        <v>3815.7272356259336</v>
      </c>
      <c r="AD34" s="771">
        <f t="shared" si="20"/>
        <v>3815.7272356259336</v>
      </c>
      <c r="AE34" s="743">
        <f t="shared" si="21"/>
        <v>3268.5413279999998</v>
      </c>
      <c r="AF34" s="743">
        <f t="shared" si="22"/>
        <v>3827.3471403229692</v>
      </c>
      <c r="AG34" s="773">
        <f t="shared" si="23"/>
        <v>0.79336263008567198</v>
      </c>
      <c r="AH34" s="728" t="s">
        <v>360</v>
      </c>
      <c r="AI34" s="728"/>
    </row>
    <row r="35" spans="1:39" ht="14.4" x14ac:dyDescent="0.3">
      <c r="A35" s="729" t="s">
        <v>357</v>
      </c>
      <c r="B35" s="726" t="str">
        <f t="shared" si="24"/>
        <v>1980s</v>
      </c>
      <c r="C35" s="730">
        <v>1986</v>
      </c>
      <c r="D35" s="731">
        <f t="shared" si="1"/>
        <v>1982</v>
      </c>
      <c r="E35" s="732">
        <f t="shared" si="2"/>
        <v>1985</v>
      </c>
      <c r="F35" s="759">
        <f t="shared" si="3"/>
        <v>59963</v>
      </c>
      <c r="G35" s="760">
        <f t="shared" si="4"/>
        <v>58123</v>
      </c>
      <c r="H35" s="760">
        <f t="shared" si="5"/>
        <v>49788</v>
      </c>
      <c r="I35" s="761">
        <f t="shared" si="6"/>
        <v>39380.015999999996</v>
      </c>
      <c r="J35" s="762">
        <f t="shared" si="7"/>
        <v>0.79095396481079772</v>
      </c>
      <c r="K35" s="763">
        <f t="shared" si="8"/>
        <v>51856.154888274134</v>
      </c>
      <c r="L35" s="764">
        <f t="shared" si="17"/>
        <v>45972.617296697994</v>
      </c>
      <c r="M35" s="764"/>
      <c r="N35" s="764"/>
      <c r="O35" s="740">
        <f t="shared" si="9"/>
        <v>0.5985238201744576</v>
      </c>
      <c r="P35" s="765">
        <f t="shared" si="10"/>
        <v>6732.6001484695098</v>
      </c>
      <c r="Q35" s="766">
        <f t="shared" si="11"/>
        <v>0.14600343053173243</v>
      </c>
      <c r="R35" s="743">
        <f t="shared" si="12"/>
        <v>46112.616148469504</v>
      </c>
      <c r="S35" s="744">
        <f t="shared" si="13"/>
        <v>1315.3564434803629</v>
      </c>
      <c r="T35" s="745">
        <v>2.1</v>
      </c>
      <c r="U35" s="726">
        <f t="shared" si="14"/>
        <v>4.0000000000000009</v>
      </c>
      <c r="V35" s="746">
        <f t="shared" si="15"/>
        <v>2</v>
      </c>
      <c r="W35" s="747">
        <v>2.3E-2</v>
      </c>
      <c r="X35" s="768">
        <f t="shared" si="18"/>
        <v>1336.829</v>
      </c>
      <c r="Y35" s="747">
        <v>2.3E-2</v>
      </c>
      <c r="Z35" s="769">
        <f t="shared" si="19"/>
        <v>1192.6915624303051</v>
      </c>
      <c r="AA35" s="770">
        <f t="shared" si="25"/>
        <v>1057.3701978240538</v>
      </c>
      <c r="AB35" s="770" t="str">
        <f t="shared" si="26"/>
        <v/>
      </c>
      <c r="AC35" s="770">
        <f t="shared" si="27"/>
        <v>1057.3701978240538</v>
      </c>
      <c r="AD35" s="771">
        <f t="shared" si="20"/>
        <v>1057.3701978240538</v>
      </c>
      <c r="AE35" s="743">
        <f t="shared" si="21"/>
        <v>905.74036799999988</v>
      </c>
      <c r="AF35" s="743">
        <f t="shared" si="22"/>
        <v>1060.5901714147985</v>
      </c>
      <c r="AG35" s="773">
        <f t="shared" si="23"/>
        <v>0.79336263008567187</v>
      </c>
      <c r="AH35" s="728" t="s">
        <v>360</v>
      </c>
      <c r="AI35" s="728"/>
    </row>
    <row r="36" spans="1:39" ht="14.4" x14ac:dyDescent="0.3">
      <c r="A36" s="729" t="s">
        <v>357</v>
      </c>
      <c r="B36" s="726" t="str">
        <f t="shared" si="24"/>
        <v>1980s</v>
      </c>
      <c r="C36" s="730">
        <v>1986</v>
      </c>
      <c r="D36" s="731">
        <f t="shared" si="1"/>
        <v>1981</v>
      </c>
      <c r="E36" s="732">
        <f t="shared" si="2"/>
        <v>1984</v>
      </c>
      <c r="F36" s="759">
        <f t="shared" si="3"/>
        <v>59963</v>
      </c>
      <c r="G36" s="760">
        <f t="shared" si="4"/>
        <v>58123</v>
      </c>
      <c r="H36" s="760">
        <f t="shared" si="5"/>
        <v>49788</v>
      </c>
      <c r="I36" s="761">
        <f t="shared" si="6"/>
        <v>39380.015999999996</v>
      </c>
      <c r="J36" s="762">
        <f t="shared" si="7"/>
        <v>0.79095396481079772</v>
      </c>
      <c r="K36" s="763">
        <f t="shared" si="8"/>
        <v>51856.154888274134</v>
      </c>
      <c r="L36" s="764">
        <f t="shared" si="17"/>
        <v>45972.617296697994</v>
      </c>
      <c r="M36" s="764"/>
      <c r="N36" s="764"/>
      <c r="O36" s="740">
        <f t="shared" si="9"/>
        <v>0.5985238201744576</v>
      </c>
      <c r="P36" s="765">
        <f t="shared" si="10"/>
        <v>6732.6001484695098</v>
      </c>
      <c r="Q36" s="766">
        <f t="shared" si="11"/>
        <v>0.14600343053173243</v>
      </c>
      <c r="R36" s="743">
        <f t="shared" si="12"/>
        <v>46112.616148469504</v>
      </c>
      <c r="S36" s="744">
        <f t="shared" si="13"/>
        <v>1315.3564434803629</v>
      </c>
      <c r="T36" s="745">
        <v>2.2000000000000002</v>
      </c>
      <c r="U36" s="726">
        <f t="shared" si="14"/>
        <v>5.0000000000000018</v>
      </c>
      <c r="V36" s="746">
        <f t="shared" si="15"/>
        <v>2</v>
      </c>
      <c r="W36" s="747">
        <v>1.6E-2</v>
      </c>
      <c r="X36" s="768">
        <f t="shared" si="18"/>
        <v>929.96800000000007</v>
      </c>
      <c r="Y36" s="747">
        <v>1.6E-2</v>
      </c>
      <c r="Z36" s="769">
        <f t="shared" si="19"/>
        <v>829.69847821238614</v>
      </c>
      <c r="AA36" s="770">
        <f t="shared" si="25"/>
        <v>735.56187674716796</v>
      </c>
      <c r="AB36" s="770" t="str">
        <f t="shared" si="26"/>
        <v/>
      </c>
      <c r="AC36" s="770">
        <f t="shared" si="27"/>
        <v>735.56187674716796</v>
      </c>
      <c r="AD36" s="771">
        <f t="shared" si="20"/>
        <v>735.56187674716796</v>
      </c>
      <c r="AE36" s="743">
        <f t="shared" si="21"/>
        <v>630.08025599999996</v>
      </c>
      <c r="AF36" s="743">
        <f t="shared" si="22"/>
        <v>737.8018583755121</v>
      </c>
      <c r="AG36" s="773">
        <f t="shared" si="23"/>
        <v>0.79336263008567176</v>
      </c>
      <c r="AH36" s="728" t="s">
        <v>360</v>
      </c>
      <c r="AI36" s="728"/>
      <c r="AM36" s="776"/>
    </row>
    <row r="37" spans="1:39" ht="14.4" x14ac:dyDescent="0.3">
      <c r="A37" s="729" t="s">
        <v>357</v>
      </c>
      <c r="B37" s="726" t="str">
        <f t="shared" si="24"/>
        <v>1980s</v>
      </c>
      <c r="C37" s="730">
        <v>1987</v>
      </c>
      <c r="D37" s="731">
        <f t="shared" si="1"/>
        <v>1984</v>
      </c>
      <c r="E37" s="732">
        <f t="shared" si="2"/>
        <v>1986</v>
      </c>
      <c r="F37" s="759">
        <f t="shared" si="3"/>
        <v>145546</v>
      </c>
      <c r="G37" s="760">
        <f t="shared" si="4"/>
        <v>116993</v>
      </c>
      <c r="H37" s="760">
        <f t="shared" si="5"/>
        <v>69868</v>
      </c>
      <c r="I37" s="761">
        <f t="shared" si="6"/>
        <v>45415.839999999997</v>
      </c>
      <c r="J37" s="762">
        <f t="shared" si="7"/>
        <v>0.6500234728344878</v>
      </c>
      <c r="K37" s="763">
        <f t="shared" si="8"/>
        <v>99373.304487167072</v>
      </c>
      <c r="L37" s="764">
        <f t="shared" si="17"/>
        <v>76048.196157325234</v>
      </c>
      <c r="M37" s="762">
        <f t="shared" ref="M37:M74" si="28">VLOOKUP($C37,SockeyeReturnsData,12)</f>
        <v>0.44000000000000006</v>
      </c>
      <c r="N37" s="764">
        <f>IF(M37,M37*G37,J37*G37)</f>
        <v>51476.920000000006</v>
      </c>
      <c r="O37" s="740">
        <f t="shared" si="9"/>
        <v>0.34292649987606094</v>
      </c>
      <c r="P37" s="765">
        <f t="shared" si="10"/>
        <v>44275.048805175466</v>
      </c>
      <c r="Q37" s="742">
        <f t="shared" si="11"/>
        <v>0.49364042875468361</v>
      </c>
      <c r="R37" s="743">
        <f t="shared" si="12"/>
        <v>89690.888805175462</v>
      </c>
      <c r="S37" s="744">
        <f t="shared" si="13"/>
        <v>4917.4275719928992</v>
      </c>
      <c r="T37" s="775">
        <v>1.1000000000000001</v>
      </c>
      <c r="U37" s="726">
        <f t="shared" si="14"/>
        <v>3.0000000000000009</v>
      </c>
      <c r="V37" s="746">
        <f t="shared" si="15"/>
        <v>1</v>
      </c>
      <c r="W37" s="767">
        <v>0.49199999999999999</v>
      </c>
      <c r="X37" s="768">
        <f t="shared" si="18"/>
        <v>57560.555999999997</v>
      </c>
      <c r="Y37" s="755">
        <v>5.1999999999999998E-2</v>
      </c>
      <c r="Z37" s="769">
        <f t="shared" si="19"/>
        <v>48891.6658076862</v>
      </c>
      <c r="AA37" s="770">
        <f t="shared" si="25"/>
        <v>37415.712509404017</v>
      </c>
      <c r="AB37" s="770">
        <f t="shared" si="26"/>
        <v>25326.644640000002</v>
      </c>
      <c r="AC37" s="770">
        <f t="shared" si="27"/>
        <v>3954.5062001809119</v>
      </c>
      <c r="AD37" s="771">
        <f t="shared" si="20"/>
        <v>37415.712509404017</v>
      </c>
      <c r="AE37" s="743">
        <f t="shared" si="21"/>
        <v>2361.6236799999997</v>
      </c>
      <c r="AF37" s="772">
        <f t="shared" si="22"/>
        <v>4663.9262178691242</v>
      </c>
      <c r="AG37" s="773">
        <f t="shared" si="23"/>
        <v>8.1026427504785128E-2</v>
      </c>
      <c r="AH37" s="728" t="s">
        <v>359</v>
      </c>
      <c r="AI37" s="728"/>
      <c r="AM37" s="776"/>
    </row>
    <row r="38" spans="1:39" ht="14.4" x14ac:dyDescent="0.3">
      <c r="A38" s="729" t="s">
        <v>357</v>
      </c>
      <c r="B38" s="726" t="str">
        <f t="shared" si="24"/>
        <v>1980s</v>
      </c>
      <c r="C38" s="730">
        <v>1987</v>
      </c>
      <c r="D38" s="731">
        <f t="shared" si="1"/>
        <v>1983</v>
      </c>
      <c r="E38" s="732">
        <f t="shared" si="2"/>
        <v>1985</v>
      </c>
      <c r="F38" s="759">
        <f t="shared" si="3"/>
        <v>145546</v>
      </c>
      <c r="G38" s="760">
        <f t="shared" si="4"/>
        <v>116993</v>
      </c>
      <c r="H38" s="760">
        <f t="shared" si="5"/>
        <v>69868</v>
      </c>
      <c r="I38" s="761">
        <f t="shared" si="6"/>
        <v>45415.839999999997</v>
      </c>
      <c r="J38" s="762">
        <f t="shared" si="7"/>
        <v>0.6500234728344878</v>
      </c>
      <c r="K38" s="763">
        <f t="shared" si="8"/>
        <v>99373.304487167072</v>
      </c>
      <c r="L38" s="764">
        <f t="shared" si="17"/>
        <v>76048.196157325234</v>
      </c>
      <c r="M38" s="762">
        <f t="shared" si="28"/>
        <v>0.44000000000000006</v>
      </c>
      <c r="N38" s="764">
        <f t="shared" ref="N38:N74" si="29">IF(M38,M38*G38,J38*G38)</f>
        <v>51476.920000000006</v>
      </c>
      <c r="O38" s="740">
        <f t="shared" si="9"/>
        <v>0.34292649987606094</v>
      </c>
      <c r="P38" s="765">
        <f t="shared" si="10"/>
        <v>44275.048805175466</v>
      </c>
      <c r="Q38" s="742">
        <f t="shared" si="11"/>
        <v>0.49364042875468361</v>
      </c>
      <c r="R38" s="743">
        <f t="shared" si="12"/>
        <v>89690.888805175462</v>
      </c>
      <c r="S38" s="744">
        <f t="shared" si="13"/>
        <v>4917.4275719928992</v>
      </c>
      <c r="T38" s="745">
        <v>1.2</v>
      </c>
      <c r="U38" s="726">
        <f t="shared" si="14"/>
        <v>3.9999999999999996</v>
      </c>
      <c r="V38" s="746">
        <f t="shared" si="15"/>
        <v>1</v>
      </c>
      <c r="W38" s="767">
        <v>0.46</v>
      </c>
      <c r="X38" s="768">
        <f t="shared" si="18"/>
        <v>53816.78</v>
      </c>
      <c r="Y38" s="755">
        <v>0.82499999999999996</v>
      </c>
      <c r="Z38" s="769">
        <f t="shared" si="19"/>
        <v>45711.720064096859</v>
      </c>
      <c r="AA38" s="770">
        <f t="shared" si="25"/>
        <v>34982.170232369608</v>
      </c>
      <c r="AB38" s="770">
        <f t="shared" si="26"/>
        <v>23679.383200000004</v>
      </c>
      <c r="AC38" s="770">
        <f t="shared" si="27"/>
        <v>62739.761829793315</v>
      </c>
      <c r="AD38" s="771">
        <f t="shared" si="20"/>
        <v>34982.170232369608</v>
      </c>
      <c r="AE38" s="743">
        <f t="shared" si="21"/>
        <v>37468.067999999992</v>
      </c>
      <c r="AF38" s="743">
        <f t="shared" si="22"/>
        <v>73994.983264269758</v>
      </c>
      <c r="AG38" s="773">
        <f t="shared" si="23"/>
        <v>1.3749425971652292</v>
      </c>
      <c r="AH38" s="728" t="s">
        <v>359</v>
      </c>
      <c r="AI38" s="728"/>
      <c r="AM38" s="776"/>
    </row>
    <row r="39" spans="1:39" ht="14.4" x14ac:dyDescent="0.3">
      <c r="A39" s="729" t="s">
        <v>357</v>
      </c>
      <c r="B39" s="726" t="str">
        <f t="shared" si="24"/>
        <v>1980s</v>
      </c>
      <c r="C39" s="730">
        <v>1987</v>
      </c>
      <c r="D39" s="731">
        <f t="shared" si="1"/>
        <v>1982</v>
      </c>
      <c r="E39" s="732">
        <f t="shared" si="2"/>
        <v>1984</v>
      </c>
      <c r="F39" s="759">
        <f t="shared" si="3"/>
        <v>145546</v>
      </c>
      <c r="G39" s="760">
        <f t="shared" si="4"/>
        <v>116993</v>
      </c>
      <c r="H39" s="760">
        <f t="shared" si="5"/>
        <v>69868</v>
      </c>
      <c r="I39" s="761">
        <f t="shared" si="6"/>
        <v>45415.839999999997</v>
      </c>
      <c r="J39" s="762">
        <f t="shared" si="7"/>
        <v>0.6500234728344878</v>
      </c>
      <c r="K39" s="763">
        <f t="shared" si="8"/>
        <v>99373.304487167072</v>
      </c>
      <c r="L39" s="764">
        <f t="shared" si="17"/>
        <v>76048.196157325234</v>
      </c>
      <c r="M39" s="762">
        <f t="shared" si="28"/>
        <v>0.44000000000000006</v>
      </c>
      <c r="N39" s="764">
        <f t="shared" si="29"/>
        <v>51476.920000000006</v>
      </c>
      <c r="O39" s="740">
        <f t="shared" si="9"/>
        <v>0.34292649987606094</v>
      </c>
      <c r="P39" s="765">
        <f t="shared" si="10"/>
        <v>44275.048805175466</v>
      </c>
      <c r="Q39" s="742">
        <f t="shared" si="11"/>
        <v>0.49364042875468361</v>
      </c>
      <c r="R39" s="743">
        <f t="shared" si="12"/>
        <v>89690.888805175462</v>
      </c>
      <c r="S39" s="744">
        <f t="shared" si="13"/>
        <v>4917.4275719928992</v>
      </c>
      <c r="T39" s="745">
        <v>1.3</v>
      </c>
      <c r="U39" s="726">
        <f t="shared" si="14"/>
        <v>5</v>
      </c>
      <c r="V39" s="746">
        <f t="shared" si="15"/>
        <v>1</v>
      </c>
      <c r="W39" s="767">
        <v>2.8000000000000001E-2</v>
      </c>
      <c r="X39" s="768">
        <f t="shared" si="18"/>
        <v>3275.8040000000001</v>
      </c>
      <c r="Y39" s="755">
        <v>8.3000000000000004E-2</v>
      </c>
      <c r="Z39" s="769">
        <f t="shared" si="19"/>
        <v>2782.4525256406782</v>
      </c>
      <c r="AA39" s="770">
        <f t="shared" si="25"/>
        <v>2129.3494924051065</v>
      </c>
      <c r="AB39" s="770">
        <f t="shared" si="26"/>
        <v>1441.3537600000002</v>
      </c>
      <c r="AC39" s="770">
        <f t="shared" si="27"/>
        <v>6312.0002810579945</v>
      </c>
      <c r="AD39" s="771">
        <f t="shared" si="20"/>
        <v>2129.3494924051065</v>
      </c>
      <c r="AE39" s="743">
        <f t="shared" si="21"/>
        <v>3769.5147200000001</v>
      </c>
      <c r="AF39" s="743">
        <f t="shared" si="22"/>
        <v>7444.3437708295642</v>
      </c>
      <c r="AG39" s="773">
        <f t="shared" si="23"/>
        <v>2.2725241714185476</v>
      </c>
      <c r="AH39" s="728" t="s">
        <v>359</v>
      </c>
      <c r="AI39" s="728"/>
    </row>
    <row r="40" spans="1:39" ht="14.4" x14ac:dyDescent="0.3">
      <c r="A40" s="729" t="s">
        <v>357</v>
      </c>
      <c r="B40" s="726" t="str">
        <f t="shared" si="24"/>
        <v>1980s</v>
      </c>
      <c r="C40" s="730">
        <v>1987</v>
      </c>
      <c r="D40" s="731">
        <f t="shared" si="1"/>
        <v>1983</v>
      </c>
      <c r="E40" s="732">
        <f t="shared" si="2"/>
        <v>1986</v>
      </c>
      <c r="F40" s="759">
        <f t="shared" si="3"/>
        <v>145546</v>
      </c>
      <c r="G40" s="760">
        <f t="shared" si="4"/>
        <v>116993</v>
      </c>
      <c r="H40" s="760">
        <f t="shared" si="5"/>
        <v>69868</v>
      </c>
      <c r="I40" s="761">
        <f t="shared" si="6"/>
        <v>45415.839999999997</v>
      </c>
      <c r="J40" s="762">
        <f t="shared" si="7"/>
        <v>0.6500234728344878</v>
      </c>
      <c r="K40" s="763">
        <f t="shared" si="8"/>
        <v>99373.304487167072</v>
      </c>
      <c r="L40" s="764">
        <f t="shared" si="17"/>
        <v>76048.196157325234</v>
      </c>
      <c r="M40" s="762">
        <f t="shared" si="28"/>
        <v>0.44000000000000006</v>
      </c>
      <c r="N40" s="764">
        <f t="shared" si="29"/>
        <v>51476.920000000006</v>
      </c>
      <c r="O40" s="740">
        <f t="shared" si="9"/>
        <v>0.34292649987606094</v>
      </c>
      <c r="P40" s="765">
        <f t="shared" si="10"/>
        <v>44275.048805175466</v>
      </c>
      <c r="Q40" s="742">
        <f t="shared" si="11"/>
        <v>0.49364042875468361</v>
      </c>
      <c r="R40" s="743">
        <f t="shared" si="12"/>
        <v>89690.888805175462</v>
      </c>
      <c r="S40" s="744">
        <f t="shared" si="13"/>
        <v>4917.4275719928992</v>
      </c>
      <c r="T40" s="745">
        <v>2.1</v>
      </c>
      <c r="U40" s="726">
        <f t="shared" si="14"/>
        <v>4.0000000000000009</v>
      </c>
      <c r="V40" s="746">
        <f t="shared" si="15"/>
        <v>2</v>
      </c>
      <c r="W40" s="767">
        <v>0.01</v>
      </c>
      <c r="X40" s="768">
        <f t="shared" si="18"/>
        <v>1169.93</v>
      </c>
      <c r="Y40" s="747">
        <v>2.3E-2</v>
      </c>
      <c r="Z40" s="769">
        <f t="shared" si="19"/>
        <v>993.7330448716707</v>
      </c>
      <c r="AA40" s="770">
        <f t="shared" si="25"/>
        <v>760.48196157325231</v>
      </c>
      <c r="AB40" s="770">
        <f t="shared" si="26"/>
        <v>514.76920000000007</v>
      </c>
      <c r="AC40" s="770">
        <f t="shared" si="27"/>
        <v>1749.1085116184804</v>
      </c>
      <c r="AD40" s="771">
        <f t="shared" si="20"/>
        <v>760.48196157325231</v>
      </c>
      <c r="AE40" s="743">
        <f t="shared" si="21"/>
        <v>1044.56432</v>
      </c>
      <c r="AF40" s="743">
        <f t="shared" si="22"/>
        <v>2062.8904425190358</v>
      </c>
      <c r="AG40" s="773">
        <f t="shared" si="23"/>
        <v>1.7632597185464391</v>
      </c>
      <c r="AH40" s="728" t="s">
        <v>359</v>
      </c>
      <c r="AI40" s="728"/>
    </row>
    <row r="41" spans="1:39" ht="14.4" x14ac:dyDescent="0.3">
      <c r="A41" s="729" t="s">
        <v>357</v>
      </c>
      <c r="B41" s="726" t="str">
        <f t="shared" si="24"/>
        <v>1980s</v>
      </c>
      <c r="C41" s="730">
        <v>1987</v>
      </c>
      <c r="D41" s="731">
        <f t="shared" si="1"/>
        <v>1982</v>
      </c>
      <c r="E41" s="732">
        <f t="shared" si="2"/>
        <v>1985</v>
      </c>
      <c r="F41" s="759">
        <f t="shared" si="3"/>
        <v>145546</v>
      </c>
      <c r="G41" s="760">
        <f t="shared" si="4"/>
        <v>116993</v>
      </c>
      <c r="H41" s="760">
        <f t="shared" si="5"/>
        <v>69868</v>
      </c>
      <c r="I41" s="761">
        <f t="shared" si="6"/>
        <v>45415.839999999997</v>
      </c>
      <c r="J41" s="762">
        <f t="shared" si="7"/>
        <v>0.6500234728344878</v>
      </c>
      <c r="K41" s="763">
        <f t="shared" si="8"/>
        <v>99373.304487167072</v>
      </c>
      <c r="L41" s="764">
        <f t="shared" si="17"/>
        <v>76048.196157325234</v>
      </c>
      <c r="M41" s="762">
        <f t="shared" si="28"/>
        <v>0.44000000000000006</v>
      </c>
      <c r="N41" s="764">
        <f t="shared" si="29"/>
        <v>51476.920000000006</v>
      </c>
      <c r="O41" s="740">
        <f t="shared" si="9"/>
        <v>0.34292649987606094</v>
      </c>
      <c r="P41" s="765">
        <f t="shared" si="10"/>
        <v>44275.048805175466</v>
      </c>
      <c r="Q41" s="742">
        <f t="shared" si="11"/>
        <v>0.49364042875468361</v>
      </c>
      <c r="R41" s="743">
        <f t="shared" si="12"/>
        <v>89690.888805175462</v>
      </c>
      <c r="S41" s="744">
        <f t="shared" si="13"/>
        <v>4917.4275719928992</v>
      </c>
      <c r="T41" s="745">
        <v>2.2000000000000002</v>
      </c>
      <c r="U41" s="726">
        <f t="shared" si="14"/>
        <v>5.0000000000000018</v>
      </c>
      <c r="V41" s="746">
        <f t="shared" si="15"/>
        <v>2</v>
      </c>
      <c r="W41" s="767">
        <v>0.01</v>
      </c>
      <c r="X41" s="768">
        <f t="shared" si="18"/>
        <v>1169.93</v>
      </c>
      <c r="Y41" s="747">
        <v>1.6E-2</v>
      </c>
      <c r="Z41" s="769">
        <f t="shared" si="19"/>
        <v>993.7330448716707</v>
      </c>
      <c r="AA41" s="770">
        <f t="shared" si="25"/>
        <v>760.48196157325231</v>
      </c>
      <c r="AB41" s="770">
        <f t="shared" si="26"/>
        <v>514.76920000000007</v>
      </c>
      <c r="AC41" s="770">
        <f t="shared" si="27"/>
        <v>1216.7711385172038</v>
      </c>
      <c r="AD41" s="771">
        <f t="shared" si="20"/>
        <v>760.48196157325231</v>
      </c>
      <c r="AE41" s="743">
        <f t="shared" si="21"/>
        <v>726.65343999999993</v>
      </c>
      <c r="AF41" s="743">
        <f t="shared" si="22"/>
        <v>1435.0542208828074</v>
      </c>
      <c r="AG41" s="773">
        <f t="shared" si="23"/>
        <v>1.2266154563801315</v>
      </c>
      <c r="AH41" s="728" t="s">
        <v>359</v>
      </c>
      <c r="AI41" s="728"/>
    </row>
    <row r="42" spans="1:39" ht="14.4" x14ac:dyDescent="0.3">
      <c r="A42" s="729" t="s">
        <v>357</v>
      </c>
      <c r="B42" s="726" t="str">
        <f t="shared" si="24"/>
        <v>1980s</v>
      </c>
      <c r="C42" s="730">
        <v>1988</v>
      </c>
      <c r="D42" s="731">
        <f t="shared" si="1"/>
        <v>1985</v>
      </c>
      <c r="E42" s="732">
        <f t="shared" si="2"/>
        <v>1987</v>
      </c>
      <c r="F42" s="759">
        <f t="shared" si="3"/>
        <v>99780</v>
      </c>
      <c r="G42" s="760">
        <f t="shared" si="4"/>
        <v>79714</v>
      </c>
      <c r="H42" s="760">
        <f t="shared" si="5"/>
        <v>49177</v>
      </c>
      <c r="I42" s="761">
        <f t="shared" si="6"/>
        <v>38463.095999999998</v>
      </c>
      <c r="J42" s="762">
        <f t="shared" si="7"/>
        <v>0.78213587652764505</v>
      </c>
      <c r="K42" s="763">
        <f t="shared" si="8"/>
        <v>82406.806597104747</v>
      </c>
      <c r="L42" s="764">
        <f t="shared" si="17"/>
        <v>62347.179261524696</v>
      </c>
      <c r="M42" s="762">
        <f t="shared" si="28"/>
        <v>0.69</v>
      </c>
      <c r="N42" s="764">
        <f t="shared" si="29"/>
        <v>55002.659999999996</v>
      </c>
      <c r="O42" s="740">
        <f t="shared" si="9"/>
        <v>0.42624883960157561</v>
      </c>
      <c r="P42" s="765">
        <f t="shared" si="10"/>
        <v>38029.010588527155</v>
      </c>
      <c r="Q42" s="742">
        <f t="shared" si="11"/>
        <v>0.49716254767431162</v>
      </c>
      <c r="R42" s="743">
        <f t="shared" si="12"/>
        <v>76492.106588527153</v>
      </c>
      <c r="S42" s="744">
        <f t="shared" si="13"/>
        <v>1549.4111714012688</v>
      </c>
      <c r="T42" s="745">
        <v>1.1000000000000001</v>
      </c>
      <c r="U42" s="726">
        <f t="shared" si="14"/>
        <v>3.0000000000000009</v>
      </c>
      <c r="V42" s="746">
        <f t="shared" si="15"/>
        <v>1</v>
      </c>
      <c r="W42" s="767">
        <v>2E-3</v>
      </c>
      <c r="X42" s="768">
        <f t="shared" si="18"/>
        <v>159.428</v>
      </c>
      <c r="Y42" s="767">
        <v>2.1052631578947368E-3</v>
      </c>
      <c r="Z42" s="769">
        <f t="shared" si="19"/>
        <v>164.81361319420949</v>
      </c>
      <c r="AA42" s="770">
        <f t="shared" si="25"/>
        <v>124.69435852304939</v>
      </c>
      <c r="AB42" s="770">
        <f t="shared" si="26"/>
        <v>110.00532</v>
      </c>
      <c r="AC42" s="770">
        <f t="shared" si="27"/>
        <v>131.25721949794672</v>
      </c>
      <c r="AD42" s="771">
        <f t="shared" si="20"/>
        <v>124.69435852304939</v>
      </c>
      <c r="AE42" s="743">
        <f t="shared" si="21"/>
        <v>80.974938947368415</v>
      </c>
      <c r="AF42" s="772">
        <f t="shared" si="22"/>
        <v>161.03601387058347</v>
      </c>
      <c r="AG42" s="773">
        <f t="shared" si="23"/>
        <v>1.0100861446583</v>
      </c>
      <c r="AH42" s="728" t="s">
        <v>361</v>
      </c>
      <c r="AI42" s="728"/>
    </row>
    <row r="43" spans="1:39" ht="14.4" x14ac:dyDescent="0.3">
      <c r="A43" s="729" t="s">
        <v>357</v>
      </c>
      <c r="B43" s="726" t="str">
        <f t="shared" si="24"/>
        <v>1980s</v>
      </c>
      <c r="C43" s="730">
        <v>1988</v>
      </c>
      <c r="D43" s="731">
        <f t="shared" si="1"/>
        <v>1984</v>
      </c>
      <c r="E43" s="732">
        <f t="shared" si="2"/>
        <v>1986</v>
      </c>
      <c r="F43" s="759">
        <f t="shared" si="3"/>
        <v>99780</v>
      </c>
      <c r="G43" s="760">
        <f t="shared" si="4"/>
        <v>79714</v>
      </c>
      <c r="H43" s="760">
        <f t="shared" si="5"/>
        <v>49177</v>
      </c>
      <c r="I43" s="761">
        <f t="shared" si="6"/>
        <v>38463.095999999998</v>
      </c>
      <c r="J43" s="762">
        <f t="shared" si="7"/>
        <v>0.78213587652764505</v>
      </c>
      <c r="K43" s="763">
        <f t="shared" si="8"/>
        <v>82406.806597104747</v>
      </c>
      <c r="L43" s="764">
        <f t="shared" si="17"/>
        <v>62347.179261524696</v>
      </c>
      <c r="M43" s="762">
        <f t="shared" si="28"/>
        <v>0.69</v>
      </c>
      <c r="N43" s="764">
        <f t="shared" si="29"/>
        <v>55002.659999999996</v>
      </c>
      <c r="O43" s="740">
        <f t="shared" si="9"/>
        <v>0.42624883960157561</v>
      </c>
      <c r="P43" s="765">
        <f t="shared" si="10"/>
        <v>38029.010588527155</v>
      </c>
      <c r="Q43" s="742">
        <f t="shared" si="11"/>
        <v>0.49716254767431162</v>
      </c>
      <c r="R43" s="743">
        <f t="shared" si="12"/>
        <v>76492.106588527153</v>
      </c>
      <c r="S43" s="744">
        <f t="shared" si="13"/>
        <v>1549.4111714012688</v>
      </c>
      <c r="T43" s="745">
        <v>1.2</v>
      </c>
      <c r="U43" s="726">
        <f t="shared" si="14"/>
        <v>3.9999999999999996</v>
      </c>
      <c r="V43" s="746">
        <f t="shared" si="15"/>
        <v>1</v>
      </c>
      <c r="W43" s="767">
        <v>0.96899999999999997</v>
      </c>
      <c r="X43" s="768">
        <f t="shared" si="18"/>
        <v>77242.865999999995</v>
      </c>
      <c r="Y43" s="767">
        <v>0.96210526315789469</v>
      </c>
      <c r="Z43" s="769">
        <f t="shared" si="19"/>
        <v>79852.195592594493</v>
      </c>
      <c r="AA43" s="770">
        <f t="shared" si="25"/>
        <v>60414.416704417432</v>
      </c>
      <c r="AB43" s="770">
        <f t="shared" si="26"/>
        <v>53297.577539999998</v>
      </c>
      <c r="AC43" s="770">
        <f t="shared" si="27"/>
        <v>59984.549310561655</v>
      </c>
      <c r="AD43" s="771">
        <f t="shared" si="20"/>
        <v>60414.416704417432</v>
      </c>
      <c r="AE43" s="743">
        <f t="shared" si="21"/>
        <v>37005.547098947362</v>
      </c>
      <c r="AF43" s="743">
        <f t="shared" si="22"/>
        <v>73593.458338856653</v>
      </c>
      <c r="AG43" s="773">
        <f t="shared" si="23"/>
        <v>0.95275411374374253</v>
      </c>
      <c r="AH43" s="728" t="s">
        <v>362</v>
      </c>
      <c r="AI43" s="728"/>
    </row>
    <row r="44" spans="1:39" ht="14.4" x14ac:dyDescent="0.3">
      <c r="A44" s="729" t="s">
        <v>357</v>
      </c>
      <c r="B44" s="726" t="str">
        <f t="shared" si="24"/>
        <v>1980s</v>
      </c>
      <c r="C44" s="730">
        <v>1988</v>
      </c>
      <c r="D44" s="731">
        <f t="shared" si="1"/>
        <v>1983</v>
      </c>
      <c r="E44" s="732">
        <f t="shared" si="2"/>
        <v>1985</v>
      </c>
      <c r="F44" s="759">
        <f t="shared" si="3"/>
        <v>99780</v>
      </c>
      <c r="G44" s="760">
        <f t="shared" si="4"/>
        <v>79714</v>
      </c>
      <c r="H44" s="760">
        <f t="shared" si="5"/>
        <v>49177</v>
      </c>
      <c r="I44" s="761">
        <f t="shared" si="6"/>
        <v>38463.095999999998</v>
      </c>
      <c r="J44" s="762">
        <f t="shared" si="7"/>
        <v>0.78213587652764505</v>
      </c>
      <c r="K44" s="763">
        <f t="shared" si="8"/>
        <v>82406.806597104747</v>
      </c>
      <c r="L44" s="764">
        <f t="shared" si="17"/>
        <v>62347.179261524696</v>
      </c>
      <c r="M44" s="762">
        <f t="shared" si="28"/>
        <v>0.69</v>
      </c>
      <c r="N44" s="764">
        <f t="shared" si="29"/>
        <v>55002.659999999996</v>
      </c>
      <c r="O44" s="740">
        <f t="shared" si="9"/>
        <v>0.42624883960157561</v>
      </c>
      <c r="P44" s="765">
        <f t="shared" si="10"/>
        <v>38029.010588527155</v>
      </c>
      <c r="Q44" s="742">
        <f t="shared" si="11"/>
        <v>0.49716254767431162</v>
      </c>
      <c r="R44" s="743">
        <f t="shared" si="12"/>
        <v>76492.106588527153</v>
      </c>
      <c r="S44" s="744">
        <f t="shared" si="13"/>
        <v>1549.4111714012688</v>
      </c>
      <c r="T44" s="745">
        <v>1.3</v>
      </c>
      <c r="U44" s="726">
        <f t="shared" si="14"/>
        <v>5</v>
      </c>
      <c r="V44" s="746">
        <f t="shared" si="15"/>
        <v>1</v>
      </c>
      <c r="W44" s="767">
        <v>1.2999999999999999E-2</v>
      </c>
      <c r="X44" s="768">
        <f t="shared" si="18"/>
        <v>1036.2819999999999</v>
      </c>
      <c r="Y44" s="767">
        <v>1.6842105263157894E-2</v>
      </c>
      <c r="Z44" s="769">
        <f t="shared" si="19"/>
        <v>1071.2884857623617</v>
      </c>
      <c r="AA44" s="770">
        <f t="shared" si="25"/>
        <v>810.51333039982103</v>
      </c>
      <c r="AB44" s="770">
        <f t="shared" si="26"/>
        <v>715.03457999999989</v>
      </c>
      <c r="AC44" s="770">
        <f t="shared" si="27"/>
        <v>1050.0577559835738</v>
      </c>
      <c r="AD44" s="771">
        <f t="shared" si="20"/>
        <v>810.51333039982103</v>
      </c>
      <c r="AE44" s="743">
        <f t="shared" si="21"/>
        <v>647.79951157894732</v>
      </c>
      <c r="AF44" s="743">
        <f t="shared" si="22"/>
        <v>1288.2881109646678</v>
      </c>
      <c r="AG44" s="773">
        <f t="shared" si="23"/>
        <v>1.2431829472717542</v>
      </c>
      <c r="AH44" s="728" t="s">
        <v>363</v>
      </c>
      <c r="AI44" s="728"/>
    </row>
    <row r="45" spans="1:39" ht="14.4" x14ac:dyDescent="0.3">
      <c r="A45" s="729" t="s">
        <v>357</v>
      </c>
      <c r="B45" s="726" t="str">
        <f t="shared" si="24"/>
        <v>1980s</v>
      </c>
      <c r="C45" s="730">
        <v>1988</v>
      </c>
      <c r="D45" s="731">
        <f t="shared" si="1"/>
        <v>1984</v>
      </c>
      <c r="E45" s="732">
        <f t="shared" si="2"/>
        <v>1987</v>
      </c>
      <c r="F45" s="759">
        <f t="shared" si="3"/>
        <v>99780</v>
      </c>
      <c r="G45" s="760">
        <f t="shared" si="4"/>
        <v>79714</v>
      </c>
      <c r="H45" s="760">
        <f t="shared" si="5"/>
        <v>49177</v>
      </c>
      <c r="I45" s="761">
        <f t="shared" si="6"/>
        <v>38463.095999999998</v>
      </c>
      <c r="J45" s="762">
        <f t="shared" si="7"/>
        <v>0.78213587652764505</v>
      </c>
      <c r="K45" s="763">
        <f t="shared" si="8"/>
        <v>82406.806597104747</v>
      </c>
      <c r="L45" s="764">
        <f t="shared" si="17"/>
        <v>62347.179261524696</v>
      </c>
      <c r="M45" s="762">
        <f t="shared" si="28"/>
        <v>0.69</v>
      </c>
      <c r="N45" s="764">
        <f t="shared" si="29"/>
        <v>55002.659999999996</v>
      </c>
      <c r="O45" s="740">
        <f t="shared" si="9"/>
        <v>0.42624883960157561</v>
      </c>
      <c r="P45" s="765">
        <f t="shared" si="10"/>
        <v>38029.010588527155</v>
      </c>
      <c r="Q45" s="742">
        <f t="shared" si="11"/>
        <v>0.49716254767431162</v>
      </c>
      <c r="R45" s="743">
        <f t="shared" si="12"/>
        <v>76492.106588527153</v>
      </c>
      <c r="S45" s="744">
        <f t="shared" si="13"/>
        <v>1549.4111714012688</v>
      </c>
      <c r="T45" s="745">
        <v>2.1</v>
      </c>
      <c r="U45" s="726">
        <f t="shared" si="14"/>
        <v>4.0000000000000009</v>
      </c>
      <c r="V45" s="746">
        <f t="shared" si="15"/>
        <v>2</v>
      </c>
      <c r="W45" s="767">
        <v>0.01</v>
      </c>
      <c r="X45" s="768">
        <f t="shared" si="18"/>
        <v>797.14</v>
      </c>
      <c r="Y45" s="767">
        <v>1.2631578947368421E-2</v>
      </c>
      <c r="Z45" s="769">
        <f t="shared" si="19"/>
        <v>824.06806597104753</v>
      </c>
      <c r="AA45" s="770">
        <f t="shared" si="25"/>
        <v>623.47179261524695</v>
      </c>
      <c r="AB45" s="770">
        <f t="shared" si="26"/>
        <v>550.02660000000003</v>
      </c>
      <c r="AC45" s="770">
        <f t="shared" si="27"/>
        <v>787.54331698768033</v>
      </c>
      <c r="AD45" s="771">
        <f t="shared" si="20"/>
        <v>623.47179261524695</v>
      </c>
      <c r="AE45" s="743">
        <f t="shared" si="21"/>
        <v>485.84963368421046</v>
      </c>
      <c r="AF45" s="743">
        <f t="shared" si="22"/>
        <v>966.21608322350085</v>
      </c>
      <c r="AG45" s="773">
        <f t="shared" si="23"/>
        <v>1.2121033735899602</v>
      </c>
      <c r="AH45" s="728" t="s">
        <v>364</v>
      </c>
      <c r="AI45" s="728"/>
    </row>
    <row r="46" spans="1:39" ht="14.4" x14ac:dyDescent="0.3">
      <c r="A46" s="729" t="s">
        <v>357</v>
      </c>
      <c r="B46" s="726" t="str">
        <f t="shared" si="24"/>
        <v>1980s</v>
      </c>
      <c r="C46" s="730">
        <v>1988</v>
      </c>
      <c r="D46" s="731">
        <f t="shared" si="1"/>
        <v>1983</v>
      </c>
      <c r="E46" s="732">
        <f t="shared" si="2"/>
        <v>1986</v>
      </c>
      <c r="F46" s="759">
        <f t="shared" si="3"/>
        <v>99780</v>
      </c>
      <c r="G46" s="760">
        <f t="shared" si="4"/>
        <v>79714</v>
      </c>
      <c r="H46" s="760">
        <f t="shared" si="5"/>
        <v>49177</v>
      </c>
      <c r="I46" s="761">
        <f t="shared" si="6"/>
        <v>38463.095999999998</v>
      </c>
      <c r="J46" s="762">
        <f t="shared" si="7"/>
        <v>0.78213587652764505</v>
      </c>
      <c r="K46" s="763">
        <f t="shared" si="8"/>
        <v>82406.806597104747</v>
      </c>
      <c r="L46" s="764">
        <f t="shared" si="17"/>
        <v>62347.179261524696</v>
      </c>
      <c r="M46" s="762">
        <f t="shared" si="28"/>
        <v>0.69</v>
      </c>
      <c r="N46" s="764">
        <f t="shared" si="29"/>
        <v>55002.659999999996</v>
      </c>
      <c r="O46" s="740">
        <f t="shared" si="9"/>
        <v>0.42624883960157561</v>
      </c>
      <c r="P46" s="765">
        <f t="shared" si="10"/>
        <v>38029.010588527155</v>
      </c>
      <c r="Q46" s="742">
        <f t="shared" si="11"/>
        <v>0.49716254767431162</v>
      </c>
      <c r="R46" s="743">
        <f t="shared" si="12"/>
        <v>76492.106588527153</v>
      </c>
      <c r="S46" s="744">
        <f t="shared" si="13"/>
        <v>1549.4111714012688</v>
      </c>
      <c r="T46" s="745">
        <v>2.2000000000000002</v>
      </c>
      <c r="U46" s="726">
        <f t="shared" si="14"/>
        <v>5.0000000000000018</v>
      </c>
      <c r="V46" s="746">
        <f t="shared" si="15"/>
        <v>2</v>
      </c>
      <c r="W46" s="767">
        <v>6.0000000000000001E-3</v>
      </c>
      <c r="X46" s="768">
        <f t="shared" si="18"/>
        <v>478.28399999999999</v>
      </c>
      <c r="Y46" s="767">
        <v>6.3157894736842104E-3</v>
      </c>
      <c r="Z46" s="769">
        <f t="shared" si="19"/>
        <v>494.44083958262848</v>
      </c>
      <c r="AA46" s="770">
        <f t="shared" si="25"/>
        <v>374.08307556914821</v>
      </c>
      <c r="AB46" s="770">
        <f t="shared" si="26"/>
        <v>330.01596000000001</v>
      </c>
      <c r="AC46" s="770">
        <f t="shared" si="27"/>
        <v>393.77165849384016</v>
      </c>
      <c r="AD46" s="771">
        <f t="shared" si="20"/>
        <v>374.08307556914821</v>
      </c>
      <c r="AE46" s="743">
        <f t="shared" si="21"/>
        <v>242.92481684210523</v>
      </c>
      <c r="AF46" s="743">
        <f t="shared" si="22"/>
        <v>483.10804161175042</v>
      </c>
      <c r="AG46" s="773">
        <f t="shared" si="23"/>
        <v>1.0100861446583</v>
      </c>
      <c r="AH46" s="728" t="s">
        <v>365</v>
      </c>
      <c r="AI46" s="728"/>
    </row>
    <row r="47" spans="1:39" ht="14.4" x14ac:dyDescent="0.3">
      <c r="A47" s="729" t="s">
        <v>357</v>
      </c>
      <c r="B47" s="726" t="str">
        <f t="shared" si="24"/>
        <v>1980s</v>
      </c>
      <c r="C47" s="730">
        <v>1989</v>
      </c>
      <c r="D47" s="731">
        <f t="shared" si="1"/>
        <v>1986</v>
      </c>
      <c r="E47" s="732">
        <f t="shared" si="2"/>
        <v>1988</v>
      </c>
      <c r="F47" s="759">
        <f t="shared" si="3"/>
        <v>47478</v>
      </c>
      <c r="G47" s="760">
        <f t="shared" si="4"/>
        <v>41884</v>
      </c>
      <c r="H47" s="760">
        <f t="shared" si="5"/>
        <v>37360</v>
      </c>
      <c r="I47" s="761">
        <f t="shared" si="6"/>
        <v>18084.831999999999</v>
      </c>
      <c r="J47" s="762">
        <f t="shared" si="7"/>
        <v>0.48406937901498925</v>
      </c>
      <c r="K47" s="763">
        <f t="shared" si="8"/>
        <v>24095.210367813997</v>
      </c>
      <c r="L47" s="764">
        <f t="shared" si="17"/>
        <v>20274.76187066381</v>
      </c>
      <c r="M47" s="762">
        <f t="shared" si="28"/>
        <v>0.41499999999999992</v>
      </c>
      <c r="N47" s="764">
        <f t="shared" si="29"/>
        <v>17381.859999999997</v>
      </c>
      <c r="O47" s="740">
        <f t="shared" si="9"/>
        <v>0.38143443797154042</v>
      </c>
      <c r="P47" s="765">
        <f t="shared" si="10"/>
        <v>1052.3668299785866</v>
      </c>
      <c r="Q47" s="742">
        <f t="shared" si="11"/>
        <v>5.4990640967268675E-2</v>
      </c>
      <c r="R47" s="743">
        <f t="shared" si="12"/>
        <v>19137.198829978584</v>
      </c>
      <c r="S47" s="744">
        <f t="shared" si="13"/>
        <v>3845.447146895076</v>
      </c>
      <c r="T47" s="745">
        <v>1.1000000000000001</v>
      </c>
      <c r="U47" s="726">
        <f t="shared" si="14"/>
        <v>3.0000000000000009</v>
      </c>
      <c r="V47" s="746">
        <f t="shared" si="15"/>
        <v>1</v>
      </c>
      <c r="W47" s="767">
        <v>0.03</v>
      </c>
      <c r="X47" s="768">
        <f t="shared" si="18"/>
        <v>1256.52</v>
      </c>
      <c r="Y47" s="767">
        <v>3.325942350332594E-2</v>
      </c>
      <c r="Z47" s="769">
        <f t="shared" si="19"/>
        <v>722.85631103441995</v>
      </c>
      <c r="AA47" s="770">
        <f t="shared" si="25"/>
        <v>608.24285611991422</v>
      </c>
      <c r="AB47" s="770">
        <f t="shared" si="26"/>
        <v>521.45579999999984</v>
      </c>
      <c r="AC47" s="770">
        <f t="shared" si="27"/>
        <v>674.32689148549252</v>
      </c>
      <c r="AD47" s="771">
        <f t="shared" si="20"/>
        <v>608.24285611991422</v>
      </c>
      <c r="AE47" s="743">
        <f t="shared" si="21"/>
        <v>601.491086474501</v>
      </c>
      <c r="AF47" s="772">
        <f t="shared" si="22"/>
        <v>636.49220055361138</v>
      </c>
      <c r="AG47" s="773">
        <f t="shared" si="23"/>
        <v>0.5065515873632026</v>
      </c>
      <c r="AH47" s="728" t="s">
        <v>366</v>
      </c>
      <c r="AI47" s="728"/>
    </row>
    <row r="48" spans="1:39" ht="14.4" x14ac:dyDescent="0.3">
      <c r="A48" s="729" t="s">
        <v>357</v>
      </c>
      <c r="B48" s="726" t="str">
        <f t="shared" si="24"/>
        <v>1980s</v>
      </c>
      <c r="C48" s="730">
        <v>1989</v>
      </c>
      <c r="D48" s="731">
        <f t="shared" si="1"/>
        <v>1985</v>
      </c>
      <c r="E48" s="732">
        <f t="shared" si="2"/>
        <v>1987</v>
      </c>
      <c r="F48" s="759">
        <f t="shared" si="3"/>
        <v>47478</v>
      </c>
      <c r="G48" s="760">
        <f t="shared" si="4"/>
        <v>41884</v>
      </c>
      <c r="H48" s="760">
        <f t="shared" si="5"/>
        <v>37360</v>
      </c>
      <c r="I48" s="761">
        <f t="shared" si="6"/>
        <v>18084.831999999999</v>
      </c>
      <c r="J48" s="762">
        <f t="shared" si="7"/>
        <v>0.48406937901498925</v>
      </c>
      <c r="K48" s="763">
        <f t="shared" si="8"/>
        <v>24095.210367813997</v>
      </c>
      <c r="L48" s="764">
        <f t="shared" si="17"/>
        <v>20274.76187066381</v>
      </c>
      <c r="M48" s="762">
        <f t="shared" si="28"/>
        <v>0.41499999999999992</v>
      </c>
      <c r="N48" s="764">
        <f t="shared" si="29"/>
        <v>17381.859999999997</v>
      </c>
      <c r="O48" s="740">
        <f t="shared" si="9"/>
        <v>0.38143443797154042</v>
      </c>
      <c r="P48" s="765">
        <f t="shared" si="10"/>
        <v>1052.3668299785866</v>
      </c>
      <c r="Q48" s="742">
        <f t="shared" si="11"/>
        <v>5.4990640967268675E-2</v>
      </c>
      <c r="R48" s="743">
        <f t="shared" si="12"/>
        <v>19137.198829978584</v>
      </c>
      <c r="S48" s="744">
        <f t="shared" si="13"/>
        <v>3845.447146895076</v>
      </c>
      <c r="T48" s="745">
        <v>1.2</v>
      </c>
      <c r="U48" s="726">
        <f t="shared" si="14"/>
        <v>3.9999999999999996</v>
      </c>
      <c r="V48" s="746">
        <f t="shared" si="15"/>
        <v>1</v>
      </c>
      <c r="W48" s="767">
        <v>0.93100000000000005</v>
      </c>
      <c r="X48" s="768">
        <f t="shared" si="18"/>
        <v>38994.004000000001</v>
      </c>
      <c r="Y48" s="767">
        <v>0.92904656319290468</v>
      </c>
      <c r="Z48" s="769">
        <f t="shared" si="19"/>
        <v>22432.640852434834</v>
      </c>
      <c r="AA48" s="770">
        <f t="shared" si="25"/>
        <v>18875.803301588006</v>
      </c>
      <c r="AB48" s="770">
        <f t="shared" si="26"/>
        <v>16182.511659999998</v>
      </c>
      <c r="AC48" s="770">
        <f t="shared" si="27"/>
        <v>18836.197835494761</v>
      </c>
      <c r="AD48" s="771">
        <f t="shared" si="20"/>
        <v>18875.803301588006</v>
      </c>
      <c r="AE48" s="743">
        <f t="shared" si="21"/>
        <v>16801.651015521064</v>
      </c>
      <c r="AF48" s="743">
        <f t="shared" si="22"/>
        <v>17779.34880213088</v>
      </c>
      <c r="AG48" s="773">
        <f t="shared" si="23"/>
        <v>0.4559508380347625</v>
      </c>
      <c r="AH48" s="728" t="s">
        <v>366</v>
      </c>
      <c r="AI48" s="728"/>
    </row>
    <row r="49" spans="1:34" s="728" customFormat="1" ht="14.4" x14ac:dyDescent="0.3">
      <c r="A49" s="729" t="s">
        <v>357</v>
      </c>
      <c r="B49" s="726" t="str">
        <f t="shared" si="24"/>
        <v>1980s</v>
      </c>
      <c r="C49" s="730">
        <v>1989</v>
      </c>
      <c r="D49" s="731">
        <f t="shared" si="1"/>
        <v>1984</v>
      </c>
      <c r="E49" s="732">
        <f t="shared" si="2"/>
        <v>1986</v>
      </c>
      <c r="F49" s="759">
        <f t="shared" si="3"/>
        <v>47478</v>
      </c>
      <c r="G49" s="760">
        <f t="shared" si="4"/>
        <v>41884</v>
      </c>
      <c r="H49" s="760">
        <f t="shared" si="5"/>
        <v>37360</v>
      </c>
      <c r="I49" s="761">
        <f t="shared" si="6"/>
        <v>18084.831999999999</v>
      </c>
      <c r="J49" s="762">
        <f t="shared" si="7"/>
        <v>0.48406937901498925</v>
      </c>
      <c r="K49" s="763">
        <f t="shared" si="8"/>
        <v>24095.210367813997</v>
      </c>
      <c r="L49" s="764">
        <f t="shared" si="17"/>
        <v>20274.76187066381</v>
      </c>
      <c r="M49" s="762">
        <f t="shared" si="28"/>
        <v>0.41499999999999992</v>
      </c>
      <c r="N49" s="764">
        <f t="shared" si="29"/>
        <v>17381.859999999997</v>
      </c>
      <c r="O49" s="740">
        <f t="shared" si="9"/>
        <v>0.38143443797154042</v>
      </c>
      <c r="P49" s="765">
        <f t="shared" si="10"/>
        <v>1052.3668299785866</v>
      </c>
      <c r="Q49" s="742">
        <f t="shared" si="11"/>
        <v>5.4990640967268675E-2</v>
      </c>
      <c r="R49" s="743">
        <f t="shared" si="12"/>
        <v>19137.198829978584</v>
      </c>
      <c r="S49" s="744">
        <f t="shared" si="13"/>
        <v>3845.447146895076</v>
      </c>
      <c r="T49" s="745">
        <v>1.3</v>
      </c>
      <c r="U49" s="726">
        <f t="shared" si="14"/>
        <v>5</v>
      </c>
      <c r="V49" s="746">
        <f t="shared" si="15"/>
        <v>1</v>
      </c>
      <c r="W49" s="767">
        <v>2.7E-2</v>
      </c>
      <c r="X49" s="768">
        <f t="shared" si="18"/>
        <v>1130.8679999999999</v>
      </c>
      <c r="Y49" s="767">
        <v>2.6607538802660754E-2</v>
      </c>
      <c r="Z49" s="769">
        <f t="shared" si="19"/>
        <v>650.57067993097792</v>
      </c>
      <c r="AA49" s="770">
        <f t="shared" si="25"/>
        <v>547.41857050792282</v>
      </c>
      <c r="AB49" s="770">
        <f t="shared" si="26"/>
        <v>469.3102199999999</v>
      </c>
      <c r="AC49" s="770">
        <f t="shared" si="27"/>
        <v>539.46151318839406</v>
      </c>
      <c r="AD49" s="771">
        <f t="shared" si="20"/>
        <v>547.41857050792282</v>
      </c>
      <c r="AE49" s="743">
        <f t="shared" si="21"/>
        <v>481.19286917960085</v>
      </c>
      <c r="AF49" s="743">
        <f t="shared" si="22"/>
        <v>509.19376044288919</v>
      </c>
      <c r="AG49" s="773">
        <f t="shared" si="23"/>
        <v>0.45026807765618021</v>
      </c>
      <c r="AH49" s="728" t="s">
        <v>366</v>
      </c>
    </row>
    <row r="50" spans="1:34" s="728" customFormat="1" ht="14.4" x14ac:dyDescent="0.3">
      <c r="A50" s="729" t="s">
        <v>357</v>
      </c>
      <c r="B50" s="726" t="str">
        <f t="shared" si="24"/>
        <v>1980s</v>
      </c>
      <c r="C50" s="730">
        <v>1989</v>
      </c>
      <c r="D50" s="731">
        <f t="shared" si="1"/>
        <v>1985</v>
      </c>
      <c r="E50" s="732">
        <f t="shared" si="2"/>
        <v>1988</v>
      </c>
      <c r="F50" s="759">
        <f t="shared" si="3"/>
        <v>47478</v>
      </c>
      <c r="G50" s="760">
        <f t="shared" si="4"/>
        <v>41884</v>
      </c>
      <c r="H50" s="760">
        <f t="shared" si="5"/>
        <v>37360</v>
      </c>
      <c r="I50" s="761">
        <f t="shared" si="6"/>
        <v>18084.831999999999</v>
      </c>
      <c r="J50" s="762">
        <f t="shared" si="7"/>
        <v>0.48406937901498925</v>
      </c>
      <c r="K50" s="763">
        <f t="shared" si="8"/>
        <v>24095.210367813997</v>
      </c>
      <c r="L50" s="764">
        <f t="shared" si="17"/>
        <v>20274.76187066381</v>
      </c>
      <c r="M50" s="762">
        <f t="shared" si="28"/>
        <v>0.41499999999999992</v>
      </c>
      <c r="N50" s="764">
        <f t="shared" si="29"/>
        <v>17381.859999999997</v>
      </c>
      <c r="O50" s="740">
        <f t="shared" si="9"/>
        <v>0.38143443797154042</v>
      </c>
      <c r="P50" s="765">
        <f t="shared" si="10"/>
        <v>1052.3668299785866</v>
      </c>
      <c r="Q50" s="742">
        <f t="shared" si="11"/>
        <v>5.4990640967268675E-2</v>
      </c>
      <c r="R50" s="743">
        <f t="shared" si="12"/>
        <v>19137.198829978584</v>
      </c>
      <c r="S50" s="744">
        <f t="shared" si="13"/>
        <v>3845.447146895076</v>
      </c>
      <c r="T50" s="745">
        <v>2.1</v>
      </c>
      <c r="U50" s="726">
        <f t="shared" si="14"/>
        <v>4.0000000000000009</v>
      </c>
      <c r="V50" s="746">
        <f t="shared" si="15"/>
        <v>2</v>
      </c>
      <c r="W50" s="767">
        <v>6.0000000000000001E-3</v>
      </c>
      <c r="X50" s="768">
        <f t="shared" si="18"/>
        <v>251.304</v>
      </c>
      <c r="Y50" s="767">
        <v>6.6518847006651885E-3</v>
      </c>
      <c r="Z50" s="769">
        <f t="shared" si="19"/>
        <v>144.571262206884</v>
      </c>
      <c r="AA50" s="770">
        <f t="shared" si="25"/>
        <v>121.64857122398286</v>
      </c>
      <c r="AB50" s="770">
        <f t="shared" si="26"/>
        <v>104.29115999999999</v>
      </c>
      <c r="AC50" s="770">
        <f t="shared" si="27"/>
        <v>134.86537829709852</v>
      </c>
      <c r="AD50" s="771">
        <f t="shared" si="20"/>
        <v>121.64857122398286</v>
      </c>
      <c r="AE50" s="743">
        <f t="shared" si="21"/>
        <v>120.29821729490021</v>
      </c>
      <c r="AF50" s="743">
        <f t="shared" si="22"/>
        <v>127.2984401107223</v>
      </c>
      <c r="AG50" s="773">
        <f t="shared" si="23"/>
        <v>0.50655158736320272</v>
      </c>
      <c r="AH50" s="728" t="s">
        <v>366</v>
      </c>
    </row>
    <row r="51" spans="1:34" s="728" customFormat="1" ht="14.4" x14ac:dyDescent="0.3">
      <c r="A51" s="729" t="s">
        <v>357</v>
      </c>
      <c r="B51" s="726" t="str">
        <f t="shared" si="24"/>
        <v>1980s</v>
      </c>
      <c r="C51" s="730">
        <v>1989</v>
      </c>
      <c r="D51" s="731">
        <f t="shared" si="1"/>
        <v>1984</v>
      </c>
      <c r="E51" s="732">
        <f t="shared" si="2"/>
        <v>1987</v>
      </c>
      <c r="F51" s="759">
        <f t="shared" si="3"/>
        <v>47478</v>
      </c>
      <c r="G51" s="760">
        <f t="shared" si="4"/>
        <v>41884</v>
      </c>
      <c r="H51" s="760">
        <f t="shared" si="5"/>
        <v>37360</v>
      </c>
      <c r="I51" s="761">
        <f t="shared" si="6"/>
        <v>18084.831999999999</v>
      </c>
      <c r="J51" s="762">
        <f t="shared" si="7"/>
        <v>0.48406937901498925</v>
      </c>
      <c r="K51" s="763">
        <f t="shared" si="8"/>
        <v>24095.210367813997</v>
      </c>
      <c r="L51" s="764">
        <f t="shared" si="17"/>
        <v>20274.76187066381</v>
      </c>
      <c r="M51" s="762">
        <f t="shared" si="28"/>
        <v>0.41499999999999992</v>
      </c>
      <c r="N51" s="764">
        <f t="shared" si="29"/>
        <v>17381.859999999997</v>
      </c>
      <c r="O51" s="740">
        <f t="shared" si="9"/>
        <v>0.38143443797154042</v>
      </c>
      <c r="P51" s="765">
        <f t="shared" si="10"/>
        <v>1052.3668299785866</v>
      </c>
      <c r="Q51" s="742">
        <f t="shared" si="11"/>
        <v>5.4990640967268675E-2</v>
      </c>
      <c r="R51" s="743">
        <f t="shared" si="12"/>
        <v>19137.198829978584</v>
      </c>
      <c r="S51" s="744">
        <f t="shared" si="13"/>
        <v>3845.447146895076</v>
      </c>
      <c r="T51" s="745">
        <v>2.2000000000000002</v>
      </c>
      <c r="U51" s="726">
        <f t="shared" si="14"/>
        <v>5.0000000000000018</v>
      </c>
      <c r="V51" s="746">
        <f t="shared" si="15"/>
        <v>2</v>
      </c>
      <c r="W51" s="767">
        <v>5.0000000000000001E-3</v>
      </c>
      <c r="X51" s="768">
        <f t="shared" si="18"/>
        <v>209.42000000000002</v>
      </c>
      <c r="Y51" s="767">
        <v>4.434589800443459E-3</v>
      </c>
      <c r="Z51" s="769">
        <f t="shared" si="19"/>
        <v>120.47605183907</v>
      </c>
      <c r="AA51" s="770">
        <f t="shared" si="25"/>
        <v>101.37380935331905</v>
      </c>
      <c r="AB51" s="770">
        <f t="shared" si="26"/>
        <v>86.909299999999988</v>
      </c>
      <c r="AC51" s="770">
        <f t="shared" si="27"/>
        <v>89.910252198065677</v>
      </c>
      <c r="AD51" s="771">
        <f t="shared" si="20"/>
        <v>101.37380935331905</v>
      </c>
      <c r="AE51" s="743">
        <f t="shared" si="21"/>
        <v>80.198811529933479</v>
      </c>
      <c r="AF51" s="743">
        <f t="shared" si="22"/>
        <v>84.865626740481531</v>
      </c>
      <c r="AG51" s="773">
        <f t="shared" si="23"/>
        <v>0.40524126989056214</v>
      </c>
      <c r="AH51" s="728" t="s">
        <v>366</v>
      </c>
    </row>
    <row r="52" spans="1:34" s="728" customFormat="1" ht="14.4" x14ac:dyDescent="0.3">
      <c r="A52" s="729" t="s">
        <v>357</v>
      </c>
      <c r="B52" s="726" t="str">
        <f t="shared" si="24"/>
        <v>1980s</v>
      </c>
      <c r="C52" s="730">
        <v>1990</v>
      </c>
      <c r="D52" s="731">
        <f t="shared" si="1"/>
        <v>1987</v>
      </c>
      <c r="E52" s="732">
        <f t="shared" si="2"/>
        <v>1989</v>
      </c>
      <c r="F52" s="759">
        <f t="shared" si="3"/>
        <v>49754</v>
      </c>
      <c r="G52" s="760">
        <f t="shared" si="4"/>
        <v>49581</v>
      </c>
      <c r="H52" s="760">
        <f t="shared" si="5"/>
        <v>44143</v>
      </c>
      <c r="I52" s="761">
        <f t="shared" si="6"/>
        <v>8613.387999999999</v>
      </c>
      <c r="J52" s="762">
        <f t="shared" si="7"/>
        <v>0.19512466302698048</v>
      </c>
      <c r="K52" s="763">
        <f t="shared" si="8"/>
        <v>10628.613606811994</v>
      </c>
      <c r="L52" s="764">
        <f t="shared" si="17"/>
        <v>9674.4759175407198</v>
      </c>
      <c r="M52" s="762">
        <f t="shared" si="28"/>
        <v>0.25</v>
      </c>
      <c r="N52" s="764">
        <f t="shared" si="29"/>
        <v>12395.25</v>
      </c>
      <c r="O52" s="740">
        <f t="shared" si="9"/>
        <v>0.15346604546096287</v>
      </c>
      <c r="P52" s="765">
        <f t="shared" si="10"/>
        <v>563.71515148494655</v>
      </c>
      <c r="Q52" s="742">
        <f t="shared" si="11"/>
        <v>6.1426262969892835E-2</v>
      </c>
      <c r="R52" s="743">
        <f t="shared" si="12"/>
        <v>9177.1031514849456</v>
      </c>
      <c r="S52" s="744">
        <f t="shared" si="13"/>
        <v>531.12933275944124</v>
      </c>
      <c r="T52" s="775">
        <v>1.1000000000000001</v>
      </c>
      <c r="U52" s="726">
        <f t="shared" si="14"/>
        <v>3.0000000000000009</v>
      </c>
      <c r="V52" s="746">
        <f t="shared" si="15"/>
        <v>1</v>
      </c>
      <c r="W52" s="777">
        <v>0.45200000000000001</v>
      </c>
      <c r="X52" s="768">
        <f t="shared" si="18"/>
        <v>22410.612000000001</v>
      </c>
      <c r="Y52" s="778">
        <v>0.58128078817733986</v>
      </c>
      <c r="Z52" s="769">
        <f t="shared" si="19"/>
        <v>4804.1333502790212</v>
      </c>
      <c r="AA52" s="770">
        <f t="shared" si="25"/>
        <v>4372.8631147284059</v>
      </c>
      <c r="AB52" s="770">
        <f t="shared" si="26"/>
        <v>5602.6530000000002</v>
      </c>
      <c r="AC52" s="770">
        <f t="shared" si="27"/>
        <v>5623.586986550763</v>
      </c>
      <c r="AD52" s="771">
        <f t="shared" si="20"/>
        <v>4372.8631147284059</v>
      </c>
      <c r="AE52" s="743">
        <f t="shared" si="21"/>
        <v>5006.7969655172401</v>
      </c>
      <c r="AF52" s="772">
        <f t="shared" si="22"/>
        <v>5334.4737530799184</v>
      </c>
      <c r="AG52" s="773">
        <f t="shared" si="23"/>
        <v>0.2380333813766406</v>
      </c>
      <c r="AH52" s="728" t="s">
        <v>367</v>
      </c>
    </row>
    <row r="53" spans="1:34" s="728" customFormat="1" ht="14.4" x14ac:dyDescent="0.3">
      <c r="A53" s="729" t="s">
        <v>357</v>
      </c>
      <c r="B53" s="726" t="str">
        <f t="shared" si="24"/>
        <v>1980s</v>
      </c>
      <c r="C53" s="730">
        <v>1990</v>
      </c>
      <c r="D53" s="731">
        <f t="shared" si="1"/>
        <v>1986</v>
      </c>
      <c r="E53" s="732">
        <f t="shared" si="2"/>
        <v>1988</v>
      </c>
      <c r="F53" s="759">
        <f t="shared" si="3"/>
        <v>49754</v>
      </c>
      <c r="G53" s="760">
        <f t="shared" si="4"/>
        <v>49581</v>
      </c>
      <c r="H53" s="760">
        <f t="shared" si="5"/>
        <v>44143</v>
      </c>
      <c r="I53" s="761">
        <f t="shared" si="6"/>
        <v>8613.387999999999</v>
      </c>
      <c r="J53" s="762">
        <f t="shared" si="7"/>
        <v>0.19512466302698048</v>
      </c>
      <c r="K53" s="763">
        <f t="shared" si="8"/>
        <v>10628.613606811994</v>
      </c>
      <c r="L53" s="764">
        <f t="shared" si="17"/>
        <v>9674.4759175407198</v>
      </c>
      <c r="M53" s="762">
        <f t="shared" si="28"/>
        <v>0.25</v>
      </c>
      <c r="N53" s="764">
        <f t="shared" si="29"/>
        <v>12395.25</v>
      </c>
      <c r="O53" s="740">
        <f t="shared" si="9"/>
        <v>0.15346604546096287</v>
      </c>
      <c r="P53" s="765">
        <f t="shared" si="10"/>
        <v>563.71515148494655</v>
      </c>
      <c r="Q53" s="742">
        <f t="shared" si="11"/>
        <v>6.1426262969892835E-2</v>
      </c>
      <c r="R53" s="743">
        <f t="shared" si="12"/>
        <v>9177.1031514849456</v>
      </c>
      <c r="S53" s="744">
        <f t="shared" si="13"/>
        <v>531.12933275944124</v>
      </c>
      <c r="T53" s="745">
        <v>1.2</v>
      </c>
      <c r="U53" s="726">
        <f t="shared" si="14"/>
        <v>3.9999999999999996</v>
      </c>
      <c r="V53" s="746">
        <f t="shared" si="15"/>
        <v>1</v>
      </c>
      <c r="W53" s="767">
        <v>0.26200000000000001</v>
      </c>
      <c r="X53" s="768">
        <f t="shared" si="18"/>
        <v>12990.222</v>
      </c>
      <c r="Y53" s="767">
        <v>0.25123152709359609</v>
      </c>
      <c r="Z53" s="769">
        <f t="shared" si="19"/>
        <v>2784.6967649847425</v>
      </c>
      <c r="AA53" s="770">
        <f t="shared" si="25"/>
        <v>2534.7126903956687</v>
      </c>
      <c r="AB53" s="770">
        <f t="shared" si="26"/>
        <v>3247.5554999999999</v>
      </c>
      <c r="AC53" s="770">
        <f t="shared" si="27"/>
        <v>2430.5333585939743</v>
      </c>
      <c r="AD53" s="771">
        <f t="shared" si="20"/>
        <v>2534.7126903956687</v>
      </c>
      <c r="AE53" s="743">
        <f t="shared" si="21"/>
        <v>2163.9546206896553</v>
      </c>
      <c r="AF53" s="743">
        <f t="shared" si="22"/>
        <v>2305.577639043016</v>
      </c>
      <c r="AG53" s="773">
        <f t="shared" si="23"/>
        <v>0.17748562257388797</v>
      </c>
      <c r="AH53" s="728" t="s">
        <v>367</v>
      </c>
    </row>
    <row r="54" spans="1:34" s="728" customFormat="1" ht="14.4" x14ac:dyDescent="0.3">
      <c r="A54" s="729" t="s">
        <v>357</v>
      </c>
      <c r="B54" s="726" t="str">
        <f t="shared" si="24"/>
        <v>1980s</v>
      </c>
      <c r="C54" s="730">
        <v>1990</v>
      </c>
      <c r="D54" s="731">
        <f t="shared" si="1"/>
        <v>1985</v>
      </c>
      <c r="E54" s="732">
        <f t="shared" si="2"/>
        <v>1987</v>
      </c>
      <c r="F54" s="759">
        <f t="shared" si="3"/>
        <v>49754</v>
      </c>
      <c r="G54" s="760">
        <f t="shared" si="4"/>
        <v>49581</v>
      </c>
      <c r="H54" s="760">
        <f t="shared" si="5"/>
        <v>44143</v>
      </c>
      <c r="I54" s="761">
        <f t="shared" si="6"/>
        <v>8613.387999999999</v>
      </c>
      <c r="J54" s="762">
        <f t="shared" si="7"/>
        <v>0.19512466302698048</v>
      </c>
      <c r="K54" s="763">
        <f t="shared" si="8"/>
        <v>10628.613606811994</v>
      </c>
      <c r="L54" s="764">
        <f t="shared" si="17"/>
        <v>9674.4759175407198</v>
      </c>
      <c r="M54" s="762">
        <f t="shared" si="28"/>
        <v>0.25</v>
      </c>
      <c r="N54" s="764">
        <f t="shared" si="29"/>
        <v>12395.25</v>
      </c>
      <c r="O54" s="740">
        <f t="shared" si="9"/>
        <v>0.15346604546096287</v>
      </c>
      <c r="P54" s="765">
        <f t="shared" si="10"/>
        <v>563.71515148494655</v>
      </c>
      <c r="Q54" s="742">
        <f t="shared" si="11"/>
        <v>6.1426262969892835E-2</v>
      </c>
      <c r="R54" s="743">
        <f t="shared" si="12"/>
        <v>9177.1031514849456</v>
      </c>
      <c r="S54" s="744">
        <f t="shared" si="13"/>
        <v>531.12933275944124</v>
      </c>
      <c r="T54" s="745">
        <v>1.3</v>
      </c>
      <c r="U54" s="726">
        <f t="shared" si="14"/>
        <v>5</v>
      </c>
      <c r="V54" s="746">
        <f t="shared" si="15"/>
        <v>1</v>
      </c>
      <c r="W54" s="777">
        <v>0.22600000000000001</v>
      </c>
      <c r="X54" s="768">
        <f t="shared" si="18"/>
        <v>11205.306</v>
      </c>
      <c r="Y54" s="778">
        <v>0.10591133004926108</v>
      </c>
      <c r="Z54" s="769">
        <f t="shared" si="19"/>
        <v>2402.0666751395106</v>
      </c>
      <c r="AA54" s="770">
        <f t="shared" si="25"/>
        <v>2186.4315573642029</v>
      </c>
      <c r="AB54" s="770">
        <f t="shared" si="26"/>
        <v>2801.3265000000001</v>
      </c>
      <c r="AC54" s="770">
        <f t="shared" si="27"/>
        <v>1024.6366119562831</v>
      </c>
      <c r="AD54" s="771">
        <f t="shared" si="20"/>
        <v>2186.4315573642029</v>
      </c>
      <c r="AE54" s="743">
        <f t="shared" si="21"/>
        <v>912.25537931034467</v>
      </c>
      <c r="AF54" s="743">
        <f t="shared" si="22"/>
        <v>971.95920077303606</v>
      </c>
      <c r="AG54" s="773">
        <f t="shared" si="23"/>
        <v>8.6740977959284288E-2</v>
      </c>
      <c r="AH54" s="728" t="s">
        <v>367</v>
      </c>
    </row>
    <row r="55" spans="1:34" s="728" customFormat="1" ht="14.4" x14ac:dyDescent="0.3">
      <c r="A55" s="729" t="s">
        <v>357</v>
      </c>
      <c r="B55" s="726" t="str">
        <f t="shared" si="24"/>
        <v>1980s</v>
      </c>
      <c r="C55" s="730">
        <v>1990</v>
      </c>
      <c r="D55" s="731">
        <f t="shared" si="1"/>
        <v>1986</v>
      </c>
      <c r="E55" s="732">
        <f t="shared" si="2"/>
        <v>1989</v>
      </c>
      <c r="F55" s="759">
        <f t="shared" si="3"/>
        <v>49754</v>
      </c>
      <c r="G55" s="760">
        <f t="shared" si="4"/>
        <v>49581</v>
      </c>
      <c r="H55" s="760">
        <f t="shared" si="5"/>
        <v>44143</v>
      </c>
      <c r="I55" s="761">
        <f t="shared" si="6"/>
        <v>8613.387999999999</v>
      </c>
      <c r="J55" s="762">
        <f t="shared" si="7"/>
        <v>0.19512466302698048</v>
      </c>
      <c r="K55" s="763">
        <f t="shared" si="8"/>
        <v>10628.613606811994</v>
      </c>
      <c r="L55" s="764">
        <f t="shared" si="17"/>
        <v>9674.4759175407198</v>
      </c>
      <c r="M55" s="762">
        <f t="shared" si="28"/>
        <v>0.25</v>
      </c>
      <c r="N55" s="764">
        <f t="shared" si="29"/>
        <v>12395.25</v>
      </c>
      <c r="O55" s="740">
        <f t="shared" si="9"/>
        <v>0.15346604546096287</v>
      </c>
      <c r="P55" s="765">
        <f t="shared" si="10"/>
        <v>563.71515148494655</v>
      </c>
      <c r="Q55" s="742">
        <f t="shared" si="11"/>
        <v>6.1426262969892835E-2</v>
      </c>
      <c r="R55" s="743">
        <f t="shared" si="12"/>
        <v>9177.1031514849456</v>
      </c>
      <c r="S55" s="744">
        <f t="shared" si="13"/>
        <v>531.12933275944124</v>
      </c>
      <c r="T55" s="745">
        <v>2.1</v>
      </c>
      <c r="U55" s="726">
        <f t="shared" si="14"/>
        <v>4.0000000000000009</v>
      </c>
      <c r="V55" s="746">
        <f t="shared" si="15"/>
        <v>2</v>
      </c>
      <c r="W55" s="767">
        <v>1.9E-2</v>
      </c>
      <c r="X55" s="768">
        <f t="shared" si="18"/>
        <v>942.03899999999999</v>
      </c>
      <c r="Y55" s="767">
        <v>2.4630541871921183E-2</v>
      </c>
      <c r="Z55" s="769">
        <f t="shared" si="19"/>
        <v>201.94365852942789</v>
      </c>
      <c r="AA55" s="770">
        <f t="shared" si="25"/>
        <v>183.81504243327367</v>
      </c>
      <c r="AB55" s="770">
        <f t="shared" si="26"/>
        <v>235.50975</v>
      </c>
      <c r="AC55" s="770">
        <f t="shared" si="27"/>
        <v>238.2875841758798</v>
      </c>
      <c r="AD55" s="771">
        <f t="shared" si="20"/>
        <v>183.81504243327367</v>
      </c>
      <c r="AE55" s="743">
        <f t="shared" si="21"/>
        <v>212.15241379310342</v>
      </c>
      <c r="AF55" s="743">
        <f t="shared" si="22"/>
        <v>226.03702343558982</v>
      </c>
      <c r="AG55" s="773">
        <f t="shared" si="23"/>
        <v>0.23994444331454412</v>
      </c>
      <c r="AH55" s="728" t="s">
        <v>367</v>
      </c>
    </row>
    <row r="56" spans="1:34" s="728" customFormat="1" ht="14.4" x14ac:dyDescent="0.3">
      <c r="A56" s="729" t="s">
        <v>357</v>
      </c>
      <c r="B56" s="726" t="str">
        <f t="shared" si="24"/>
        <v>1980s</v>
      </c>
      <c r="C56" s="730">
        <v>1990</v>
      </c>
      <c r="D56" s="731">
        <f t="shared" si="1"/>
        <v>1985</v>
      </c>
      <c r="E56" s="732">
        <f t="shared" si="2"/>
        <v>1988</v>
      </c>
      <c r="F56" s="759">
        <f t="shared" si="3"/>
        <v>49754</v>
      </c>
      <c r="G56" s="760">
        <f t="shared" si="4"/>
        <v>49581</v>
      </c>
      <c r="H56" s="760">
        <f t="shared" si="5"/>
        <v>44143</v>
      </c>
      <c r="I56" s="761">
        <f t="shared" si="6"/>
        <v>8613.387999999999</v>
      </c>
      <c r="J56" s="762">
        <f t="shared" si="7"/>
        <v>0.19512466302698048</v>
      </c>
      <c r="K56" s="763">
        <f t="shared" si="8"/>
        <v>10628.613606811994</v>
      </c>
      <c r="L56" s="764">
        <f t="shared" si="17"/>
        <v>9674.4759175407198</v>
      </c>
      <c r="M56" s="762">
        <f t="shared" si="28"/>
        <v>0.25</v>
      </c>
      <c r="N56" s="764">
        <f t="shared" si="29"/>
        <v>12395.25</v>
      </c>
      <c r="O56" s="740">
        <f t="shared" si="9"/>
        <v>0.15346604546096287</v>
      </c>
      <c r="P56" s="765">
        <f t="shared" si="10"/>
        <v>563.71515148494655</v>
      </c>
      <c r="Q56" s="742">
        <f t="shared" si="11"/>
        <v>6.1426262969892835E-2</v>
      </c>
      <c r="R56" s="743">
        <f t="shared" si="12"/>
        <v>9177.1031514849456</v>
      </c>
      <c r="S56" s="744">
        <f t="shared" si="13"/>
        <v>531.12933275944124</v>
      </c>
      <c r="T56" s="745">
        <v>2.2000000000000002</v>
      </c>
      <c r="U56" s="726">
        <f t="shared" si="14"/>
        <v>5.0000000000000018</v>
      </c>
      <c r="V56" s="746">
        <f t="shared" si="15"/>
        <v>2</v>
      </c>
      <c r="W56" s="767">
        <v>3.5000000000000003E-2</v>
      </c>
      <c r="X56" s="768">
        <f t="shared" si="18"/>
        <v>1735.3350000000003</v>
      </c>
      <c r="Y56" s="767">
        <v>2.9556650246305417E-2</v>
      </c>
      <c r="Z56" s="769">
        <f t="shared" si="19"/>
        <v>372.00147623841985</v>
      </c>
      <c r="AA56" s="770">
        <f t="shared" si="25"/>
        <v>338.60665711392522</v>
      </c>
      <c r="AB56" s="770">
        <f t="shared" si="26"/>
        <v>433.83375000000007</v>
      </c>
      <c r="AC56" s="770">
        <f t="shared" si="27"/>
        <v>285.94510101105573</v>
      </c>
      <c r="AD56" s="771">
        <f t="shared" si="20"/>
        <v>338.60665711392522</v>
      </c>
      <c r="AE56" s="743">
        <f t="shared" si="21"/>
        <v>254.5828965517241</v>
      </c>
      <c r="AF56" s="743">
        <f t="shared" si="22"/>
        <v>271.24442812270775</v>
      </c>
      <c r="AG56" s="773">
        <f t="shared" si="23"/>
        <v>0.15630666593061726</v>
      </c>
      <c r="AH56" s="728" t="s">
        <v>367</v>
      </c>
    </row>
    <row r="57" spans="1:34" s="728" customFormat="1" ht="14.4" x14ac:dyDescent="0.3">
      <c r="A57" s="729" t="s">
        <v>357</v>
      </c>
      <c r="B57" s="726" t="str">
        <f t="shared" si="24"/>
        <v>1980s</v>
      </c>
      <c r="C57" s="730">
        <v>1990</v>
      </c>
      <c r="D57" s="731">
        <f t="shared" si="1"/>
        <v>1984</v>
      </c>
      <c r="E57" s="732">
        <f t="shared" si="2"/>
        <v>1987</v>
      </c>
      <c r="F57" s="759">
        <f t="shared" si="3"/>
        <v>49754</v>
      </c>
      <c r="G57" s="760">
        <f t="shared" si="4"/>
        <v>49581</v>
      </c>
      <c r="H57" s="760">
        <f t="shared" si="5"/>
        <v>44143</v>
      </c>
      <c r="I57" s="761">
        <f t="shared" si="6"/>
        <v>8613.387999999999</v>
      </c>
      <c r="J57" s="762">
        <f t="shared" si="7"/>
        <v>0.19512466302698048</v>
      </c>
      <c r="K57" s="763">
        <f t="shared" si="8"/>
        <v>10628.613606811994</v>
      </c>
      <c r="L57" s="764">
        <f t="shared" si="17"/>
        <v>9674.4759175407198</v>
      </c>
      <c r="M57" s="762">
        <f t="shared" si="28"/>
        <v>0.25</v>
      </c>
      <c r="N57" s="764">
        <f t="shared" si="29"/>
        <v>12395.25</v>
      </c>
      <c r="O57" s="740">
        <f t="shared" si="9"/>
        <v>0.15346604546096287</v>
      </c>
      <c r="P57" s="765">
        <f t="shared" si="10"/>
        <v>563.71515148494655</v>
      </c>
      <c r="Q57" s="742">
        <f t="shared" si="11"/>
        <v>6.1426262969892835E-2</v>
      </c>
      <c r="R57" s="743">
        <f t="shared" si="12"/>
        <v>9177.1031514849456</v>
      </c>
      <c r="S57" s="744">
        <f t="shared" si="13"/>
        <v>531.12933275944124</v>
      </c>
      <c r="T57" s="745">
        <v>2.2999999999999998</v>
      </c>
      <c r="U57" s="726">
        <f t="shared" si="14"/>
        <v>5.9999999999999982</v>
      </c>
      <c r="V57" s="746">
        <f t="shared" si="15"/>
        <v>2</v>
      </c>
      <c r="W57" s="767">
        <v>6.0000000000000001E-3</v>
      </c>
      <c r="X57" s="768">
        <f t="shared" si="18"/>
        <v>297.48599999999999</v>
      </c>
      <c r="Y57" s="767">
        <v>5.6650246305418716E-3</v>
      </c>
      <c r="Z57" s="769">
        <f t="shared" si="19"/>
        <v>63.771681640871968</v>
      </c>
      <c r="AA57" s="770">
        <f t="shared" si="25"/>
        <v>58.046855505244324</v>
      </c>
      <c r="AB57" s="770">
        <f t="shared" si="26"/>
        <v>74.371499999999997</v>
      </c>
      <c r="AC57" s="770">
        <f t="shared" si="27"/>
        <v>54.80614436045235</v>
      </c>
      <c r="AD57" s="771">
        <f t="shared" si="20"/>
        <v>58.046855505244324</v>
      </c>
      <c r="AE57" s="743">
        <f t="shared" si="21"/>
        <v>48.795055172413782</v>
      </c>
      <c r="AF57" s="772">
        <f t="shared" si="22"/>
        <v>51.988515390185647</v>
      </c>
      <c r="AG57" s="773">
        <f t="shared" si="23"/>
        <v>0.17475953621409293</v>
      </c>
      <c r="AH57" s="728" t="s">
        <v>367</v>
      </c>
    </row>
    <row r="58" spans="1:34" s="728" customFormat="1" ht="14.4" x14ac:dyDescent="0.3">
      <c r="A58" s="729" t="s">
        <v>357</v>
      </c>
      <c r="B58" s="726" t="str">
        <f t="shared" si="24"/>
        <v>1990s</v>
      </c>
      <c r="C58" s="730">
        <v>1991</v>
      </c>
      <c r="D58" s="731">
        <f t="shared" si="1"/>
        <v>1988</v>
      </c>
      <c r="E58" s="732">
        <f t="shared" si="2"/>
        <v>1990</v>
      </c>
      <c r="F58" s="759">
        <f t="shared" si="3"/>
        <v>76484</v>
      </c>
      <c r="G58" s="760">
        <f t="shared" si="4"/>
        <v>76481</v>
      </c>
      <c r="H58" s="760">
        <f t="shared" si="5"/>
        <v>62119</v>
      </c>
      <c r="I58" s="761">
        <f t="shared" si="6"/>
        <v>31118.679999999997</v>
      </c>
      <c r="J58" s="762">
        <f t="shared" si="7"/>
        <v>0.50095268758350897</v>
      </c>
      <c r="K58" s="763">
        <f t="shared" si="8"/>
        <v>40611.658678258478</v>
      </c>
      <c r="L58" s="764">
        <f t="shared" si="17"/>
        <v>38313.362499074348</v>
      </c>
      <c r="M58" s="762">
        <f t="shared" si="28"/>
        <v>0.53000000000000014</v>
      </c>
      <c r="N58" s="764">
        <f t="shared" si="29"/>
        <v>40534.930000000008</v>
      </c>
      <c r="O58" s="740">
        <f t="shared" si="9"/>
        <v>0.3594356768347694</v>
      </c>
      <c r="P58" s="765">
        <f t="shared" si="10"/>
        <v>1640.1190991484084</v>
      </c>
      <c r="Q58" s="742">
        <f t="shared" si="11"/>
        <v>5.006652088143991E-2</v>
      </c>
      <c r="R58" s="743">
        <f t="shared" si="12"/>
        <v>32758.799099148404</v>
      </c>
      <c r="S58" s="744">
        <f t="shared" si="13"/>
        <v>5556.0662579886994</v>
      </c>
      <c r="T58" s="745">
        <v>1.1000000000000001</v>
      </c>
      <c r="U58" s="726">
        <f t="shared" si="14"/>
        <v>3.0000000000000009</v>
      </c>
      <c r="V58" s="746">
        <f t="shared" si="15"/>
        <v>1</v>
      </c>
      <c r="W58" s="767">
        <v>0.154</v>
      </c>
      <c r="X58" s="768">
        <f t="shared" si="18"/>
        <v>11778.074000000001</v>
      </c>
      <c r="Y58" s="767">
        <v>0.14497041420118342</v>
      </c>
      <c r="Z58" s="769">
        <f t="shared" si="19"/>
        <v>6254.1954364518051</v>
      </c>
      <c r="AA58" s="770">
        <f t="shared" si="25"/>
        <v>5900.2578248574491</v>
      </c>
      <c r="AB58" s="770">
        <f t="shared" si="26"/>
        <v>6242.3792200000007</v>
      </c>
      <c r="AC58" s="770">
        <f t="shared" si="27"/>
        <v>5554.3040309308963</v>
      </c>
      <c r="AD58" s="771">
        <f t="shared" si="20"/>
        <v>5900.2578248574491</v>
      </c>
      <c r="AE58" s="743">
        <f t="shared" si="21"/>
        <v>4511.287928994082</v>
      </c>
      <c r="AF58" s="772">
        <f t="shared" si="22"/>
        <v>4749.0566741368984</v>
      </c>
      <c r="AG58" s="773">
        <f t="shared" si="23"/>
        <v>0.40321165193366065</v>
      </c>
      <c r="AH58" s="728" t="s">
        <v>368</v>
      </c>
    </row>
    <row r="59" spans="1:34" s="728" customFormat="1" ht="14.4" x14ac:dyDescent="0.3">
      <c r="A59" s="729" t="s">
        <v>357</v>
      </c>
      <c r="B59" s="726" t="str">
        <f t="shared" si="24"/>
        <v>1980s</v>
      </c>
      <c r="C59" s="730">
        <v>1991</v>
      </c>
      <c r="D59" s="731">
        <f t="shared" si="1"/>
        <v>1987</v>
      </c>
      <c r="E59" s="732">
        <f t="shared" si="2"/>
        <v>1989</v>
      </c>
      <c r="F59" s="759">
        <f t="shared" si="3"/>
        <v>76484</v>
      </c>
      <c r="G59" s="760">
        <f t="shared" si="4"/>
        <v>76481</v>
      </c>
      <c r="H59" s="760">
        <f t="shared" si="5"/>
        <v>62119</v>
      </c>
      <c r="I59" s="761">
        <f t="shared" si="6"/>
        <v>31118.679999999997</v>
      </c>
      <c r="J59" s="762">
        <f t="shared" si="7"/>
        <v>0.50095268758350897</v>
      </c>
      <c r="K59" s="763">
        <f t="shared" si="8"/>
        <v>40611.658678258478</v>
      </c>
      <c r="L59" s="764">
        <f t="shared" si="17"/>
        <v>38313.362499074348</v>
      </c>
      <c r="M59" s="762">
        <f t="shared" si="28"/>
        <v>0.53000000000000014</v>
      </c>
      <c r="N59" s="764">
        <f t="shared" si="29"/>
        <v>40534.930000000008</v>
      </c>
      <c r="O59" s="740">
        <f t="shared" si="9"/>
        <v>0.3594356768347694</v>
      </c>
      <c r="P59" s="765">
        <f t="shared" si="10"/>
        <v>1640.1190991484084</v>
      </c>
      <c r="Q59" s="742">
        <f t="shared" si="11"/>
        <v>5.006652088143991E-2</v>
      </c>
      <c r="R59" s="743">
        <f t="shared" si="12"/>
        <v>32758.799099148404</v>
      </c>
      <c r="S59" s="744">
        <f t="shared" si="13"/>
        <v>5556.0662579886994</v>
      </c>
      <c r="T59" s="745">
        <v>1.2</v>
      </c>
      <c r="U59" s="726">
        <f t="shared" si="14"/>
        <v>3.9999999999999996</v>
      </c>
      <c r="V59" s="746">
        <f t="shared" si="15"/>
        <v>1</v>
      </c>
      <c r="W59" s="767">
        <v>0.76</v>
      </c>
      <c r="X59" s="768">
        <f t="shared" si="18"/>
        <v>58125.56</v>
      </c>
      <c r="Y59" s="767">
        <v>0.78402366863905326</v>
      </c>
      <c r="Z59" s="769">
        <f t="shared" si="19"/>
        <v>30864.860595476443</v>
      </c>
      <c r="AA59" s="770">
        <f t="shared" si="25"/>
        <v>29118.155499296507</v>
      </c>
      <c r="AB59" s="770">
        <f t="shared" si="26"/>
        <v>30806.546800000007</v>
      </c>
      <c r="AC59" s="770">
        <f t="shared" si="27"/>
        <v>30038.583024422198</v>
      </c>
      <c r="AD59" s="771">
        <f t="shared" si="20"/>
        <v>29118.155499296507</v>
      </c>
      <c r="AE59" s="743">
        <f t="shared" si="21"/>
        <v>24397.781656804731</v>
      </c>
      <c r="AF59" s="743">
        <f t="shared" si="22"/>
        <v>25683.673849924045</v>
      </c>
      <c r="AG59" s="773">
        <f t="shared" si="23"/>
        <v>0.44186540052128609</v>
      </c>
      <c r="AH59" s="728" t="s">
        <v>368</v>
      </c>
    </row>
    <row r="60" spans="1:34" s="728" customFormat="1" ht="14.4" x14ac:dyDescent="0.3">
      <c r="A60" s="729" t="s">
        <v>357</v>
      </c>
      <c r="B60" s="726" t="str">
        <f t="shared" si="24"/>
        <v>1980s</v>
      </c>
      <c r="C60" s="730">
        <v>1991</v>
      </c>
      <c r="D60" s="731">
        <f t="shared" si="1"/>
        <v>1986</v>
      </c>
      <c r="E60" s="732">
        <f t="shared" si="2"/>
        <v>1988</v>
      </c>
      <c r="F60" s="759">
        <f t="shared" si="3"/>
        <v>76484</v>
      </c>
      <c r="G60" s="760">
        <f t="shared" si="4"/>
        <v>76481</v>
      </c>
      <c r="H60" s="760">
        <f t="shared" si="5"/>
        <v>62119</v>
      </c>
      <c r="I60" s="761">
        <f t="shared" si="6"/>
        <v>31118.679999999997</v>
      </c>
      <c r="J60" s="762">
        <f t="shared" si="7"/>
        <v>0.50095268758350897</v>
      </c>
      <c r="K60" s="763">
        <f t="shared" si="8"/>
        <v>40611.658678258478</v>
      </c>
      <c r="L60" s="764">
        <f t="shared" si="17"/>
        <v>38313.362499074348</v>
      </c>
      <c r="M60" s="762">
        <f t="shared" si="28"/>
        <v>0.53000000000000014</v>
      </c>
      <c r="N60" s="764">
        <f t="shared" si="29"/>
        <v>40534.930000000008</v>
      </c>
      <c r="O60" s="740">
        <f t="shared" si="9"/>
        <v>0.3594356768347694</v>
      </c>
      <c r="P60" s="765">
        <f t="shared" si="10"/>
        <v>1640.1190991484084</v>
      </c>
      <c r="Q60" s="742">
        <f t="shared" si="11"/>
        <v>5.006652088143991E-2</v>
      </c>
      <c r="R60" s="743">
        <f t="shared" si="12"/>
        <v>32758.799099148404</v>
      </c>
      <c r="S60" s="744">
        <f t="shared" si="13"/>
        <v>5556.0662579886994</v>
      </c>
      <c r="T60" s="745">
        <v>1.3</v>
      </c>
      <c r="U60" s="726">
        <f t="shared" si="14"/>
        <v>5</v>
      </c>
      <c r="V60" s="746">
        <f t="shared" si="15"/>
        <v>1</v>
      </c>
      <c r="W60" s="767">
        <v>1.4999999999999999E-2</v>
      </c>
      <c r="X60" s="768">
        <f t="shared" si="18"/>
        <v>1147.2149999999999</v>
      </c>
      <c r="Y60" s="767">
        <v>1.7751479289940829E-2</v>
      </c>
      <c r="Z60" s="769">
        <f t="shared" si="19"/>
        <v>609.17488017387711</v>
      </c>
      <c r="AA60" s="770">
        <f t="shared" si="25"/>
        <v>574.70043748611522</v>
      </c>
      <c r="AB60" s="770">
        <f t="shared" si="26"/>
        <v>608.02395000000013</v>
      </c>
      <c r="AC60" s="770">
        <f t="shared" si="27"/>
        <v>680.11886093031387</v>
      </c>
      <c r="AD60" s="771">
        <f t="shared" si="20"/>
        <v>574.70043748611522</v>
      </c>
      <c r="AE60" s="743">
        <f t="shared" si="21"/>
        <v>552.40260355029579</v>
      </c>
      <c r="AF60" s="743">
        <f t="shared" si="22"/>
        <v>581.51714377186522</v>
      </c>
      <c r="AG60" s="773">
        <f t="shared" si="23"/>
        <v>0.50689464814517349</v>
      </c>
      <c r="AH60" s="728" t="s">
        <v>368</v>
      </c>
    </row>
    <row r="61" spans="1:34" s="728" customFormat="1" ht="14.4" x14ac:dyDescent="0.3">
      <c r="A61" s="729" t="s">
        <v>357</v>
      </c>
      <c r="B61" s="726" t="str">
        <f t="shared" si="24"/>
        <v>1990s</v>
      </c>
      <c r="C61" s="730">
        <v>1991</v>
      </c>
      <c r="D61" s="731">
        <f t="shared" si="1"/>
        <v>1987</v>
      </c>
      <c r="E61" s="732">
        <f t="shared" si="2"/>
        <v>1990</v>
      </c>
      <c r="F61" s="759">
        <f t="shared" si="3"/>
        <v>76484</v>
      </c>
      <c r="G61" s="760">
        <f t="shared" si="4"/>
        <v>76481</v>
      </c>
      <c r="H61" s="760">
        <f t="shared" si="5"/>
        <v>62119</v>
      </c>
      <c r="I61" s="761">
        <f t="shared" si="6"/>
        <v>31118.679999999997</v>
      </c>
      <c r="J61" s="762">
        <f t="shared" si="7"/>
        <v>0.50095268758350897</v>
      </c>
      <c r="K61" s="763">
        <f t="shared" si="8"/>
        <v>40611.658678258478</v>
      </c>
      <c r="L61" s="764">
        <f t="shared" si="17"/>
        <v>38313.362499074348</v>
      </c>
      <c r="M61" s="762">
        <f t="shared" si="28"/>
        <v>0.53000000000000014</v>
      </c>
      <c r="N61" s="764">
        <f t="shared" si="29"/>
        <v>40534.930000000008</v>
      </c>
      <c r="O61" s="740">
        <f t="shared" si="9"/>
        <v>0.3594356768347694</v>
      </c>
      <c r="P61" s="765">
        <f t="shared" si="10"/>
        <v>1640.1190991484084</v>
      </c>
      <c r="Q61" s="742">
        <f t="shared" si="11"/>
        <v>5.006652088143991E-2</v>
      </c>
      <c r="R61" s="743">
        <f t="shared" si="12"/>
        <v>32758.799099148404</v>
      </c>
      <c r="S61" s="744">
        <f t="shared" si="13"/>
        <v>5556.0662579886994</v>
      </c>
      <c r="T61" s="745">
        <v>2.1</v>
      </c>
      <c r="U61" s="726">
        <f t="shared" si="14"/>
        <v>4.0000000000000009</v>
      </c>
      <c r="V61" s="746">
        <f t="shared" si="15"/>
        <v>2</v>
      </c>
      <c r="W61" s="767">
        <v>6.7000000000000004E-2</v>
      </c>
      <c r="X61" s="768">
        <f t="shared" si="18"/>
        <v>5124.2269999999999</v>
      </c>
      <c r="Y61" s="767">
        <v>5.0295857988165681E-2</v>
      </c>
      <c r="Z61" s="769">
        <f t="shared" si="19"/>
        <v>2720.9811314433182</v>
      </c>
      <c r="AA61" s="770">
        <f t="shared" si="25"/>
        <v>2566.9952874379815</v>
      </c>
      <c r="AB61" s="770">
        <f t="shared" si="26"/>
        <v>2715.8403100000005</v>
      </c>
      <c r="AC61" s="770">
        <f t="shared" si="27"/>
        <v>1927.003439302556</v>
      </c>
      <c r="AD61" s="771">
        <f t="shared" si="20"/>
        <v>2566.9952874379815</v>
      </c>
      <c r="AE61" s="743">
        <f t="shared" si="21"/>
        <v>1565.1407100591714</v>
      </c>
      <c r="AF61" s="743">
        <f t="shared" si="22"/>
        <v>1647.6319073536179</v>
      </c>
      <c r="AG61" s="773">
        <f t="shared" si="23"/>
        <v>0.3215376499428339</v>
      </c>
      <c r="AH61" s="728" t="s">
        <v>368</v>
      </c>
    </row>
    <row r="62" spans="1:34" s="728" customFormat="1" ht="14.4" x14ac:dyDescent="0.3">
      <c r="A62" s="729" t="s">
        <v>357</v>
      </c>
      <c r="B62" s="726" t="str">
        <f t="shared" si="24"/>
        <v>1980s</v>
      </c>
      <c r="C62" s="730">
        <v>1991</v>
      </c>
      <c r="D62" s="731">
        <f t="shared" si="1"/>
        <v>1986</v>
      </c>
      <c r="E62" s="732">
        <f t="shared" si="2"/>
        <v>1989</v>
      </c>
      <c r="F62" s="759">
        <f t="shared" si="3"/>
        <v>76484</v>
      </c>
      <c r="G62" s="760">
        <f t="shared" si="4"/>
        <v>76481</v>
      </c>
      <c r="H62" s="760">
        <f t="shared" si="5"/>
        <v>62119</v>
      </c>
      <c r="I62" s="761">
        <f t="shared" si="6"/>
        <v>31118.679999999997</v>
      </c>
      <c r="J62" s="762">
        <f t="shared" si="7"/>
        <v>0.50095268758350897</v>
      </c>
      <c r="K62" s="763">
        <f t="shared" si="8"/>
        <v>40611.658678258478</v>
      </c>
      <c r="L62" s="764">
        <f t="shared" si="17"/>
        <v>38313.362499074348</v>
      </c>
      <c r="M62" s="762">
        <f t="shared" si="28"/>
        <v>0.53000000000000014</v>
      </c>
      <c r="N62" s="764">
        <f t="shared" si="29"/>
        <v>40534.930000000008</v>
      </c>
      <c r="O62" s="740">
        <f t="shared" si="9"/>
        <v>0.3594356768347694</v>
      </c>
      <c r="P62" s="765">
        <f t="shared" si="10"/>
        <v>1640.1190991484084</v>
      </c>
      <c r="Q62" s="742">
        <f t="shared" si="11"/>
        <v>5.006652088143991E-2</v>
      </c>
      <c r="R62" s="743">
        <f t="shared" si="12"/>
        <v>32758.799099148404</v>
      </c>
      <c r="S62" s="744">
        <f t="shared" si="13"/>
        <v>5556.0662579886994</v>
      </c>
      <c r="T62" s="745">
        <v>2.2000000000000002</v>
      </c>
      <c r="U62" s="726">
        <f t="shared" si="14"/>
        <v>5.0000000000000018</v>
      </c>
      <c r="V62" s="746">
        <f t="shared" si="15"/>
        <v>2</v>
      </c>
      <c r="W62" s="767">
        <v>1E-3</v>
      </c>
      <c r="X62" s="768">
        <f t="shared" si="18"/>
        <v>76.480999999999995</v>
      </c>
      <c r="Y62" s="767">
        <v>2.9585798816568047E-3</v>
      </c>
      <c r="Z62" s="769">
        <f t="shared" si="19"/>
        <v>40.611658678258479</v>
      </c>
      <c r="AA62" s="770">
        <f t="shared" si="25"/>
        <v>38.313362499074351</v>
      </c>
      <c r="AB62" s="770">
        <f t="shared" si="26"/>
        <v>40.53493000000001</v>
      </c>
      <c r="AC62" s="770">
        <f t="shared" si="27"/>
        <v>113.35314348838564</v>
      </c>
      <c r="AD62" s="771">
        <f t="shared" si="20"/>
        <v>38.313362499074351</v>
      </c>
      <c r="AE62" s="743">
        <f t="shared" si="21"/>
        <v>92.06710059171597</v>
      </c>
      <c r="AF62" s="743">
        <f t="shared" si="22"/>
        <v>96.919523961977518</v>
      </c>
      <c r="AG62" s="773">
        <f t="shared" si="23"/>
        <v>1.2672366203629335</v>
      </c>
      <c r="AH62" s="728" t="s">
        <v>368</v>
      </c>
    </row>
    <row r="63" spans="1:34" s="728" customFormat="1" ht="14.4" x14ac:dyDescent="0.3">
      <c r="A63" s="729" t="s">
        <v>357</v>
      </c>
      <c r="B63" s="726" t="str">
        <f t="shared" si="24"/>
        <v>1980s</v>
      </c>
      <c r="C63" s="730">
        <v>1991</v>
      </c>
      <c r="D63" s="731">
        <f>C62-U62</f>
        <v>1986</v>
      </c>
      <c r="E63" s="732">
        <f>C62-(T62-INT(T62))*10</f>
        <v>1989</v>
      </c>
      <c r="F63" s="759">
        <f t="shared" si="3"/>
        <v>76484</v>
      </c>
      <c r="G63" s="760">
        <f t="shared" si="4"/>
        <v>76481</v>
      </c>
      <c r="H63" s="760">
        <f t="shared" si="5"/>
        <v>62119</v>
      </c>
      <c r="I63" s="761">
        <f t="shared" si="6"/>
        <v>31118.679999999997</v>
      </c>
      <c r="J63" s="762">
        <f t="shared" si="7"/>
        <v>0.50095268758350897</v>
      </c>
      <c r="K63" s="763">
        <f t="shared" si="8"/>
        <v>40611.658678258478</v>
      </c>
      <c r="L63" s="764">
        <f t="shared" si="17"/>
        <v>38313.362499074348</v>
      </c>
      <c r="M63" s="762">
        <f t="shared" si="28"/>
        <v>0.53000000000000014</v>
      </c>
      <c r="N63" s="764">
        <f t="shared" si="29"/>
        <v>40534.930000000008</v>
      </c>
      <c r="O63" s="740">
        <f t="shared" si="9"/>
        <v>0.3594356768347694</v>
      </c>
      <c r="P63" s="765">
        <f t="shared" si="10"/>
        <v>1640.1190991484084</v>
      </c>
      <c r="Q63" s="742">
        <f t="shared" si="11"/>
        <v>5.006652088143991E-2</v>
      </c>
      <c r="R63" s="743">
        <f t="shared" si="12"/>
        <v>32758.799099148404</v>
      </c>
      <c r="S63" s="744">
        <f t="shared" si="13"/>
        <v>5556.0662579886994</v>
      </c>
      <c r="T63" s="745">
        <v>2.2999999999999998</v>
      </c>
      <c r="U63" s="726">
        <f t="shared" si="14"/>
        <v>5.9999999999999982</v>
      </c>
      <c r="V63" s="746">
        <f t="shared" si="15"/>
        <v>2</v>
      </c>
      <c r="W63" s="767">
        <v>3.0000000000000001E-3</v>
      </c>
      <c r="X63" s="768">
        <f t="shared" si="18"/>
        <v>229.44300000000001</v>
      </c>
      <c r="Y63" s="767">
        <v>1.7751479289940801E-2</v>
      </c>
      <c r="Z63" s="769">
        <f t="shared" si="19"/>
        <v>121.83497603477544</v>
      </c>
      <c r="AA63" s="770">
        <f t="shared" si="25"/>
        <v>114.94008749722305</v>
      </c>
      <c r="AB63" s="770">
        <f t="shared" si="26"/>
        <v>121.60479000000002</v>
      </c>
      <c r="AC63" s="770">
        <f t="shared" si="27"/>
        <v>680.11886093031285</v>
      </c>
      <c r="AD63" s="771">
        <f t="shared" si="20"/>
        <v>114.94008749722305</v>
      </c>
      <c r="AE63" s="743">
        <f t="shared" si="21"/>
        <v>552.402603550295</v>
      </c>
      <c r="AF63" s="743">
        <f t="shared" si="22"/>
        <v>581.51714377186431</v>
      </c>
      <c r="AG63" s="773">
        <f t="shared" si="23"/>
        <v>2.5344732407258634</v>
      </c>
      <c r="AH63" s="728" t="s">
        <v>368</v>
      </c>
    </row>
    <row r="64" spans="1:34" s="728" customFormat="1" ht="14.4" x14ac:dyDescent="0.3">
      <c r="A64" s="729" t="s">
        <v>357</v>
      </c>
      <c r="B64" s="726" t="str">
        <f t="shared" si="24"/>
        <v>1990s</v>
      </c>
      <c r="C64" s="730">
        <v>1992</v>
      </c>
      <c r="D64" s="731">
        <f t="shared" ref="D64:D127" si="30">C64-U64</f>
        <v>1989</v>
      </c>
      <c r="E64" s="732">
        <f t="shared" ref="E64:E127" si="31">C64-(T64-INT(T64))*10</f>
        <v>1991</v>
      </c>
      <c r="F64" s="759">
        <f t="shared" si="3"/>
        <v>85000</v>
      </c>
      <c r="G64" s="760">
        <f t="shared" si="4"/>
        <v>84992</v>
      </c>
      <c r="H64" s="760">
        <f t="shared" si="5"/>
        <v>68359</v>
      </c>
      <c r="I64" s="761">
        <f t="shared" si="6"/>
        <v>47488.531999999992</v>
      </c>
      <c r="J64" s="762">
        <f t="shared" si="7"/>
        <v>0.69469319328837453</v>
      </c>
      <c r="K64" s="763">
        <f t="shared" si="8"/>
        <v>61939.161813749517</v>
      </c>
      <c r="L64" s="764">
        <f t="shared" si="17"/>
        <v>59043.363883965525</v>
      </c>
      <c r="M64" s="762">
        <f t="shared" si="28"/>
        <v>0.63</v>
      </c>
      <c r="N64" s="764">
        <f t="shared" si="29"/>
        <v>53544.959999999999</v>
      </c>
      <c r="O64" s="740">
        <f t="shared" si="9"/>
        <v>0.49358763177710846</v>
      </c>
      <c r="P64" s="765">
        <f t="shared" si="10"/>
        <v>1523.4621728814054</v>
      </c>
      <c r="Q64" s="742">
        <f t="shared" si="11"/>
        <v>3.1083456174169407E-2</v>
      </c>
      <c r="R64" s="743">
        <f t="shared" si="12"/>
        <v>49011.994172881401</v>
      </c>
      <c r="S64" s="744">
        <f t="shared" si="13"/>
        <v>10036.927256630435</v>
      </c>
      <c r="T64" s="745">
        <v>1.1000000000000001</v>
      </c>
      <c r="U64" s="726">
        <f t="shared" si="14"/>
        <v>3.0000000000000009</v>
      </c>
      <c r="V64" s="746">
        <f t="shared" si="15"/>
        <v>1</v>
      </c>
      <c r="W64" s="767">
        <v>0.16900000000000001</v>
      </c>
      <c r="X64" s="768">
        <f t="shared" si="18"/>
        <v>14363.648000000001</v>
      </c>
      <c r="Y64" s="767">
        <v>0.182</v>
      </c>
      <c r="Z64" s="769">
        <f t="shared" si="19"/>
        <v>10467.718346523669</v>
      </c>
      <c r="AA64" s="770">
        <f t="shared" si="25"/>
        <v>9978.3284963901751</v>
      </c>
      <c r="AB64" s="770">
        <f t="shared" si="26"/>
        <v>9049.0982400000012</v>
      </c>
      <c r="AC64" s="770">
        <f t="shared" si="27"/>
        <v>10745.892226881726</v>
      </c>
      <c r="AD64" s="771">
        <f t="shared" si="20"/>
        <v>9978.3284963901751</v>
      </c>
      <c r="AE64" s="743">
        <f t="shared" si="21"/>
        <v>8642.9128239999991</v>
      </c>
      <c r="AF64" s="772">
        <f t="shared" si="22"/>
        <v>8920.1829394644155</v>
      </c>
      <c r="AG64" s="773">
        <f t="shared" si="23"/>
        <v>0.62102489141090167</v>
      </c>
      <c r="AH64" s="728" t="s">
        <v>369</v>
      </c>
    </row>
    <row r="65" spans="1:34" s="728" customFormat="1" ht="14.4" x14ac:dyDescent="0.3">
      <c r="A65" s="729" t="s">
        <v>357</v>
      </c>
      <c r="B65" s="726" t="str">
        <f t="shared" si="24"/>
        <v>1990s</v>
      </c>
      <c r="C65" s="730">
        <v>1992</v>
      </c>
      <c r="D65" s="731">
        <f t="shared" si="30"/>
        <v>1988</v>
      </c>
      <c r="E65" s="732">
        <f t="shared" si="31"/>
        <v>1990</v>
      </c>
      <c r="F65" s="759">
        <f t="shared" si="3"/>
        <v>85000</v>
      </c>
      <c r="G65" s="760">
        <f t="shared" si="4"/>
        <v>84992</v>
      </c>
      <c r="H65" s="760">
        <f t="shared" si="5"/>
        <v>68359</v>
      </c>
      <c r="I65" s="761">
        <f t="shared" si="6"/>
        <v>47488.531999999992</v>
      </c>
      <c r="J65" s="762">
        <f t="shared" si="7"/>
        <v>0.69469319328837453</v>
      </c>
      <c r="K65" s="763">
        <f t="shared" si="8"/>
        <v>61939.161813749517</v>
      </c>
      <c r="L65" s="764">
        <f t="shared" si="17"/>
        <v>59043.363883965525</v>
      </c>
      <c r="M65" s="762">
        <f t="shared" si="28"/>
        <v>0.63</v>
      </c>
      <c r="N65" s="764">
        <f t="shared" si="29"/>
        <v>53544.959999999999</v>
      </c>
      <c r="O65" s="740">
        <f t="shared" si="9"/>
        <v>0.49358763177710846</v>
      </c>
      <c r="P65" s="765">
        <f t="shared" si="10"/>
        <v>1523.4621728814054</v>
      </c>
      <c r="Q65" s="742">
        <f t="shared" si="11"/>
        <v>3.1083456174169407E-2</v>
      </c>
      <c r="R65" s="743">
        <f t="shared" si="12"/>
        <v>49011.994172881401</v>
      </c>
      <c r="S65" s="744">
        <f t="shared" si="13"/>
        <v>10036.927256630435</v>
      </c>
      <c r="T65" s="745">
        <v>1.2</v>
      </c>
      <c r="U65" s="726">
        <f t="shared" si="14"/>
        <v>3.9999999999999996</v>
      </c>
      <c r="V65" s="746">
        <f t="shared" si="15"/>
        <v>1</v>
      </c>
      <c r="W65" s="767">
        <v>0.73299999999999998</v>
      </c>
      <c r="X65" s="768">
        <f t="shared" si="18"/>
        <v>62299.135999999999</v>
      </c>
      <c r="Y65" s="767">
        <v>0.72199999999999998</v>
      </c>
      <c r="Z65" s="769">
        <f t="shared" si="19"/>
        <v>45401.405609478395</v>
      </c>
      <c r="AA65" s="770">
        <f t="shared" si="25"/>
        <v>43278.785726946728</v>
      </c>
      <c r="AB65" s="770">
        <f t="shared" si="26"/>
        <v>39248.455679999999</v>
      </c>
      <c r="AC65" s="770">
        <f t="shared" si="27"/>
        <v>42629.308724223105</v>
      </c>
      <c r="AD65" s="771">
        <f t="shared" si="20"/>
        <v>43278.785726946728</v>
      </c>
      <c r="AE65" s="743">
        <f t="shared" si="21"/>
        <v>34286.720103999993</v>
      </c>
      <c r="AF65" s="743">
        <f t="shared" si="22"/>
        <v>35386.65979282037</v>
      </c>
      <c r="AG65" s="773">
        <f t="shared" si="23"/>
        <v>0.56801204743546319</v>
      </c>
      <c r="AH65" s="728" t="s">
        <v>369</v>
      </c>
    </row>
    <row r="66" spans="1:34" s="728" customFormat="1" ht="14.4" x14ac:dyDescent="0.3">
      <c r="A66" s="729" t="s">
        <v>357</v>
      </c>
      <c r="B66" s="726" t="str">
        <f t="shared" si="24"/>
        <v>1980s</v>
      </c>
      <c r="C66" s="730">
        <v>1992</v>
      </c>
      <c r="D66" s="731">
        <f t="shared" si="30"/>
        <v>1987</v>
      </c>
      <c r="E66" s="732">
        <f t="shared" si="31"/>
        <v>1989</v>
      </c>
      <c r="F66" s="759">
        <f t="shared" ref="F66:F129" si="32">VLOOKUP($C66,SockeyeReturnsData,2)</f>
        <v>85000</v>
      </c>
      <c r="G66" s="760">
        <f t="shared" ref="G66:G129" si="33">VLOOKUP($C66,SockeyeReturnsData,3)</f>
        <v>84992</v>
      </c>
      <c r="H66" s="760">
        <f t="shared" ref="H66:H129" si="34">VLOOKUP($C66,SockeyeReturnsData,4)</f>
        <v>68359</v>
      </c>
      <c r="I66" s="761">
        <f t="shared" ref="I66:I129" si="35">VLOOKUP($C66,SockeyeReturnsData,7)</f>
        <v>47488.531999999992</v>
      </c>
      <c r="J66" s="762">
        <f t="shared" ref="J66:J129" si="36">VLOOKUP($C66,SockeyeReturnsData,9)</f>
        <v>0.69469319328837453</v>
      </c>
      <c r="K66" s="763">
        <f t="shared" ref="K66:K129" si="37">VLOOKUP($C66,SockeyeReturnsData,23)</f>
        <v>61939.161813749517</v>
      </c>
      <c r="L66" s="764">
        <f t="shared" si="17"/>
        <v>59043.363883965525</v>
      </c>
      <c r="M66" s="762">
        <f t="shared" si="28"/>
        <v>0.63</v>
      </c>
      <c r="N66" s="764">
        <f t="shared" si="29"/>
        <v>53544.959999999999</v>
      </c>
      <c r="O66" s="740">
        <f t="shared" ref="O66:O129" si="38">VLOOKUP($C66,SockeyeReturnsData,6)/G66</f>
        <v>0.49358763177710846</v>
      </c>
      <c r="P66" s="765">
        <f t="shared" ref="P66:P129" si="39">VLOOKUP($C66,SockeyeReturnsData,18)</f>
        <v>1523.4621728814054</v>
      </c>
      <c r="Q66" s="742">
        <f t="shared" ref="Q66:Q129" si="40">VLOOKUP($C66,SockeyeReturnsData,20)</f>
        <v>3.1083456174169407E-2</v>
      </c>
      <c r="R66" s="743">
        <f t="shared" ref="R66:R129" si="41">VLOOKUP($C66,SockeyeReturnsData,19)</f>
        <v>49011.994172881401</v>
      </c>
      <c r="S66" s="744">
        <f t="shared" ref="S66:S129" si="42">VLOOKUP($C66,SockeyeReturnsData,24)</f>
        <v>10036.927256630435</v>
      </c>
      <c r="T66" s="745">
        <v>1.3</v>
      </c>
      <c r="U66" s="726">
        <f t="shared" ref="U66:U129" si="43">INT(T66) + (T66-INT(T66))*10 + 1</f>
        <v>5</v>
      </c>
      <c r="V66" s="746">
        <f t="shared" ref="V66:V129" si="44">INT(T66)</f>
        <v>1</v>
      </c>
      <c r="W66" s="767">
        <v>1.4E-2</v>
      </c>
      <c r="X66" s="768">
        <f t="shared" si="18"/>
        <v>1189.8879999999999</v>
      </c>
      <c r="Y66" s="767">
        <v>1.6E-2</v>
      </c>
      <c r="Z66" s="769">
        <f t="shared" si="19"/>
        <v>867.14826539249327</v>
      </c>
      <c r="AA66" s="770">
        <f t="shared" si="25"/>
        <v>826.60709437551736</v>
      </c>
      <c r="AB66" s="770">
        <f t="shared" si="26"/>
        <v>749.62944000000005</v>
      </c>
      <c r="AC66" s="770">
        <f t="shared" si="27"/>
        <v>944.69382214344841</v>
      </c>
      <c r="AD66" s="771">
        <f t="shared" si="20"/>
        <v>826.60709437551736</v>
      </c>
      <c r="AE66" s="743">
        <f t="shared" si="21"/>
        <v>759.81651199999988</v>
      </c>
      <c r="AF66" s="743">
        <f t="shared" si="22"/>
        <v>784.19190676610242</v>
      </c>
      <c r="AG66" s="773">
        <f t="shared" si="23"/>
        <v>0.65904682353809974</v>
      </c>
      <c r="AH66" s="728" t="s">
        <v>369</v>
      </c>
    </row>
    <row r="67" spans="1:34" s="728" customFormat="1" ht="14.4" x14ac:dyDescent="0.3">
      <c r="A67" s="729" t="s">
        <v>357</v>
      </c>
      <c r="B67" s="726" t="str">
        <f t="shared" si="24"/>
        <v>1990s</v>
      </c>
      <c r="C67" s="730">
        <v>1992</v>
      </c>
      <c r="D67" s="731">
        <f t="shared" si="30"/>
        <v>1988</v>
      </c>
      <c r="E67" s="732">
        <f t="shared" si="31"/>
        <v>1991</v>
      </c>
      <c r="F67" s="759">
        <f t="shared" si="32"/>
        <v>85000</v>
      </c>
      <c r="G67" s="760">
        <f t="shared" si="33"/>
        <v>84992</v>
      </c>
      <c r="H67" s="760">
        <f t="shared" si="34"/>
        <v>68359</v>
      </c>
      <c r="I67" s="761">
        <f t="shared" si="35"/>
        <v>47488.531999999992</v>
      </c>
      <c r="J67" s="762">
        <f t="shared" si="36"/>
        <v>0.69469319328837453</v>
      </c>
      <c r="K67" s="763">
        <f t="shared" si="37"/>
        <v>61939.161813749517</v>
      </c>
      <c r="L67" s="764">
        <f t="shared" ref="L67:L130" si="45">J67*G67</f>
        <v>59043.363883965525</v>
      </c>
      <c r="M67" s="762">
        <f t="shared" si="28"/>
        <v>0.63</v>
      </c>
      <c r="N67" s="764">
        <f t="shared" si="29"/>
        <v>53544.959999999999</v>
      </c>
      <c r="O67" s="740">
        <f t="shared" si="38"/>
        <v>0.49358763177710846</v>
      </c>
      <c r="P67" s="765">
        <f t="shared" si="39"/>
        <v>1523.4621728814054</v>
      </c>
      <c r="Q67" s="742">
        <f t="shared" si="40"/>
        <v>3.1083456174169407E-2</v>
      </c>
      <c r="R67" s="743">
        <f t="shared" si="41"/>
        <v>49011.994172881401</v>
      </c>
      <c r="S67" s="744">
        <f t="shared" si="42"/>
        <v>10036.927256630435</v>
      </c>
      <c r="T67" s="745">
        <v>2.1</v>
      </c>
      <c r="U67" s="726">
        <f t="shared" si="43"/>
        <v>4.0000000000000009</v>
      </c>
      <c r="V67" s="746">
        <f t="shared" si="44"/>
        <v>2</v>
      </c>
      <c r="W67" s="767">
        <v>7.0000000000000007E-2</v>
      </c>
      <c r="X67" s="768">
        <f t="shared" si="18"/>
        <v>5949.4400000000005</v>
      </c>
      <c r="Y67" s="767">
        <v>6.9000000000000006E-2</v>
      </c>
      <c r="Z67" s="769">
        <f t="shared" si="19"/>
        <v>4335.7413269624667</v>
      </c>
      <c r="AA67" s="770">
        <f t="shared" si="25"/>
        <v>4133.035471877587</v>
      </c>
      <c r="AB67" s="770">
        <f t="shared" si="26"/>
        <v>3748.1472000000003</v>
      </c>
      <c r="AC67" s="770">
        <f t="shared" si="27"/>
        <v>4073.9921079936216</v>
      </c>
      <c r="AD67" s="771">
        <f t="shared" si="20"/>
        <v>4133.035471877587</v>
      </c>
      <c r="AE67" s="743">
        <f t="shared" si="21"/>
        <v>3276.7087079999997</v>
      </c>
      <c r="AF67" s="743">
        <f t="shared" si="22"/>
        <v>3381.8275979288169</v>
      </c>
      <c r="AG67" s="773">
        <f t="shared" si="23"/>
        <v>0.56842788530161104</v>
      </c>
      <c r="AH67" s="728" t="s">
        <v>369</v>
      </c>
    </row>
    <row r="68" spans="1:34" s="728" customFormat="1" ht="14.4" x14ac:dyDescent="0.3">
      <c r="A68" s="729" t="s">
        <v>357</v>
      </c>
      <c r="B68" s="726" t="str">
        <f t="shared" si="24"/>
        <v>1990s</v>
      </c>
      <c r="C68" s="730">
        <v>1992</v>
      </c>
      <c r="D68" s="731">
        <f t="shared" si="30"/>
        <v>1987</v>
      </c>
      <c r="E68" s="732">
        <f t="shared" si="31"/>
        <v>1990</v>
      </c>
      <c r="F68" s="759">
        <f t="shared" si="32"/>
        <v>85000</v>
      </c>
      <c r="G68" s="760">
        <f t="shared" si="33"/>
        <v>84992</v>
      </c>
      <c r="H68" s="760">
        <f t="shared" si="34"/>
        <v>68359</v>
      </c>
      <c r="I68" s="761">
        <f t="shared" si="35"/>
        <v>47488.531999999992</v>
      </c>
      <c r="J68" s="762">
        <f t="shared" si="36"/>
        <v>0.69469319328837453</v>
      </c>
      <c r="K68" s="763">
        <f t="shared" si="37"/>
        <v>61939.161813749517</v>
      </c>
      <c r="L68" s="764">
        <f t="shared" si="45"/>
        <v>59043.363883965525</v>
      </c>
      <c r="M68" s="762">
        <f t="shared" si="28"/>
        <v>0.63</v>
      </c>
      <c r="N68" s="764">
        <f t="shared" si="29"/>
        <v>53544.959999999999</v>
      </c>
      <c r="O68" s="740">
        <f t="shared" si="38"/>
        <v>0.49358763177710846</v>
      </c>
      <c r="P68" s="765">
        <f t="shared" si="39"/>
        <v>1523.4621728814054</v>
      </c>
      <c r="Q68" s="742">
        <f t="shared" si="40"/>
        <v>3.1083456174169407E-2</v>
      </c>
      <c r="R68" s="743">
        <f t="shared" si="41"/>
        <v>49011.994172881401</v>
      </c>
      <c r="S68" s="744">
        <f t="shared" si="42"/>
        <v>10036.927256630435</v>
      </c>
      <c r="T68" s="745">
        <v>2.2000000000000002</v>
      </c>
      <c r="U68" s="726">
        <f t="shared" si="43"/>
        <v>5.0000000000000018</v>
      </c>
      <c r="V68" s="746">
        <f t="shared" si="44"/>
        <v>2</v>
      </c>
      <c r="W68" s="767">
        <v>1.4E-2</v>
      </c>
      <c r="X68" s="768">
        <f t="shared" si="18"/>
        <v>1189.8879999999999</v>
      </c>
      <c r="Y68" s="767">
        <v>1.0999999999999999E-2</v>
      </c>
      <c r="Z68" s="769">
        <f t="shared" si="19"/>
        <v>867.14826539249327</v>
      </c>
      <c r="AA68" s="770">
        <f t="shared" si="25"/>
        <v>826.60709437551736</v>
      </c>
      <c r="AB68" s="770">
        <f t="shared" si="26"/>
        <v>749.62944000000005</v>
      </c>
      <c r="AC68" s="770">
        <f t="shared" si="27"/>
        <v>649.47700272362079</v>
      </c>
      <c r="AD68" s="771">
        <f t="shared" si="20"/>
        <v>826.60709437551736</v>
      </c>
      <c r="AE68" s="743">
        <f t="shared" si="21"/>
        <v>522.37385199999983</v>
      </c>
      <c r="AF68" s="743">
        <f t="shared" si="22"/>
        <v>539.13193590169533</v>
      </c>
      <c r="AG68" s="773">
        <f t="shared" si="23"/>
        <v>0.45309469118244355</v>
      </c>
      <c r="AH68" s="728" t="s">
        <v>369</v>
      </c>
    </row>
    <row r="69" spans="1:34" ht="14.4" x14ac:dyDescent="0.3">
      <c r="A69" s="729" t="s">
        <v>357</v>
      </c>
      <c r="B69" s="726" t="str">
        <f t="shared" si="24"/>
        <v>1990s</v>
      </c>
      <c r="C69" s="730">
        <v>1993</v>
      </c>
      <c r="D69" s="731">
        <f t="shared" si="30"/>
        <v>1990</v>
      </c>
      <c r="E69" s="732">
        <f t="shared" si="31"/>
        <v>1992</v>
      </c>
      <c r="F69" s="759">
        <f t="shared" si="32"/>
        <v>88025</v>
      </c>
      <c r="G69" s="760">
        <f t="shared" si="33"/>
        <v>80178</v>
      </c>
      <c r="H69" s="760">
        <f t="shared" si="34"/>
        <v>65630</v>
      </c>
      <c r="I69" s="761">
        <f t="shared" si="35"/>
        <v>31525.067999999996</v>
      </c>
      <c r="J69" s="762">
        <f t="shared" si="36"/>
        <v>0.48034539082736549</v>
      </c>
      <c r="K69" s="763">
        <f t="shared" si="37"/>
        <v>43600.256171046458</v>
      </c>
      <c r="L69" s="764">
        <f t="shared" si="45"/>
        <v>38513.132745756513</v>
      </c>
      <c r="M69" s="762">
        <f t="shared" si="28"/>
        <v>0.57999999999999996</v>
      </c>
      <c r="N69" s="764">
        <f t="shared" si="29"/>
        <v>46503.24</v>
      </c>
      <c r="O69" s="740">
        <f t="shared" si="38"/>
        <v>0.34733966923595</v>
      </c>
      <c r="P69" s="765">
        <f t="shared" si="39"/>
        <v>2442.0759669663262</v>
      </c>
      <c r="Q69" s="742">
        <f t="shared" si="40"/>
        <v>7.1895239980767606E-2</v>
      </c>
      <c r="R69" s="743">
        <f t="shared" si="41"/>
        <v>33967.143966966323</v>
      </c>
      <c r="S69" s="744">
        <f t="shared" si="42"/>
        <v>8315.2590606125232</v>
      </c>
      <c r="T69" s="745">
        <v>1.1000000000000001</v>
      </c>
      <c r="U69" s="726">
        <f t="shared" si="43"/>
        <v>3.0000000000000009</v>
      </c>
      <c r="V69" s="746">
        <f t="shared" si="44"/>
        <v>1</v>
      </c>
      <c r="W69" s="767">
        <v>0</v>
      </c>
      <c r="X69" s="768">
        <f t="shared" si="18"/>
        <v>0</v>
      </c>
      <c r="Y69" s="767">
        <v>0</v>
      </c>
      <c r="Z69" s="769">
        <f t="shared" si="19"/>
        <v>0</v>
      </c>
      <c r="AA69" s="770">
        <f t="shared" si="25"/>
        <v>0</v>
      </c>
      <c r="AB69" s="770">
        <f t="shared" si="26"/>
        <v>0</v>
      </c>
      <c r="AC69" s="770">
        <f>IF(Y69,L69*Y69,0)</f>
        <v>0</v>
      </c>
      <c r="AD69" s="771">
        <f t="shared" si="20"/>
        <v>0</v>
      </c>
      <c r="AE69" s="743">
        <f t="shared" si="21"/>
        <v>0</v>
      </c>
      <c r="AF69" s="772">
        <f t="shared" si="22"/>
        <v>0</v>
      </c>
      <c r="AG69" s="773">
        <f t="shared" si="23"/>
        <v>0</v>
      </c>
      <c r="AH69" s="728" t="s">
        <v>370</v>
      </c>
    </row>
    <row r="70" spans="1:34" ht="14.4" x14ac:dyDescent="0.3">
      <c r="A70" s="729" t="s">
        <v>357</v>
      </c>
      <c r="B70" s="726" t="str">
        <f t="shared" si="24"/>
        <v>1990s</v>
      </c>
      <c r="C70" s="730">
        <v>1993</v>
      </c>
      <c r="D70" s="731">
        <f t="shared" si="30"/>
        <v>1989</v>
      </c>
      <c r="E70" s="732">
        <f t="shared" si="31"/>
        <v>1991</v>
      </c>
      <c r="F70" s="759">
        <f t="shared" si="32"/>
        <v>88025</v>
      </c>
      <c r="G70" s="760">
        <f t="shared" si="33"/>
        <v>80178</v>
      </c>
      <c r="H70" s="760">
        <f t="shared" si="34"/>
        <v>65630</v>
      </c>
      <c r="I70" s="761">
        <f t="shared" si="35"/>
        <v>31525.067999999996</v>
      </c>
      <c r="J70" s="762">
        <f t="shared" si="36"/>
        <v>0.48034539082736549</v>
      </c>
      <c r="K70" s="763">
        <f t="shared" si="37"/>
        <v>43600.256171046458</v>
      </c>
      <c r="L70" s="764">
        <f t="shared" si="45"/>
        <v>38513.132745756513</v>
      </c>
      <c r="M70" s="762">
        <f t="shared" si="28"/>
        <v>0.57999999999999996</v>
      </c>
      <c r="N70" s="764">
        <f t="shared" si="29"/>
        <v>46503.24</v>
      </c>
      <c r="O70" s="740">
        <f t="shared" si="38"/>
        <v>0.34733966923595</v>
      </c>
      <c r="P70" s="765">
        <f t="shared" si="39"/>
        <v>2442.0759669663262</v>
      </c>
      <c r="Q70" s="742">
        <f t="shared" si="40"/>
        <v>7.1895239980767606E-2</v>
      </c>
      <c r="R70" s="743">
        <f t="shared" si="41"/>
        <v>33967.143966966323</v>
      </c>
      <c r="S70" s="744">
        <f t="shared" si="42"/>
        <v>8315.2590606125232</v>
      </c>
      <c r="T70" s="745">
        <v>1.2</v>
      </c>
      <c r="U70" s="726">
        <f t="shared" si="43"/>
        <v>3.9999999999999996</v>
      </c>
      <c r="V70" s="746">
        <f t="shared" si="44"/>
        <v>1</v>
      </c>
      <c r="W70" s="767">
        <v>0.88700000000000001</v>
      </c>
      <c r="X70" s="768">
        <f t="shared" si="18"/>
        <v>71117.885999999999</v>
      </c>
      <c r="Y70" s="767">
        <v>0.89700000000000002</v>
      </c>
      <c r="Z70" s="769">
        <f t="shared" si="19"/>
        <v>38673.427223718209</v>
      </c>
      <c r="AA70" s="770">
        <f t="shared" si="25"/>
        <v>34161.148745486025</v>
      </c>
      <c r="AB70" s="770">
        <f t="shared" si="26"/>
        <v>41248.373879999999</v>
      </c>
      <c r="AC70" s="770">
        <f t="shared" si="27"/>
        <v>34546.280072943591</v>
      </c>
      <c r="AD70" s="771">
        <f t="shared" si="20"/>
        <v>34161.148745486025</v>
      </c>
      <c r="AE70" s="743">
        <f t="shared" si="21"/>
        <v>28277.985995999996</v>
      </c>
      <c r="AF70" s="743">
        <f t="shared" si="22"/>
        <v>30468.528138368794</v>
      </c>
      <c r="AG70" s="773">
        <f t="shared" si="23"/>
        <v>0.42842286029661786</v>
      </c>
      <c r="AH70" s="728" t="s">
        <v>370</v>
      </c>
    </row>
    <row r="71" spans="1:34" ht="14.4" x14ac:dyDescent="0.3">
      <c r="A71" s="729" t="s">
        <v>357</v>
      </c>
      <c r="B71" s="726" t="str">
        <f t="shared" si="24"/>
        <v>1990s</v>
      </c>
      <c r="C71" s="730">
        <v>1993</v>
      </c>
      <c r="D71" s="731">
        <f t="shared" si="30"/>
        <v>1988</v>
      </c>
      <c r="E71" s="732">
        <f t="shared" si="31"/>
        <v>1990</v>
      </c>
      <c r="F71" s="759">
        <f t="shared" si="32"/>
        <v>88025</v>
      </c>
      <c r="G71" s="760">
        <f t="shared" si="33"/>
        <v>80178</v>
      </c>
      <c r="H71" s="760">
        <f t="shared" si="34"/>
        <v>65630</v>
      </c>
      <c r="I71" s="761">
        <f t="shared" si="35"/>
        <v>31525.067999999996</v>
      </c>
      <c r="J71" s="762">
        <f t="shared" si="36"/>
        <v>0.48034539082736549</v>
      </c>
      <c r="K71" s="763">
        <f t="shared" si="37"/>
        <v>43600.256171046458</v>
      </c>
      <c r="L71" s="764">
        <f t="shared" si="45"/>
        <v>38513.132745756513</v>
      </c>
      <c r="M71" s="762">
        <f t="shared" si="28"/>
        <v>0.57999999999999996</v>
      </c>
      <c r="N71" s="764">
        <f t="shared" si="29"/>
        <v>46503.24</v>
      </c>
      <c r="O71" s="740">
        <f t="shared" si="38"/>
        <v>0.34733966923595</v>
      </c>
      <c r="P71" s="765">
        <f t="shared" si="39"/>
        <v>2442.0759669663262</v>
      </c>
      <c r="Q71" s="742">
        <f t="shared" si="40"/>
        <v>7.1895239980767606E-2</v>
      </c>
      <c r="R71" s="743">
        <f t="shared" si="41"/>
        <v>33967.143966966323</v>
      </c>
      <c r="S71" s="744">
        <f t="shared" si="42"/>
        <v>8315.2590606125232</v>
      </c>
      <c r="T71" s="745">
        <v>1.3</v>
      </c>
      <c r="U71" s="726">
        <f t="shared" si="43"/>
        <v>5</v>
      </c>
      <c r="V71" s="746">
        <f t="shared" si="44"/>
        <v>1</v>
      </c>
      <c r="W71" s="767">
        <v>5.2999999999999999E-2</v>
      </c>
      <c r="X71" s="768">
        <f t="shared" si="18"/>
        <v>4249.4340000000002</v>
      </c>
      <c r="Y71" s="767">
        <v>4.8000000000000001E-2</v>
      </c>
      <c r="Z71" s="769">
        <f t="shared" si="19"/>
        <v>2310.8135770654621</v>
      </c>
      <c r="AA71" s="770">
        <f t="shared" si="25"/>
        <v>2041.1960355250951</v>
      </c>
      <c r="AB71" s="770">
        <f t="shared" si="26"/>
        <v>2464.6717199999998</v>
      </c>
      <c r="AC71" s="770">
        <f t="shared" si="27"/>
        <v>1848.6303717963126</v>
      </c>
      <c r="AD71" s="771">
        <f t="shared" si="20"/>
        <v>2041.1960355250951</v>
      </c>
      <c r="AE71" s="743">
        <f t="shared" si="21"/>
        <v>1513.2032639999998</v>
      </c>
      <c r="AF71" s="743">
        <f t="shared" si="22"/>
        <v>1630.4229104143835</v>
      </c>
      <c r="AG71" s="773">
        <f t="shared" si="23"/>
        <v>0.3836800172480343</v>
      </c>
      <c r="AH71" s="728" t="s">
        <v>370</v>
      </c>
    </row>
    <row r="72" spans="1:34" ht="14.4" x14ac:dyDescent="0.3">
      <c r="A72" s="729" t="s">
        <v>357</v>
      </c>
      <c r="B72" s="726" t="str">
        <f t="shared" si="24"/>
        <v>1990s</v>
      </c>
      <c r="C72" s="730">
        <v>1993</v>
      </c>
      <c r="D72" s="731">
        <f t="shared" si="30"/>
        <v>1989</v>
      </c>
      <c r="E72" s="732">
        <f t="shared" si="31"/>
        <v>1992</v>
      </c>
      <c r="F72" s="759">
        <f t="shared" si="32"/>
        <v>88025</v>
      </c>
      <c r="G72" s="760">
        <f t="shared" si="33"/>
        <v>80178</v>
      </c>
      <c r="H72" s="760">
        <f t="shared" si="34"/>
        <v>65630</v>
      </c>
      <c r="I72" s="761">
        <f t="shared" si="35"/>
        <v>31525.067999999996</v>
      </c>
      <c r="J72" s="762">
        <f t="shared" si="36"/>
        <v>0.48034539082736549</v>
      </c>
      <c r="K72" s="763">
        <f t="shared" si="37"/>
        <v>43600.256171046458</v>
      </c>
      <c r="L72" s="764">
        <f t="shared" si="45"/>
        <v>38513.132745756513</v>
      </c>
      <c r="M72" s="762">
        <f t="shared" si="28"/>
        <v>0.57999999999999996</v>
      </c>
      <c r="N72" s="764">
        <f t="shared" si="29"/>
        <v>46503.24</v>
      </c>
      <c r="O72" s="740">
        <f t="shared" si="38"/>
        <v>0.34733966923595</v>
      </c>
      <c r="P72" s="765">
        <f t="shared" si="39"/>
        <v>2442.0759669663262</v>
      </c>
      <c r="Q72" s="742">
        <f t="shared" si="40"/>
        <v>7.1895239980767606E-2</v>
      </c>
      <c r="R72" s="743">
        <f t="shared" si="41"/>
        <v>33967.143966966323</v>
      </c>
      <c r="S72" s="744">
        <f t="shared" si="42"/>
        <v>8315.2590606125232</v>
      </c>
      <c r="T72" s="745">
        <v>2.1</v>
      </c>
      <c r="U72" s="726">
        <f t="shared" si="43"/>
        <v>4.0000000000000009</v>
      </c>
      <c r="V72" s="746">
        <f t="shared" si="44"/>
        <v>2</v>
      </c>
      <c r="W72" s="767">
        <v>2E-3</v>
      </c>
      <c r="X72" s="768">
        <f t="shared" si="18"/>
        <v>160.35599999999999</v>
      </c>
      <c r="Y72" s="767">
        <v>4.0000000000000001E-3</v>
      </c>
      <c r="Z72" s="769">
        <f t="shared" si="19"/>
        <v>87.200512342092921</v>
      </c>
      <c r="AA72" s="770">
        <f t="shared" si="25"/>
        <v>77.02626549151303</v>
      </c>
      <c r="AB72" s="770">
        <f t="shared" si="26"/>
        <v>93.006479999999996</v>
      </c>
      <c r="AC72" s="770">
        <f t="shared" si="27"/>
        <v>154.05253098302606</v>
      </c>
      <c r="AD72" s="771">
        <f t="shared" si="20"/>
        <v>77.02626549151303</v>
      </c>
      <c r="AE72" s="743">
        <f t="shared" si="21"/>
        <v>126.10027199999999</v>
      </c>
      <c r="AF72" s="743">
        <f t="shared" si="22"/>
        <v>135.8685758678653</v>
      </c>
      <c r="AG72" s="773">
        <f t="shared" si="23"/>
        <v>0.84729337142274253</v>
      </c>
      <c r="AH72" s="728" t="s">
        <v>370</v>
      </c>
    </row>
    <row r="73" spans="1:34" ht="14.4" x14ac:dyDescent="0.3">
      <c r="A73" s="729" t="s">
        <v>357</v>
      </c>
      <c r="B73" s="726" t="str">
        <f t="shared" si="24"/>
        <v>1990s</v>
      </c>
      <c r="C73" s="730">
        <v>1993</v>
      </c>
      <c r="D73" s="731">
        <f t="shared" si="30"/>
        <v>1988</v>
      </c>
      <c r="E73" s="732">
        <f t="shared" si="31"/>
        <v>1991</v>
      </c>
      <c r="F73" s="759">
        <f t="shared" si="32"/>
        <v>88025</v>
      </c>
      <c r="G73" s="760">
        <f t="shared" si="33"/>
        <v>80178</v>
      </c>
      <c r="H73" s="760">
        <f t="shared" si="34"/>
        <v>65630</v>
      </c>
      <c r="I73" s="761">
        <f t="shared" si="35"/>
        <v>31525.067999999996</v>
      </c>
      <c r="J73" s="762">
        <f t="shared" si="36"/>
        <v>0.48034539082736549</v>
      </c>
      <c r="K73" s="763">
        <f t="shared" si="37"/>
        <v>43600.256171046458</v>
      </c>
      <c r="L73" s="764">
        <f t="shared" si="45"/>
        <v>38513.132745756513</v>
      </c>
      <c r="M73" s="762">
        <f t="shared" si="28"/>
        <v>0.57999999999999996</v>
      </c>
      <c r="N73" s="764">
        <f t="shared" si="29"/>
        <v>46503.24</v>
      </c>
      <c r="O73" s="740">
        <f t="shared" si="38"/>
        <v>0.34733966923595</v>
      </c>
      <c r="P73" s="765">
        <f t="shared" si="39"/>
        <v>2442.0759669663262</v>
      </c>
      <c r="Q73" s="742">
        <f t="shared" si="40"/>
        <v>7.1895239980767606E-2</v>
      </c>
      <c r="R73" s="743">
        <f t="shared" si="41"/>
        <v>33967.143966966323</v>
      </c>
      <c r="S73" s="744">
        <f t="shared" si="42"/>
        <v>8315.2590606125232</v>
      </c>
      <c r="T73" s="745">
        <v>2.2000000000000002</v>
      </c>
      <c r="U73" s="726">
        <f t="shared" si="43"/>
        <v>5.0000000000000018</v>
      </c>
      <c r="V73" s="746">
        <f t="shared" si="44"/>
        <v>2</v>
      </c>
      <c r="W73" s="767">
        <v>5.7000000000000002E-2</v>
      </c>
      <c r="X73" s="768">
        <f t="shared" si="18"/>
        <v>4570.1459999999997</v>
      </c>
      <c r="Y73" s="767">
        <v>0.05</v>
      </c>
      <c r="Z73" s="769">
        <f t="shared" si="19"/>
        <v>2485.2146017496484</v>
      </c>
      <c r="AA73" s="770">
        <f t="shared" si="25"/>
        <v>2195.2485665081213</v>
      </c>
      <c r="AB73" s="770">
        <f t="shared" si="26"/>
        <v>2650.6846799999998</v>
      </c>
      <c r="AC73" s="770">
        <f t="shared" si="27"/>
        <v>1925.6566372878258</v>
      </c>
      <c r="AD73" s="771">
        <f t="shared" si="20"/>
        <v>2195.2485665081213</v>
      </c>
      <c r="AE73" s="743">
        <f t="shared" si="21"/>
        <v>1576.2533999999998</v>
      </c>
      <c r="AF73" s="743">
        <f t="shared" si="22"/>
        <v>1698.3571983483162</v>
      </c>
      <c r="AG73" s="773">
        <f t="shared" si="23"/>
        <v>0.37161989974681692</v>
      </c>
      <c r="AH73" s="728" t="s">
        <v>370</v>
      </c>
    </row>
    <row r="74" spans="1:34" ht="14.4" x14ac:dyDescent="0.3">
      <c r="A74" s="729" t="s">
        <v>357</v>
      </c>
      <c r="B74" s="726" t="str">
        <f t="shared" si="24"/>
        <v>1990s</v>
      </c>
      <c r="C74" s="730">
        <v>1993</v>
      </c>
      <c r="D74" s="731">
        <f t="shared" si="30"/>
        <v>1987</v>
      </c>
      <c r="E74" s="732">
        <f t="shared" si="31"/>
        <v>1990</v>
      </c>
      <c r="F74" s="759">
        <f t="shared" si="32"/>
        <v>88025</v>
      </c>
      <c r="G74" s="760">
        <f t="shared" si="33"/>
        <v>80178</v>
      </c>
      <c r="H74" s="760">
        <f t="shared" si="34"/>
        <v>65630</v>
      </c>
      <c r="I74" s="761">
        <f t="shared" si="35"/>
        <v>31525.067999999996</v>
      </c>
      <c r="J74" s="762">
        <f t="shared" si="36"/>
        <v>0.48034539082736549</v>
      </c>
      <c r="K74" s="763">
        <f t="shared" si="37"/>
        <v>43600.256171046458</v>
      </c>
      <c r="L74" s="764">
        <f t="shared" si="45"/>
        <v>38513.132745756513</v>
      </c>
      <c r="M74" s="762">
        <f t="shared" si="28"/>
        <v>0.57999999999999996</v>
      </c>
      <c r="N74" s="764">
        <f t="shared" si="29"/>
        <v>46503.24</v>
      </c>
      <c r="O74" s="740">
        <f t="shared" si="38"/>
        <v>0.34733966923595</v>
      </c>
      <c r="P74" s="765">
        <f t="shared" si="39"/>
        <v>2442.0759669663262</v>
      </c>
      <c r="Q74" s="742">
        <f t="shared" si="40"/>
        <v>7.1895239980767606E-2</v>
      </c>
      <c r="R74" s="743">
        <f t="shared" si="41"/>
        <v>33967.143966966323</v>
      </c>
      <c r="S74" s="744">
        <f t="shared" si="42"/>
        <v>8315.2590606125232</v>
      </c>
      <c r="T74" s="745">
        <v>2.2999999999999998</v>
      </c>
      <c r="U74" s="726">
        <f t="shared" si="43"/>
        <v>5.9999999999999982</v>
      </c>
      <c r="V74" s="746">
        <f t="shared" si="44"/>
        <v>2</v>
      </c>
      <c r="W74" s="767">
        <v>2E-3</v>
      </c>
      <c r="X74" s="768">
        <f t="shared" si="18"/>
        <v>160.35599999999999</v>
      </c>
      <c r="Y74" s="767">
        <v>2E-3</v>
      </c>
      <c r="Z74" s="769">
        <f t="shared" si="19"/>
        <v>87.200512342092921</v>
      </c>
      <c r="AA74" s="770">
        <f t="shared" si="25"/>
        <v>77.02626549151303</v>
      </c>
      <c r="AB74" s="770">
        <f t="shared" si="26"/>
        <v>93.006479999999996</v>
      </c>
      <c r="AC74" s="770">
        <f t="shared" si="27"/>
        <v>77.02626549151303</v>
      </c>
      <c r="AD74" s="771">
        <f t="shared" si="20"/>
        <v>77.02626549151303</v>
      </c>
      <c r="AE74" s="743">
        <f t="shared" si="21"/>
        <v>63.050135999999995</v>
      </c>
      <c r="AF74" s="772">
        <f t="shared" si="22"/>
        <v>67.934287933932652</v>
      </c>
      <c r="AG74" s="773">
        <f t="shared" si="23"/>
        <v>0.42364668571137126</v>
      </c>
      <c r="AH74" s="728" t="s">
        <v>370</v>
      </c>
    </row>
    <row r="75" spans="1:34" ht="14.4" x14ac:dyDescent="0.3">
      <c r="A75" s="729" t="s">
        <v>357</v>
      </c>
      <c r="B75" s="726" t="str">
        <f t="shared" si="24"/>
        <v>1990s</v>
      </c>
      <c r="C75" s="730">
        <v>1994</v>
      </c>
      <c r="D75" s="731">
        <f t="shared" si="30"/>
        <v>1991</v>
      </c>
      <c r="E75" s="732">
        <f t="shared" si="31"/>
        <v>1993</v>
      </c>
      <c r="F75" s="759">
        <f t="shared" si="32"/>
        <v>12873</v>
      </c>
      <c r="G75" s="760">
        <f t="shared" si="33"/>
        <v>12678</v>
      </c>
      <c r="H75" s="760">
        <f t="shared" si="34"/>
        <v>11367</v>
      </c>
      <c r="I75" s="761">
        <f t="shared" si="35"/>
        <v>1885.9119999999998</v>
      </c>
      <c r="J75" s="762">
        <f t="shared" si="36"/>
        <v>0.16591114630069498</v>
      </c>
      <c r="K75" s="763">
        <f t="shared" si="37"/>
        <v>2324.2862752595647</v>
      </c>
      <c r="L75" s="764">
        <f t="shared" si="45"/>
        <v>2103.4215128002111</v>
      </c>
      <c r="M75" s="779"/>
      <c r="N75" s="764"/>
      <c r="O75" s="740">
        <f t="shared" si="38"/>
        <v>0.13140873954882473</v>
      </c>
      <c r="P75" s="765">
        <f t="shared" si="39"/>
        <v>78.475972200228725</v>
      </c>
      <c r="Q75" s="742">
        <f t="shared" si="40"/>
        <v>3.9949324324324326E-2</v>
      </c>
      <c r="R75" s="743">
        <f t="shared" si="41"/>
        <v>1964.3879722002284</v>
      </c>
      <c r="S75" s="744">
        <f t="shared" si="42"/>
        <v>171.38621412861812</v>
      </c>
      <c r="T75" s="775">
        <v>1.1000000000000001</v>
      </c>
      <c r="U75" s="726">
        <f t="shared" si="43"/>
        <v>3.0000000000000009</v>
      </c>
      <c r="V75" s="746">
        <f t="shared" si="44"/>
        <v>1</v>
      </c>
      <c r="W75" s="767">
        <v>0.14299999999999999</v>
      </c>
      <c r="X75" s="768">
        <f t="shared" si="18"/>
        <v>1812.954</v>
      </c>
      <c r="Y75" s="747">
        <v>5.1999999999999998E-2</v>
      </c>
      <c r="Z75" s="769">
        <f t="shared" si="19"/>
        <v>332.37293736211774</v>
      </c>
      <c r="AA75" s="770">
        <f t="shared" si="25"/>
        <v>300.78927633043014</v>
      </c>
      <c r="AB75" s="770" t="str">
        <f t="shared" si="26"/>
        <v/>
      </c>
      <c r="AC75" s="770">
        <f t="shared" si="27"/>
        <v>109.37791866561098</v>
      </c>
      <c r="AD75" s="771">
        <f t="shared" si="20"/>
        <v>300.78927633043014</v>
      </c>
      <c r="AE75" s="743">
        <f t="shared" si="21"/>
        <v>98.067423999999988</v>
      </c>
      <c r="AF75" s="772">
        <f t="shared" si="22"/>
        <v>102.14817455441188</v>
      </c>
      <c r="AG75" s="773">
        <f t="shared" si="23"/>
        <v>5.6343500471833195E-2</v>
      </c>
    </row>
    <row r="76" spans="1:34" ht="14.4" x14ac:dyDescent="0.3">
      <c r="A76" s="729" t="s">
        <v>357</v>
      </c>
      <c r="B76" s="726" t="str">
        <f t="shared" si="24"/>
        <v>1990s</v>
      </c>
      <c r="C76" s="730">
        <v>1994</v>
      </c>
      <c r="D76" s="731">
        <f t="shared" si="30"/>
        <v>1990</v>
      </c>
      <c r="E76" s="732">
        <f t="shared" si="31"/>
        <v>1992</v>
      </c>
      <c r="F76" s="759">
        <f t="shared" si="32"/>
        <v>12873</v>
      </c>
      <c r="G76" s="760">
        <f t="shared" si="33"/>
        <v>12678</v>
      </c>
      <c r="H76" s="760">
        <f t="shared" si="34"/>
        <v>11367</v>
      </c>
      <c r="I76" s="761">
        <f t="shared" si="35"/>
        <v>1885.9119999999998</v>
      </c>
      <c r="J76" s="762">
        <f t="shared" si="36"/>
        <v>0.16591114630069498</v>
      </c>
      <c r="K76" s="763">
        <f t="shared" si="37"/>
        <v>2324.2862752595647</v>
      </c>
      <c r="L76" s="764">
        <f t="shared" si="45"/>
        <v>2103.4215128002111</v>
      </c>
      <c r="M76" s="780"/>
      <c r="N76" s="764"/>
      <c r="O76" s="740">
        <f t="shared" si="38"/>
        <v>0.13140873954882473</v>
      </c>
      <c r="P76" s="765">
        <f t="shared" si="39"/>
        <v>78.475972200228725</v>
      </c>
      <c r="Q76" s="742">
        <f t="shared" si="40"/>
        <v>3.9949324324324326E-2</v>
      </c>
      <c r="R76" s="743">
        <f t="shared" si="41"/>
        <v>1964.3879722002284</v>
      </c>
      <c r="S76" s="744">
        <f t="shared" si="42"/>
        <v>171.38621412861812</v>
      </c>
      <c r="T76" s="745">
        <v>1.2</v>
      </c>
      <c r="U76" s="726">
        <f t="shared" si="43"/>
        <v>3.9999999999999996</v>
      </c>
      <c r="V76" s="746">
        <f t="shared" si="44"/>
        <v>1</v>
      </c>
      <c r="W76" s="767">
        <v>0.126</v>
      </c>
      <c r="X76" s="768">
        <f t="shared" si="18"/>
        <v>1597.4280000000001</v>
      </c>
      <c r="Y76" s="747">
        <v>0.82499999999999996</v>
      </c>
      <c r="Z76" s="769">
        <f t="shared" si="19"/>
        <v>292.86007068270516</v>
      </c>
      <c r="AA76" s="770">
        <f t="shared" si="25"/>
        <v>265.03111061282658</v>
      </c>
      <c r="AB76" s="770" t="str">
        <f t="shared" si="26"/>
        <v/>
      </c>
      <c r="AC76" s="770">
        <f t="shared" si="27"/>
        <v>1735.322748060174</v>
      </c>
      <c r="AD76" s="771">
        <f t="shared" si="20"/>
        <v>265.03111061282658</v>
      </c>
      <c r="AE76" s="743">
        <f t="shared" si="21"/>
        <v>1555.8773999999999</v>
      </c>
      <c r="AF76" s="743">
        <f t="shared" si="22"/>
        <v>1620.6200770651883</v>
      </c>
      <c r="AG76" s="773">
        <f t="shared" si="23"/>
        <v>1.0145183864719964</v>
      </c>
    </row>
    <row r="77" spans="1:34" ht="14.4" x14ac:dyDescent="0.3">
      <c r="A77" s="729" t="s">
        <v>357</v>
      </c>
      <c r="B77" s="726" t="str">
        <f t="shared" si="24"/>
        <v>1990s</v>
      </c>
      <c r="C77" s="730">
        <v>1994</v>
      </c>
      <c r="D77" s="731">
        <f t="shared" si="30"/>
        <v>1989</v>
      </c>
      <c r="E77" s="732">
        <f t="shared" si="31"/>
        <v>1991</v>
      </c>
      <c r="F77" s="759">
        <f t="shared" si="32"/>
        <v>12873</v>
      </c>
      <c r="G77" s="760">
        <f t="shared" si="33"/>
        <v>12678</v>
      </c>
      <c r="H77" s="760">
        <f t="shared" si="34"/>
        <v>11367</v>
      </c>
      <c r="I77" s="761">
        <f t="shared" si="35"/>
        <v>1885.9119999999998</v>
      </c>
      <c r="J77" s="762">
        <f t="shared" si="36"/>
        <v>0.16591114630069498</v>
      </c>
      <c r="K77" s="763">
        <f t="shared" si="37"/>
        <v>2324.2862752595647</v>
      </c>
      <c r="L77" s="764">
        <f t="shared" si="45"/>
        <v>2103.4215128002111</v>
      </c>
      <c r="M77" s="780"/>
      <c r="N77" s="764"/>
      <c r="O77" s="740">
        <f t="shared" si="38"/>
        <v>0.13140873954882473</v>
      </c>
      <c r="P77" s="765">
        <f t="shared" si="39"/>
        <v>78.475972200228725</v>
      </c>
      <c r="Q77" s="742">
        <f t="shared" si="40"/>
        <v>3.9949324324324326E-2</v>
      </c>
      <c r="R77" s="743">
        <f t="shared" si="41"/>
        <v>1964.3879722002284</v>
      </c>
      <c r="S77" s="744">
        <f t="shared" si="42"/>
        <v>171.38621412861812</v>
      </c>
      <c r="T77" s="745">
        <v>1.3</v>
      </c>
      <c r="U77" s="726">
        <f t="shared" si="43"/>
        <v>5</v>
      </c>
      <c r="V77" s="746">
        <f t="shared" si="44"/>
        <v>1</v>
      </c>
      <c r="W77" s="767">
        <v>0.69799999999999995</v>
      </c>
      <c r="X77" s="768">
        <f t="shared" si="18"/>
        <v>8849.2439999999988</v>
      </c>
      <c r="Y77" s="747">
        <v>8.3000000000000004E-2</v>
      </c>
      <c r="Z77" s="769">
        <f t="shared" si="19"/>
        <v>1622.3518201311761</v>
      </c>
      <c r="AA77" s="770">
        <f t="shared" si="25"/>
        <v>1468.1882159345473</v>
      </c>
      <c r="AB77" s="770" t="str">
        <f t="shared" si="26"/>
        <v/>
      </c>
      <c r="AC77" s="770">
        <f t="shared" si="27"/>
        <v>174.58398556241752</v>
      </c>
      <c r="AD77" s="771">
        <f t="shared" si="20"/>
        <v>1468.1882159345473</v>
      </c>
      <c r="AE77" s="743">
        <f t="shared" si="21"/>
        <v>156.53069600000001</v>
      </c>
      <c r="AF77" s="743">
        <f t="shared" si="22"/>
        <v>163.04420169261897</v>
      </c>
      <c r="AG77" s="773">
        <f t="shared" si="23"/>
        <v>1.8424647539678981E-2</v>
      </c>
    </row>
    <row r="78" spans="1:34" ht="14.4" x14ac:dyDescent="0.3">
      <c r="A78" s="729" t="s">
        <v>357</v>
      </c>
      <c r="B78" s="726" t="str">
        <f t="shared" si="24"/>
        <v>1990s</v>
      </c>
      <c r="C78" s="730">
        <v>1994</v>
      </c>
      <c r="D78" s="731">
        <f t="shared" si="30"/>
        <v>1990</v>
      </c>
      <c r="E78" s="732">
        <f t="shared" si="31"/>
        <v>1993</v>
      </c>
      <c r="F78" s="759">
        <f t="shared" si="32"/>
        <v>12873</v>
      </c>
      <c r="G78" s="760">
        <f t="shared" si="33"/>
        <v>12678</v>
      </c>
      <c r="H78" s="760">
        <f t="shared" si="34"/>
        <v>11367</v>
      </c>
      <c r="I78" s="761">
        <f t="shared" si="35"/>
        <v>1885.9119999999998</v>
      </c>
      <c r="J78" s="762">
        <f t="shared" si="36"/>
        <v>0.16591114630069498</v>
      </c>
      <c r="K78" s="763">
        <f t="shared" si="37"/>
        <v>2324.2862752595647</v>
      </c>
      <c r="L78" s="764">
        <f t="shared" si="45"/>
        <v>2103.4215128002111</v>
      </c>
      <c r="M78" s="780"/>
      <c r="N78" s="764"/>
      <c r="O78" s="740">
        <f t="shared" si="38"/>
        <v>0.13140873954882473</v>
      </c>
      <c r="P78" s="765">
        <f t="shared" si="39"/>
        <v>78.475972200228725</v>
      </c>
      <c r="Q78" s="742">
        <f t="shared" si="40"/>
        <v>3.9949324324324326E-2</v>
      </c>
      <c r="R78" s="743">
        <f t="shared" si="41"/>
        <v>1964.3879722002284</v>
      </c>
      <c r="S78" s="744">
        <f t="shared" si="42"/>
        <v>171.38621412861812</v>
      </c>
      <c r="T78" s="745">
        <v>2.1</v>
      </c>
      <c r="U78" s="726">
        <f t="shared" si="43"/>
        <v>4.0000000000000009</v>
      </c>
      <c r="V78" s="746">
        <f t="shared" si="44"/>
        <v>2</v>
      </c>
      <c r="W78" s="767">
        <v>1.6E-2</v>
      </c>
      <c r="X78" s="768">
        <f t="shared" si="18"/>
        <v>202.84800000000001</v>
      </c>
      <c r="Y78" s="747">
        <v>2.3E-2</v>
      </c>
      <c r="Z78" s="769">
        <f t="shared" si="19"/>
        <v>37.188580404153036</v>
      </c>
      <c r="AA78" s="770">
        <f t="shared" si="25"/>
        <v>33.654744204803379</v>
      </c>
      <c r="AB78" s="770" t="str">
        <f t="shared" si="26"/>
        <v/>
      </c>
      <c r="AC78" s="770">
        <f t="shared" si="27"/>
        <v>48.378694794404851</v>
      </c>
      <c r="AD78" s="771">
        <f t="shared" si="20"/>
        <v>33.654744204803379</v>
      </c>
      <c r="AE78" s="743">
        <f t="shared" si="21"/>
        <v>43.375975999999994</v>
      </c>
      <c r="AF78" s="743">
        <f t="shared" si="22"/>
        <v>45.180923360605256</v>
      </c>
      <c r="AG78" s="773">
        <f t="shared" si="23"/>
        <v>0.22273290030271559</v>
      </c>
    </row>
    <row r="79" spans="1:34" ht="14.4" x14ac:dyDescent="0.3">
      <c r="A79" s="729" t="s">
        <v>357</v>
      </c>
      <c r="B79" s="726" t="str">
        <f t="shared" si="24"/>
        <v>1990s</v>
      </c>
      <c r="C79" s="730">
        <v>1994</v>
      </c>
      <c r="D79" s="731">
        <f t="shared" si="30"/>
        <v>1989</v>
      </c>
      <c r="E79" s="732">
        <f t="shared" si="31"/>
        <v>1992</v>
      </c>
      <c r="F79" s="759">
        <f t="shared" si="32"/>
        <v>12873</v>
      </c>
      <c r="G79" s="760">
        <f t="shared" si="33"/>
        <v>12678</v>
      </c>
      <c r="H79" s="760">
        <f t="shared" si="34"/>
        <v>11367</v>
      </c>
      <c r="I79" s="761">
        <f t="shared" si="35"/>
        <v>1885.9119999999998</v>
      </c>
      <c r="J79" s="762">
        <f t="shared" si="36"/>
        <v>0.16591114630069498</v>
      </c>
      <c r="K79" s="763">
        <f t="shared" si="37"/>
        <v>2324.2862752595647</v>
      </c>
      <c r="L79" s="764">
        <f t="shared" si="45"/>
        <v>2103.4215128002111</v>
      </c>
      <c r="M79" s="780"/>
      <c r="N79" s="764"/>
      <c r="O79" s="740">
        <f t="shared" si="38"/>
        <v>0.13140873954882473</v>
      </c>
      <c r="P79" s="765">
        <f t="shared" si="39"/>
        <v>78.475972200228725</v>
      </c>
      <c r="Q79" s="742">
        <f t="shared" si="40"/>
        <v>3.9949324324324326E-2</v>
      </c>
      <c r="R79" s="743">
        <f t="shared" si="41"/>
        <v>1964.3879722002284</v>
      </c>
      <c r="S79" s="744">
        <f t="shared" si="42"/>
        <v>171.38621412861812</v>
      </c>
      <c r="T79" s="745">
        <v>2.2000000000000002</v>
      </c>
      <c r="U79" s="726">
        <f t="shared" si="43"/>
        <v>5.0000000000000018</v>
      </c>
      <c r="V79" s="746">
        <f t="shared" si="44"/>
        <v>2</v>
      </c>
      <c r="W79" s="767">
        <v>1.7000000000000001E-2</v>
      </c>
      <c r="X79" s="768">
        <f t="shared" si="18"/>
        <v>215.52600000000001</v>
      </c>
      <c r="Y79" s="747">
        <v>1.6E-2</v>
      </c>
      <c r="Z79" s="769">
        <f t="shared" si="19"/>
        <v>39.512866679412603</v>
      </c>
      <c r="AA79" s="770">
        <f t="shared" si="25"/>
        <v>35.758165717603589</v>
      </c>
      <c r="AB79" s="770" t="str">
        <f t="shared" si="26"/>
        <v/>
      </c>
      <c r="AC79" s="770">
        <f t="shared" si="27"/>
        <v>33.654744204803379</v>
      </c>
      <c r="AD79" s="771">
        <f t="shared" si="20"/>
        <v>35.758165717603589</v>
      </c>
      <c r="AE79" s="743">
        <f t="shared" si="21"/>
        <v>30.174591999999997</v>
      </c>
      <c r="AF79" s="743">
        <f t="shared" si="22"/>
        <v>31.430207555203655</v>
      </c>
      <c r="AG79" s="773">
        <f t="shared" si="23"/>
        <v>0.14583023651533297</v>
      </c>
    </row>
    <row r="80" spans="1:34" ht="14.4" x14ac:dyDescent="0.3">
      <c r="A80" s="729" t="s">
        <v>357</v>
      </c>
      <c r="B80" s="726" t="str">
        <f t="shared" si="24"/>
        <v>1990s</v>
      </c>
      <c r="C80" s="730">
        <v>1995</v>
      </c>
      <c r="D80" s="731">
        <f t="shared" si="30"/>
        <v>1992</v>
      </c>
      <c r="E80" s="732">
        <f t="shared" si="31"/>
        <v>1994</v>
      </c>
      <c r="F80" s="759">
        <f t="shared" si="32"/>
        <v>9913</v>
      </c>
      <c r="G80" s="760">
        <f t="shared" si="33"/>
        <v>8774</v>
      </c>
      <c r="H80" s="760">
        <f t="shared" si="34"/>
        <v>9462</v>
      </c>
      <c r="I80" s="761">
        <f t="shared" si="35"/>
        <v>5537.7439999999997</v>
      </c>
      <c r="J80" s="762">
        <f t="shared" si="36"/>
        <v>0.58526146692031278</v>
      </c>
      <c r="K80" s="763">
        <f t="shared" si="37"/>
        <v>6447.1137399471781</v>
      </c>
      <c r="L80" s="764">
        <f t="shared" si="45"/>
        <v>5135.084110758824</v>
      </c>
      <c r="M80" s="779"/>
      <c r="N80" s="764"/>
      <c r="O80" s="740">
        <f t="shared" si="38"/>
        <v>0.55755641668566214</v>
      </c>
      <c r="P80" s="765">
        <f t="shared" si="39"/>
        <v>261.02661424645947</v>
      </c>
      <c r="Q80" s="742">
        <f t="shared" si="40"/>
        <v>4.5014129995962854E-2</v>
      </c>
      <c r="R80" s="743">
        <f t="shared" si="41"/>
        <v>5798.7706142464594</v>
      </c>
      <c r="S80" s="744">
        <f t="shared" si="42"/>
        <v>2.926307334601006</v>
      </c>
      <c r="T80" s="775">
        <v>1.1000000000000001</v>
      </c>
      <c r="U80" s="726">
        <f t="shared" si="43"/>
        <v>3.0000000000000009</v>
      </c>
      <c r="V80" s="746">
        <f t="shared" si="44"/>
        <v>1</v>
      </c>
      <c r="W80" s="767">
        <v>0.41299999999999998</v>
      </c>
      <c r="X80" s="768">
        <f t="shared" si="18"/>
        <v>3623.6619999999998</v>
      </c>
      <c r="Y80" s="747">
        <v>5.1999999999999998E-2</v>
      </c>
      <c r="Z80" s="769">
        <f t="shared" si="19"/>
        <v>2662.6579745981844</v>
      </c>
      <c r="AA80" s="770">
        <f t="shared" si="25"/>
        <v>2120.7897377433942</v>
      </c>
      <c r="AB80" s="770" t="str">
        <f t="shared" si="26"/>
        <v/>
      </c>
      <c r="AC80" s="770">
        <f t="shared" si="27"/>
        <v>267.02437375945885</v>
      </c>
      <c r="AD80" s="771">
        <f t="shared" si="20"/>
        <v>2120.7897377433942</v>
      </c>
      <c r="AE80" s="743">
        <f t="shared" si="21"/>
        <v>287.96268799999996</v>
      </c>
      <c r="AF80" s="772">
        <f t="shared" si="22"/>
        <v>301.53607194081587</v>
      </c>
      <c r="AG80" s="773">
        <f t="shared" si="23"/>
        <v>8.3213078907694998E-2</v>
      </c>
    </row>
    <row r="81" spans="1:34" ht="14.4" x14ac:dyDescent="0.3">
      <c r="A81" s="729" t="s">
        <v>357</v>
      </c>
      <c r="B81" s="726" t="str">
        <f t="shared" si="24"/>
        <v>1990s</v>
      </c>
      <c r="C81" s="730">
        <v>1995</v>
      </c>
      <c r="D81" s="731">
        <f t="shared" si="30"/>
        <v>1991</v>
      </c>
      <c r="E81" s="732">
        <f t="shared" si="31"/>
        <v>1993</v>
      </c>
      <c r="F81" s="759">
        <f t="shared" si="32"/>
        <v>9913</v>
      </c>
      <c r="G81" s="760">
        <f t="shared" si="33"/>
        <v>8774</v>
      </c>
      <c r="H81" s="760">
        <f t="shared" si="34"/>
        <v>9462</v>
      </c>
      <c r="I81" s="761">
        <f t="shared" si="35"/>
        <v>5537.7439999999997</v>
      </c>
      <c r="J81" s="762">
        <f t="shared" si="36"/>
        <v>0.58526146692031278</v>
      </c>
      <c r="K81" s="763">
        <f t="shared" si="37"/>
        <v>6447.1137399471781</v>
      </c>
      <c r="L81" s="764">
        <f t="shared" si="45"/>
        <v>5135.084110758824</v>
      </c>
      <c r="M81" s="780"/>
      <c r="N81" s="764"/>
      <c r="O81" s="740">
        <f t="shared" si="38"/>
        <v>0.55755641668566214</v>
      </c>
      <c r="P81" s="765">
        <f t="shared" si="39"/>
        <v>261.02661424645947</v>
      </c>
      <c r="Q81" s="742">
        <f t="shared" si="40"/>
        <v>4.5014129995962854E-2</v>
      </c>
      <c r="R81" s="743">
        <f t="shared" si="41"/>
        <v>5798.7706142464594</v>
      </c>
      <c r="S81" s="744">
        <f t="shared" si="42"/>
        <v>2.926307334601006</v>
      </c>
      <c r="T81" s="745">
        <v>1.2</v>
      </c>
      <c r="U81" s="726">
        <f t="shared" si="43"/>
        <v>3.9999999999999996</v>
      </c>
      <c r="V81" s="746">
        <f t="shared" si="44"/>
        <v>1</v>
      </c>
      <c r="W81" s="767">
        <v>0.51400000000000001</v>
      </c>
      <c r="X81" s="768">
        <f t="shared" si="18"/>
        <v>4509.8360000000002</v>
      </c>
      <c r="Y81" s="747">
        <v>0.82499999999999996</v>
      </c>
      <c r="Z81" s="769">
        <f t="shared" si="19"/>
        <v>3313.8164623328498</v>
      </c>
      <c r="AA81" s="770">
        <f t="shared" si="25"/>
        <v>2639.4332329300355</v>
      </c>
      <c r="AB81" s="770" t="str">
        <f t="shared" si="26"/>
        <v/>
      </c>
      <c r="AC81" s="770">
        <f t="shared" si="27"/>
        <v>4236.4443913760297</v>
      </c>
      <c r="AD81" s="771">
        <f t="shared" si="20"/>
        <v>2639.4332329300355</v>
      </c>
      <c r="AE81" s="743">
        <f t="shared" si="21"/>
        <v>4568.6387999999997</v>
      </c>
      <c r="AF81" s="743">
        <f t="shared" si="22"/>
        <v>4783.985756753329</v>
      </c>
      <c r="AG81" s="773">
        <f t="shared" si="23"/>
        <v>1.0607892962744829</v>
      </c>
    </row>
    <row r="82" spans="1:34" ht="14.4" x14ac:dyDescent="0.3">
      <c r="A82" s="729" t="s">
        <v>357</v>
      </c>
      <c r="B82" s="726" t="str">
        <f t="shared" si="24"/>
        <v>1990s</v>
      </c>
      <c r="C82" s="730">
        <v>1995</v>
      </c>
      <c r="D82" s="731">
        <f t="shared" si="30"/>
        <v>1990</v>
      </c>
      <c r="E82" s="732">
        <f t="shared" si="31"/>
        <v>1992</v>
      </c>
      <c r="F82" s="759">
        <f t="shared" si="32"/>
        <v>9913</v>
      </c>
      <c r="G82" s="760">
        <f t="shared" si="33"/>
        <v>8774</v>
      </c>
      <c r="H82" s="760">
        <f t="shared" si="34"/>
        <v>9462</v>
      </c>
      <c r="I82" s="761">
        <f t="shared" si="35"/>
        <v>5537.7439999999997</v>
      </c>
      <c r="J82" s="762">
        <f t="shared" si="36"/>
        <v>0.58526146692031278</v>
      </c>
      <c r="K82" s="763">
        <f t="shared" si="37"/>
        <v>6447.1137399471781</v>
      </c>
      <c r="L82" s="764">
        <f t="shared" si="45"/>
        <v>5135.084110758824</v>
      </c>
      <c r="M82" s="780"/>
      <c r="N82" s="764"/>
      <c r="O82" s="740">
        <f t="shared" si="38"/>
        <v>0.55755641668566214</v>
      </c>
      <c r="P82" s="765">
        <f t="shared" si="39"/>
        <v>261.02661424645947</v>
      </c>
      <c r="Q82" s="742">
        <f t="shared" si="40"/>
        <v>4.5014129995962854E-2</v>
      </c>
      <c r="R82" s="743">
        <f t="shared" si="41"/>
        <v>5798.7706142464594</v>
      </c>
      <c r="S82" s="744">
        <f t="shared" si="42"/>
        <v>2.926307334601006</v>
      </c>
      <c r="T82" s="745">
        <v>1.3</v>
      </c>
      <c r="U82" s="726">
        <f t="shared" si="43"/>
        <v>5</v>
      </c>
      <c r="V82" s="746">
        <f t="shared" si="44"/>
        <v>1</v>
      </c>
      <c r="W82" s="767">
        <v>1.2999999999999999E-2</v>
      </c>
      <c r="X82" s="768">
        <f t="shared" si="18"/>
        <v>114.062</v>
      </c>
      <c r="Y82" s="747">
        <v>8.3000000000000004E-2</v>
      </c>
      <c r="Z82" s="769">
        <f t="shared" si="19"/>
        <v>83.81247861931331</v>
      </c>
      <c r="AA82" s="770">
        <f t="shared" si="25"/>
        <v>66.756093439864713</v>
      </c>
      <c r="AB82" s="770" t="str">
        <f t="shared" si="26"/>
        <v/>
      </c>
      <c r="AC82" s="770">
        <f t="shared" si="27"/>
        <v>426.21198119298242</v>
      </c>
      <c r="AD82" s="771">
        <f t="shared" si="20"/>
        <v>66.756093439864713</v>
      </c>
      <c r="AE82" s="743">
        <f t="shared" si="21"/>
        <v>459.63275199999998</v>
      </c>
      <c r="AF82" s="743">
        <f t="shared" si="22"/>
        <v>481.29796098245617</v>
      </c>
      <c r="AG82" s="773">
        <f t="shared" si="23"/>
        <v>4.2196170589894635</v>
      </c>
    </row>
    <row r="83" spans="1:34" ht="14.4" x14ac:dyDescent="0.3">
      <c r="A83" s="729" t="s">
        <v>357</v>
      </c>
      <c r="B83" s="726" t="str">
        <f t="shared" si="24"/>
        <v>1990s</v>
      </c>
      <c r="C83" s="730">
        <v>1995</v>
      </c>
      <c r="D83" s="731">
        <f t="shared" si="30"/>
        <v>1991</v>
      </c>
      <c r="E83" s="732">
        <f t="shared" si="31"/>
        <v>1994</v>
      </c>
      <c r="F83" s="759">
        <f t="shared" si="32"/>
        <v>9913</v>
      </c>
      <c r="G83" s="760">
        <f t="shared" si="33"/>
        <v>8774</v>
      </c>
      <c r="H83" s="760">
        <f t="shared" si="34"/>
        <v>9462</v>
      </c>
      <c r="I83" s="761">
        <f t="shared" si="35"/>
        <v>5537.7439999999997</v>
      </c>
      <c r="J83" s="762">
        <f t="shared" si="36"/>
        <v>0.58526146692031278</v>
      </c>
      <c r="K83" s="763">
        <f t="shared" si="37"/>
        <v>6447.1137399471781</v>
      </c>
      <c r="L83" s="764">
        <f t="shared" si="45"/>
        <v>5135.084110758824</v>
      </c>
      <c r="M83" s="780"/>
      <c r="N83" s="764"/>
      <c r="O83" s="740">
        <f t="shared" si="38"/>
        <v>0.55755641668566214</v>
      </c>
      <c r="P83" s="765">
        <f t="shared" si="39"/>
        <v>261.02661424645947</v>
      </c>
      <c r="Q83" s="742">
        <f t="shared" si="40"/>
        <v>4.5014129995962854E-2</v>
      </c>
      <c r="R83" s="743">
        <f t="shared" si="41"/>
        <v>5798.7706142464594</v>
      </c>
      <c r="S83" s="744">
        <f t="shared" si="42"/>
        <v>2.926307334601006</v>
      </c>
      <c r="T83" s="745">
        <v>2.1</v>
      </c>
      <c r="U83" s="726">
        <f t="shared" si="43"/>
        <v>4.0000000000000009</v>
      </c>
      <c r="V83" s="746">
        <f t="shared" si="44"/>
        <v>2</v>
      </c>
      <c r="W83" s="767">
        <v>5.8000000000000003E-2</v>
      </c>
      <c r="X83" s="768">
        <f t="shared" si="18"/>
        <v>508.89200000000005</v>
      </c>
      <c r="Y83" s="747">
        <v>2.3E-2</v>
      </c>
      <c r="Z83" s="769">
        <f t="shared" si="19"/>
        <v>373.93259691693635</v>
      </c>
      <c r="AA83" s="770">
        <f t="shared" si="25"/>
        <v>297.83487842401178</v>
      </c>
      <c r="AB83" s="770" t="str">
        <f t="shared" si="26"/>
        <v/>
      </c>
      <c r="AC83" s="770">
        <f t="shared" si="27"/>
        <v>118.10693454745295</v>
      </c>
      <c r="AD83" s="771">
        <f t="shared" si="20"/>
        <v>297.83487842401178</v>
      </c>
      <c r="AE83" s="743">
        <f t="shared" si="21"/>
        <v>127.368112</v>
      </c>
      <c r="AF83" s="743">
        <f t="shared" si="22"/>
        <v>133.37172412766856</v>
      </c>
      <c r="AG83" s="773">
        <f t="shared" si="23"/>
        <v>0.26208257179847305</v>
      </c>
    </row>
    <row r="84" spans="1:34" ht="14.4" x14ac:dyDescent="0.3">
      <c r="A84" s="729" t="s">
        <v>357</v>
      </c>
      <c r="B84" s="726" t="str">
        <f t="shared" si="24"/>
        <v>1990s</v>
      </c>
      <c r="C84" s="730">
        <v>1995</v>
      </c>
      <c r="D84" s="731">
        <f t="shared" si="30"/>
        <v>1990</v>
      </c>
      <c r="E84" s="732">
        <f t="shared" si="31"/>
        <v>1993</v>
      </c>
      <c r="F84" s="759">
        <f t="shared" si="32"/>
        <v>9913</v>
      </c>
      <c r="G84" s="760">
        <f t="shared" si="33"/>
        <v>8774</v>
      </c>
      <c r="H84" s="760">
        <f t="shared" si="34"/>
        <v>9462</v>
      </c>
      <c r="I84" s="761">
        <f t="shared" si="35"/>
        <v>5537.7439999999997</v>
      </c>
      <c r="J84" s="762">
        <f t="shared" si="36"/>
        <v>0.58526146692031278</v>
      </c>
      <c r="K84" s="763">
        <f t="shared" si="37"/>
        <v>6447.1137399471781</v>
      </c>
      <c r="L84" s="764">
        <f t="shared" si="45"/>
        <v>5135.084110758824</v>
      </c>
      <c r="M84" s="780"/>
      <c r="N84" s="764"/>
      <c r="O84" s="740">
        <f t="shared" si="38"/>
        <v>0.55755641668566214</v>
      </c>
      <c r="P84" s="765">
        <f t="shared" si="39"/>
        <v>261.02661424645947</v>
      </c>
      <c r="Q84" s="742">
        <f t="shared" si="40"/>
        <v>4.5014129995962854E-2</v>
      </c>
      <c r="R84" s="743">
        <f t="shared" si="41"/>
        <v>5798.7706142464594</v>
      </c>
      <c r="S84" s="744">
        <f t="shared" si="42"/>
        <v>2.926307334601006</v>
      </c>
      <c r="T84" s="745">
        <v>2.2000000000000002</v>
      </c>
      <c r="U84" s="726">
        <f t="shared" si="43"/>
        <v>5.0000000000000018</v>
      </c>
      <c r="V84" s="746">
        <f t="shared" si="44"/>
        <v>2</v>
      </c>
      <c r="W84" s="767">
        <v>0</v>
      </c>
      <c r="X84" s="768">
        <f t="shared" si="18"/>
        <v>0</v>
      </c>
      <c r="Y84" s="747">
        <v>1.6E-2</v>
      </c>
      <c r="Z84" s="769">
        <f t="shared" si="19"/>
        <v>0</v>
      </c>
      <c r="AA84" s="770">
        <f t="shared" si="25"/>
        <v>0</v>
      </c>
      <c r="AB84" s="770" t="str">
        <f t="shared" si="26"/>
        <v/>
      </c>
      <c r="AC84" s="770">
        <f t="shared" si="27"/>
        <v>82.161345772141189</v>
      </c>
      <c r="AD84" s="771">
        <f t="shared" si="20"/>
        <v>0</v>
      </c>
      <c r="AE84" s="743">
        <f t="shared" si="21"/>
        <v>88.603904</v>
      </c>
      <c r="AF84" s="743">
        <f t="shared" si="22"/>
        <v>92.780329827943348</v>
      </c>
      <c r="AG84" s="773">
        <f t="shared" si="23"/>
        <v>0</v>
      </c>
    </row>
    <row r="85" spans="1:34" ht="14.4" x14ac:dyDescent="0.3">
      <c r="A85" s="729" t="s">
        <v>357</v>
      </c>
      <c r="B85" s="726" t="str">
        <f t="shared" si="24"/>
        <v>1990s</v>
      </c>
      <c r="C85" s="730">
        <v>1996</v>
      </c>
      <c r="D85" s="731">
        <f t="shared" si="30"/>
        <v>1993</v>
      </c>
      <c r="E85" s="732">
        <f t="shared" si="31"/>
        <v>1995</v>
      </c>
      <c r="F85" s="759">
        <f t="shared" si="32"/>
        <v>30942</v>
      </c>
      <c r="G85" s="760">
        <f t="shared" si="33"/>
        <v>30232</v>
      </c>
      <c r="H85" s="760">
        <f t="shared" si="34"/>
        <v>29500</v>
      </c>
      <c r="I85" s="761">
        <f t="shared" si="35"/>
        <v>20037.531999999999</v>
      </c>
      <c r="J85" s="762">
        <f t="shared" si="36"/>
        <v>0.67923837288135591</v>
      </c>
      <c r="K85" s="763">
        <f t="shared" si="37"/>
        <v>23353.298996278285</v>
      </c>
      <c r="L85" s="764">
        <f t="shared" si="45"/>
        <v>20534.734488949151</v>
      </c>
      <c r="M85" s="779"/>
      <c r="N85" s="764"/>
      <c r="O85" s="740">
        <f t="shared" si="38"/>
        <v>0.58550542471553324</v>
      </c>
      <c r="P85" s="765">
        <f t="shared" si="39"/>
        <v>977.42401857627112</v>
      </c>
      <c r="Q85" s="742">
        <f t="shared" si="40"/>
        <v>4.6510876240343897E-2</v>
      </c>
      <c r="R85" s="743">
        <f t="shared" si="41"/>
        <v>21014.956018576271</v>
      </c>
      <c r="S85" s="744">
        <f t="shared" si="42"/>
        <v>2.0377151186439733</v>
      </c>
      <c r="T85" s="745">
        <v>1.1000000000000001</v>
      </c>
      <c r="U85" s="726">
        <f t="shared" si="43"/>
        <v>3.0000000000000009</v>
      </c>
      <c r="V85" s="746">
        <f t="shared" si="44"/>
        <v>1</v>
      </c>
      <c r="W85" s="767">
        <v>7.5999999999999998E-2</v>
      </c>
      <c r="X85" s="768">
        <f t="shared" si="18"/>
        <v>2297.6320000000001</v>
      </c>
      <c r="Y85" s="767">
        <v>7.5999999999999998E-2</v>
      </c>
      <c r="Z85" s="769">
        <f t="shared" si="19"/>
        <v>1774.8507237171495</v>
      </c>
      <c r="AA85" s="770">
        <f t="shared" si="25"/>
        <v>1560.6398211601354</v>
      </c>
      <c r="AB85" s="770" t="str">
        <f t="shared" si="26"/>
        <v/>
      </c>
      <c r="AC85" s="770">
        <f t="shared" si="27"/>
        <v>1560.6398211601354</v>
      </c>
      <c r="AD85" s="771">
        <f t="shared" si="20"/>
        <v>1560.6398211601354</v>
      </c>
      <c r="AE85" s="743">
        <f t="shared" si="21"/>
        <v>1522.8524319999999</v>
      </c>
      <c r="AF85" s="772">
        <f t="shared" si="22"/>
        <v>1597.1366574117965</v>
      </c>
      <c r="AG85" s="773">
        <f t="shared" si="23"/>
        <v>0.69512291672983162</v>
      </c>
      <c r="AH85" s="728" t="s">
        <v>371</v>
      </c>
    </row>
    <row r="86" spans="1:34" ht="14.4" x14ac:dyDescent="0.3">
      <c r="A86" s="729" t="s">
        <v>357</v>
      </c>
      <c r="B86" s="726" t="str">
        <f t="shared" si="24"/>
        <v>1990s</v>
      </c>
      <c r="C86" s="730">
        <v>1996</v>
      </c>
      <c r="D86" s="731">
        <f t="shared" si="30"/>
        <v>1992</v>
      </c>
      <c r="E86" s="732">
        <f t="shared" si="31"/>
        <v>1994</v>
      </c>
      <c r="F86" s="759">
        <f t="shared" si="32"/>
        <v>30942</v>
      </c>
      <c r="G86" s="760">
        <f t="shared" si="33"/>
        <v>30232</v>
      </c>
      <c r="H86" s="760">
        <f t="shared" si="34"/>
        <v>29500</v>
      </c>
      <c r="I86" s="761">
        <f t="shared" si="35"/>
        <v>20037.531999999999</v>
      </c>
      <c r="J86" s="762">
        <f t="shared" si="36"/>
        <v>0.67923837288135591</v>
      </c>
      <c r="K86" s="763">
        <f t="shared" si="37"/>
        <v>23353.298996278285</v>
      </c>
      <c r="L86" s="764">
        <f t="shared" si="45"/>
        <v>20534.734488949151</v>
      </c>
      <c r="M86" s="780"/>
      <c r="N86" s="764"/>
      <c r="O86" s="740">
        <f t="shared" si="38"/>
        <v>0.58550542471553324</v>
      </c>
      <c r="P86" s="765">
        <f t="shared" si="39"/>
        <v>977.42401857627112</v>
      </c>
      <c r="Q86" s="742">
        <f t="shared" si="40"/>
        <v>4.6510876240343897E-2</v>
      </c>
      <c r="R86" s="743">
        <f t="shared" si="41"/>
        <v>21014.956018576271</v>
      </c>
      <c r="S86" s="744">
        <f t="shared" si="42"/>
        <v>2.0377151186439733</v>
      </c>
      <c r="T86" s="745">
        <v>1.2</v>
      </c>
      <c r="U86" s="726">
        <f t="shared" si="43"/>
        <v>3.9999999999999996</v>
      </c>
      <c r="V86" s="746">
        <f t="shared" si="44"/>
        <v>1</v>
      </c>
      <c r="W86" s="767">
        <v>0.85899999999999999</v>
      </c>
      <c r="X86" s="768">
        <f t="shared" si="18"/>
        <v>25969.288</v>
      </c>
      <c r="Y86" s="767">
        <v>0.85899999999999999</v>
      </c>
      <c r="Z86" s="769">
        <f t="shared" si="19"/>
        <v>20060.483837803047</v>
      </c>
      <c r="AA86" s="770">
        <f t="shared" si="25"/>
        <v>17639.33692600732</v>
      </c>
      <c r="AB86" s="770" t="str">
        <f t="shared" si="26"/>
        <v/>
      </c>
      <c r="AC86" s="770">
        <f t="shared" si="27"/>
        <v>17639.33692600732</v>
      </c>
      <c r="AD86" s="771">
        <f t="shared" si="20"/>
        <v>17639.33692600732</v>
      </c>
      <c r="AE86" s="743">
        <f t="shared" si="21"/>
        <v>17212.239987999998</v>
      </c>
      <c r="AF86" s="743">
        <f t="shared" si="22"/>
        <v>18051.847219957017</v>
      </c>
      <c r="AG86" s="773">
        <f t="shared" si="23"/>
        <v>0.69512291672983162</v>
      </c>
      <c r="AH86" s="728" t="s">
        <v>371</v>
      </c>
    </row>
    <row r="87" spans="1:34" ht="14.4" x14ac:dyDescent="0.3">
      <c r="A87" s="729" t="s">
        <v>357</v>
      </c>
      <c r="B87" s="726" t="str">
        <f t="shared" si="24"/>
        <v>1990s</v>
      </c>
      <c r="C87" s="730">
        <v>1996</v>
      </c>
      <c r="D87" s="731">
        <f t="shared" si="30"/>
        <v>1991</v>
      </c>
      <c r="E87" s="732">
        <f t="shared" si="31"/>
        <v>1993</v>
      </c>
      <c r="F87" s="759">
        <f t="shared" si="32"/>
        <v>30942</v>
      </c>
      <c r="G87" s="760">
        <f t="shared" si="33"/>
        <v>30232</v>
      </c>
      <c r="H87" s="760">
        <f t="shared" si="34"/>
        <v>29500</v>
      </c>
      <c r="I87" s="761">
        <f t="shared" si="35"/>
        <v>20037.531999999999</v>
      </c>
      <c r="J87" s="762">
        <f t="shared" si="36"/>
        <v>0.67923837288135591</v>
      </c>
      <c r="K87" s="763">
        <f t="shared" si="37"/>
        <v>23353.298996278285</v>
      </c>
      <c r="L87" s="764">
        <f t="shared" si="45"/>
        <v>20534.734488949151</v>
      </c>
      <c r="M87" s="780"/>
      <c r="N87" s="764"/>
      <c r="O87" s="740">
        <f t="shared" si="38"/>
        <v>0.58550542471553324</v>
      </c>
      <c r="P87" s="765">
        <f t="shared" si="39"/>
        <v>977.42401857627112</v>
      </c>
      <c r="Q87" s="742">
        <f t="shared" si="40"/>
        <v>4.6510876240343897E-2</v>
      </c>
      <c r="R87" s="743">
        <f t="shared" si="41"/>
        <v>21014.956018576271</v>
      </c>
      <c r="S87" s="744">
        <f t="shared" si="42"/>
        <v>2.0377151186439733</v>
      </c>
      <c r="T87" s="745">
        <v>1.3</v>
      </c>
      <c r="U87" s="726">
        <f t="shared" si="43"/>
        <v>5</v>
      </c>
      <c r="V87" s="746">
        <f t="shared" si="44"/>
        <v>1</v>
      </c>
      <c r="W87" s="767">
        <v>3.7999999999999999E-2</v>
      </c>
      <c r="X87" s="768">
        <f t="shared" si="18"/>
        <v>1148.816</v>
      </c>
      <c r="Y87" s="767">
        <v>3.7999999999999999E-2</v>
      </c>
      <c r="Z87" s="769">
        <f t="shared" si="19"/>
        <v>887.42536185857477</v>
      </c>
      <c r="AA87" s="770">
        <f t="shared" si="25"/>
        <v>780.3199105800677</v>
      </c>
      <c r="AB87" s="770" t="str">
        <f t="shared" si="26"/>
        <v/>
      </c>
      <c r="AC87" s="770">
        <f t="shared" si="27"/>
        <v>780.3199105800677</v>
      </c>
      <c r="AD87" s="771">
        <f t="shared" si="20"/>
        <v>780.3199105800677</v>
      </c>
      <c r="AE87" s="743">
        <f t="shared" si="21"/>
        <v>761.42621599999995</v>
      </c>
      <c r="AF87" s="743">
        <f t="shared" si="22"/>
        <v>798.56832870589824</v>
      </c>
      <c r="AG87" s="773">
        <f t="shared" si="23"/>
        <v>0.69512291672983162</v>
      </c>
      <c r="AH87" s="728" t="s">
        <v>371</v>
      </c>
    </row>
    <row r="88" spans="1:34" ht="14.4" x14ac:dyDescent="0.3">
      <c r="A88" s="729" t="s">
        <v>357</v>
      </c>
      <c r="B88" s="726" t="str">
        <f t="shared" si="24"/>
        <v>1990s</v>
      </c>
      <c r="C88" s="730">
        <v>1996</v>
      </c>
      <c r="D88" s="731">
        <f t="shared" si="30"/>
        <v>1992</v>
      </c>
      <c r="E88" s="732">
        <f t="shared" si="31"/>
        <v>1995</v>
      </c>
      <c r="F88" s="759">
        <f t="shared" si="32"/>
        <v>30942</v>
      </c>
      <c r="G88" s="760">
        <f t="shared" si="33"/>
        <v>30232</v>
      </c>
      <c r="H88" s="760">
        <f t="shared" si="34"/>
        <v>29500</v>
      </c>
      <c r="I88" s="761">
        <f t="shared" si="35"/>
        <v>20037.531999999999</v>
      </c>
      <c r="J88" s="762">
        <f t="shared" si="36"/>
        <v>0.67923837288135591</v>
      </c>
      <c r="K88" s="763">
        <f t="shared" si="37"/>
        <v>23353.298996278285</v>
      </c>
      <c r="L88" s="764">
        <f t="shared" si="45"/>
        <v>20534.734488949151</v>
      </c>
      <c r="M88" s="780"/>
      <c r="N88" s="764"/>
      <c r="O88" s="740">
        <f t="shared" si="38"/>
        <v>0.58550542471553324</v>
      </c>
      <c r="P88" s="765">
        <f t="shared" si="39"/>
        <v>977.42401857627112</v>
      </c>
      <c r="Q88" s="742">
        <f t="shared" si="40"/>
        <v>4.6510876240343897E-2</v>
      </c>
      <c r="R88" s="743">
        <f t="shared" si="41"/>
        <v>21014.956018576271</v>
      </c>
      <c r="S88" s="744">
        <f t="shared" si="42"/>
        <v>2.0377151186439733</v>
      </c>
      <c r="T88" s="745">
        <v>2.1</v>
      </c>
      <c r="U88" s="726">
        <f t="shared" si="43"/>
        <v>4.0000000000000009</v>
      </c>
      <c r="V88" s="746">
        <f t="shared" si="44"/>
        <v>2</v>
      </c>
      <c r="W88" s="767">
        <v>0</v>
      </c>
      <c r="X88" s="768">
        <f t="shared" si="18"/>
        <v>0</v>
      </c>
      <c r="Y88" s="767">
        <v>0</v>
      </c>
      <c r="Z88" s="769">
        <f t="shared" si="19"/>
        <v>0</v>
      </c>
      <c r="AA88" s="770">
        <f t="shared" si="25"/>
        <v>0</v>
      </c>
      <c r="AB88" s="770" t="str">
        <f t="shared" si="26"/>
        <v/>
      </c>
      <c r="AC88" s="770">
        <f>IF(Y88,L88*Y88,0)</f>
        <v>0</v>
      </c>
      <c r="AD88" s="771">
        <f t="shared" si="20"/>
        <v>0</v>
      </c>
      <c r="AE88" s="743">
        <f t="shared" si="21"/>
        <v>0</v>
      </c>
      <c r="AF88" s="743">
        <f t="shared" si="22"/>
        <v>0</v>
      </c>
      <c r="AG88" s="773">
        <f t="shared" si="23"/>
        <v>0</v>
      </c>
      <c r="AH88" s="728" t="s">
        <v>371</v>
      </c>
    </row>
    <row r="89" spans="1:34" ht="14.4" x14ac:dyDescent="0.3">
      <c r="A89" s="729" t="s">
        <v>357</v>
      </c>
      <c r="B89" s="726" t="str">
        <f t="shared" si="24"/>
        <v>1990s</v>
      </c>
      <c r="C89" s="730">
        <v>1996</v>
      </c>
      <c r="D89" s="731">
        <f t="shared" si="30"/>
        <v>1991</v>
      </c>
      <c r="E89" s="732">
        <f t="shared" si="31"/>
        <v>1994</v>
      </c>
      <c r="F89" s="759">
        <f t="shared" si="32"/>
        <v>30942</v>
      </c>
      <c r="G89" s="760">
        <f t="shared" si="33"/>
        <v>30232</v>
      </c>
      <c r="H89" s="760">
        <f t="shared" si="34"/>
        <v>29500</v>
      </c>
      <c r="I89" s="761">
        <f t="shared" si="35"/>
        <v>20037.531999999999</v>
      </c>
      <c r="J89" s="762">
        <f t="shared" si="36"/>
        <v>0.67923837288135591</v>
      </c>
      <c r="K89" s="763">
        <f t="shared" si="37"/>
        <v>23353.298996278285</v>
      </c>
      <c r="L89" s="764">
        <f t="shared" si="45"/>
        <v>20534.734488949151</v>
      </c>
      <c r="M89" s="780"/>
      <c r="N89" s="764"/>
      <c r="O89" s="740">
        <f t="shared" si="38"/>
        <v>0.58550542471553324</v>
      </c>
      <c r="P89" s="765">
        <f t="shared" si="39"/>
        <v>977.42401857627112</v>
      </c>
      <c r="Q89" s="742">
        <f t="shared" si="40"/>
        <v>4.6510876240343897E-2</v>
      </c>
      <c r="R89" s="743">
        <f t="shared" si="41"/>
        <v>21014.956018576271</v>
      </c>
      <c r="S89" s="744">
        <f t="shared" si="42"/>
        <v>2.0377151186439733</v>
      </c>
      <c r="T89" s="745">
        <v>2.2000000000000002</v>
      </c>
      <c r="U89" s="726">
        <f t="shared" si="43"/>
        <v>5.0000000000000018</v>
      </c>
      <c r="V89" s="746">
        <f t="shared" si="44"/>
        <v>2</v>
      </c>
      <c r="W89" s="767">
        <v>2.7E-2</v>
      </c>
      <c r="X89" s="768">
        <f t="shared" si="18"/>
        <v>816.26400000000001</v>
      </c>
      <c r="Y89" s="767">
        <v>2.7E-2</v>
      </c>
      <c r="Z89" s="769">
        <f t="shared" si="19"/>
        <v>630.53907289951371</v>
      </c>
      <c r="AA89" s="770">
        <f t="shared" si="25"/>
        <v>554.43783120162709</v>
      </c>
      <c r="AB89" s="770" t="str">
        <f t="shared" si="26"/>
        <v/>
      </c>
      <c r="AC89" s="770">
        <f t="shared" si="27"/>
        <v>554.43783120162709</v>
      </c>
      <c r="AD89" s="771">
        <f t="shared" si="20"/>
        <v>554.43783120162709</v>
      </c>
      <c r="AE89" s="743">
        <f t="shared" si="21"/>
        <v>541.01336400000002</v>
      </c>
      <c r="AF89" s="743">
        <f t="shared" si="22"/>
        <v>567.40381250155929</v>
      </c>
      <c r="AG89" s="773">
        <f t="shared" si="23"/>
        <v>0.69512291672983162</v>
      </c>
      <c r="AH89" s="728" t="s">
        <v>371</v>
      </c>
    </row>
    <row r="90" spans="1:34" ht="14.4" x14ac:dyDescent="0.3">
      <c r="A90" s="729" t="s">
        <v>357</v>
      </c>
      <c r="B90" s="726" t="str">
        <f t="shared" si="24"/>
        <v>1990s</v>
      </c>
      <c r="C90" s="730">
        <v>1997</v>
      </c>
      <c r="D90" s="731">
        <f t="shared" si="30"/>
        <v>1994</v>
      </c>
      <c r="E90" s="732">
        <f t="shared" si="31"/>
        <v>1996</v>
      </c>
      <c r="F90" s="759">
        <f t="shared" si="32"/>
        <v>49979</v>
      </c>
      <c r="G90" s="760">
        <f t="shared" si="33"/>
        <v>47008</v>
      </c>
      <c r="H90" s="760">
        <f t="shared" si="34"/>
        <v>41504</v>
      </c>
      <c r="I90" s="761">
        <f t="shared" si="35"/>
        <v>27870.971999999998</v>
      </c>
      <c r="J90" s="762">
        <f t="shared" si="36"/>
        <v>0.6715249614494988</v>
      </c>
      <c r="K90" s="763">
        <f t="shared" si="37"/>
        <v>35841.569404908347</v>
      </c>
      <c r="L90" s="764">
        <f t="shared" si="45"/>
        <v>31567.045387818041</v>
      </c>
      <c r="M90" s="779"/>
      <c r="N90" s="764"/>
      <c r="O90" s="740">
        <f t="shared" si="38"/>
        <v>0.52376191286589513</v>
      </c>
      <c r="P90" s="765">
        <f t="shared" si="39"/>
        <v>1381.9983706630685</v>
      </c>
      <c r="Q90" s="742">
        <f t="shared" si="40"/>
        <v>4.7243009962811625E-2</v>
      </c>
      <c r="R90" s="743">
        <f t="shared" si="41"/>
        <v>29252.970370663068</v>
      </c>
      <c r="S90" s="744">
        <f t="shared" si="42"/>
        <v>4309.1756776214315</v>
      </c>
      <c r="T90" s="775">
        <v>1.1000000000000001</v>
      </c>
      <c r="U90" s="726">
        <f t="shared" si="43"/>
        <v>3.0000000000000009</v>
      </c>
      <c r="V90" s="746">
        <f t="shared" si="44"/>
        <v>1</v>
      </c>
      <c r="W90" s="767">
        <v>0</v>
      </c>
      <c r="X90" s="768">
        <f t="shared" si="18"/>
        <v>0</v>
      </c>
      <c r="Y90" s="747">
        <v>5.1999999999999998E-2</v>
      </c>
      <c r="Z90" s="769">
        <f t="shared" si="19"/>
        <v>0</v>
      </c>
      <c r="AA90" s="770">
        <f t="shared" si="25"/>
        <v>0</v>
      </c>
      <c r="AB90" s="770" t="str">
        <f t="shared" si="26"/>
        <v/>
      </c>
      <c r="AC90" s="770">
        <f t="shared" si="27"/>
        <v>1641.4863601665381</v>
      </c>
      <c r="AD90" s="771">
        <f t="shared" si="20"/>
        <v>0</v>
      </c>
      <c r="AE90" s="743">
        <f t="shared" si="21"/>
        <v>1449.2905439999997</v>
      </c>
      <c r="AF90" s="772">
        <f t="shared" si="22"/>
        <v>1521.1544592744794</v>
      </c>
      <c r="AG90" s="773">
        <f t="shared" si="23"/>
        <v>0</v>
      </c>
    </row>
    <row r="91" spans="1:34" ht="14.4" x14ac:dyDescent="0.3">
      <c r="A91" s="729" t="s">
        <v>357</v>
      </c>
      <c r="B91" s="726" t="str">
        <f t="shared" si="24"/>
        <v>1990s</v>
      </c>
      <c r="C91" s="730">
        <v>1997</v>
      </c>
      <c r="D91" s="731">
        <f t="shared" si="30"/>
        <v>1993</v>
      </c>
      <c r="E91" s="732">
        <f t="shared" si="31"/>
        <v>1995</v>
      </c>
      <c r="F91" s="759">
        <f t="shared" si="32"/>
        <v>49979</v>
      </c>
      <c r="G91" s="760">
        <f t="shared" si="33"/>
        <v>47008</v>
      </c>
      <c r="H91" s="760">
        <f t="shared" si="34"/>
        <v>41504</v>
      </c>
      <c r="I91" s="761">
        <f t="shared" si="35"/>
        <v>27870.971999999998</v>
      </c>
      <c r="J91" s="762">
        <f t="shared" si="36"/>
        <v>0.6715249614494988</v>
      </c>
      <c r="K91" s="763">
        <f t="shared" si="37"/>
        <v>35841.569404908347</v>
      </c>
      <c r="L91" s="764">
        <f t="shared" si="45"/>
        <v>31567.045387818041</v>
      </c>
      <c r="M91" s="780"/>
      <c r="N91" s="764"/>
      <c r="O91" s="740">
        <f t="shared" si="38"/>
        <v>0.52376191286589513</v>
      </c>
      <c r="P91" s="765">
        <f t="shared" si="39"/>
        <v>1381.9983706630685</v>
      </c>
      <c r="Q91" s="742">
        <f t="shared" si="40"/>
        <v>4.7243009962811625E-2</v>
      </c>
      <c r="R91" s="743">
        <f t="shared" si="41"/>
        <v>29252.970370663068</v>
      </c>
      <c r="S91" s="744">
        <f t="shared" si="42"/>
        <v>4309.1756776214315</v>
      </c>
      <c r="T91" s="745">
        <v>1.2</v>
      </c>
      <c r="U91" s="726">
        <f t="shared" si="43"/>
        <v>3.9999999999999996</v>
      </c>
      <c r="V91" s="746">
        <f t="shared" si="44"/>
        <v>1</v>
      </c>
      <c r="W91" s="767">
        <v>0.95699999999999996</v>
      </c>
      <c r="X91" s="768">
        <f t="shared" ref="X91:X154" si="46">W91*G91</f>
        <v>44986.655999999995</v>
      </c>
      <c r="Y91" s="747">
        <v>0.82499999999999996</v>
      </c>
      <c r="Z91" s="769">
        <f t="shared" ref="Z91:Z109" si="47">K91*W91</f>
        <v>34300.38192049729</v>
      </c>
      <c r="AA91" s="770">
        <f t="shared" si="25"/>
        <v>30209.662436141865</v>
      </c>
      <c r="AB91" s="770" t="str">
        <f t="shared" si="26"/>
        <v/>
      </c>
      <c r="AC91" s="770">
        <f t="shared" si="27"/>
        <v>26042.812444949883</v>
      </c>
      <c r="AD91" s="771">
        <f t="shared" ref="AD91:AD108" si="48">L91*W91</f>
        <v>30209.662436141865</v>
      </c>
      <c r="AE91" s="743">
        <f t="shared" ref="AE91:AE119" si="49">Y91*I91</f>
        <v>22993.551899999999</v>
      </c>
      <c r="AF91" s="743">
        <f t="shared" ref="AF91:AF119" si="50">Y91*R91</f>
        <v>24133.70055579703</v>
      </c>
      <c r="AG91" s="773">
        <f t="shared" ref="AG91:AG119" si="51">IF(X91=0,0,AF91/X91)</f>
        <v>0.5364635361160659</v>
      </c>
    </row>
    <row r="92" spans="1:34" ht="14.4" x14ac:dyDescent="0.3">
      <c r="A92" s="729" t="s">
        <v>357</v>
      </c>
      <c r="B92" s="726" t="str">
        <f t="shared" ref="B92:B155" si="52">LEFT(E92,3)*10 &amp; "s"</f>
        <v>1990s</v>
      </c>
      <c r="C92" s="730">
        <v>1997</v>
      </c>
      <c r="D92" s="731">
        <f t="shared" si="30"/>
        <v>1992</v>
      </c>
      <c r="E92" s="732">
        <f t="shared" si="31"/>
        <v>1994</v>
      </c>
      <c r="F92" s="759">
        <f t="shared" si="32"/>
        <v>49979</v>
      </c>
      <c r="G92" s="760">
        <f t="shared" si="33"/>
        <v>47008</v>
      </c>
      <c r="H92" s="760">
        <f t="shared" si="34"/>
        <v>41504</v>
      </c>
      <c r="I92" s="761">
        <f t="shared" si="35"/>
        <v>27870.971999999998</v>
      </c>
      <c r="J92" s="762">
        <f t="shared" si="36"/>
        <v>0.6715249614494988</v>
      </c>
      <c r="K92" s="763">
        <f t="shared" si="37"/>
        <v>35841.569404908347</v>
      </c>
      <c r="L92" s="764">
        <f t="shared" si="45"/>
        <v>31567.045387818041</v>
      </c>
      <c r="M92" s="780"/>
      <c r="N92" s="764"/>
      <c r="O92" s="740">
        <f t="shared" si="38"/>
        <v>0.52376191286589513</v>
      </c>
      <c r="P92" s="765">
        <f t="shared" si="39"/>
        <v>1381.9983706630685</v>
      </c>
      <c r="Q92" s="742">
        <f t="shared" si="40"/>
        <v>4.7243009962811625E-2</v>
      </c>
      <c r="R92" s="743">
        <f t="shared" si="41"/>
        <v>29252.970370663068</v>
      </c>
      <c r="S92" s="744">
        <f t="shared" si="42"/>
        <v>4309.1756776214315</v>
      </c>
      <c r="T92" s="745">
        <v>1.3</v>
      </c>
      <c r="U92" s="726">
        <f t="shared" si="43"/>
        <v>5</v>
      </c>
      <c r="V92" s="746">
        <f t="shared" si="44"/>
        <v>1</v>
      </c>
      <c r="W92" s="767">
        <v>3.4000000000000002E-2</v>
      </c>
      <c r="X92" s="768">
        <f t="shared" si="46"/>
        <v>1598.2720000000002</v>
      </c>
      <c r="Y92" s="747">
        <v>8.3000000000000004E-2</v>
      </c>
      <c r="Z92" s="769">
        <f t="shared" si="47"/>
        <v>1218.6133597668838</v>
      </c>
      <c r="AA92" s="770">
        <f t="shared" ref="AA92:AA155" si="53">L92*W92</f>
        <v>1073.2795431858135</v>
      </c>
      <c r="AB92" s="770" t="str">
        <f t="shared" ref="AB92:AB155" si="54">IF(N92,N92*W92,"")</f>
        <v/>
      </c>
      <c r="AC92" s="770">
        <f t="shared" ref="AC92:AC154" si="55">IF(Y92,L92*Y92,"")</f>
        <v>2620.0647671888978</v>
      </c>
      <c r="AD92" s="771">
        <f t="shared" si="48"/>
        <v>1073.2795431858135</v>
      </c>
      <c r="AE92" s="743">
        <f t="shared" si="49"/>
        <v>2313.2906760000001</v>
      </c>
      <c r="AF92" s="743">
        <f t="shared" si="50"/>
        <v>2427.9965407650348</v>
      </c>
      <c r="AG92" s="773">
        <f t="shared" si="51"/>
        <v>1.5191385075663182</v>
      </c>
    </row>
    <row r="93" spans="1:34" ht="14.4" x14ac:dyDescent="0.3">
      <c r="A93" s="729" t="s">
        <v>357</v>
      </c>
      <c r="B93" s="726" t="str">
        <f t="shared" si="52"/>
        <v>1990s</v>
      </c>
      <c r="C93" s="730">
        <v>1997</v>
      </c>
      <c r="D93" s="731">
        <f t="shared" si="30"/>
        <v>1993</v>
      </c>
      <c r="E93" s="732">
        <f t="shared" si="31"/>
        <v>1996</v>
      </c>
      <c r="F93" s="759">
        <f t="shared" si="32"/>
        <v>49979</v>
      </c>
      <c r="G93" s="760">
        <f t="shared" si="33"/>
        <v>47008</v>
      </c>
      <c r="H93" s="760">
        <f t="shared" si="34"/>
        <v>41504</v>
      </c>
      <c r="I93" s="761">
        <f t="shared" si="35"/>
        <v>27870.971999999998</v>
      </c>
      <c r="J93" s="762">
        <f t="shared" si="36"/>
        <v>0.6715249614494988</v>
      </c>
      <c r="K93" s="763">
        <f t="shared" si="37"/>
        <v>35841.569404908347</v>
      </c>
      <c r="L93" s="764">
        <f t="shared" si="45"/>
        <v>31567.045387818041</v>
      </c>
      <c r="M93" s="780"/>
      <c r="N93" s="764"/>
      <c r="O93" s="740">
        <f t="shared" si="38"/>
        <v>0.52376191286589513</v>
      </c>
      <c r="P93" s="765">
        <f t="shared" si="39"/>
        <v>1381.9983706630685</v>
      </c>
      <c r="Q93" s="742">
        <f t="shared" si="40"/>
        <v>4.7243009962811625E-2</v>
      </c>
      <c r="R93" s="743">
        <f t="shared" si="41"/>
        <v>29252.970370663068</v>
      </c>
      <c r="S93" s="744">
        <f t="shared" si="42"/>
        <v>4309.1756776214315</v>
      </c>
      <c r="T93" s="745">
        <v>2.1</v>
      </c>
      <c r="U93" s="726">
        <f t="shared" si="43"/>
        <v>4.0000000000000009</v>
      </c>
      <c r="V93" s="746">
        <f t="shared" si="44"/>
        <v>2</v>
      </c>
      <c r="W93" s="767">
        <v>8.9999999999999993E-3</v>
      </c>
      <c r="X93" s="768">
        <f t="shared" si="46"/>
        <v>423.07199999999995</v>
      </c>
      <c r="Y93" s="747">
        <v>2.3E-2</v>
      </c>
      <c r="Z93" s="769">
        <f t="shared" si="47"/>
        <v>322.57412464417507</v>
      </c>
      <c r="AA93" s="770">
        <f t="shared" si="53"/>
        <v>284.10340849036237</v>
      </c>
      <c r="AB93" s="770" t="str">
        <f t="shared" si="54"/>
        <v/>
      </c>
      <c r="AC93" s="770">
        <f t="shared" si="55"/>
        <v>726.04204391981489</v>
      </c>
      <c r="AD93" s="771">
        <f t="shared" si="48"/>
        <v>284.10340849036237</v>
      </c>
      <c r="AE93" s="743">
        <f t="shared" si="49"/>
        <v>641.03235599999994</v>
      </c>
      <c r="AF93" s="743">
        <f t="shared" si="50"/>
        <v>672.81831852525056</v>
      </c>
      <c r="AG93" s="773">
        <f t="shared" si="51"/>
        <v>1.5903163492862933</v>
      </c>
    </row>
    <row r="94" spans="1:34" ht="14.4" x14ac:dyDescent="0.3">
      <c r="A94" s="729" t="s">
        <v>357</v>
      </c>
      <c r="B94" s="726" t="str">
        <f t="shared" si="52"/>
        <v>1990s</v>
      </c>
      <c r="C94" s="730">
        <v>1997</v>
      </c>
      <c r="D94" s="731">
        <f t="shared" si="30"/>
        <v>1992</v>
      </c>
      <c r="E94" s="732">
        <f t="shared" si="31"/>
        <v>1995</v>
      </c>
      <c r="F94" s="759">
        <f t="shared" si="32"/>
        <v>49979</v>
      </c>
      <c r="G94" s="760">
        <f t="shared" si="33"/>
        <v>47008</v>
      </c>
      <c r="H94" s="760">
        <f t="shared" si="34"/>
        <v>41504</v>
      </c>
      <c r="I94" s="761">
        <f t="shared" si="35"/>
        <v>27870.971999999998</v>
      </c>
      <c r="J94" s="762">
        <f t="shared" si="36"/>
        <v>0.6715249614494988</v>
      </c>
      <c r="K94" s="763">
        <f t="shared" si="37"/>
        <v>35841.569404908347</v>
      </c>
      <c r="L94" s="764">
        <f t="shared" si="45"/>
        <v>31567.045387818041</v>
      </c>
      <c r="M94" s="780"/>
      <c r="N94" s="764"/>
      <c r="O94" s="740">
        <f t="shared" si="38"/>
        <v>0.52376191286589513</v>
      </c>
      <c r="P94" s="765">
        <f t="shared" si="39"/>
        <v>1381.9983706630685</v>
      </c>
      <c r="Q94" s="742">
        <f t="shared" si="40"/>
        <v>4.7243009962811625E-2</v>
      </c>
      <c r="R94" s="743">
        <f t="shared" si="41"/>
        <v>29252.970370663068</v>
      </c>
      <c r="S94" s="744">
        <f t="shared" si="42"/>
        <v>4309.1756776214315</v>
      </c>
      <c r="T94" s="745">
        <v>2.2000000000000002</v>
      </c>
      <c r="U94" s="726">
        <f t="shared" si="43"/>
        <v>5.0000000000000018</v>
      </c>
      <c r="V94" s="746">
        <f t="shared" si="44"/>
        <v>2</v>
      </c>
      <c r="W94" s="767">
        <v>0</v>
      </c>
      <c r="X94" s="768">
        <f t="shared" si="46"/>
        <v>0</v>
      </c>
      <c r="Y94" s="747">
        <v>1.6E-2</v>
      </c>
      <c r="Z94" s="769">
        <f t="shared" si="47"/>
        <v>0</v>
      </c>
      <c r="AA94" s="770">
        <f t="shared" si="53"/>
        <v>0</v>
      </c>
      <c r="AB94" s="770" t="str">
        <f t="shared" si="54"/>
        <v/>
      </c>
      <c r="AC94" s="770">
        <f t="shared" si="55"/>
        <v>505.07272620508866</v>
      </c>
      <c r="AD94" s="771">
        <f t="shared" si="48"/>
        <v>0</v>
      </c>
      <c r="AE94" s="743">
        <f t="shared" si="49"/>
        <v>445.93555199999997</v>
      </c>
      <c r="AF94" s="743">
        <f t="shared" si="50"/>
        <v>468.04752593060908</v>
      </c>
      <c r="AG94" s="773">
        <f t="shared" si="51"/>
        <v>0</v>
      </c>
    </row>
    <row r="95" spans="1:34" ht="14.4" x14ac:dyDescent="0.3">
      <c r="A95" s="729" t="s">
        <v>357</v>
      </c>
      <c r="B95" s="726" t="str">
        <f t="shared" si="52"/>
        <v>1990s</v>
      </c>
      <c r="C95" s="730">
        <v>1998</v>
      </c>
      <c r="D95" s="731">
        <f t="shared" si="30"/>
        <v>1995</v>
      </c>
      <c r="E95" s="732">
        <f t="shared" si="31"/>
        <v>1997</v>
      </c>
      <c r="F95" s="759">
        <f t="shared" si="32"/>
        <v>13220</v>
      </c>
      <c r="G95" s="760">
        <f t="shared" si="33"/>
        <v>13218</v>
      </c>
      <c r="H95" s="760">
        <f t="shared" si="34"/>
        <v>9334</v>
      </c>
      <c r="I95" s="761">
        <f t="shared" si="35"/>
        <v>4666</v>
      </c>
      <c r="J95" s="762">
        <f t="shared" si="36"/>
        <v>0.49989286479537176</v>
      </c>
      <c r="K95" s="763">
        <f t="shared" si="37"/>
        <v>6548.2230325454384</v>
      </c>
      <c r="L95" s="764">
        <f t="shared" si="45"/>
        <v>6607.5838868652236</v>
      </c>
      <c r="M95" s="779"/>
      <c r="N95" s="764"/>
      <c r="O95" s="740">
        <f t="shared" si="38"/>
        <v>0.31283098804660314</v>
      </c>
      <c r="P95" s="765">
        <f t="shared" si="39"/>
        <v>213.45425326762376</v>
      </c>
      <c r="Q95" s="742">
        <f t="shared" si="40"/>
        <v>4.3745517877266674E-2</v>
      </c>
      <c r="R95" s="743">
        <f t="shared" si="41"/>
        <v>4879.4542532676242</v>
      </c>
      <c r="S95" s="744">
        <f t="shared" si="42"/>
        <v>1729.1294193271906</v>
      </c>
      <c r="T95" s="745">
        <v>1.1000000000000001</v>
      </c>
      <c r="U95" s="726">
        <f t="shared" si="43"/>
        <v>3.0000000000000009</v>
      </c>
      <c r="V95" s="746">
        <f t="shared" si="44"/>
        <v>1</v>
      </c>
      <c r="W95" s="767">
        <v>5.2999999999999999E-2</v>
      </c>
      <c r="X95" s="768">
        <f t="shared" si="46"/>
        <v>700.55399999999997</v>
      </c>
      <c r="Y95" s="747">
        <v>5.1999999999999998E-2</v>
      </c>
      <c r="Z95" s="769">
        <f t="shared" si="47"/>
        <v>347.05582072490824</v>
      </c>
      <c r="AA95" s="770">
        <f t="shared" si="53"/>
        <v>350.20194600385685</v>
      </c>
      <c r="AB95" s="770" t="str">
        <f t="shared" si="54"/>
        <v/>
      </c>
      <c r="AC95" s="770">
        <f t="shared" si="55"/>
        <v>343.59436211699159</v>
      </c>
      <c r="AD95" s="771">
        <f t="shared" si="48"/>
        <v>350.20194600385685</v>
      </c>
      <c r="AE95" s="743">
        <f t="shared" si="49"/>
        <v>242.63199999999998</v>
      </c>
      <c r="AF95" s="772">
        <f t="shared" si="50"/>
        <v>253.73162116991645</v>
      </c>
      <c r="AG95" s="773">
        <f t="shared" si="51"/>
        <v>0.36218709930985543</v>
      </c>
    </row>
    <row r="96" spans="1:34" ht="14.4" x14ac:dyDescent="0.3">
      <c r="A96" s="729" t="s">
        <v>357</v>
      </c>
      <c r="B96" s="726" t="str">
        <f t="shared" si="52"/>
        <v>1990s</v>
      </c>
      <c r="C96" s="730">
        <v>1998</v>
      </c>
      <c r="D96" s="731">
        <f t="shared" si="30"/>
        <v>1994</v>
      </c>
      <c r="E96" s="732">
        <f t="shared" si="31"/>
        <v>1996</v>
      </c>
      <c r="F96" s="759">
        <f t="shared" si="32"/>
        <v>13220</v>
      </c>
      <c r="G96" s="760">
        <f t="shared" si="33"/>
        <v>13218</v>
      </c>
      <c r="H96" s="760">
        <f t="shared" si="34"/>
        <v>9334</v>
      </c>
      <c r="I96" s="761">
        <f t="shared" si="35"/>
        <v>4666</v>
      </c>
      <c r="J96" s="762">
        <f t="shared" si="36"/>
        <v>0.49989286479537176</v>
      </c>
      <c r="K96" s="763">
        <f t="shared" si="37"/>
        <v>6548.2230325454384</v>
      </c>
      <c r="L96" s="764">
        <f t="shared" si="45"/>
        <v>6607.5838868652236</v>
      </c>
      <c r="M96" s="780"/>
      <c r="N96" s="764"/>
      <c r="O96" s="740">
        <f t="shared" si="38"/>
        <v>0.31283098804660314</v>
      </c>
      <c r="P96" s="765">
        <f t="shared" si="39"/>
        <v>213.45425326762376</v>
      </c>
      <c r="Q96" s="742">
        <f t="shared" si="40"/>
        <v>4.3745517877266674E-2</v>
      </c>
      <c r="R96" s="743">
        <f t="shared" si="41"/>
        <v>4879.4542532676242</v>
      </c>
      <c r="S96" s="744">
        <f t="shared" si="42"/>
        <v>1729.1294193271906</v>
      </c>
      <c r="T96" s="745">
        <v>1.2</v>
      </c>
      <c r="U96" s="726">
        <f t="shared" si="43"/>
        <v>3.9999999999999996</v>
      </c>
      <c r="V96" s="746">
        <f t="shared" si="44"/>
        <v>1</v>
      </c>
      <c r="W96" s="767">
        <v>0.78900000000000003</v>
      </c>
      <c r="X96" s="768">
        <f t="shared" si="46"/>
        <v>10429.002</v>
      </c>
      <c r="Y96" s="747">
        <v>0.82499999999999996</v>
      </c>
      <c r="Z96" s="769">
        <f t="shared" si="47"/>
        <v>5166.5479726783515</v>
      </c>
      <c r="AA96" s="770">
        <f t="shared" si="53"/>
        <v>5213.3836867366617</v>
      </c>
      <c r="AB96" s="770" t="str">
        <f t="shared" si="54"/>
        <v/>
      </c>
      <c r="AC96" s="770">
        <f t="shared" si="55"/>
        <v>5451.2567066638094</v>
      </c>
      <c r="AD96" s="771">
        <f t="shared" si="48"/>
        <v>5213.3836867366617</v>
      </c>
      <c r="AE96" s="743">
        <f t="shared" si="49"/>
        <v>3849.45</v>
      </c>
      <c r="AF96" s="743">
        <f t="shared" si="50"/>
        <v>4025.5497589457896</v>
      </c>
      <c r="AG96" s="773">
        <f t="shared" si="51"/>
        <v>0.3859956838579367</v>
      </c>
    </row>
    <row r="97" spans="1:34" ht="14.4" x14ac:dyDescent="0.3">
      <c r="A97" s="729" t="s">
        <v>357</v>
      </c>
      <c r="B97" s="726" t="str">
        <f t="shared" si="52"/>
        <v>1990s</v>
      </c>
      <c r="C97" s="730">
        <v>1998</v>
      </c>
      <c r="D97" s="731">
        <f t="shared" si="30"/>
        <v>1993</v>
      </c>
      <c r="E97" s="732">
        <f t="shared" si="31"/>
        <v>1995</v>
      </c>
      <c r="F97" s="759">
        <f t="shared" si="32"/>
        <v>13220</v>
      </c>
      <c r="G97" s="760">
        <f t="shared" si="33"/>
        <v>13218</v>
      </c>
      <c r="H97" s="760">
        <f t="shared" si="34"/>
        <v>9334</v>
      </c>
      <c r="I97" s="761">
        <f t="shared" si="35"/>
        <v>4666</v>
      </c>
      <c r="J97" s="762">
        <f t="shared" si="36"/>
        <v>0.49989286479537176</v>
      </c>
      <c r="K97" s="763">
        <f t="shared" si="37"/>
        <v>6548.2230325454384</v>
      </c>
      <c r="L97" s="764">
        <f t="shared" si="45"/>
        <v>6607.5838868652236</v>
      </c>
      <c r="M97" s="780"/>
      <c r="N97" s="764"/>
      <c r="O97" s="740">
        <f t="shared" si="38"/>
        <v>0.31283098804660314</v>
      </c>
      <c r="P97" s="765">
        <f t="shared" si="39"/>
        <v>213.45425326762376</v>
      </c>
      <c r="Q97" s="742">
        <f t="shared" si="40"/>
        <v>4.3745517877266674E-2</v>
      </c>
      <c r="R97" s="743">
        <f t="shared" si="41"/>
        <v>4879.4542532676242</v>
      </c>
      <c r="S97" s="744">
        <f t="shared" si="42"/>
        <v>1729.1294193271906</v>
      </c>
      <c r="T97" s="745">
        <v>1.3</v>
      </c>
      <c r="U97" s="726">
        <f t="shared" si="43"/>
        <v>5</v>
      </c>
      <c r="V97" s="746">
        <f t="shared" si="44"/>
        <v>1</v>
      </c>
      <c r="W97" s="767">
        <v>0.158</v>
      </c>
      <c r="X97" s="768">
        <f t="shared" si="46"/>
        <v>2088.444</v>
      </c>
      <c r="Y97" s="747">
        <v>8.3000000000000004E-2</v>
      </c>
      <c r="Z97" s="769">
        <f t="shared" si="47"/>
        <v>1034.6192391421794</v>
      </c>
      <c r="AA97" s="770">
        <f t="shared" si="53"/>
        <v>1043.9982541247052</v>
      </c>
      <c r="AB97" s="770" t="str">
        <f t="shared" si="54"/>
        <v/>
      </c>
      <c r="AC97" s="770">
        <f t="shared" si="55"/>
        <v>548.42946260981364</v>
      </c>
      <c r="AD97" s="771">
        <f t="shared" si="48"/>
        <v>1043.9982541247052</v>
      </c>
      <c r="AE97" s="743">
        <f t="shared" si="49"/>
        <v>387.27800000000002</v>
      </c>
      <c r="AF97" s="743">
        <f t="shared" si="50"/>
        <v>404.99470302121284</v>
      </c>
      <c r="AG97" s="773">
        <f t="shared" si="51"/>
        <v>0.19392174414119451</v>
      </c>
    </row>
    <row r="98" spans="1:34" ht="14.4" x14ac:dyDescent="0.3">
      <c r="A98" s="729" t="s">
        <v>357</v>
      </c>
      <c r="B98" s="726" t="str">
        <f t="shared" si="52"/>
        <v>1990s</v>
      </c>
      <c r="C98" s="730">
        <v>1998</v>
      </c>
      <c r="D98" s="731">
        <f t="shared" si="30"/>
        <v>1994</v>
      </c>
      <c r="E98" s="732">
        <f t="shared" si="31"/>
        <v>1997</v>
      </c>
      <c r="F98" s="759">
        <f t="shared" si="32"/>
        <v>13220</v>
      </c>
      <c r="G98" s="760">
        <f t="shared" si="33"/>
        <v>13218</v>
      </c>
      <c r="H98" s="760">
        <f t="shared" si="34"/>
        <v>9334</v>
      </c>
      <c r="I98" s="761">
        <f t="shared" si="35"/>
        <v>4666</v>
      </c>
      <c r="J98" s="762">
        <f t="shared" si="36"/>
        <v>0.49989286479537176</v>
      </c>
      <c r="K98" s="763">
        <f t="shared" si="37"/>
        <v>6548.2230325454384</v>
      </c>
      <c r="L98" s="764">
        <f t="shared" si="45"/>
        <v>6607.5838868652236</v>
      </c>
      <c r="M98" s="780"/>
      <c r="N98" s="764"/>
      <c r="O98" s="740">
        <f t="shared" si="38"/>
        <v>0.31283098804660314</v>
      </c>
      <c r="P98" s="765">
        <f t="shared" si="39"/>
        <v>213.45425326762376</v>
      </c>
      <c r="Q98" s="742">
        <f t="shared" si="40"/>
        <v>4.3745517877266674E-2</v>
      </c>
      <c r="R98" s="743">
        <f t="shared" si="41"/>
        <v>4879.4542532676242</v>
      </c>
      <c r="S98" s="744">
        <f t="shared" si="42"/>
        <v>1729.1294193271906</v>
      </c>
      <c r="T98" s="745">
        <v>2.1</v>
      </c>
      <c r="U98" s="726">
        <f t="shared" si="43"/>
        <v>4.0000000000000009</v>
      </c>
      <c r="V98" s="746">
        <f t="shared" si="44"/>
        <v>2</v>
      </c>
      <c r="W98" s="767">
        <v>0</v>
      </c>
      <c r="X98" s="768">
        <f t="shared" si="46"/>
        <v>0</v>
      </c>
      <c r="Y98" s="747">
        <v>2.3E-2</v>
      </c>
      <c r="Z98" s="769">
        <f t="shared" si="47"/>
        <v>0</v>
      </c>
      <c r="AA98" s="770">
        <f t="shared" si="53"/>
        <v>0</v>
      </c>
      <c r="AB98" s="770" t="str">
        <f t="shared" si="54"/>
        <v/>
      </c>
      <c r="AC98" s="770">
        <f t="shared" si="55"/>
        <v>151.97442939790014</v>
      </c>
      <c r="AD98" s="771">
        <f t="shared" si="48"/>
        <v>0</v>
      </c>
      <c r="AE98" s="743">
        <f t="shared" si="49"/>
        <v>107.318</v>
      </c>
      <c r="AF98" s="743">
        <f t="shared" si="50"/>
        <v>112.22744782515535</v>
      </c>
      <c r="AG98" s="773">
        <f t="shared" si="51"/>
        <v>0</v>
      </c>
    </row>
    <row r="99" spans="1:34" ht="14.4" x14ac:dyDescent="0.3">
      <c r="A99" s="729" t="s">
        <v>357</v>
      </c>
      <c r="B99" s="726" t="str">
        <f t="shared" si="52"/>
        <v>1990s</v>
      </c>
      <c r="C99" s="730">
        <v>1998</v>
      </c>
      <c r="D99" s="731">
        <f t="shared" si="30"/>
        <v>1993</v>
      </c>
      <c r="E99" s="732">
        <f t="shared" si="31"/>
        <v>1996</v>
      </c>
      <c r="F99" s="759">
        <f t="shared" si="32"/>
        <v>13220</v>
      </c>
      <c r="G99" s="760">
        <f t="shared" si="33"/>
        <v>13218</v>
      </c>
      <c r="H99" s="760">
        <f t="shared" si="34"/>
        <v>9334</v>
      </c>
      <c r="I99" s="761">
        <f t="shared" si="35"/>
        <v>4666</v>
      </c>
      <c r="J99" s="762">
        <f t="shared" si="36"/>
        <v>0.49989286479537176</v>
      </c>
      <c r="K99" s="763">
        <f t="shared" si="37"/>
        <v>6548.2230325454384</v>
      </c>
      <c r="L99" s="764">
        <f t="shared" si="45"/>
        <v>6607.5838868652236</v>
      </c>
      <c r="M99" s="780"/>
      <c r="N99" s="764"/>
      <c r="O99" s="740">
        <f t="shared" si="38"/>
        <v>0.31283098804660314</v>
      </c>
      <c r="P99" s="765">
        <f t="shared" si="39"/>
        <v>213.45425326762376</v>
      </c>
      <c r="Q99" s="742">
        <f t="shared" si="40"/>
        <v>4.3745517877266674E-2</v>
      </c>
      <c r="R99" s="743">
        <f t="shared" si="41"/>
        <v>4879.4542532676242</v>
      </c>
      <c r="S99" s="744">
        <f t="shared" si="42"/>
        <v>1729.1294193271906</v>
      </c>
      <c r="T99" s="745">
        <v>2.2000000000000002</v>
      </c>
      <c r="U99" s="726">
        <f t="shared" si="43"/>
        <v>5.0000000000000018</v>
      </c>
      <c r="V99" s="746">
        <f t="shared" si="44"/>
        <v>2</v>
      </c>
      <c r="W99" s="767">
        <v>0</v>
      </c>
      <c r="X99" s="768">
        <f t="shared" si="46"/>
        <v>0</v>
      </c>
      <c r="Y99" s="747">
        <v>1.6E-2</v>
      </c>
      <c r="Z99" s="769">
        <f t="shared" si="47"/>
        <v>0</v>
      </c>
      <c r="AA99" s="770">
        <f t="shared" si="53"/>
        <v>0</v>
      </c>
      <c r="AB99" s="770" t="str">
        <f t="shared" si="54"/>
        <v/>
      </c>
      <c r="AC99" s="770">
        <f t="shared" si="55"/>
        <v>105.72134218984358</v>
      </c>
      <c r="AD99" s="771">
        <f t="shared" si="48"/>
        <v>0</v>
      </c>
      <c r="AE99" s="743">
        <f t="shared" si="49"/>
        <v>74.656000000000006</v>
      </c>
      <c r="AF99" s="743">
        <f t="shared" si="50"/>
        <v>78.071268052281994</v>
      </c>
      <c r="AG99" s="773">
        <f t="shared" si="51"/>
        <v>0</v>
      </c>
    </row>
    <row r="100" spans="1:34" ht="14.4" x14ac:dyDescent="0.3">
      <c r="A100" s="729" t="s">
        <v>357</v>
      </c>
      <c r="B100" s="726" t="str">
        <f t="shared" si="52"/>
        <v>1990s</v>
      </c>
      <c r="C100" s="730">
        <v>1999</v>
      </c>
      <c r="D100" s="731">
        <f t="shared" si="30"/>
        <v>1996</v>
      </c>
      <c r="E100" s="732">
        <f t="shared" si="31"/>
        <v>1998</v>
      </c>
      <c r="F100" s="759">
        <f t="shared" si="32"/>
        <v>19094</v>
      </c>
      <c r="G100" s="760">
        <f t="shared" si="33"/>
        <v>17877</v>
      </c>
      <c r="H100" s="760">
        <f t="shared" si="34"/>
        <v>18371</v>
      </c>
      <c r="I100" s="761">
        <f t="shared" si="35"/>
        <v>12388</v>
      </c>
      <c r="J100" s="762">
        <f t="shared" si="36"/>
        <v>0.67432366229383267</v>
      </c>
      <c r="K100" s="763">
        <f t="shared" si="37"/>
        <v>14249.228346747701</v>
      </c>
      <c r="L100" s="764">
        <f t="shared" si="45"/>
        <v>12054.884110826846</v>
      </c>
      <c r="M100" s="779"/>
      <c r="N100" s="764"/>
      <c r="O100" s="740">
        <f t="shared" si="38"/>
        <v>0.61604296022822624</v>
      </c>
      <c r="P100" s="765">
        <f t="shared" si="39"/>
        <v>475.39818191715204</v>
      </c>
      <c r="Q100" s="742">
        <f t="shared" si="40"/>
        <v>3.6957433424197945E-2</v>
      </c>
      <c r="R100" s="743">
        <f t="shared" si="41"/>
        <v>12863.398181917151</v>
      </c>
      <c r="S100" s="744">
        <f t="shared" si="42"/>
        <v>12.137825921288822</v>
      </c>
      <c r="T100" s="775">
        <v>1.1000000000000001</v>
      </c>
      <c r="U100" s="726">
        <f t="shared" si="43"/>
        <v>3.0000000000000009</v>
      </c>
      <c r="V100" s="746">
        <f t="shared" si="44"/>
        <v>1</v>
      </c>
      <c r="W100" s="767">
        <v>0.114</v>
      </c>
      <c r="X100" s="768">
        <f t="shared" si="46"/>
        <v>2037.9780000000001</v>
      </c>
      <c r="Y100" s="747">
        <v>5.1999999999999998E-2</v>
      </c>
      <c r="Z100" s="769">
        <f t="shared" si="47"/>
        <v>1624.412031529238</v>
      </c>
      <c r="AA100" s="770">
        <f t="shared" si="53"/>
        <v>1374.2567886342606</v>
      </c>
      <c r="AB100" s="770" t="str">
        <f t="shared" si="54"/>
        <v/>
      </c>
      <c r="AC100" s="770">
        <f t="shared" si="55"/>
        <v>626.85397376299602</v>
      </c>
      <c r="AD100" s="771">
        <f t="shared" si="48"/>
        <v>1374.2567886342606</v>
      </c>
      <c r="AE100" s="743">
        <f t="shared" si="49"/>
        <v>644.17599999999993</v>
      </c>
      <c r="AF100" s="772">
        <f t="shared" si="50"/>
        <v>668.89670545969182</v>
      </c>
      <c r="AG100" s="773">
        <f t="shared" si="51"/>
        <v>0.3282158617314278</v>
      </c>
    </row>
    <row r="101" spans="1:34" ht="14.4" x14ac:dyDescent="0.3">
      <c r="A101" s="729" t="s">
        <v>357</v>
      </c>
      <c r="B101" s="726" t="str">
        <f t="shared" si="52"/>
        <v>1990s</v>
      </c>
      <c r="C101" s="730">
        <v>1999</v>
      </c>
      <c r="D101" s="731">
        <f t="shared" si="30"/>
        <v>1995</v>
      </c>
      <c r="E101" s="732">
        <f t="shared" si="31"/>
        <v>1997</v>
      </c>
      <c r="F101" s="759">
        <f t="shared" si="32"/>
        <v>19094</v>
      </c>
      <c r="G101" s="760">
        <f t="shared" si="33"/>
        <v>17877</v>
      </c>
      <c r="H101" s="760">
        <f t="shared" si="34"/>
        <v>18371</v>
      </c>
      <c r="I101" s="761">
        <f t="shared" si="35"/>
        <v>12388</v>
      </c>
      <c r="J101" s="762">
        <f t="shared" si="36"/>
        <v>0.67432366229383267</v>
      </c>
      <c r="K101" s="763">
        <f t="shared" si="37"/>
        <v>14249.228346747701</v>
      </c>
      <c r="L101" s="764">
        <f t="shared" si="45"/>
        <v>12054.884110826846</v>
      </c>
      <c r="M101" s="780"/>
      <c r="N101" s="764"/>
      <c r="O101" s="740">
        <f t="shared" si="38"/>
        <v>0.61604296022822624</v>
      </c>
      <c r="P101" s="765">
        <f t="shared" si="39"/>
        <v>475.39818191715204</v>
      </c>
      <c r="Q101" s="742">
        <f t="shared" si="40"/>
        <v>3.6957433424197945E-2</v>
      </c>
      <c r="R101" s="743">
        <f t="shared" si="41"/>
        <v>12863.398181917151</v>
      </c>
      <c r="S101" s="744">
        <f t="shared" si="42"/>
        <v>12.137825921288822</v>
      </c>
      <c r="T101" s="745">
        <v>1.2</v>
      </c>
      <c r="U101" s="726">
        <f t="shared" si="43"/>
        <v>3.9999999999999996</v>
      </c>
      <c r="V101" s="746">
        <f t="shared" si="44"/>
        <v>1</v>
      </c>
      <c r="W101" s="767">
        <v>0.84899999999999998</v>
      </c>
      <c r="X101" s="768">
        <f t="shared" si="46"/>
        <v>15177.573</v>
      </c>
      <c r="Y101" s="747">
        <v>0.82499999999999996</v>
      </c>
      <c r="Z101" s="769">
        <f t="shared" si="47"/>
        <v>12097.594866388798</v>
      </c>
      <c r="AA101" s="770">
        <f t="shared" si="53"/>
        <v>10234.596610091992</v>
      </c>
      <c r="AB101" s="770" t="str">
        <f t="shared" si="54"/>
        <v/>
      </c>
      <c r="AC101" s="770">
        <f t="shared" si="55"/>
        <v>9945.2793914321483</v>
      </c>
      <c r="AD101" s="771">
        <f t="shared" si="48"/>
        <v>10234.596610091992</v>
      </c>
      <c r="AE101" s="743">
        <f t="shared" si="49"/>
        <v>10220.099999999999</v>
      </c>
      <c r="AF101" s="743">
        <f t="shared" si="50"/>
        <v>10612.303500081649</v>
      </c>
      <c r="AG101" s="773">
        <f t="shared" si="51"/>
        <v>0.69920951789074903</v>
      </c>
    </row>
    <row r="102" spans="1:34" ht="14.4" x14ac:dyDescent="0.3">
      <c r="A102" s="729" t="s">
        <v>357</v>
      </c>
      <c r="B102" s="726" t="str">
        <f t="shared" si="52"/>
        <v>1990s</v>
      </c>
      <c r="C102" s="730">
        <v>1999</v>
      </c>
      <c r="D102" s="731">
        <f t="shared" si="30"/>
        <v>1994</v>
      </c>
      <c r="E102" s="732">
        <f t="shared" si="31"/>
        <v>1996</v>
      </c>
      <c r="F102" s="759">
        <f t="shared" si="32"/>
        <v>19094</v>
      </c>
      <c r="G102" s="760">
        <f t="shared" si="33"/>
        <v>17877</v>
      </c>
      <c r="H102" s="760">
        <f t="shared" si="34"/>
        <v>18371</v>
      </c>
      <c r="I102" s="761">
        <f t="shared" si="35"/>
        <v>12388</v>
      </c>
      <c r="J102" s="762">
        <f t="shared" si="36"/>
        <v>0.67432366229383267</v>
      </c>
      <c r="K102" s="763">
        <f t="shared" si="37"/>
        <v>14249.228346747701</v>
      </c>
      <c r="L102" s="764">
        <f t="shared" si="45"/>
        <v>12054.884110826846</v>
      </c>
      <c r="M102" s="764"/>
      <c r="N102" s="764"/>
      <c r="O102" s="740">
        <f t="shared" si="38"/>
        <v>0.61604296022822624</v>
      </c>
      <c r="P102" s="765">
        <f t="shared" si="39"/>
        <v>475.39818191715204</v>
      </c>
      <c r="Q102" s="742">
        <f t="shared" si="40"/>
        <v>3.6957433424197945E-2</v>
      </c>
      <c r="R102" s="743">
        <f t="shared" si="41"/>
        <v>12863.398181917151</v>
      </c>
      <c r="S102" s="744">
        <f t="shared" si="42"/>
        <v>12.137825921288822</v>
      </c>
      <c r="T102" s="745">
        <v>1.3</v>
      </c>
      <c r="U102" s="726">
        <f t="shared" si="43"/>
        <v>5</v>
      </c>
      <c r="V102" s="746">
        <f t="shared" si="44"/>
        <v>1</v>
      </c>
      <c r="W102" s="767">
        <v>0</v>
      </c>
      <c r="X102" s="768">
        <f t="shared" si="46"/>
        <v>0</v>
      </c>
      <c r="Y102" s="747">
        <v>8.3000000000000004E-2</v>
      </c>
      <c r="Z102" s="769">
        <f t="shared" si="47"/>
        <v>0</v>
      </c>
      <c r="AA102" s="770">
        <f t="shared" si="53"/>
        <v>0</v>
      </c>
      <c r="AB102" s="770" t="str">
        <f t="shared" si="54"/>
        <v/>
      </c>
      <c r="AC102" s="770">
        <f t="shared" si="55"/>
        <v>1000.5553811986283</v>
      </c>
      <c r="AD102" s="771">
        <f t="shared" si="48"/>
        <v>0</v>
      </c>
      <c r="AE102" s="743">
        <f t="shared" si="49"/>
        <v>1028.204</v>
      </c>
      <c r="AF102" s="743">
        <f t="shared" si="50"/>
        <v>1067.6620490991236</v>
      </c>
      <c r="AG102" s="773">
        <f t="shared" si="51"/>
        <v>0</v>
      </c>
    </row>
    <row r="103" spans="1:34" ht="14.4" x14ac:dyDescent="0.3">
      <c r="A103" s="729" t="s">
        <v>357</v>
      </c>
      <c r="B103" s="726" t="str">
        <f t="shared" si="52"/>
        <v>1990s</v>
      </c>
      <c r="C103" s="730">
        <v>1999</v>
      </c>
      <c r="D103" s="731">
        <f t="shared" si="30"/>
        <v>1995</v>
      </c>
      <c r="E103" s="732">
        <f t="shared" si="31"/>
        <v>1998</v>
      </c>
      <c r="F103" s="759">
        <f t="shared" si="32"/>
        <v>19094</v>
      </c>
      <c r="G103" s="760">
        <f t="shared" si="33"/>
        <v>17877</v>
      </c>
      <c r="H103" s="760">
        <f t="shared" si="34"/>
        <v>18371</v>
      </c>
      <c r="I103" s="761">
        <f t="shared" si="35"/>
        <v>12388</v>
      </c>
      <c r="J103" s="762">
        <f t="shared" si="36"/>
        <v>0.67432366229383267</v>
      </c>
      <c r="K103" s="763">
        <f t="shared" si="37"/>
        <v>14249.228346747701</v>
      </c>
      <c r="L103" s="764">
        <f t="shared" si="45"/>
        <v>12054.884110826846</v>
      </c>
      <c r="M103" s="764"/>
      <c r="N103" s="764"/>
      <c r="O103" s="740">
        <f t="shared" si="38"/>
        <v>0.61604296022822624</v>
      </c>
      <c r="P103" s="765">
        <f t="shared" si="39"/>
        <v>475.39818191715204</v>
      </c>
      <c r="Q103" s="742">
        <f t="shared" si="40"/>
        <v>3.6957433424197945E-2</v>
      </c>
      <c r="R103" s="743">
        <f t="shared" si="41"/>
        <v>12863.398181917151</v>
      </c>
      <c r="S103" s="744">
        <f t="shared" si="42"/>
        <v>12.137825921288822</v>
      </c>
      <c r="T103" s="745">
        <v>2.1</v>
      </c>
      <c r="U103" s="726">
        <f t="shared" si="43"/>
        <v>4.0000000000000009</v>
      </c>
      <c r="V103" s="746">
        <f t="shared" si="44"/>
        <v>2</v>
      </c>
      <c r="W103" s="767">
        <v>3.7999999999999999E-2</v>
      </c>
      <c r="X103" s="768">
        <f t="shared" si="46"/>
        <v>679.32600000000002</v>
      </c>
      <c r="Y103" s="747">
        <v>2.3E-2</v>
      </c>
      <c r="Z103" s="769">
        <f t="shared" si="47"/>
        <v>541.47067717641266</v>
      </c>
      <c r="AA103" s="770">
        <f t="shared" si="53"/>
        <v>458.08559621142012</v>
      </c>
      <c r="AB103" s="770" t="str">
        <f t="shared" si="54"/>
        <v/>
      </c>
      <c r="AC103" s="770">
        <f t="shared" si="55"/>
        <v>277.26233454901745</v>
      </c>
      <c r="AD103" s="771">
        <f t="shared" si="48"/>
        <v>458.08559621142012</v>
      </c>
      <c r="AE103" s="743">
        <f t="shared" si="49"/>
        <v>284.92399999999998</v>
      </c>
      <c r="AF103" s="743">
        <f t="shared" si="50"/>
        <v>295.85815818409446</v>
      </c>
      <c r="AG103" s="773">
        <f t="shared" si="51"/>
        <v>0.43551720114362535</v>
      </c>
    </row>
    <row r="104" spans="1:34" ht="14.4" x14ac:dyDescent="0.3">
      <c r="A104" s="729" t="s">
        <v>357</v>
      </c>
      <c r="B104" s="726" t="str">
        <f t="shared" si="52"/>
        <v>1990s</v>
      </c>
      <c r="C104" s="730">
        <v>1999</v>
      </c>
      <c r="D104" s="731">
        <f t="shared" si="30"/>
        <v>1994</v>
      </c>
      <c r="E104" s="732">
        <f t="shared" si="31"/>
        <v>1997</v>
      </c>
      <c r="F104" s="759">
        <f t="shared" si="32"/>
        <v>19094</v>
      </c>
      <c r="G104" s="760">
        <f t="shared" si="33"/>
        <v>17877</v>
      </c>
      <c r="H104" s="760">
        <f t="shared" si="34"/>
        <v>18371</v>
      </c>
      <c r="I104" s="761">
        <f t="shared" si="35"/>
        <v>12388</v>
      </c>
      <c r="J104" s="762">
        <f t="shared" si="36"/>
        <v>0.67432366229383267</v>
      </c>
      <c r="K104" s="763">
        <f t="shared" si="37"/>
        <v>14249.228346747701</v>
      </c>
      <c r="L104" s="764">
        <f t="shared" si="45"/>
        <v>12054.884110826846</v>
      </c>
      <c r="M104" s="764"/>
      <c r="N104" s="764"/>
      <c r="O104" s="740">
        <f t="shared" si="38"/>
        <v>0.61604296022822624</v>
      </c>
      <c r="P104" s="765">
        <f t="shared" si="39"/>
        <v>475.39818191715204</v>
      </c>
      <c r="Q104" s="742">
        <f t="shared" si="40"/>
        <v>3.6957433424197945E-2</v>
      </c>
      <c r="R104" s="743">
        <f t="shared" si="41"/>
        <v>12863.398181917151</v>
      </c>
      <c r="S104" s="744">
        <f t="shared" si="42"/>
        <v>12.137825921288822</v>
      </c>
      <c r="T104" s="745">
        <v>2.2000000000000002</v>
      </c>
      <c r="U104" s="726">
        <f t="shared" si="43"/>
        <v>5.0000000000000018</v>
      </c>
      <c r="V104" s="746">
        <f t="shared" si="44"/>
        <v>2</v>
      </c>
      <c r="W104" s="767">
        <v>0</v>
      </c>
      <c r="X104" s="768">
        <f t="shared" si="46"/>
        <v>0</v>
      </c>
      <c r="Y104" s="747">
        <v>1.6E-2</v>
      </c>
      <c r="Z104" s="769">
        <f t="shared" si="47"/>
        <v>0</v>
      </c>
      <c r="AA104" s="770">
        <f t="shared" si="53"/>
        <v>0</v>
      </c>
      <c r="AB104" s="770" t="str">
        <f t="shared" si="54"/>
        <v/>
      </c>
      <c r="AC104" s="770">
        <f t="shared" si="55"/>
        <v>192.87814577322953</v>
      </c>
      <c r="AD104" s="771">
        <f t="shared" si="48"/>
        <v>0</v>
      </c>
      <c r="AE104" s="743">
        <f t="shared" si="49"/>
        <v>198.208</v>
      </c>
      <c r="AF104" s="743">
        <f t="shared" si="50"/>
        <v>205.81437091067443</v>
      </c>
      <c r="AG104" s="773">
        <f t="shared" si="51"/>
        <v>0</v>
      </c>
    </row>
    <row r="105" spans="1:34" ht="14.4" x14ac:dyDescent="0.3">
      <c r="A105" s="729" t="s">
        <v>357</v>
      </c>
      <c r="B105" s="726" t="str">
        <f t="shared" si="52"/>
        <v>1990s</v>
      </c>
      <c r="C105" s="730">
        <v>2000</v>
      </c>
      <c r="D105" s="731">
        <f t="shared" si="30"/>
        <v>1997</v>
      </c>
      <c r="E105" s="732">
        <f t="shared" si="31"/>
        <v>1999</v>
      </c>
      <c r="F105" s="759">
        <f t="shared" si="32"/>
        <v>93764</v>
      </c>
      <c r="G105" s="760">
        <f t="shared" si="33"/>
        <v>93398</v>
      </c>
      <c r="H105" s="760">
        <f t="shared" si="34"/>
        <v>76512</v>
      </c>
      <c r="I105" s="761">
        <f t="shared" si="35"/>
        <v>59944</v>
      </c>
      <c r="J105" s="762">
        <f t="shared" si="36"/>
        <v>0.78345880384776245</v>
      </c>
      <c r="K105" s="763">
        <f t="shared" si="37"/>
        <v>77438.414717812848</v>
      </c>
      <c r="L105" s="764">
        <f t="shared" si="45"/>
        <v>73173.485361773317</v>
      </c>
      <c r="M105" s="762">
        <f t="shared" ref="M105:M136" si="56">VLOOKUP($C105,SockeyeReturnsData,12)</f>
        <v>0.55000000000000004</v>
      </c>
      <c r="N105" s="764">
        <f t="shared" ref="N105:N168" si="57">IF(M105,M105*G105,J105*G105)</f>
        <v>51368.9</v>
      </c>
      <c r="O105" s="740">
        <f t="shared" si="38"/>
        <v>0.57122208184329426</v>
      </c>
      <c r="P105" s="765">
        <f t="shared" si="39"/>
        <v>2566.6110414052696</v>
      </c>
      <c r="Q105" s="742">
        <f t="shared" si="40"/>
        <v>4.105880583546398E-2</v>
      </c>
      <c r="R105" s="743">
        <f t="shared" si="41"/>
        <v>62510.611041405267</v>
      </c>
      <c r="S105" s="744">
        <f t="shared" si="42"/>
        <v>10949.620242576333</v>
      </c>
      <c r="T105" s="775">
        <v>1.1000000000000001</v>
      </c>
      <c r="U105" s="726">
        <f t="shared" si="43"/>
        <v>3.0000000000000009</v>
      </c>
      <c r="V105" s="746">
        <f t="shared" si="44"/>
        <v>1</v>
      </c>
      <c r="W105" s="781">
        <v>0.13</v>
      </c>
      <c r="X105" s="768">
        <f t="shared" si="46"/>
        <v>12141.74</v>
      </c>
      <c r="Y105" s="778">
        <v>7.1999999999999995E-2</v>
      </c>
      <c r="Z105" s="769">
        <f t="shared" si="47"/>
        <v>10066.993913315671</v>
      </c>
      <c r="AA105" s="770">
        <f t="shared" si="53"/>
        <v>9512.5530970305317</v>
      </c>
      <c r="AB105" s="770">
        <f t="shared" si="54"/>
        <v>6677.9570000000003</v>
      </c>
      <c r="AC105" s="770">
        <f t="shared" si="55"/>
        <v>5268.4909460476783</v>
      </c>
      <c r="AD105" s="771">
        <f t="shared" si="48"/>
        <v>9512.5530970305317</v>
      </c>
      <c r="AE105" s="743">
        <f t="shared" si="49"/>
        <v>4315.9679999999998</v>
      </c>
      <c r="AF105" s="772">
        <f t="shared" si="50"/>
        <v>4500.7639949811792</v>
      </c>
      <c r="AG105" s="773">
        <f t="shared" si="51"/>
        <v>0.37068525557137438</v>
      </c>
      <c r="AH105" s="728" t="s">
        <v>372</v>
      </c>
    </row>
    <row r="106" spans="1:34" ht="14.4" x14ac:dyDescent="0.3">
      <c r="A106" s="729" t="s">
        <v>357</v>
      </c>
      <c r="B106" s="726" t="str">
        <f t="shared" si="52"/>
        <v>1990s</v>
      </c>
      <c r="C106" s="730">
        <v>2000</v>
      </c>
      <c r="D106" s="731">
        <f t="shared" si="30"/>
        <v>1996</v>
      </c>
      <c r="E106" s="732">
        <f t="shared" si="31"/>
        <v>1998</v>
      </c>
      <c r="F106" s="759">
        <f t="shared" si="32"/>
        <v>93764</v>
      </c>
      <c r="G106" s="760">
        <f t="shared" si="33"/>
        <v>93398</v>
      </c>
      <c r="H106" s="760">
        <f t="shared" si="34"/>
        <v>76512</v>
      </c>
      <c r="I106" s="761">
        <f t="shared" si="35"/>
        <v>59944</v>
      </c>
      <c r="J106" s="762">
        <f t="shared" si="36"/>
        <v>0.78345880384776245</v>
      </c>
      <c r="K106" s="763">
        <f t="shared" si="37"/>
        <v>77438.414717812848</v>
      </c>
      <c r="L106" s="764">
        <f t="shared" si="45"/>
        <v>73173.485361773317</v>
      </c>
      <c r="M106" s="762">
        <f t="shared" si="56"/>
        <v>0.55000000000000004</v>
      </c>
      <c r="N106" s="764">
        <f t="shared" si="57"/>
        <v>51368.9</v>
      </c>
      <c r="O106" s="740">
        <f t="shared" si="38"/>
        <v>0.57122208184329426</v>
      </c>
      <c r="P106" s="765">
        <f t="shared" si="39"/>
        <v>2566.6110414052696</v>
      </c>
      <c r="Q106" s="742">
        <f t="shared" si="40"/>
        <v>4.105880583546398E-2</v>
      </c>
      <c r="R106" s="743">
        <f t="shared" si="41"/>
        <v>62510.611041405267</v>
      </c>
      <c r="S106" s="744">
        <f t="shared" si="42"/>
        <v>10949.620242576333</v>
      </c>
      <c r="T106" s="745">
        <v>1.2</v>
      </c>
      <c r="U106" s="726">
        <f t="shared" si="43"/>
        <v>3.9999999999999996</v>
      </c>
      <c r="V106" s="746">
        <f t="shared" si="44"/>
        <v>1</v>
      </c>
      <c r="W106" s="767">
        <v>0.84</v>
      </c>
      <c r="X106" s="768">
        <f t="shared" si="46"/>
        <v>78454.319999999992</v>
      </c>
      <c r="Y106" s="767">
        <v>0.874</v>
      </c>
      <c r="Z106" s="769">
        <f t="shared" si="47"/>
        <v>65048.268362962786</v>
      </c>
      <c r="AA106" s="770">
        <f t="shared" si="53"/>
        <v>61465.727703889585</v>
      </c>
      <c r="AB106" s="770">
        <f t="shared" si="54"/>
        <v>43149.875999999997</v>
      </c>
      <c r="AC106" s="770">
        <f t="shared" si="55"/>
        <v>63953.626206189881</v>
      </c>
      <c r="AD106" s="771">
        <f t="shared" si="48"/>
        <v>61465.727703889585</v>
      </c>
      <c r="AE106" s="743">
        <f t="shared" si="49"/>
        <v>52391.055999999997</v>
      </c>
      <c r="AF106" s="743">
        <f t="shared" si="50"/>
        <v>54634.274050188207</v>
      </c>
      <c r="AG106" s="773">
        <f t="shared" si="51"/>
        <v>0.69638324632968862</v>
      </c>
      <c r="AH106" s="728" t="s">
        <v>373</v>
      </c>
    </row>
    <row r="107" spans="1:34" ht="14.4" x14ac:dyDescent="0.3">
      <c r="A107" s="729" t="s">
        <v>357</v>
      </c>
      <c r="B107" s="726" t="str">
        <f t="shared" si="52"/>
        <v>1990s</v>
      </c>
      <c r="C107" s="730">
        <v>2000</v>
      </c>
      <c r="D107" s="731">
        <f t="shared" si="30"/>
        <v>1995</v>
      </c>
      <c r="E107" s="732">
        <f t="shared" si="31"/>
        <v>1997</v>
      </c>
      <c r="F107" s="759">
        <f t="shared" si="32"/>
        <v>93764</v>
      </c>
      <c r="G107" s="760">
        <f t="shared" si="33"/>
        <v>93398</v>
      </c>
      <c r="H107" s="760">
        <f t="shared" si="34"/>
        <v>76512</v>
      </c>
      <c r="I107" s="761">
        <f t="shared" si="35"/>
        <v>59944</v>
      </c>
      <c r="J107" s="762">
        <f t="shared" si="36"/>
        <v>0.78345880384776245</v>
      </c>
      <c r="K107" s="763">
        <f t="shared" si="37"/>
        <v>77438.414717812848</v>
      </c>
      <c r="L107" s="764">
        <f t="shared" si="45"/>
        <v>73173.485361773317</v>
      </c>
      <c r="M107" s="762">
        <f t="shared" si="56"/>
        <v>0.55000000000000004</v>
      </c>
      <c r="N107" s="764">
        <f t="shared" si="57"/>
        <v>51368.9</v>
      </c>
      <c r="O107" s="740">
        <f t="shared" si="38"/>
        <v>0.57122208184329426</v>
      </c>
      <c r="P107" s="765">
        <f t="shared" si="39"/>
        <v>2566.6110414052696</v>
      </c>
      <c r="Q107" s="742">
        <f t="shared" si="40"/>
        <v>4.105880583546398E-2</v>
      </c>
      <c r="R107" s="743">
        <f t="shared" si="41"/>
        <v>62510.611041405267</v>
      </c>
      <c r="S107" s="744">
        <f t="shared" si="42"/>
        <v>10949.620242576333</v>
      </c>
      <c r="T107" s="745">
        <v>1.3</v>
      </c>
      <c r="U107" s="726">
        <f t="shared" si="43"/>
        <v>5</v>
      </c>
      <c r="V107" s="746">
        <f t="shared" si="44"/>
        <v>1</v>
      </c>
      <c r="W107" s="767">
        <v>0.01</v>
      </c>
      <c r="X107" s="768">
        <f t="shared" si="46"/>
        <v>933.98</v>
      </c>
      <c r="Y107" s="767">
        <v>3.5999999999999997E-2</v>
      </c>
      <c r="Z107" s="769">
        <f t="shared" si="47"/>
        <v>774.3841471781285</v>
      </c>
      <c r="AA107" s="770">
        <f t="shared" si="53"/>
        <v>731.73485361773317</v>
      </c>
      <c r="AB107" s="770">
        <f t="shared" si="54"/>
        <v>513.68900000000008</v>
      </c>
      <c r="AC107" s="770">
        <f t="shared" si="55"/>
        <v>2634.2454730238392</v>
      </c>
      <c r="AD107" s="771">
        <f t="shared" si="48"/>
        <v>731.73485361773317</v>
      </c>
      <c r="AE107" s="743">
        <f t="shared" si="49"/>
        <v>2157.9839999999999</v>
      </c>
      <c r="AF107" s="743">
        <f t="shared" si="50"/>
        <v>2250.3819974905896</v>
      </c>
      <c r="AG107" s="773">
        <f t="shared" si="51"/>
        <v>2.4094541612139335</v>
      </c>
      <c r="AH107" s="728" t="s">
        <v>373</v>
      </c>
    </row>
    <row r="108" spans="1:34" ht="14.4" x14ac:dyDescent="0.3">
      <c r="A108" s="729" t="s">
        <v>357</v>
      </c>
      <c r="B108" s="726" t="str">
        <f t="shared" si="52"/>
        <v>1990s</v>
      </c>
      <c r="C108" s="730">
        <v>2000</v>
      </c>
      <c r="D108" s="731">
        <f t="shared" si="30"/>
        <v>1996</v>
      </c>
      <c r="E108" s="732">
        <f t="shared" si="31"/>
        <v>1999</v>
      </c>
      <c r="F108" s="759">
        <f t="shared" si="32"/>
        <v>93764</v>
      </c>
      <c r="G108" s="760">
        <f t="shared" si="33"/>
        <v>93398</v>
      </c>
      <c r="H108" s="760">
        <f t="shared" si="34"/>
        <v>76512</v>
      </c>
      <c r="I108" s="761">
        <f t="shared" si="35"/>
        <v>59944</v>
      </c>
      <c r="J108" s="762">
        <f t="shared" si="36"/>
        <v>0.78345880384776245</v>
      </c>
      <c r="K108" s="763">
        <f t="shared" si="37"/>
        <v>77438.414717812848</v>
      </c>
      <c r="L108" s="764">
        <f t="shared" si="45"/>
        <v>73173.485361773317</v>
      </c>
      <c r="M108" s="762">
        <f t="shared" si="56"/>
        <v>0.55000000000000004</v>
      </c>
      <c r="N108" s="764">
        <f t="shared" si="57"/>
        <v>51368.9</v>
      </c>
      <c r="O108" s="740">
        <f t="shared" si="38"/>
        <v>0.57122208184329426</v>
      </c>
      <c r="P108" s="765">
        <f t="shared" si="39"/>
        <v>2566.6110414052696</v>
      </c>
      <c r="Q108" s="742">
        <f t="shared" si="40"/>
        <v>4.105880583546398E-2</v>
      </c>
      <c r="R108" s="743">
        <f t="shared" si="41"/>
        <v>62510.611041405267</v>
      </c>
      <c r="S108" s="744">
        <f t="shared" si="42"/>
        <v>10949.620242576333</v>
      </c>
      <c r="T108" s="745">
        <v>2.1</v>
      </c>
      <c r="U108" s="726">
        <f t="shared" si="43"/>
        <v>4.0000000000000009</v>
      </c>
      <c r="V108" s="746">
        <f t="shared" si="44"/>
        <v>2</v>
      </c>
      <c r="W108" s="767">
        <v>0.01</v>
      </c>
      <c r="X108" s="768">
        <f t="shared" si="46"/>
        <v>933.98</v>
      </c>
      <c r="Y108" s="767">
        <v>1E-3</v>
      </c>
      <c r="Z108" s="769">
        <f t="shared" si="47"/>
        <v>774.3841471781285</v>
      </c>
      <c r="AA108" s="770">
        <f t="shared" si="53"/>
        <v>731.73485361773317</v>
      </c>
      <c r="AB108" s="770">
        <f t="shared" si="54"/>
        <v>513.68900000000008</v>
      </c>
      <c r="AC108" s="770">
        <f t="shared" si="55"/>
        <v>73.173485361773317</v>
      </c>
      <c r="AD108" s="771">
        <f t="shared" si="48"/>
        <v>731.73485361773317</v>
      </c>
      <c r="AE108" s="743">
        <f t="shared" si="49"/>
        <v>59.944000000000003</v>
      </c>
      <c r="AF108" s="743">
        <f t="shared" si="50"/>
        <v>62.510611041405269</v>
      </c>
      <c r="AG108" s="773">
        <f t="shared" si="51"/>
        <v>6.6929282255942593E-2</v>
      </c>
      <c r="AH108" s="728" t="s">
        <v>373</v>
      </c>
    </row>
    <row r="109" spans="1:34" ht="15" thickBot="1" x14ac:dyDescent="0.35">
      <c r="A109" s="729" t="s">
        <v>357</v>
      </c>
      <c r="B109" s="726" t="str">
        <f t="shared" si="52"/>
        <v>1990s</v>
      </c>
      <c r="C109" s="730">
        <v>2000</v>
      </c>
      <c r="D109" s="731">
        <f t="shared" si="30"/>
        <v>1995</v>
      </c>
      <c r="E109" s="732">
        <f t="shared" si="31"/>
        <v>1998</v>
      </c>
      <c r="F109" s="759">
        <f t="shared" si="32"/>
        <v>93764</v>
      </c>
      <c r="G109" s="760">
        <f t="shared" si="33"/>
        <v>93398</v>
      </c>
      <c r="H109" s="760">
        <f t="shared" si="34"/>
        <v>76512</v>
      </c>
      <c r="I109" s="761">
        <f t="shared" si="35"/>
        <v>59944</v>
      </c>
      <c r="J109" s="762">
        <f t="shared" si="36"/>
        <v>0.78345880384776245</v>
      </c>
      <c r="K109" s="763">
        <f t="shared" si="37"/>
        <v>77438.414717812848</v>
      </c>
      <c r="L109" s="764">
        <f t="shared" si="45"/>
        <v>73173.485361773317</v>
      </c>
      <c r="M109" s="762">
        <f t="shared" si="56"/>
        <v>0.55000000000000004</v>
      </c>
      <c r="N109" s="764">
        <f t="shared" si="57"/>
        <v>51368.9</v>
      </c>
      <c r="O109" s="740">
        <f t="shared" si="38"/>
        <v>0.57122208184329426</v>
      </c>
      <c r="P109" s="765">
        <f t="shared" si="39"/>
        <v>2566.6110414052696</v>
      </c>
      <c r="Q109" s="742">
        <f t="shared" si="40"/>
        <v>4.105880583546398E-2</v>
      </c>
      <c r="R109" s="743">
        <f t="shared" si="41"/>
        <v>62510.611041405267</v>
      </c>
      <c r="S109" s="744">
        <f t="shared" si="42"/>
        <v>10949.620242576333</v>
      </c>
      <c r="T109" s="745">
        <v>2.2000000000000002</v>
      </c>
      <c r="U109" s="726">
        <f t="shared" si="43"/>
        <v>5.0000000000000018</v>
      </c>
      <c r="V109" s="746">
        <f t="shared" si="44"/>
        <v>2</v>
      </c>
      <c r="W109" s="767">
        <v>0.01</v>
      </c>
      <c r="X109" s="768">
        <f t="shared" si="46"/>
        <v>933.98</v>
      </c>
      <c r="Y109" s="767">
        <v>1.7000000000000001E-2</v>
      </c>
      <c r="Z109" s="769">
        <f t="shared" si="47"/>
        <v>774.3841471781285</v>
      </c>
      <c r="AA109" s="770">
        <f t="shared" si="53"/>
        <v>731.73485361773317</v>
      </c>
      <c r="AB109" s="770">
        <f t="shared" si="54"/>
        <v>513.68900000000008</v>
      </c>
      <c r="AC109" s="770">
        <f t="shared" si="55"/>
        <v>1243.9492511501464</v>
      </c>
      <c r="AD109" s="771">
        <f>L109*W109</f>
        <v>731.73485361773317</v>
      </c>
      <c r="AE109" s="743">
        <f t="shared" si="49"/>
        <v>1019.0480000000001</v>
      </c>
      <c r="AF109" s="743">
        <f t="shared" si="50"/>
        <v>1062.6803877038897</v>
      </c>
      <c r="AG109" s="773">
        <f t="shared" si="51"/>
        <v>1.1377977983510243</v>
      </c>
      <c r="AH109" s="728" t="s">
        <v>373</v>
      </c>
    </row>
    <row r="110" spans="1:34" ht="14.4" x14ac:dyDescent="0.3">
      <c r="A110" s="729" t="s">
        <v>357</v>
      </c>
      <c r="B110" s="726" t="str">
        <f t="shared" si="52"/>
        <v>2000s</v>
      </c>
      <c r="C110" s="730">
        <v>2001</v>
      </c>
      <c r="D110" s="731">
        <f t="shared" si="30"/>
        <v>1998</v>
      </c>
      <c r="E110" s="732">
        <f t="shared" si="31"/>
        <v>2000</v>
      </c>
      <c r="F110" s="759">
        <f t="shared" si="32"/>
        <v>117879</v>
      </c>
      <c r="G110" s="760">
        <f t="shared" si="33"/>
        <v>114934</v>
      </c>
      <c r="H110" s="760">
        <f t="shared" si="34"/>
        <v>104840</v>
      </c>
      <c r="I110" s="761">
        <f t="shared" si="35"/>
        <v>74486</v>
      </c>
      <c r="J110" s="762">
        <f t="shared" si="36"/>
        <v>0.7104731018695154</v>
      </c>
      <c r="K110" s="763">
        <f t="shared" si="37"/>
        <v>92986.128583884944</v>
      </c>
      <c r="L110" s="764">
        <f t="shared" si="45"/>
        <v>81657.515490270889</v>
      </c>
      <c r="M110" s="762">
        <f t="shared" si="56"/>
        <v>0.56000000000000005</v>
      </c>
      <c r="N110" s="764">
        <f t="shared" si="57"/>
        <v>64363.040000000008</v>
      </c>
      <c r="O110" s="740">
        <f t="shared" si="38"/>
        <v>0.56396714636226009</v>
      </c>
      <c r="P110" s="765">
        <f t="shared" si="39"/>
        <v>6387.8636589088128</v>
      </c>
      <c r="Q110" s="742">
        <f t="shared" si="40"/>
        <v>7.8985513612284869E-2</v>
      </c>
      <c r="R110" s="743">
        <f t="shared" si="41"/>
        <v>80873.863658908813</v>
      </c>
      <c r="S110" s="744">
        <f t="shared" si="42"/>
        <v>2875.9951163677906</v>
      </c>
      <c r="T110" s="745">
        <v>1.1000000000000001</v>
      </c>
      <c r="U110" s="726">
        <f t="shared" si="43"/>
        <v>3.0000000000000009</v>
      </c>
      <c r="V110" s="746">
        <f t="shared" si="44"/>
        <v>1</v>
      </c>
      <c r="W110" s="767">
        <v>2.5999999999999999E-2</v>
      </c>
      <c r="X110" s="768">
        <f t="shared" si="46"/>
        <v>2988.2839999999997</v>
      </c>
      <c r="Y110" s="767">
        <v>3.3000000000000002E-2</v>
      </c>
      <c r="Z110" s="748">
        <f>K110*Y110</f>
        <v>3068.5422432682035</v>
      </c>
      <c r="AA110" s="770">
        <f t="shared" si="53"/>
        <v>2123.095402747043</v>
      </c>
      <c r="AB110" s="770">
        <f t="shared" si="54"/>
        <v>1673.4390400000002</v>
      </c>
      <c r="AC110" s="770">
        <f t="shared" si="55"/>
        <v>2694.6980111789394</v>
      </c>
      <c r="AD110" s="782">
        <f>L110*Y110</f>
        <v>2694.6980111789394</v>
      </c>
      <c r="AE110" s="743">
        <f t="shared" si="49"/>
        <v>2458.038</v>
      </c>
      <c r="AF110" s="772">
        <f t="shared" si="50"/>
        <v>2668.8375007439909</v>
      </c>
      <c r="AG110" s="773">
        <f t="shared" si="51"/>
        <v>0.89310035483374106</v>
      </c>
      <c r="AH110" s="728" t="s">
        <v>374</v>
      </c>
    </row>
    <row r="111" spans="1:34" ht="14.4" x14ac:dyDescent="0.3">
      <c r="A111" s="729" t="s">
        <v>357</v>
      </c>
      <c r="B111" s="726" t="str">
        <f t="shared" si="52"/>
        <v>1990s</v>
      </c>
      <c r="C111" s="730">
        <v>2001</v>
      </c>
      <c r="D111" s="731">
        <f t="shared" si="30"/>
        <v>1997</v>
      </c>
      <c r="E111" s="732">
        <f t="shared" si="31"/>
        <v>1999</v>
      </c>
      <c r="F111" s="759">
        <f t="shared" si="32"/>
        <v>117879</v>
      </c>
      <c r="G111" s="760">
        <f t="shared" si="33"/>
        <v>114934</v>
      </c>
      <c r="H111" s="760">
        <f t="shared" si="34"/>
        <v>104840</v>
      </c>
      <c r="I111" s="761">
        <f t="shared" si="35"/>
        <v>74486</v>
      </c>
      <c r="J111" s="762">
        <f t="shared" si="36"/>
        <v>0.7104731018695154</v>
      </c>
      <c r="K111" s="763">
        <f t="shared" si="37"/>
        <v>92986.128583884944</v>
      </c>
      <c r="L111" s="764">
        <f t="shared" si="45"/>
        <v>81657.515490270889</v>
      </c>
      <c r="M111" s="762">
        <f t="shared" si="56"/>
        <v>0.56000000000000005</v>
      </c>
      <c r="N111" s="764">
        <f t="shared" si="57"/>
        <v>64363.040000000008</v>
      </c>
      <c r="O111" s="740">
        <f t="shared" si="38"/>
        <v>0.56396714636226009</v>
      </c>
      <c r="P111" s="765">
        <f t="shared" si="39"/>
        <v>6387.8636589088128</v>
      </c>
      <c r="Q111" s="742">
        <f t="shared" si="40"/>
        <v>7.8985513612284869E-2</v>
      </c>
      <c r="R111" s="743">
        <f t="shared" si="41"/>
        <v>80873.863658908813</v>
      </c>
      <c r="S111" s="744">
        <f t="shared" si="42"/>
        <v>2875.9951163677906</v>
      </c>
      <c r="T111" s="745">
        <v>1.2</v>
      </c>
      <c r="U111" s="726">
        <f t="shared" si="43"/>
        <v>3.9999999999999996</v>
      </c>
      <c r="V111" s="746">
        <f t="shared" si="44"/>
        <v>1</v>
      </c>
      <c r="W111" s="767">
        <v>0.94599999999999995</v>
      </c>
      <c r="X111" s="768">
        <f t="shared" si="46"/>
        <v>108727.564</v>
      </c>
      <c r="Y111" s="767">
        <v>0.94399999999999995</v>
      </c>
      <c r="Z111" s="748">
        <f t="shared" ref="Z111:Z114" si="58">K111*Y111</f>
        <v>87778.905383187375</v>
      </c>
      <c r="AA111" s="770">
        <f t="shared" si="53"/>
        <v>77248.009653796253</v>
      </c>
      <c r="AB111" s="770">
        <f t="shared" si="54"/>
        <v>60887.435840000006</v>
      </c>
      <c r="AC111" s="770">
        <f t="shared" si="55"/>
        <v>77084.694622815718</v>
      </c>
      <c r="AD111" s="783">
        <f t="shared" ref="AD111:AD114" si="59">L111*Y111</f>
        <v>77084.694622815718</v>
      </c>
      <c r="AE111" s="743">
        <f t="shared" si="49"/>
        <v>70314.784</v>
      </c>
      <c r="AF111" s="743">
        <f t="shared" si="50"/>
        <v>76344.927294009918</v>
      </c>
      <c r="AG111" s="773">
        <f t="shared" si="51"/>
        <v>0.70216718268432754</v>
      </c>
      <c r="AH111" s="728" t="s">
        <v>375</v>
      </c>
    </row>
    <row r="112" spans="1:34" ht="14.4" x14ac:dyDescent="0.3">
      <c r="A112" s="729" t="s">
        <v>357</v>
      </c>
      <c r="B112" s="726" t="str">
        <f t="shared" si="52"/>
        <v>1990s</v>
      </c>
      <c r="C112" s="730">
        <v>2001</v>
      </c>
      <c r="D112" s="731">
        <f t="shared" si="30"/>
        <v>1996</v>
      </c>
      <c r="E112" s="732">
        <f t="shared" si="31"/>
        <v>1998</v>
      </c>
      <c r="F112" s="759">
        <f t="shared" si="32"/>
        <v>117879</v>
      </c>
      <c r="G112" s="760">
        <f t="shared" si="33"/>
        <v>114934</v>
      </c>
      <c r="H112" s="760">
        <f t="shared" si="34"/>
        <v>104840</v>
      </c>
      <c r="I112" s="761">
        <f t="shared" si="35"/>
        <v>74486</v>
      </c>
      <c r="J112" s="762">
        <f t="shared" si="36"/>
        <v>0.7104731018695154</v>
      </c>
      <c r="K112" s="763">
        <f t="shared" si="37"/>
        <v>92986.128583884944</v>
      </c>
      <c r="L112" s="764">
        <f t="shared" si="45"/>
        <v>81657.515490270889</v>
      </c>
      <c r="M112" s="762">
        <f t="shared" si="56"/>
        <v>0.56000000000000005</v>
      </c>
      <c r="N112" s="764">
        <f t="shared" si="57"/>
        <v>64363.040000000008</v>
      </c>
      <c r="O112" s="740">
        <f t="shared" si="38"/>
        <v>0.56396714636226009</v>
      </c>
      <c r="P112" s="765">
        <f t="shared" si="39"/>
        <v>6387.8636589088128</v>
      </c>
      <c r="Q112" s="742">
        <f t="shared" si="40"/>
        <v>7.8985513612284869E-2</v>
      </c>
      <c r="R112" s="743">
        <f t="shared" si="41"/>
        <v>80873.863658908813</v>
      </c>
      <c r="S112" s="744">
        <f t="shared" si="42"/>
        <v>2875.9951163677906</v>
      </c>
      <c r="T112" s="745">
        <v>1.3</v>
      </c>
      <c r="U112" s="726">
        <f t="shared" si="43"/>
        <v>5</v>
      </c>
      <c r="V112" s="746">
        <f t="shared" si="44"/>
        <v>1</v>
      </c>
      <c r="W112" s="767">
        <v>0.02</v>
      </c>
      <c r="X112" s="768">
        <f t="shared" si="46"/>
        <v>2298.6799999999998</v>
      </c>
      <c r="Y112" s="767">
        <v>2.1999999999999999E-2</v>
      </c>
      <c r="Z112" s="748">
        <f t="shared" si="58"/>
        <v>2045.6948288454687</v>
      </c>
      <c r="AA112" s="770">
        <f t="shared" si="53"/>
        <v>1633.1503098054179</v>
      </c>
      <c r="AB112" s="770">
        <f t="shared" si="54"/>
        <v>1287.2608000000002</v>
      </c>
      <c r="AC112" s="770">
        <f t="shared" si="55"/>
        <v>1796.4653407859594</v>
      </c>
      <c r="AD112" s="783">
        <f t="shared" si="59"/>
        <v>1796.4653407859594</v>
      </c>
      <c r="AE112" s="743">
        <f t="shared" si="49"/>
        <v>1638.692</v>
      </c>
      <c r="AF112" s="743">
        <f t="shared" si="50"/>
        <v>1779.2250004959938</v>
      </c>
      <c r="AG112" s="773">
        <f t="shared" si="51"/>
        <v>0.77402030752257556</v>
      </c>
      <c r="AH112" s="728" t="s">
        <v>376</v>
      </c>
    </row>
    <row r="113" spans="1:36" ht="14.4" x14ac:dyDescent="0.3">
      <c r="A113" s="729" t="s">
        <v>357</v>
      </c>
      <c r="B113" s="726" t="str">
        <f t="shared" si="52"/>
        <v>2000s</v>
      </c>
      <c r="C113" s="730">
        <v>2001</v>
      </c>
      <c r="D113" s="731">
        <f t="shared" si="30"/>
        <v>1997</v>
      </c>
      <c r="E113" s="732">
        <f t="shared" si="31"/>
        <v>2000</v>
      </c>
      <c r="F113" s="759">
        <f t="shared" si="32"/>
        <v>117879</v>
      </c>
      <c r="G113" s="760">
        <f t="shared" si="33"/>
        <v>114934</v>
      </c>
      <c r="H113" s="760">
        <f t="shared" si="34"/>
        <v>104840</v>
      </c>
      <c r="I113" s="761">
        <f t="shared" si="35"/>
        <v>74486</v>
      </c>
      <c r="J113" s="762">
        <f t="shared" si="36"/>
        <v>0.7104731018695154</v>
      </c>
      <c r="K113" s="763">
        <f t="shared" si="37"/>
        <v>92986.128583884944</v>
      </c>
      <c r="L113" s="764">
        <f t="shared" si="45"/>
        <v>81657.515490270889</v>
      </c>
      <c r="M113" s="762">
        <f t="shared" si="56"/>
        <v>0.56000000000000005</v>
      </c>
      <c r="N113" s="764">
        <f t="shared" si="57"/>
        <v>64363.040000000008</v>
      </c>
      <c r="O113" s="740">
        <f t="shared" si="38"/>
        <v>0.56396714636226009</v>
      </c>
      <c r="P113" s="765">
        <f t="shared" si="39"/>
        <v>6387.8636589088128</v>
      </c>
      <c r="Q113" s="742">
        <f t="shared" si="40"/>
        <v>7.8985513612284869E-2</v>
      </c>
      <c r="R113" s="743">
        <f t="shared" si="41"/>
        <v>80873.863658908813</v>
      </c>
      <c r="S113" s="744">
        <f t="shared" si="42"/>
        <v>2875.9951163677906</v>
      </c>
      <c r="T113" s="745">
        <v>2.1</v>
      </c>
      <c r="U113" s="726">
        <f t="shared" si="43"/>
        <v>4.0000000000000009</v>
      </c>
      <c r="V113" s="746">
        <f t="shared" si="44"/>
        <v>2</v>
      </c>
      <c r="W113" s="767">
        <v>3.0000000000000001E-3</v>
      </c>
      <c r="X113" s="768">
        <f t="shared" si="46"/>
        <v>344.80200000000002</v>
      </c>
      <c r="Y113" s="767">
        <v>4.8999999999999998E-4</v>
      </c>
      <c r="Z113" s="748">
        <f t="shared" si="58"/>
        <v>45.56320300610362</v>
      </c>
      <c r="AA113" s="770">
        <f t="shared" si="53"/>
        <v>244.97254647081266</v>
      </c>
      <c r="AB113" s="770">
        <f t="shared" si="54"/>
        <v>193.08912000000004</v>
      </c>
      <c r="AC113" s="770">
        <f t="shared" ref="AC113:AC114" si="60">IF(Y113,L113*Y113,0)</f>
        <v>40.012182590232733</v>
      </c>
      <c r="AD113" s="783">
        <f t="shared" si="59"/>
        <v>40.012182590232733</v>
      </c>
      <c r="AE113" s="743">
        <f t="shared" si="49"/>
        <v>36.498139999999999</v>
      </c>
      <c r="AF113" s="743">
        <f t="shared" si="50"/>
        <v>39.628193192865318</v>
      </c>
      <c r="AG113" s="773">
        <f t="shared" si="51"/>
        <v>0.11493028808668544</v>
      </c>
      <c r="AH113" s="728" t="s">
        <v>377</v>
      </c>
    </row>
    <row r="114" spans="1:36" ht="15" thickBot="1" x14ac:dyDescent="0.35">
      <c r="A114" s="729" t="s">
        <v>357</v>
      </c>
      <c r="B114" s="726" t="str">
        <f t="shared" si="52"/>
        <v>1990s</v>
      </c>
      <c r="C114" s="730">
        <v>2001</v>
      </c>
      <c r="D114" s="731">
        <f t="shared" si="30"/>
        <v>1996</v>
      </c>
      <c r="E114" s="732">
        <f t="shared" si="31"/>
        <v>1999</v>
      </c>
      <c r="F114" s="759">
        <f t="shared" si="32"/>
        <v>117879</v>
      </c>
      <c r="G114" s="760">
        <f t="shared" si="33"/>
        <v>114934</v>
      </c>
      <c r="H114" s="760">
        <f t="shared" si="34"/>
        <v>104840</v>
      </c>
      <c r="I114" s="761">
        <f t="shared" si="35"/>
        <v>74486</v>
      </c>
      <c r="J114" s="762">
        <f t="shared" si="36"/>
        <v>0.7104731018695154</v>
      </c>
      <c r="K114" s="763">
        <f t="shared" si="37"/>
        <v>92986.128583884944</v>
      </c>
      <c r="L114" s="764">
        <f t="shared" si="45"/>
        <v>81657.515490270889</v>
      </c>
      <c r="M114" s="762">
        <f t="shared" si="56"/>
        <v>0.56000000000000005</v>
      </c>
      <c r="N114" s="764">
        <f t="shared" si="57"/>
        <v>64363.040000000008</v>
      </c>
      <c r="O114" s="740">
        <f t="shared" si="38"/>
        <v>0.56396714636226009</v>
      </c>
      <c r="P114" s="765">
        <f t="shared" si="39"/>
        <v>6387.8636589088128</v>
      </c>
      <c r="Q114" s="742">
        <f t="shared" si="40"/>
        <v>7.8985513612284869E-2</v>
      </c>
      <c r="R114" s="743">
        <f t="shared" si="41"/>
        <v>80873.863658908813</v>
      </c>
      <c r="S114" s="744">
        <f t="shared" si="42"/>
        <v>2875.9951163677906</v>
      </c>
      <c r="T114" s="745">
        <v>2.2000000000000002</v>
      </c>
      <c r="U114" s="726">
        <f t="shared" si="43"/>
        <v>5.0000000000000018</v>
      </c>
      <c r="V114" s="746">
        <f t="shared" si="44"/>
        <v>2</v>
      </c>
      <c r="W114" s="767">
        <v>3.0000000000000001E-3</v>
      </c>
      <c r="X114" s="768">
        <f t="shared" si="46"/>
        <v>344.80200000000002</v>
      </c>
      <c r="Y114" s="767">
        <v>4.8999999999999998E-4</v>
      </c>
      <c r="Z114" s="748">
        <f t="shared" si="58"/>
        <v>45.56320300610362</v>
      </c>
      <c r="AA114" s="770">
        <f t="shared" si="53"/>
        <v>244.97254647081266</v>
      </c>
      <c r="AB114" s="770">
        <f t="shared" si="54"/>
        <v>193.08912000000004</v>
      </c>
      <c r="AC114" s="770">
        <f t="shared" si="60"/>
        <v>40.012182590232733</v>
      </c>
      <c r="AD114" s="784">
        <f t="shared" si="59"/>
        <v>40.012182590232733</v>
      </c>
      <c r="AE114" s="743">
        <f t="shared" si="49"/>
        <v>36.498139999999999</v>
      </c>
      <c r="AF114" s="743">
        <f t="shared" si="50"/>
        <v>39.628193192865318</v>
      </c>
      <c r="AG114" s="773">
        <f t="shared" si="51"/>
        <v>0.11493028808668544</v>
      </c>
      <c r="AH114" s="728" t="s">
        <v>378</v>
      </c>
    </row>
    <row r="115" spans="1:36" ht="14.4" x14ac:dyDescent="0.3">
      <c r="A115" s="729" t="s">
        <v>357</v>
      </c>
      <c r="B115" s="726" t="str">
        <f t="shared" si="52"/>
        <v>2000s</v>
      </c>
      <c r="C115" s="730">
        <v>2002</v>
      </c>
      <c r="D115" s="731">
        <f t="shared" si="30"/>
        <v>1999</v>
      </c>
      <c r="E115" s="732">
        <f t="shared" si="31"/>
        <v>2001</v>
      </c>
      <c r="F115" s="759">
        <f t="shared" si="32"/>
        <v>50557</v>
      </c>
      <c r="G115" s="760">
        <f t="shared" si="33"/>
        <v>49610</v>
      </c>
      <c r="H115" s="760">
        <f t="shared" si="34"/>
        <v>44320</v>
      </c>
      <c r="I115" s="761">
        <f t="shared" si="35"/>
        <v>10659</v>
      </c>
      <c r="J115" s="762">
        <f t="shared" si="36"/>
        <v>0.24050090252707582</v>
      </c>
      <c r="K115" s="763">
        <f t="shared" si="37"/>
        <v>13083.795990567603</v>
      </c>
      <c r="L115" s="764">
        <f t="shared" si="45"/>
        <v>11931.249774368231</v>
      </c>
      <c r="M115" s="762">
        <f t="shared" si="56"/>
        <v>0.27</v>
      </c>
      <c r="N115" s="764">
        <f t="shared" si="57"/>
        <v>13394.7</v>
      </c>
      <c r="O115" s="740">
        <f t="shared" si="38"/>
        <v>0.1933884297520661</v>
      </c>
      <c r="P115" s="765">
        <f t="shared" si="39"/>
        <v>622.41633574007221</v>
      </c>
      <c r="Q115" s="742">
        <f t="shared" si="40"/>
        <v>5.5171825701372905E-2</v>
      </c>
      <c r="R115" s="743">
        <f t="shared" si="41"/>
        <v>11281.416335740072</v>
      </c>
      <c r="S115" s="744">
        <f t="shared" si="42"/>
        <v>877.58779332129961</v>
      </c>
      <c r="T115" s="775">
        <v>1.1000000000000001</v>
      </c>
      <c r="U115" s="726">
        <f t="shared" si="43"/>
        <v>3.0000000000000009</v>
      </c>
      <c r="V115" s="746">
        <f t="shared" si="44"/>
        <v>1</v>
      </c>
      <c r="W115" s="781">
        <v>0.02</v>
      </c>
      <c r="X115" s="768">
        <f t="shared" si="46"/>
        <v>992.2</v>
      </c>
      <c r="Y115" s="781">
        <v>9.0999999999999998E-2</v>
      </c>
      <c r="Z115" s="769">
        <f t="shared" ref="Z115:Z143" si="61">K115*W115</f>
        <v>261.67591981135206</v>
      </c>
      <c r="AA115" s="770">
        <f t="shared" si="53"/>
        <v>238.62499548736463</v>
      </c>
      <c r="AB115" s="770">
        <f t="shared" si="54"/>
        <v>267.89400000000001</v>
      </c>
      <c r="AC115" s="770">
        <f t="shared" si="55"/>
        <v>1085.743729467509</v>
      </c>
      <c r="AD115" s="771">
        <f>L115*W115</f>
        <v>238.62499548736463</v>
      </c>
      <c r="AE115" s="743">
        <f t="shared" si="49"/>
        <v>969.96899999999994</v>
      </c>
      <c r="AF115" s="772">
        <f t="shared" si="50"/>
        <v>1026.6088865523466</v>
      </c>
      <c r="AG115" s="773">
        <f t="shared" si="51"/>
        <v>1.0346793857612846</v>
      </c>
      <c r="AH115" s="728" t="s">
        <v>379</v>
      </c>
    </row>
    <row r="116" spans="1:36" ht="14.4" x14ac:dyDescent="0.3">
      <c r="A116" s="729" t="s">
        <v>357</v>
      </c>
      <c r="B116" s="726" t="str">
        <f t="shared" si="52"/>
        <v>2000s</v>
      </c>
      <c r="C116" s="730">
        <v>2002</v>
      </c>
      <c r="D116" s="731">
        <f t="shared" si="30"/>
        <v>1998</v>
      </c>
      <c r="E116" s="732">
        <f t="shared" si="31"/>
        <v>2000</v>
      </c>
      <c r="F116" s="759">
        <f t="shared" si="32"/>
        <v>50557</v>
      </c>
      <c r="G116" s="760">
        <f t="shared" si="33"/>
        <v>49610</v>
      </c>
      <c r="H116" s="760">
        <f t="shared" si="34"/>
        <v>44320</v>
      </c>
      <c r="I116" s="761">
        <f t="shared" si="35"/>
        <v>10659</v>
      </c>
      <c r="J116" s="762">
        <f t="shared" si="36"/>
        <v>0.24050090252707582</v>
      </c>
      <c r="K116" s="763">
        <f t="shared" si="37"/>
        <v>13083.795990567603</v>
      </c>
      <c r="L116" s="764">
        <f t="shared" si="45"/>
        <v>11931.249774368231</v>
      </c>
      <c r="M116" s="762">
        <f t="shared" si="56"/>
        <v>0.27</v>
      </c>
      <c r="N116" s="764">
        <f t="shared" si="57"/>
        <v>13394.7</v>
      </c>
      <c r="O116" s="740">
        <f t="shared" si="38"/>
        <v>0.1933884297520661</v>
      </c>
      <c r="P116" s="765">
        <f t="shared" si="39"/>
        <v>622.41633574007221</v>
      </c>
      <c r="Q116" s="742">
        <f t="shared" si="40"/>
        <v>5.5171825701372905E-2</v>
      </c>
      <c r="R116" s="743">
        <f t="shared" si="41"/>
        <v>11281.416335740072</v>
      </c>
      <c r="S116" s="744">
        <f t="shared" si="42"/>
        <v>877.58779332129961</v>
      </c>
      <c r="T116" s="745">
        <v>1.2</v>
      </c>
      <c r="U116" s="726">
        <f t="shared" si="43"/>
        <v>3.9999999999999996</v>
      </c>
      <c r="V116" s="746">
        <f t="shared" si="44"/>
        <v>1</v>
      </c>
      <c r="W116" s="781">
        <v>0.497</v>
      </c>
      <c r="X116" s="768">
        <f t="shared" si="46"/>
        <v>24656.17</v>
      </c>
      <c r="Y116" s="778">
        <v>0.55400000000000005</v>
      </c>
      <c r="Z116" s="769">
        <f t="shared" si="61"/>
        <v>6502.6466073120991</v>
      </c>
      <c r="AA116" s="770">
        <f t="shared" si="53"/>
        <v>5929.8311378610106</v>
      </c>
      <c r="AB116" s="770">
        <f t="shared" si="54"/>
        <v>6657.1659</v>
      </c>
      <c r="AC116" s="770">
        <f t="shared" si="55"/>
        <v>6609.9123750000008</v>
      </c>
      <c r="AD116" s="771">
        <f t="shared" ref="AD116:AD130" si="62">L116*W116</f>
        <v>5929.8311378610106</v>
      </c>
      <c r="AE116" s="743">
        <f t="shared" si="49"/>
        <v>5905.0860000000002</v>
      </c>
      <c r="AF116" s="743">
        <f t="shared" si="50"/>
        <v>6249.9046500000004</v>
      </c>
      <c r="AG116" s="773">
        <f t="shared" si="51"/>
        <v>0.2534823798667839</v>
      </c>
      <c r="AH116" s="728" t="s">
        <v>380</v>
      </c>
    </row>
    <row r="117" spans="1:36" ht="14.4" x14ac:dyDescent="0.3">
      <c r="A117" s="729" t="s">
        <v>357</v>
      </c>
      <c r="B117" s="726" t="str">
        <f t="shared" si="52"/>
        <v>1990s</v>
      </c>
      <c r="C117" s="730">
        <v>2002</v>
      </c>
      <c r="D117" s="731">
        <f t="shared" si="30"/>
        <v>1997</v>
      </c>
      <c r="E117" s="732">
        <f t="shared" si="31"/>
        <v>1999</v>
      </c>
      <c r="F117" s="759">
        <f t="shared" si="32"/>
        <v>50557</v>
      </c>
      <c r="G117" s="760">
        <f t="shared" si="33"/>
        <v>49610</v>
      </c>
      <c r="H117" s="760">
        <f t="shared" si="34"/>
        <v>44320</v>
      </c>
      <c r="I117" s="761">
        <f t="shared" si="35"/>
        <v>10659</v>
      </c>
      <c r="J117" s="762">
        <f t="shared" si="36"/>
        <v>0.24050090252707582</v>
      </c>
      <c r="K117" s="763">
        <f t="shared" si="37"/>
        <v>13083.795990567603</v>
      </c>
      <c r="L117" s="764">
        <f t="shared" si="45"/>
        <v>11931.249774368231</v>
      </c>
      <c r="M117" s="762">
        <f t="shared" si="56"/>
        <v>0.27</v>
      </c>
      <c r="N117" s="764">
        <f t="shared" si="57"/>
        <v>13394.7</v>
      </c>
      <c r="O117" s="740">
        <f t="shared" si="38"/>
        <v>0.1933884297520661</v>
      </c>
      <c r="P117" s="765">
        <f t="shared" si="39"/>
        <v>622.41633574007221</v>
      </c>
      <c r="Q117" s="742">
        <f t="shared" si="40"/>
        <v>5.5171825701372905E-2</v>
      </c>
      <c r="R117" s="743">
        <f t="shared" si="41"/>
        <v>11281.416335740072</v>
      </c>
      <c r="S117" s="744">
        <f t="shared" si="42"/>
        <v>877.58779332129961</v>
      </c>
      <c r="T117" s="745">
        <v>1.3</v>
      </c>
      <c r="U117" s="726">
        <f t="shared" si="43"/>
        <v>5</v>
      </c>
      <c r="V117" s="746">
        <f t="shared" si="44"/>
        <v>1</v>
      </c>
      <c r="W117" s="781">
        <v>0.14799999999999999</v>
      </c>
      <c r="X117" s="768">
        <f t="shared" si="46"/>
        <v>7342.28</v>
      </c>
      <c r="Y117" s="778">
        <v>0.35399999999999998</v>
      </c>
      <c r="Z117" s="769">
        <f t="shared" si="61"/>
        <v>1936.4018066040053</v>
      </c>
      <c r="AA117" s="770">
        <f t="shared" si="53"/>
        <v>1765.824966606498</v>
      </c>
      <c r="AB117" s="770">
        <f t="shared" si="54"/>
        <v>1982.4156</v>
      </c>
      <c r="AC117" s="770">
        <f t="shared" si="55"/>
        <v>4223.662420126353</v>
      </c>
      <c r="AD117" s="771">
        <f t="shared" si="62"/>
        <v>1765.824966606498</v>
      </c>
      <c r="AE117" s="743">
        <f t="shared" si="49"/>
        <v>3773.2859999999996</v>
      </c>
      <c r="AF117" s="743">
        <f t="shared" si="50"/>
        <v>3993.6213828519853</v>
      </c>
      <c r="AG117" s="773">
        <f t="shared" si="51"/>
        <v>0.54392115022199994</v>
      </c>
      <c r="AH117" s="728" t="s">
        <v>381</v>
      </c>
    </row>
    <row r="118" spans="1:36" ht="14.4" x14ac:dyDescent="0.3">
      <c r="A118" s="729" t="s">
        <v>357</v>
      </c>
      <c r="B118" s="726" t="str">
        <f t="shared" si="52"/>
        <v>2000s</v>
      </c>
      <c r="C118" s="730">
        <v>2002</v>
      </c>
      <c r="D118" s="731">
        <f t="shared" si="30"/>
        <v>1998</v>
      </c>
      <c r="E118" s="732">
        <f t="shared" si="31"/>
        <v>2001</v>
      </c>
      <c r="F118" s="759">
        <f t="shared" si="32"/>
        <v>50557</v>
      </c>
      <c r="G118" s="760">
        <f t="shared" si="33"/>
        <v>49610</v>
      </c>
      <c r="H118" s="760">
        <f t="shared" si="34"/>
        <v>44320</v>
      </c>
      <c r="I118" s="761">
        <f t="shared" si="35"/>
        <v>10659</v>
      </c>
      <c r="J118" s="762">
        <f t="shared" si="36"/>
        <v>0.24050090252707582</v>
      </c>
      <c r="K118" s="763">
        <f t="shared" si="37"/>
        <v>13083.795990567603</v>
      </c>
      <c r="L118" s="764">
        <f t="shared" si="45"/>
        <v>11931.249774368231</v>
      </c>
      <c r="M118" s="762">
        <f t="shared" si="56"/>
        <v>0.27</v>
      </c>
      <c r="N118" s="764">
        <f t="shared" si="57"/>
        <v>13394.7</v>
      </c>
      <c r="O118" s="740">
        <f t="shared" si="38"/>
        <v>0.1933884297520661</v>
      </c>
      <c r="P118" s="765">
        <f t="shared" si="39"/>
        <v>622.41633574007221</v>
      </c>
      <c r="Q118" s="742">
        <f t="shared" si="40"/>
        <v>5.5171825701372905E-2</v>
      </c>
      <c r="R118" s="743">
        <f t="shared" si="41"/>
        <v>11281.416335740072</v>
      </c>
      <c r="S118" s="744">
        <f t="shared" si="42"/>
        <v>877.58779332129961</v>
      </c>
      <c r="T118" s="745">
        <v>2.1</v>
      </c>
      <c r="U118" s="726">
        <f t="shared" si="43"/>
        <v>4.0000000000000009</v>
      </c>
      <c r="V118" s="746">
        <f t="shared" si="44"/>
        <v>2</v>
      </c>
      <c r="W118" s="781">
        <v>1.2999999999999999E-2</v>
      </c>
      <c r="X118" s="768">
        <f t="shared" si="46"/>
        <v>644.92999999999995</v>
      </c>
      <c r="Y118" s="767">
        <v>0</v>
      </c>
      <c r="Z118" s="769">
        <f t="shared" si="61"/>
        <v>170.08934787737883</v>
      </c>
      <c r="AA118" s="770">
        <f t="shared" si="53"/>
        <v>155.10624706678698</v>
      </c>
      <c r="AB118" s="770">
        <f t="shared" si="54"/>
        <v>174.1311</v>
      </c>
      <c r="AC118" s="770">
        <f t="shared" ref="AC118:AC120" si="63">IF(Y118,L118*Y118,0)</f>
        <v>0</v>
      </c>
      <c r="AD118" s="771">
        <f t="shared" si="62"/>
        <v>155.10624706678698</v>
      </c>
      <c r="AE118" s="743">
        <f t="shared" si="49"/>
        <v>0</v>
      </c>
      <c r="AF118" s="743">
        <f t="shared" si="50"/>
        <v>0</v>
      </c>
      <c r="AG118" s="773">
        <f t="shared" si="51"/>
        <v>0</v>
      </c>
      <c r="AH118" s="728" t="s">
        <v>379</v>
      </c>
    </row>
    <row r="119" spans="1:36" ht="14.4" x14ac:dyDescent="0.3">
      <c r="A119" s="729" t="s">
        <v>357</v>
      </c>
      <c r="B119" s="726" t="str">
        <f t="shared" si="52"/>
        <v>2000s</v>
      </c>
      <c r="C119" s="730">
        <v>2002</v>
      </c>
      <c r="D119" s="731">
        <f t="shared" si="30"/>
        <v>1997</v>
      </c>
      <c r="E119" s="732">
        <f t="shared" si="31"/>
        <v>2000</v>
      </c>
      <c r="F119" s="759">
        <f t="shared" si="32"/>
        <v>50557</v>
      </c>
      <c r="G119" s="760">
        <f t="shared" si="33"/>
        <v>49610</v>
      </c>
      <c r="H119" s="760">
        <f t="shared" si="34"/>
        <v>44320</v>
      </c>
      <c r="I119" s="761">
        <f t="shared" si="35"/>
        <v>10659</v>
      </c>
      <c r="J119" s="762">
        <f t="shared" si="36"/>
        <v>0.24050090252707582</v>
      </c>
      <c r="K119" s="763">
        <f t="shared" si="37"/>
        <v>13083.795990567603</v>
      </c>
      <c r="L119" s="764">
        <f t="shared" si="45"/>
        <v>11931.249774368231</v>
      </c>
      <c r="M119" s="762">
        <f t="shared" si="56"/>
        <v>0.27</v>
      </c>
      <c r="N119" s="764">
        <f t="shared" si="57"/>
        <v>13394.7</v>
      </c>
      <c r="O119" s="740">
        <f t="shared" si="38"/>
        <v>0.1933884297520661</v>
      </c>
      <c r="P119" s="765">
        <f t="shared" si="39"/>
        <v>622.41633574007221</v>
      </c>
      <c r="Q119" s="742">
        <f t="shared" si="40"/>
        <v>5.5171825701372905E-2</v>
      </c>
      <c r="R119" s="743">
        <f t="shared" si="41"/>
        <v>11281.416335740072</v>
      </c>
      <c r="S119" s="744">
        <f t="shared" si="42"/>
        <v>877.58779332129961</v>
      </c>
      <c r="T119" s="745">
        <v>2.2000000000000002</v>
      </c>
      <c r="U119" s="726">
        <f t="shared" si="43"/>
        <v>5.0000000000000018</v>
      </c>
      <c r="V119" s="746">
        <f t="shared" si="44"/>
        <v>2</v>
      </c>
      <c r="W119" s="781">
        <v>0.221</v>
      </c>
      <c r="X119" s="768">
        <f t="shared" si="46"/>
        <v>10963.81</v>
      </c>
      <c r="Y119" s="777">
        <v>0</v>
      </c>
      <c r="Z119" s="769">
        <f t="shared" si="61"/>
        <v>2891.5189139154404</v>
      </c>
      <c r="AA119" s="770">
        <f t="shared" si="53"/>
        <v>2636.8062001353792</v>
      </c>
      <c r="AB119" s="770">
        <f t="shared" si="54"/>
        <v>2960.2287000000001</v>
      </c>
      <c r="AC119" s="770">
        <f t="shared" si="63"/>
        <v>0</v>
      </c>
      <c r="AD119" s="771">
        <f t="shared" si="62"/>
        <v>2636.8062001353792</v>
      </c>
      <c r="AE119" s="743">
        <f t="shared" si="49"/>
        <v>0</v>
      </c>
      <c r="AF119" s="743">
        <f t="shared" si="50"/>
        <v>0</v>
      </c>
      <c r="AG119" s="773">
        <f t="shared" si="51"/>
        <v>0</v>
      </c>
      <c r="AH119" s="728" t="s">
        <v>382</v>
      </c>
    </row>
    <row r="120" spans="1:36" ht="14.4" x14ac:dyDescent="0.3">
      <c r="A120" s="729" t="s">
        <v>357</v>
      </c>
      <c r="B120" s="726" t="str">
        <f t="shared" si="52"/>
        <v>1990s</v>
      </c>
      <c r="C120" s="730">
        <v>2002</v>
      </c>
      <c r="D120" s="731">
        <f t="shared" si="30"/>
        <v>1996</v>
      </c>
      <c r="E120" s="732">
        <f t="shared" si="31"/>
        <v>1999</v>
      </c>
      <c r="F120" s="759">
        <f t="shared" si="32"/>
        <v>50557</v>
      </c>
      <c r="G120" s="760">
        <f t="shared" si="33"/>
        <v>49610</v>
      </c>
      <c r="H120" s="760">
        <f t="shared" si="34"/>
        <v>44320</v>
      </c>
      <c r="I120" s="761">
        <f t="shared" si="35"/>
        <v>10659</v>
      </c>
      <c r="J120" s="762">
        <f t="shared" si="36"/>
        <v>0.24050090252707582</v>
      </c>
      <c r="K120" s="763">
        <f t="shared" si="37"/>
        <v>13083.795990567603</v>
      </c>
      <c r="L120" s="764">
        <f t="shared" si="45"/>
        <v>11931.249774368231</v>
      </c>
      <c r="M120" s="762">
        <f t="shared" si="56"/>
        <v>0.27</v>
      </c>
      <c r="N120" s="764">
        <f t="shared" si="57"/>
        <v>13394.7</v>
      </c>
      <c r="O120" s="740">
        <f t="shared" si="38"/>
        <v>0.1933884297520661</v>
      </c>
      <c r="P120" s="765">
        <f t="shared" si="39"/>
        <v>622.41633574007221</v>
      </c>
      <c r="Q120" s="742">
        <f t="shared" si="40"/>
        <v>5.5171825701372905E-2</v>
      </c>
      <c r="R120" s="743">
        <f t="shared" si="41"/>
        <v>11281.416335740072</v>
      </c>
      <c r="S120" s="744">
        <f t="shared" si="42"/>
        <v>877.58779332129961</v>
      </c>
      <c r="T120" s="745">
        <v>2.2999999999999998</v>
      </c>
      <c r="U120" s="726">
        <f t="shared" si="43"/>
        <v>5.9999999999999982</v>
      </c>
      <c r="V120" s="746">
        <f t="shared" si="44"/>
        <v>2</v>
      </c>
      <c r="W120" s="781">
        <v>0.10100000000000001</v>
      </c>
      <c r="X120" s="768">
        <f t="shared" si="46"/>
        <v>5010.6100000000006</v>
      </c>
      <c r="Y120" s="785"/>
      <c r="Z120" s="769">
        <f t="shared" si="61"/>
        <v>1321.463395047328</v>
      </c>
      <c r="AA120" s="770">
        <f t="shared" si="53"/>
        <v>1205.0562272111913</v>
      </c>
      <c r="AB120" s="770">
        <f t="shared" si="54"/>
        <v>1352.8647000000001</v>
      </c>
      <c r="AC120" s="770">
        <f t="shared" si="63"/>
        <v>0</v>
      </c>
      <c r="AD120" s="771">
        <f t="shared" si="62"/>
        <v>1205.0562272111913</v>
      </c>
      <c r="AG120" s="773"/>
    </row>
    <row r="121" spans="1:36" ht="14.4" x14ac:dyDescent="0.3">
      <c r="A121" s="729" t="s">
        <v>357</v>
      </c>
      <c r="B121" s="726" t="str">
        <f t="shared" si="52"/>
        <v>2000s</v>
      </c>
      <c r="C121" s="730">
        <v>2003</v>
      </c>
      <c r="D121" s="731">
        <f t="shared" si="30"/>
        <v>2000</v>
      </c>
      <c r="E121" s="732">
        <f t="shared" si="31"/>
        <v>2002</v>
      </c>
      <c r="F121" s="759">
        <f t="shared" si="32"/>
        <v>39291</v>
      </c>
      <c r="G121" s="760">
        <f t="shared" si="33"/>
        <v>39291</v>
      </c>
      <c r="H121" s="760">
        <f t="shared" si="34"/>
        <v>34779</v>
      </c>
      <c r="I121" s="761">
        <f t="shared" si="35"/>
        <v>29374</v>
      </c>
      <c r="J121" s="762">
        <f t="shared" si="36"/>
        <v>0.84459012622559593</v>
      </c>
      <c r="K121" s="763">
        <f t="shared" si="37"/>
        <v>37214.603804611907</v>
      </c>
      <c r="L121" s="764">
        <f t="shared" si="45"/>
        <v>33184.790649529888</v>
      </c>
      <c r="M121" s="762">
        <f t="shared" si="56"/>
        <v>0.84000000000000008</v>
      </c>
      <c r="N121" s="764">
        <f t="shared" si="57"/>
        <v>33004.44</v>
      </c>
      <c r="O121" s="740">
        <f t="shared" si="38"/>
        <v>0.62823547377261968</v>
      </c>
      <c r="P121" s="765">
        <f t="shared" si="39"/>
        <v>920.60323758589959</v>
      </c>
      <c r="Q121" s="742">
        <f t="shared" si="40"/>
        <v>3.0388357634726366E-2</v>
      </c>
      <c r="R121" s="743">
        <f t="shared" si="41"/>
        <v>30294.603237585899</v>
      </c>
      <c r="S121" s="744">
        <f t="shared" si="42"/>
        <v>2890.187411943989</v>
      </c>
      <c r="T121" s="745">
        <v>1.1000000000000001</v>
      </c>
      <c r="U121" s="726">
        <f t="shared" si="43"/>
        <v>3.0000000000000009</v>
      </c>
      <c r="V121" s="746">
        <f t="shared" si="44"/>
        <v>1</v>
      </c>
      <c r="W121" s="767">
        <v>0.27400000000000002</v>
      </c>
      <c r="X121" s="768">
        <f t="shared" si="46"/>
        <v>10765.734</v>
      </c>
      <c r="Y121" s="767">
        <v>0.27</v>
      </c>
      <c r="Z121" s="769">
        <f t="shared" si="61"/>
        <v>10196.801442463664</v>
      </c>
      <c r="AA121" s="770">
        <f t="shared" si="53"/>
        <v>9092.63263797119</v>
      </c>
      <c r="AB121" s="770">
        <f t="shared" si="54"/>
        <v>9043.2165600000008</v>
      </c>
      <c r="AC121" s="770">
        <f t="shared" si="55"/>
        <v>8959.89347537307</v>
      </c>
      <c r="AD121" s="771">
        <f t="shared" si="62"/>
        <v>9092.63263797119</v>
      </c>
      <c r="AE121" s="743">
        <f t="shared" ref="AE121:AE127" si="64">Y121*I121</f>
        <v>7930.9800000000005</v>
      </c>
      <c r="AF121" s="772">
        <f t="shared" ref="AF121:AF135" si="65">Y121*R121</f>
        <v>8179.5428741481937</v>
      </c>
      <c r="AG121" s="773">
        <f t="shared" ref="AG121:AG127" si="66">IF(X121=0,0,AF121/X121)</f>
        <v>0.7597756803343082</v>
      </c>
      <c r="AH121" s="786" t="s">
        <v>383</v>
      </c>
    </row>
    <row r="122" spans="1:36" ht="14.4" x14ac:dyDescent="0.3">
      <c r="A122" s="729" t="s">
        <v>357</v>
      </c>
      <c r="B122" s="726" t="str">
        <f t="shared" si="52"/>
        <v>2000s</v>
      </c>
      <c r="C122" s="730">
        <v>2003</v>
      </c>
      <c r="D122" s="731">
        <f t="shared" si="30"/>
        <v>1999</v>
      </c>
      <c r="E122" s="732">
        <f t="shared" si="31"/>
        <v>2001</v>
      </c>
      <c r="F122" s="759">
        <f t="shared" si="32"/>
        <v>39291</v>
      </c>
      <c r="G122" s="760">
        <f t="shared" si="33"/>
        <v>39291</v>
      </c>
      <c r="H122" s="760">
        <f t="shared" si="34"/>
        <v>34779</v>
      </c>
      <c r="I122" s="761">
        <f t="shared" si="35"/>
        <v>29374</v>
      </c>
      <c r="J122" s="762">
        <f t="shared" si="36"/>
        <v>0.84459012622559593</v>
      </c>
      <c r="K122" s="763">
        <f t="shared" si="37"/>
        <v>37214.603804611907</v>
      </c>
      <c r="L122" s="764">
        <f t="shared" si="45"/>
        <v>33184.790649529888</v>
      </c>
      <c r="M122" s="762">
        <f t="shared" si="56"/>
        <v>0.84000000000000008</v>
      </c>
      <c r="N122" s="764">
        <f t="shared" si="57"/>
        <v>33004.44</v>
      </c>
      <c r="O122" s="740">
        <f t="shared" si="38"/>
        <v>0.62823547377261968</v>
      </c>
      <c r="P122" s="765">
        <f t="shared" si="39"/>
        <v>920.60323758589959</v>
      </c>
      <c r="Q122" s="742">
        <f t="shared" si="40"/>
        <v>3.0388357634726366E-2</v>
      </c>
      <c r="R122" s="743">
        <f t="shared" si="41"/>
        <v>30294.603237585899</v>
      </c>
      <c r="S122" s="744">
        <f t="shared" si="42"/>
        <v>2890.187411943989</v>
      </c>
      <c r="T122" s="745">
        <v>1.2</v>
      </c>
      <c r="U122" s="726">
        <f t="shared" si="43"/>
        <v>3.9999999999999996</v>
      </c>
      <c r="V122" s="746">
        <f t="shared" si="44"/>
        <v>1</v>
      </c>
      <c r="W122" s="767">
        <v>0.49</v>
      </c>
      <c r="X122" s="768">
        <f t="shared" si="46"/>
        <v>19252.59</v>
      </c>
      <c r="Y122" s="767">
        <v>0.51700000000000002</v>
      </c>
      <c r="Z122" s="769">
        <f t="shared" si="61"/>
        <v>18235.155864259836</v>
      </c>
      <c r="AA122" s="770">
        <f t="shared" si="53"/>
        <v>16260.547418269645</v>
      </c>
      <c r="AB122" s="770">
        <f t="shared" si="54"/>
        <v>16172.1756</v>
      </c>
      <c r="AC122" s="770">
        <f t="shared" si="55"/>
        <v>17156.536765806952</v>
      </c>
      <c r="AD122" s="771">
        <f t="shared" si="62"/>
        <v>16260.547418269645</v>
      </c>
      <c r="AE122" s="743">
        <f t="shared" si="64"/>
        <v>15186.358</v>
      </c>
      <c r="AF122" s="743">
        <f t="shared" si="65"/>
        <v>15662.309873831911</v>
      </c>
      <c r="AG122" s="773">
        <f t="shared" si="66"/>
        <v>0.81351703193346514</v>
      </c>
      <c r="AH122" s="786"/>
      <c r="AJ122" s="787"/>
    </row>
    <row r="123" spans="1:36" ht="14.4" x14ac:dyDescent="0.3">
      <c r="A123" s="729" t="s">
        <v>357</v>
      </c>
      <c r="B123" s="726" t="str">
        <f t="shared" si="52"/>
        <v>2000s</v>
      </c>
      <c r="C123" s="730">
        <v>2003</v>
      </c>
      <c r="D123" s="731">
        <f t="shared" si="30"/>
        <v>1998</v>
      </c>
      <c r="E123" s="732">
        <f t="shared" si="31"/>
        <v>2000</v>
      </c>
      <c r="F123" s="759">
        <f t="shared" si="32"/>
        <v>39291</v>
      </c>
      <c r="G123" s="760">
        <f t="shared" si="33"/>
        <v>39291</v>
      </c>
      <c r="H123" s="760">
        <f t="shared" si="34"/>
        <v>34779</v>
      </c>
      <c r="I123" s="761">
        <f t="shared" si="35"/>
        <v>29374</v>
      </c>
      <c r="J123" s="762">
        <f t="shared" si="36"/>
        <v>0.84459012622559593</v>
      </c>
      <c r="K123" s="763">
        <f t="shared" si="37"/>
        <v>37214.603804611907</v>
      </c>
      <c r="L123" s="764">
        <f t="shared" si="45"/>
        <v>33184.790649529888</v>
      </c>
      <c r="M123" s="762">
        <f t="shared" si="56"/>
        <v>0.84000000000000008</v>
      </c>
      <c r="N123" s="764">
        <f t="shared" si="57"/>
        <v>33004.44</v>
      </c>
      <c r="O123" s="740">
        <f t="shared" si="38"/>
        <v>0.62823547377261968</v>
      </c>
      <c r="P123" s="765">
        <f t="shared" si="39"/>
        <v>920.60323758589959</v>
      </c>
      <c r="Q123" s="742">
        <f t="shared" si="40"/>
        <v>3.0388357634726366E-2</v>
      </c>
      <c r="R123" s="743">
        <f t="shared" si="41"/>
        <v>30294.603237585899</v>
      </c>
      <c r="S123" s="744">
        <f t="shared" si="42"/>
        <v>2890.187411943989</v>
      </c>
      <c r="T123" s="745">
        <v>1.3</v>
      </c>
      <c r="U123" s="726">
        <f t="shared" si="43"/>
        <v>5</v>
      </c>
      <c r="V123" s="746">
        <f t="shared" si="44"/>
        <v>1</v>
      </c>
      <c r="W123" s="781">
        <v>1.9E-2</v>
      </c>
      <c r="X123" s="768">
        <f t="shared" si="46"/>
        <v>746.529</v>
      </c>
      <c r="Y123" s="788">
        <v>0.125</v>
      </c>
      <c r="Z123" s="769">
        <f t="shared" si="61"/>
        <v>707.07747228762616</v>
      </c>
      <c r="AA123" s="770">
        <f t="shared" si="53"/>
        <v>630.51102234106781</v>
      </c>
      <c r="AB123" s="770">
        <f t="shared" si="54"/>
        <v>627.08436000000006</v>
      </c>
      <c r="AC123" s="770">
        <f t="shared" si="55"/>
        <v>4148.0988311912361</v>
      </c>
      <c r="AD123" s="771">
        <f t="shared" si="62"/>
        <v>630.51102234106781</v>
      </c>
      <c r="AE123" s="743">
        <f t="shared" si="64"/>
        <v>3671.75</v>
      </c>
      <c r="AF123" s="743">
        <f t="shared" si="65"/>
        <v>3786.8254046982374</v>
      </c>
      <c r="AG123" s="773">
        <f t="shared" si="66"/>
        <v>5.0725764232846116</v>
      </c>
      <c r="AH123" s="786" t="s">
        <v>384</v>
      </c>
    </row>
    <row r="124" spans="1:36" ht="14.4" x14ac:dyDescent="0.3">
      <c r="A124" s="729" t="s">
        <v>357</v>
      </c>
      <c r="B124" s="726" t="str">
        <f t="shared" si="52"/>
        <v>2000s</v>
      </c>
      <c r="C124" s="730">
        <v>2003</v>
      </c>
      <c r="D124" s="731">
        <f t="shared" si="30"/>
        <v>1999</v>
      </c>
      <c r="E124" s="732">
        <f t="shared" si="31"/>
        <v>2002</v>
      </c>
      <c r="F124" s="759">
        <f t="shared" si="32"/>
        <v>39291</v>
      </c>
      <c r="G124" s="760">
        <f t="shared" si="33"/>
        <v>39291</v>
      </c>
      <c r="H124" s="760">
        <f t="shared" si="34"/>
        <v>34779</v>
      </c>
      <c r="I124" s="761">
        <f t="shared" si="35"/>
        <v>29374</v>
      </c>
      <c r="J124" s="762">
        <f t="shared" si="36"/>
        <v>0.84459012622559593</v>
      </c>
      <c r="K124" s="763">
        <f t="shared" si="37"/>
        <v>37214.603804611907</v>
      </c>
      <c r="L124" s="764">
        <f t="shared" si="45"/>
        <v>33184.790649529888</v>
      </c>
      <c r="M124" s="762">
        <f t="shared" si="56"/>
        <v>0.84000000000000008</v>
      </c>
      <c r="N124" s="764">
        <f t="shared" si="57"/>
        <v>33004.44</v>
      </c>
      <c r="O124" s="740">
        <f t="shared" si="38"/>
        <v>0.62823547377261968</v>
      </c>
      <c r="P124" s="765">
        <f t="shared" si="39"/>
        <v>920.60323758589959</v>
      </c>
      <c r="Q124" s="742">
        <f t="shared" si="40"/>
        <v>3.0388357634726366E-2</v>
      </c>
      <c r="R124" s="743">
        <f t="shared" si="41"/>
        <v>30294.603237585899</v>
      </c>
      <c r="S124" s="744">
        <f t="shared" si="42"/>
        <v>2890.187411943989</v>
      </c>
      <c r="T124" s="745">
        <v>2.1</v>
      </c>
      <c r="U124" s="726">
        <f t="shared" si="43"/>
        <v>4.0000000000000009</v>
      </c>
      <c r="V124" s="746">
        <f t="shared" si="44"/>
        <v>2</v>
      </c>
      <c r="W124" s="767">
        <v>5.2999999999999999E-2</v>
      </c>
      <c r="X124" s="768">
        <f t="shared" si="46"/>
        <v>2082.4229999999998</v>
      </c>
      <c r="Y124" s="767">
        <v>5.0999999999999997E-2</v>
      </c>
      <c r="Z124" s="769">
        <f t="shared" si="61"/>
        <v>1972.374001644431</v>
      </c>
      <c r="AA124" s="770">
        <f t="shared" si="53"/>
        <v>1758.7939044250841</v>
      </c>
      <c r="AB124" s="770">
        <f t="shared" si="54"/>
        <v>1749.23532</v>
      </c>
      <c r="AC124" s="770">
        <f t="shared" si="55"/>
        <v>1692.4243231260241</v>
      </c>
      <c r="AD124" s="771">
        <f t="shared" si="62"/>
        <v>1758.7939044250841</v>
      </c>
      <c r="AE124" s="743">
        <f t="shared" si="64"/>
        <v>1498.0739999999998</v>
      </c>
      <c r="AF124" s="743">
        <f t="shared" si="65"/>
        <v>1545.0247651168809</v>
      </c>
      <c r="AG124" s="773">
        <f t="shared" si="66"/>
        <v>0.74193608364721342</v>
      </c>
      <c r="AH124" s="786"/>
    </row>
    <row r="125" spans="1:36" ht="14.4" x14ac:dyDescent="0.3">
      <c r="A125" s="729" t="s">
        <v>357</v>
      </c>
      <c r="B125" s="726" t="str">
        <f t="shared" si="52"/>
        <v>2000s</v>
      </c>
      <c r="C125" s="730">
        <v>2003</v>
      </c>
      <c r="D125" s="731">
        <f t="shared" si="30"/>
        <v>1998</v>
      </c>
      <c r="E125" s="732">
        <f t="shared" si="31"/>
        <v>2001</v>
      </c>
      <c r="F125" s="759">
        <f t="shared" si="32"/>
        <v>39291</v>
      </c>
      <c r="G125" s="760">
        <f t="shared" si="33"/>
        <v>39291</v>
      </c>
      <c r="H125" s="760">
        <f t="shared" si="34"/>
        <v>34779</v>
      </c>
      <c r="I125" s="761">
        <f t="shared" si="35"/>
        <v>29374</v>
      </c>
      <c r="J125" s="762">
        <f t="shared" si="36"/>
        <v>0.84459012622559593</v>
      </c>
      <c r="K125" s="763">
        <f t="shared" si="37"/>
        <v>37214.603804611907</v>
      </c>
      <c r="L125" s="764">
        <f t="shared" si="45"/>
        <v>33184.790649529888</v>
      </c>
      <c r="M125" s="762">
        <f t="shared" si="56"/>
        <v>0.84000000000000008</v>
      </c>
      <c r="N125" s="764">
        <f t="shared" si="57"/>
        <v>33004.44</v>
      </c>
      <c r="O125" s="740">
        <f t="shared" si="38"/>
        <v>0.62823547377261968</v>
      </c>
      <c r="P125" s="765">
        <f t="shared" si="39"/>
        <v>920.60323758589959</v>
      </c>
      <c r="Q125" s="742">
        <f t="shared" si="40"/>
        <v>3.0388357634726366E-2</v>
      </c>
      <c r="R125" s="743">
        <f t="shared" si="41"/>
        <v>30294.603237585899</v>
      </c>
      <c r="S125" s="744">
        <f t="shared" si="42"/>
        <v>2890.187411943989</v>
      </c>
      <c r="T125" s="745">
        <v>2.2000000000000002</v>
      </c>
      <c r="U125" s="726">
        <f t="shared" si="43"/>
        <v>5.0000000000000018</v>
      </c>
      <c r="V125" s="746">
        <f t="shared" si="44"/>
        <v>2</v>
      </c>
      <c r="W125" s="767">
        <v>8.0000000000000002E-3</v>
      </c>
      <c r="X125" s="768">
        <f t="shared" si="46"/>
        <v>314.32800000000003</v>
      </c>
      <c r="Y125" s="767">
        <v>0</v>
      </c>
      <c r="Z125" s="769">
        <f t="shared" si="61"/>
        <v>297.71683043689524</v>
      </c>
      <c r="AA125" s="770">
        <f t="shared" si="53"/>
        <v>265.4783251962391</v>
      </c>
      <c r="AB125" s="770">
        <f t="shared" si="54"/>
        <v>264.03552000000002</v>
      </c>
      <c r="AC125" s="770">
        <f>IF(Y125,L125*Y125,0)</f>
        <v>0</v>
      </c>
      <c r="AD125" s="771">
        <f t="shared" si="62"/>
        <v>265.4783251962391</v>
      </c>
      <c r="AE125" s="743">
        <f t="shared" si="64"/>
        <v>0</v>
      </c>
      <c r="AF125" s="743">
        <f t="shared" si="65"/>
        <v>0</v>
      </c>
      <c r="AG125" s="773">
        <f t="shared" si="66"/>
        <v>0</v>
      </c>
      <c r="AH125" s="786"/>
    </row>
    <row r="126" spans="1:36" ht="14.4" x14ac:dyDescent="0.3">
      <c r="A126" s="729" t="s">
        <v>357</v>
      </c>
      <c r="B126" s="726" t="str">
        <f t="shared" si="52"/>
        <v>2000s</v>
      </c>
      <c r="C126" s="730">
        <v>2003</v>
      </c>
      <c r="D126" s="731">
        <f t="shared" si="30"/>
        <v>1997</v>
      </c>
      <c r="E126" s="732">
        <f t="shared" si="31"/>
        <v>2000</v>
      </c>
      <c r="F126" s="759">
        <f t="shared" si="32"/>
        <v>39291</v>
      </c>
      <c r="G126" s="760">
        <f t="shared" si="33"/>
        <v>39291</v>
      </c>
      <c r="H126" s="760">
        <f t="shared" si="34"/>
        <v>34779</v>
      </c>
      <c r="I126" s="761">
        <f t="shared" si="35"/>
        <v>29374</v>
      </c>
      <c r="J126" s="762">
        <f t="shared" si="36"/>
        <v>0.84459012622559593</v>
      </c>
      <c r="K126" s="763">
        <f t="shared" si="37"/>
        <v>37214.603804611907</v>
      </c>
      <c r="L126" s="764">
        <f t="shared" si="45"/>
        <v>33184.790649529888</v>
      </c>
      <c r="M126" s="762">
        <f t="shared" si="56"/>
        <v>0.84000000000000008</v>
      </c>
      <c r="N126" s="764">
        <f t="shared" si="57"/>
        <v>33004.44</v>
      </c>
      <c r="O126" s="740">
        <f t="shared" si="38"/>
        <v>0.62823547377261968</v>
      </c>
      <c r="P126" s="765">
        <f t="shared" si="39"/>
        <v>920.60323758589959</v>
      </c>
      <c r="Q126" s="742">
        <f t="shared" si="40"/>
        <v>3.0388357634726366E-2</v>
      </c>
      <c r="R126" s="743">
        <f t="shared" si="41"/>
        <v>30294.603237585899</v>
      </c>
      <c r="S126" s="744">
        <f t="shared" si="42"/>
        <v>2890.187411943989</v>
      </c>
      <c r="T126" s="745">
        <v>2.2999999999999998</v>
      </c>
      <c r="U126" s="726">
        <f t="shared" si="43"/>
        <v>5.9999999999999982</v>
      </c>
      <c r="V126" s="746">
        <f t="shared" si="44"/>
        <v>2</v>
      </c>
      <c r="W126" s="781">
        <v>8.9999999999999993E-3</v>
      </c>
      <c r="X126" s="768">
        <f t="shared" si="46"/>
        <v>353.61899999999997</v>
      </c>
      <c r="Y126" s="785"/>
      <c r="Z126" s="769">
        <f t="shared" si="61"/>
        <v>334.93143424150713</v>
      </c>
      <c r="AA126" s="770">
        <f t="shared" si="53"/>
        <v>298.66311584576897</v>
      </c>
      <c r="AB126" s="770">
        <f t="shared" si="54"/>
        <v>297.03996000000001</v>
      </c>
      <c r="AC126" s="770">
        <f t="shared" ref="AC126:AC130" si="67">IF(Y126,L126*Y126,0)</f>
        <v>0</v>
      </c>
      <c r="AD126" s="771">
        <f t="shared" si="62"/>
        <v>298.66311584576897</v>
      </c>
      <c r="AE126" s="743">
        <f t="shared" si="64"/>
        <v>0</v>
      </c>
      <c r="AF126" s="743">
        <f t="shared" si="65"/>
        <v>0</v>
      </c>
      <c r="AG126" s="773">
        <f t="shared" si="66"/>
        <v>0</v>
      </c>
      <c r="AH126" s="789" t="s">
        <v>385</v>
      </c>
    </row>
    <row r="127" spans="1:36" ht="14.4" x14ac:dyDescent="0.3">
      <c r="A127" s="729" t="s">
        <v>357</v>
      </c>
      <c r="B127" s="726" t="str">
        <f t="shared" si="52"/>
        <v>2000s</v>
      </c>
      <c r="C127" s="730">
        <v>2003</v>
      </c>
      <c r="D127" s="731">
        <f t="shared" si="30"/>
        <v>1998</v>
      </c>
      <c r="E127" s="732">
        <f t="shared" si="31"/>
        <v>2002</v>
      </c>
      <c r="F127" s="759">
        <f t="shared" si="32"/>
        <v>39291</v>
      </c>
      <c r="G127" s="760">
        <f t="shared" si="33"/>
        <v>39291</v>
      </c>
      <c r="H127" s="760">
        <f t="shared" si="34"/>
        <v>34779</v>
      </c>
      <c r="I127" s="761">
        <f t="shared" si="35"/>
        <v>29374</v>
      </c>
      <c r="J127" s="762">
        <f t="shared" si="36"/>
        <v>0.84459012622559593</v>
      </c>
      <c r="K127" s="763">
        <f t="shared" si="37"/>
        <v>37214.603804611907</v>
      </c>
      <c r="L127" s="764">
        <f t="shared" si="45"/>
        <v>33184.790649529888</v>
      </c>
      <c r="M127" s="762">
        <f t="shared" si="56"/>
        <v>0.84000000000000008</v>
      </c>
      <c r="N127" s="764">
        <f t="shared" si="57"/>
        <v>33004.44</v>
      </c>
      <c r="O127" s="740">
        <f t="shared" si="38"/>
        <v>0.62823547377261968</v>
      </c>
      <c r="P127" s="765">
        <f t="shared" si="39"/>
        <v>920.60323758589959</v>
      </c>
      <c r="Q127" s="742">
        <f t="shared" si="40"/>
        <v>3.0388357634726366E-2</v>
      </c>
      <c r="R127" s="743">
        <f t="shared" si="41"/>
        <v>30294.603237585899</v>
      </c>
      <c r="S127" s="744">
        <f t="shared" si="42"/>
        <v>2890.187411943989</v>
      </c>
      <c r="T127" s="745">
        <v>3.1</v>
      </c>
      <c r="U127" s="726">
        <f t="shared" si="43"/>
        <v>5.0000000000000009</v>
      </c>
      <c r="V127" s="746">
        <f t="shared" si="44"/>
        <v>3</v>
      </c>
      <c r="W127" s="781">
        <f>0.178-SUM(W128:W131)</f>
        <v>6.9999999999999993E-2</v>
      </c>
      <c r="X127" s="768">
        <f t="shared" si="46"/>
        <v>2750.37</v>
      </c>
      <c r="Y127" s="785"/>
      <c r="Z127" s="769">
        <f t="shared" si="61"/>
        <v>2605.0222663228333</v>
      </c>
      <c r="AA127" s="770">
        <f t="shared" si="53"/>
        <v>2322.9353454670918</v>
      </c>
      <c r="AB127" s="770">
        <f t="shared" si="54"/>
        <v>2310.3107999999997</v>
      </c>
      <c r="AC127" s="770">
        <f t="shared" si="67"/>
        <v>0</v>
      </c>
      <c r="AD127" s="771">
        <f t="shared" si="62"/>
        <v>2322.9353454670918</v>
      </c>
      <c r="AE127" s="743">
        <f t="shared" si="64"/>
        <v>0</v>
      </c>
      <c r="AF127" s="743">
        <f t="shared" si="65"/>
        <v>0</v>
      </c>
      <c r="AG127" s="773">
        <f t="shared" si="66"/>
        <v>0</v>
      </c>
      <c r="AH127" s="789"/>
    </row>
    <row r="128" spans="1:36" ht="14.4" x14ac:dyDescent="0.3">
      <c r="A128" s="729" t="s">
        <v>357</v>
      </c>
      <c r="B128" s="726" t="str">
        <f t="shared" si="52"/>
        <v>2000s</v>
      </c>
      <c r="C128" s="730">
        <v>2003</v>
      </c>
      <c r="D128" s="731">
        <f t="shared" ref="D128:D191" si="68">C128-U128</f>
        <v>1997</v>
      </c>
      <c r="E128" s="732">
        <f t="shared" ref="E128:E191" si="69">C128-(T128-INT(T128))*10</f>
        <v>2001</v>
      </c>
      <c r="F128" s="759">
        <f t="shared" si="32"/>
        <v>39291</v>
      </c>
      <c r="G128" s="760">
        <f t="shared" si="33"/>
        <v>39291</v>
      </c>
      <c r="H128" s="760">
        <f t="shared" si="34"/>
        <v>34779</v>
      </c>
      <c r="I128" s="761">
        <f t="shared" si="35"/>
        <v>29374</v>
      </c>
      <c r="J128" s="762">
        <f t="shared" si="36"/>
        <v>0.84459012622559593</v>
      </c>
      <c r="K128" s="763">
        <f t="shared" si="37"/>
        <v>37214.603804611907</v>
      </c>
      <c r="L128" s="764">
        <f t="shared" si="45"/>
        <v>33184.790649529888</v>
      </c>
      <c r="M128" s="762">
        <f t="shared" si="56"/>
        <v>0.84000000000000008</v>
      </c>
      <c r="N128" s="764">
        <f t="shared" si="57"/>
        <v>33004.44</v>
      </c>
      <c r="O128" s="740">
        <f t="shared" si="38"/>
        <v>0.62823547377261968</v>
      </c>
      <c r="P128" s="765">
        <f t="shared" si="39"/>
        <v>920.60323758589959</v>
      </c>
      <c r="Q128" s="742">
        <f t="shared" si="40"/>
        <v>3.0388357634726366E-2</v>
      </c>
      <c r="R128" s="743">
        <f t="shared" si="41"/>
        <v>30294.603237585899</v>
      </c>
      <c r="S128" s="744">
        <f t="shared" si="42"/>
        <v>2890.187411943989</v>
      </c>
      <c r="T128" s="745">
        <v>3.2</v>
      </c>
      <c r="U128" s="726">
        <f t="shared" si="43"/>
        <v>6.0000000000000018</v>
      </c>
      <c r="V128" s="746">
        <f t="shared" si="44"/>
        <v>3</v>
      </c>
      <c r="W128" s="781">
        <v>2.8000000000000001E-2</v>
      </c>
      <c r="X128" s="768">
        <f t="shared" si="46"/>
        <v>1100.1479999999999</v>
      </c>
      <c r="Y128" s="785"/>
      <c r="Z128" s="769">
        <f t="shared" si="61"/>
        <v>1042.0089065291334</v>
      </c>
      <c r="AA128" s="770">
        <f t="shared" si="53"/>
        <v>929.1741381868369</v>
      </c>
      <c r="AB128" s="770">
        <f t="shared" si="54"/>
        <v>924.12432000000013</v>
      </c>
      <c r="AC128" s="770">
        <f t="shared" si="67"/>
        <v>0</v>
      </c>
      <c r="AD128" s="771">
        <f t="shared" si="62"/>
        <v>929.1741381868369</v>
      </c>
      <c r="AF128" s="743">
        <f t="shared" si="65"/>
        <v>0</v>
      </c>
      <c r="AG128" s="773"/>
      <c r="AH128" s="789" t="s">
        <v>386</v>
      </c>
    </row>
    <row r="129" spans="1:34" ht="14.4" x14ac:dyDescent="0.3">
      <c r="A129" s="729" t="s">
        <v>357</v>
      </c>
      <c r="B129" s="726" t="str">
        <f t="shared" si="52"/>
        <v>2000s</v>
      </c>
      <c r="C129" s="730">
        <v>2003</v>
      </c>
      <c r="D129" s="731">
        <f t="shared" si="68"/>
        <v>1996</v>
      </c>
      <c r="E129" s="732">
        <f t="shared" si="69"/>
        <v>2000</v>
      </c>
      <c r="F129" s="759">
        <f t="shared" si="32"/>
        <v>39291</v>
      </c>
      <c r="G129" s="760">
        <f t="shared" si="33"/>
        <v>39291</v>
      </c>
      <c r="H129" s="760">
        <f t="shared" si="34"/>
        <v>34779</v>
      </c>
      <c r="I129" s="761">
        <f t="shared" si="35"/>
        <v>29374</v>
      </c>
      <c r="J129" s="762">
        <f t="shared" si="36"/>
        <v>0.84459012622559593</v>
      </c>
      <c r="K129" s="763">
        <f t="shared" si="37"/>
        <v>37214.603804611907</v>
      </c>
      <c r="L129" s="764">
        <f t="shared" si="45"/>
        <v>33184.790649529888</v>
      </c>
      <c r="M129" s="762">
        <f t="shared" si="56"/>
        <v>0.84000000000000008</v>
      </c>
      <c r="N129" s="764">
        <f t="shared" si="57"/>
        <v>33004.44</v>
      </c>
      <c r="O129" s="740">
        <f t="shared" si="38"/>
        <v>0.62823547377261968</v>
      </c>
      <c r="P129" s="765">
        <f t="shared" si="39"/>
        <v>920.60323758589959</v>
      </c>
      <c r="Q129" s="742">
        <f t="shared" si="40"/>
        <v>3.0388357634726366E-2</v>
      </c>
      <c r="R129" s="743">
        <f t="shared" si="41"/>
        <v>30294.603237585899</v>
      </c>
      <c r="S129" s="744">
        <f t="shared" si="42"/>
        <v>2890.187411943989</v>
      </c>
      <c r="T129" s="745">
        <v>3.3</v>
      </c>
      <c r="U129" s="726">
        <f t="shared" si="43"/>
        <v>6.9999999999999982</v>
      </c>
      <c r="V129" s="746">
        <f t="shared" si="44"/>
        <v>3</v>
      </c>
      <c r="W129" s="781">
        <v>1E-3</v>
      </c>
      <c r="X129" s="768">
        <f t="shared" si="46"/>
        <v>39.291000000000004</v>
      </c>
      <c r="Y129" s="785"/>
      <c r="Z129" s="769">
        <f t="shared" si="61"/>
        <v>37.214603804611905</v>
      </c>
      <c r="AA129" s="770">
        <f t="shared" si="53"/>
        <v>33.184790649529887</v>
      </c>
      <c r="AB129" s="770">
        <f t="shared" si="54"/>
        <v>33.004440000000002</v>
      </c>
      <c r="AC129" s="770">
        <f t="shared" si="67"/>
        <v>0</v>
      </c>
      <c r="AD129" s="771">
        <f t="shared" si="62"/>
        <v>33.184790649529887</v>
      </c>
      <c r="AF129" s="743">
        <f t="shared" si="65"/>
        <v>0</v>
      </c>
      <c r="AG129" s="773"/>
      <c r="AH129" s="789"/>
    </row>
    <row r="130" spans="1:34" ht="14.4" x14ac:dyDescent="0.3">
      <c r="A130" s="729" t="s">
        <v>357</v>
      </c>
      <c r="B130" s="726" t="str">
        <f t="shared" si="52"/>
        <v>2000s</v>
      </c>
      <c r="C130" s="730">
        <v>2003</v>
      </c>
      <c r="D130" s="731">
        <f t="shared" si="68"/>
        <v>1997</v>
      </c>
      <c r="E130" s="732">
        <f t="shared" si="69"/>
        <v>2002</v>
      </c>
      <c r="F130" s="759">
        <f t="shared" ref="F130:F193" si="70">VLOOKUP($C130,SockeyeReturnsData,2)</f>
        <v>39291</v>
      </c>
      <c r="G130" s="760">
        <f t="shared" ref="G130:G193" si="71">VLOOKUP($C130,SockeyeReturnsData,3)</f>
        <v>39291</v>
      </c>
      <c r="H130" s="760">
        <f t="shared" ref="H130:H193" si="72">VLOOKUP($C130,SockeyeReturnsData,4)</f>
        <v>34779</v>
      </c>
      <c r="I130" s="761">
        <f t="shared" ref="I130:I193" si="73">VLOOKUP($C130,SockeyeReturnsData,7)</f>
        <v>29374</v>
      </c>
      <c r="J130" s="762">
        <f t="shared" ref="J130:J193" si="74">VLOOKUP($C130,SockeyeReturnsData,9)</f>
        <v>0.84459012622559593</v>
      </c>
      <c r="K130" s="763">
        <f t="shared" ref="K130:K193" si="75">VLOOKUP($C130,SockeyeReturnsData,23)</f>
        <v>37214.603804611907</v>
      </c>
      <c r="L130" s="764">
        <f t="shared" si="45"/>
        <v>33184.790649529888</v>
      </c>
      <c r="M130" s="762">
        <f t="shared" si="56"/>
        <v>0.84000000000000008</v>
      </c>
      <c r="N130" s="764">
        <f t="shared" si="57"/>
        <v>33004.44</v>
      </c>
      <c r="O130" s="740">
        <f t="shared" ref="O130:O193" si="76">VLOOKUP($C130,SockeyeReturnsData,6)/G130</f>
        <v>0.62823547377261968</v>
      </c>
      <c r="P130" s="765">
        <f t="shared" ref="P130:P193" si="77">VLOOKUP($C130,SockeyeReturnsData,18)</f>
        <v>920.60323758589959</v>
      </c>
      <c r="Q130" s="742">
        <f t="shared" ref="Q130:Q193" si="78">VLOOKUP($C130,SockeyeReturnsData,20)</f>
        <v>3.0388357634726366E-2</v>
      </c>
      <c r="R130" s="743">
        <f t="shared" ref="R130:R193" si="79">VLOOKUP($C130,SockeyeReturnsData,19)</f>
        <v>30294.603237585899</v>
      </c>
      <c r="S130" s="744">
        <f t="shared" ref="S130:S193" si="80">VLOOKUP($C130,SockeyeReturnsData,24)</f>
        <v>2890.187411943989</v>
      </c>
      <c r="T130" s="745">
        <v>4.0999999999999996</v>
      </c>
      <c r="U130" s="726">
        <f t="shared" ref="U130:U193" si="81">INT(T130) + (T130-INT(T130))*10 + 1</f>
        <v>5.9999999999999964</v>
      </c>
      <c r="V130" s="746">
        <f t="shared" ref="V130:V193" si="82">INT(T130)</f>
        <v>4</v>
      </c>
      <c r="W130" s="781">
        <v>4.8000000000000001E-2</v>
      </c>
      <c r="X130" s="768">
        <f t="shared" si="46"/>
        <v>1885.9680000000001</v>
      </c>
      <c r="Y130" s="785"/>
      <c r="Z130" s="769">
        <f t="shared" si="61"/>
        <v>1786.3009826213715</v>
      </c>
      <c r="AA130" s="770">
        <f t="shared" si="53"/>
        <v>1592.8699511774346</v>
      </c>
      <c r="AB130" s="770">
        <f t="shared" si="54"/>
        <v>1584.2131200000001</v>
      </c>
      <c r="AC130" s="770">
        <f t="shared" si="67"/>
        <v>0</v>
      </c>
      <c r="AD130" s="771">
        <f t="shared" si="62"/>
        <v>1592.8699511774346</v>
      </c>
      <c r="AF130" s="743">
        <f t="shared" si="65"/>
        <v>0</v>
      </c>
      <c r="AG130" s="773"/>
      <c r="AH130" s="789"/>
    </row>
    <row r="131" spans="1:34" ht="14.4" x14ac:dyDescent="0.3">
      <c r="A131" s="729" t="s">
        <v>357</v>
      </c>
      <c r="B131" s="726" t="str">
        <f t="shared" si="52"/>
        <v>2000s</v>
      </c>
      <c r="C131" s="730">
        <v>2004</v>
      </c>
      <c r="D131" s="731">
        <f t="shared" si="68"/>
        <v>2001</v>
      </c>
      <c r="E131" s="732">
        <f t="shared" si="69"/>
        <v>2003</v>
      </c>
      <c r="F131" s="759">
        <f t="shared" si="70"/>
        <v>130231</v>
      </c>
      <c r="G131" s="760">
        <f t="shared" si="71"/>
        <v>123291</v>
      </c>
      <c r="H131" s="760">
        <f t="shared" si="72"/>
        <v>106666</v>
      </c>
      <c r="I131" s="761">
        <f t="shared" si="73"/>
        <v>78053</v>
      </c>
      <c r="J131" s="762">
        <f t="shared" si="74"/>
        <v>0.73175144844655282</v>
      </c>
      <c r="K131" s="763">
        <f t="shared" si="75"/>
        <v>104587.2101876837</v>
      </c>
      <c r="L131" s="764">
        <f t="shared" ref="L131:L194" si="83">J131*G131</f>
        <v>90218.367830423944</v>
      </c>
      <c r="M131" s="762">
        <f t="shared" si="56"/>
        <v>0.77000000000000013</v>
      </c>
      <c r="N131" s="764">
        <f t="shared" si="57"/>
        <v>94934.070000000022</v>
      </c>
      <c r="O131" s="740">
        <f t="shared" si="76"/>
        <v>0.52687544102975892</v>
      </c>
      <c r="P131" s="765">
        <f t="shared" si="77"/>
        <v>3658.0254907843178</v>
      </c>
      <c r="Q131" s="742">
        <f t="shared" si="78"/>
        <v>4.4767832355706805E-2</v>
      </c>
      <c r="R131" s="743">
        <f t="shared" si="79"/>
        <v>81711.025490784319</v>
      </c>
      <c r="S131" s="744">
        <f t="shared" si="80"/>
        <v>13585.697391858703</v>
      </c>
      <c r="T131" s="745">
        <v>1.1000000000000001</v>
      </c>
      <c r="U131" s="726">
        <f t="shared" si="81"/>
        <v>3.0000000000000009</v>
      </c>
      <c r="V131" s="746">
        <f t="shared" si="82"/>
        <v>1</v>
      </c>
      <c r="W131" s="767">
        <v>3.1E-2</v>
      </c>
      <c r="X131" s="768">
        <f t="shared" si="46"/>
        <v>3822.0210000000002</v>
      </c>
      <c r="Y131" s="767">
        <v>2.6365348399246705E-2</v>
      </c>
      <c r="Z131" s="769">
        <f t="shared" si="61"/>
        <v>3242.2035158181948</v>
      </c>
      <c r="AA131" s="770">
        <f t="shared" si="53"/>
        <v>2796.7694027431421</v>
      </c>
      <c r="AB131" s="770">
        <f t="shared" si="54"/>
        <v>2942.9561700000008</v>
      </c>
      <c r="AC131" s="770">
        <f t="shared" si="55"/>
        <v>2378.6386998605185</v>
      </c>
      <c r="AD131" s="771">
        <f>L131*W131</f>
        <v>2796.7694027431421</v>
      </c>
      <c r="AE131" s="743">
        <f>Y131*I131</f>
        <v>2057.8945386064029</v>
      </c>
      <c r="AF131" s="772">
        <f t="shared" si="65"/>
        <v>2154.3396551242572</v>
      </c>
      <c r="AG131" s="773">
        <f>IF(X131=0,0,AF131/X131)</f>
        <v>0.56366504923030436</v>
      </c>
      <c r="AH131" s="786" t="s">
        <v>387</v>
      </c>
    </row>
    <row r="132" spans="1:34" ht="14.4" x14ac:dyDescent="0.3">
      <c r="A132" s="729" t="s">
        <v>357</v>
      </c>
      <c r="B132" s="726" t="str">
        <f t="shared" si="52"/>
        <v>2000s</v>
      </c>
      <c r="C132" s="730">
        <v>2004</v>
      </c>
      <c r="D132" s="731">
        <f t="shared" si="68"/>
        <v>2000</v>
      </c>
      <c r="E132" s="732">
        <f t="shared" si="69"/>
        <v>2002</v>
      </c>
      <c r="F132" s="759">
        <f t="shared" si="70"/>
        <v>130231</v>
      </c>
      <c r="G132" s="760">
        <f t="shared" si="71"/>
        <v>123291</v>
      </c>
      <c r="H132" s="760">
        <f t="shared" si="72"/>
        <v>106666</v>
      </c>
      <c r="I132" s="761">
        <f t="shared" si="73"/>
        <v>78053</v>
      </c>
      <c r="J132" s="762">
        <f t="shared" si="74"/>
        <v>0.73175144844655282</v>
      </c>
      <c r="K132" s="763">
        <f t="shared" si="75"/>
        <v>104587.2101876837</v>
      </c>
      <c r="L132" s="764">
        <f t="shared" si="83"/>
        <v>90218.367830423944</v>
      </c>
      <c r="M132" s="762">
        <f t="shared" si="56"/>
        <v>0.77000000000000013</v>
      </c>
      <c r="N132" s="764">
        <f t="shared" si="57"/>
        <v>94934.070000000022</v>
      </c>
      <c r="O132" s="740">
        <f t="shared" si="76"/>
        <v>0.52687544102975892</v>
      </c>
      <c r="P132" s="765">
        <f t="shared" si="77"/>
        <v>3658.0254907843178</v>
      </c>
      <c r="Q132" s="742">
        <f t="shared" si="78"/>
        <v>4.4767832355706805E-2</v>
      </c>
      <c r="R132" s="743">
        <f t="shared" si="79"/>
        <v>81711.025490784319</v>
      </c>
      <c r="S132" s="744">
        <f t="shared" si="80"/>
        <v>13585.697391858703</v>
      </c>
      <c r="T132" s="745">
        <v>1.2</v>
      </c>
      <c r="U132" s="726">
        <f t="shared" si="81"/>
        <v>3.9999999999999996</v>
      </c>
      <c r="V132" s="746">
        <f t="shared" si="82"/>
        <v>1</v>
      </c>
      <c r="W132" s="767">
        <v>0.93400000000000005</v>
      </c>
      <c r="X132" s="768">
        <f t="shared" si="46"/>
        <v>115153.79400000001</v>
      </c>
      <c r="Y132" s="767">
        <v>0.95291902071563084</v>
      </c>
      <c r="Z132" s="769">
        <f t="shared" si="61"/>
        <v>97684.454315296578</v>
      </c>
      <c r="AA132" s="770">
        <f t="shared" si="53"/>
        <v>84263.955553615975</v>
      </c>
      <c r="AB132" s="770">
        <f t="shared" si="54"/>
        <v>88668.421380000029</v>
      </c>
      <c r="AC132" s="770">
        <f t="shared" si="55"/>
        <v>85970.798723530155</v>
      </c>
      <c r="AD132" s="771">
        <f t="shared" ref="AD132:AD143" si="84">L132*W132</f>
        <v>84263.955553615975</v>
      </c>
      <c r="AE132" s="743">
        <f>Y132*I132</f>
        <v>74378.188323917129</v>
      </c>
      <c r="AF132" s="743">
        <f t="shared" si="65"/>
        <v>77863.990392348147</v>
      </c>
      <c r="AG132" s="773">
        <f>IF(X132=0,0,AF132/X132)</f>
        <v>0.67617390350463091</v>
      </c>
      <c r="AH132" s="786" t="s">
        <v>388</v>
      </c>
    </row>
    <row r="133" spans="1:34" ht="14.4" x14ac:dyDescent="0.3">
      <c r="A133" s="729" t="s">
        <v>357</v>
      </c>
      <c r="B133" s="726" t="str">
        <f t="shared" si="52"/>
        <v>2000s</v>
      </c>
      <c r="C133" s="730">
        <v>2004</v>
      </c>
      <c r="D133" s="731">
        <f t="shared" si="68"/>
        <v>1999</v>
      </c>
      <c r="E133" s="732">
        <f t="shared" si="69"/>
        <v>2001</v>
      </c>
      <c r="F133" s="759">
        <f t="shared" si="70"/>
        <v>130231</v>
      </c>
      <c r="G133" s="760">
        <f t="shared" si="71"/>
        <v>123291</v>
      </c>
      <c r="H133" s="760">
        <f t="shared" si="72"/>
        <v>106666</v>
      </c>
      <c r="I133" s="761">
        <f t="shared" si="73"/>
        <v>78053</v>
      </c>
      <c r="J133" s="762">
        <f t="shared" si="74"/>
        <v>0.73175144844655282</v>
      </c>
      <c r="K133" s="763">
        <f t="shared" si="75"/>
        <v>104587.2101876837</v>
      </c>
      <c r="L133" s="764">
        <f t="shared" si="83"/>
        <v>90218.367830423944</v>
      </c>
      <c r="M133" s="762">
        <f t="shared" si="56"/>
        <v>0.77000000000000013</v>
      </c>
      <c r="N133" s="764">
        <f t="shared" si="57"/>
        <v>94934.070000000022</v>
      </c>
      <c r="O133" s="740">
        <f t="shared" si="76"/>
        <v>0.52687544102975892</v>
      </c>
      <c r="P133" s="765">
        <f t="shared" si="77"/>
        <v>3658.0254907843178</v>
      </c>
      <c r="Q133" s="742">
        <f t="shared" si="78"/>
        <v>4.4767832355706805E-2</v>
      </c>
      <c r="R133" s="743">
        <f t="shared" si="79"/>
        <v>81711.025490784319</v>
      </c>
      <c r="S133" s="744">
        <f t="shared" si="80"/>
        <v>13585.697391858703</v>
      </c>
      <c r="T133" s="745">
        <v>1.3</v>
      </c>
      <c r="U133" s="726">
        <f t="shared" si="81"/>
        <v>5</v>
      </c>
      <c r="V133" s="746">
        <f t="shared" si="82"/>
        <v>1</v>
      </c>
      <c r="W133" s="767">
        <v>0</v>
      </c>
      <c r="X133" s="768">
        <f t="shared" si="46"/>
        <v>0</v>
      </c>
      <c r="Y133" s="767">
        <v>1.8832391713747645E-2</v>
      </c>
      <c r="Z133" s="769">
        <f t="shared" si="61"/>
        <v>0</v>
      </c>
      <c r="AA133" s="770">
        <f t="shared" si="53"/>
        <v>0</v>
      </c>
      <c r="AB133" s="770">
        <f t="shared" si="54"/>
        <v>0</v>
      </c>
      <c r="AC133" s="770">
        <f t="shared" si="55"/>
        <v>1699.0276427575129</v>
      </c>
      <c r="AD133" s="771">
        <f t="shared" si="84"/>
        <v>0</v>
      </c>
      <c r="AE133" s="743">
        <f>Y133*I133</f>
        <v>1469.9246704331449</v>
      </c>
      <c r="AF133" s="743">
        <f t="shared" si="65"/>
        <v>1538.8140393744691</v>
      </c>
      <c r="AG133" s="773">
        <f>IF(X133=0,0,AF133/X133)</f>
        <v>0</v>
      </c>
      <c r="AH133" s="786" t="s">
        <v>389</v>
      </c>
    </row>
    <row r="134" spans="1:34" ht="14.4" x14ac:dyDescent="0.3">
      <c r="A134" s="729" t="s">
        <v>357</v>
      </c>
      <c r="B134" s="726" t="str">
        <f t="shared" si="52"/>
        <v>2000s</v>
      </c>
      <c r="C134" s="730">
        <v>2004</v>
      </c>
      <c r="D134" s="731">
        <f t="shared" si="68"/>
        <v>2000</v>
      </c>
      <c r="E134" s="732">
        <f t="shared" si="69"/>
        <v>2003</v>
      </c>
      <c r="F134" s="759">
        <f t="shared" si="70"/>
        <v>130231</v>
      </c>
      <c r="G134" s="760">
        <f t="shared" si="71"/>
        <v>123291</v>
      </c>
      <c r="H134" s="760">
        <f t="shared" si="72"/>
        <v>106666</v>
      </c>
      <c r="I134" s="761">
        <f t="shared" si="73"/>
        <v>78053</v>
      </c>
      <c r="J134" s="762">
        <f t="shared" si="74"/>
        <v>0.73175144844655282</v>
      </c>
      <c r="K134" s="763">
        <f t="shared" si="75"/>
        <v>104587.2101876837</v>
      </c>
      <c r="L134" s="764">
        <f t="shared" si="83"/>
        <v>90218.367830423944</v>
      </c>
      <c r="M134" s="762">
        <f t="shared" si="56"/>
        <v>0.77000000000000013</v>
      </c>
      <c r="N134" s="764">
        <f t="shared" si="57"/>
        <v>94934.070000000022</v>
      </c>
      <c r="O134" s="740">
        <f t="shared" si="76"/>
        <v>0.52687544102975892</v>
      </c>
      <c r="P134" s="765">
        <f t="shared" si="77"/>
        <v>3658.0254907843178</v>
      </c>
      <c r="Q134" s="742">
        <f t="shared" si="78"/>
        <v>4.4767832355706805E-2</v>
      </c>
      <c r="R134" s="743">
        <f t="shared" si="79"/>
        <v>81711.025490784319</v>
      </c>
      <c r="S134" s="744">
        <f t="shared" si="80"/>
        <v>13585.697391858703</v>
      </c>
      <c r="T134" s="745">
        <v>2.1</v>
      </c>
      <c r="U134" s="726">
        <f t="shared" si="81"/>
        <v>4.0000000000000009</v>
      </c>
      <c r="V134" s="746">
        <f t="shared" si="82"/>
        <v>2</v>
      </c>
      <c r="W134" s="767">
        <v>3.0000000000000001E-3</v>
      </c>
      <c r="X134" s="768">
        <f t="shared" si="46"/>
        <v>369.87299999999999</v>
      </c>
      <c r="Y134" s="767">
        <v>0</v>
      </c>
      <c r="Z134" s="769">
        <f t="shared" si="61"/>
        <v>313.76163056305109</v>
      </c>
      <c r="AA134" s="770">
        <f t="shared" si="53"/>
        <v>270.65510349127186</v>
      </c>
      <c r="AB134" s="770">
        <f t="shared" si="54"/>
        <v>284.80221000000006</v>
      </c>
      <c r="AC134" s="770">
        <f>IF(Y134,L134*Y134,0)</f>
        <v>0</v>
      </c>
      <c r="AD134" s="771">
        <f t="shared" si="84"/>
        <v>270.65510349127186</v>
      </c>
      <c r="AE134" s="743">
        <f>Y134*I134</f>
        <v>0</v>
      </c>
      <c r="AF134" s="743">
        <f t="shared" si="65"/>
        <v>0</v>
      </c>
      <c r="AG134" s="773">
        <f>IF(X134=0,0,AF134/X134)</f>
        <v>0</v>
      </c>
      <c r="AH134" s="786" t="s">
        <v>390</v>
      </c>
    </row>
    <row r="135" spans="1:34" ht="14.4" x14ac:dyDescent="0.3">
      <c r="A135" s="729" t="s">
        <v>357</v>
      </c>
      <c r="B135" s="726" t="str">
        <f t="shared" si="52"/>
        <v>2000s</v>
      </c>
      <c r="C135" s="730">
        <v>2004</v>
      </c>
      <c r="D135" s="731">
        <f t="shared" si="68"/>
        <v>1999</v>
      </c>
      <c r="E135" s="732">
        <f t="shared" si="69"/>
        <v>2002</v>
      </c>
      <c r="F135" s="759">
        <f t="shared" si="70"/>
        <v>130231</v>
      </c>
      <c r="G135" s="760">
        <f t="shared" si="71"/>
        <v>123291</v>
      </c>
      <c r="H135" s="760">
        <f t="shared" si="72"/>
        <v>106666</v>
      </c>
      <c r="I135" s="761">
        <f t="shared" si="73"/>
        <v>78053</v>
      </c>
      <c r="J135" s="762">
        <f t="shared" si="74"/>
        <v>0.73175144844655282</v>
      </c>
      <c r="K135" s="763">
        <f t="shared" si="75"/>
        <v>104587.2101876837</v>
      </c>
      <c r="L135" s="764">
        <f t="shared" si="83"/>
        <v>90218.367830423944</v>
      </c>
      <c r="M135" s="762">
        <f t="shared" si="56"/>
        <v>0.77000000000000013</v>
      </c>
      <c r="N135" s="764">
        <f t="shared" si="57"/>
        <v>94934.070000000022</v>
      </c>
      <c r="O135" s="740">
        <f t="shared" si="76"/>
        <v>0.52687544102975892</v>
      </c>
      <c r="P135" s="765">
        <f t="shared" si="77"/>
        <v>3658.0254907843178</v>
      </c>
      <c r="Q135" s="742">
        <f t="shared" si="78"/>
        <v>4.4767832355706805E-2</v>
      </c>
      <c r="R135" s="743">
        <f t="shared" si="79"/>
        <v>81711.025490784319</v>
      </c>
      <c r="S135" s="744">
        <f t="shared" si="80"/>
        <v>13585.697391858703</v>
      </c>
      <c r="T135" s="745">
        <v>2.2000000000000002</v>
      </c>
      <c r="U135" s="726">
        <f t="shared" si="81"/>
        <v>5.0000000000000018</v>
      </c>
      <c r="V135" s="746">
        <f t="shared" si="82"/>
        <v>2</v>
      </c>
      <c r="W135" s="767">
        <v>1.4999999999999999E-2</v>
      </c>
      <c r="X135" s="768">
        <f t="shared" si="46"/>
        <v>1849.365</v>
      </c>
      <c r="Y135" s="767">
        <v>1.8832391713747645E-3</v>
      </c>
      <c r="Z135" s="769">
        <f t="shared" si="61"/>
        <v>1568.8081528152554</v>
      </c>
      <c r="AA135" s="770">
        <f t="shared" si="53"/>
        <v>1353.275517456359</v>
      </c>
      <c r="AB135" s="770">
        <f t="shared" si="54"/>
        <v>1424.0110500000003</v>
      </c>
      <c r="AC135" s="770">
        <f t="shared" si="55"/>
        <v>169.90276427575131</v>
      </c>
      <c r="AD135" s="771">
        <f t="shared" si="84"/>
        <v>1353.275517456359</v>
      </c>
      <c r="AE135" s="743">
        <f>Y135*I135</f>
        <v>146.99246704331449</v>
      </c>
      <c r="AF135" s="743">
        <f t="shared" si="65"/>
        <v>153.88140393744692</v>
      </c>
      <c r="AG135" s="773">
        <f>IF(X135=0,0,AF135/X135)</f>
        <v>8.3207697743521117E-2</v>
      </c>
      <c r="AH135" s="786" t="s">
        <v>391</v>
      </c>
    </row>
    <row r="136" spans="1:34" ht="14.4" x14ac:dyDescent="0.3">
      <c r="A136" s="729" t="s">
        <v>357</v>
      </c>
      <c r="B136" s="726" t="str">
        <f t="shared" si="52"/>
        <v>2000s</v>
      </c>
      <c r="C136" s="730">
        <v>2004</v>
      </c>
      <c r="D136" s="731">
        <f t="shared" si="68"/>
        <v>1998</v>
      </c>
      <c r="E136" s="732">
        <f t="shared" si="69"/>
        <v>2001</v>
      </c>
      <c r="F136" s="759">
        <f t="shared" si="70"/>
        <v>130231</v>
      </c>
      <c r="G136" s="760">
        <f t="shared" si="71"/>
        <v>123291</v>
      </c>
      <c r="H136" s="760">
        <f t="shared" si="72"/>
        <v>106666</v>
      </c>
      <c r="I136" s="761">
        <f t="shared" si="73"/>
        <v>78053</v>
      </c>
      <c r="J136" s="762">
        <f t="shared" si="74"/>
        <v>0.73175144844655282</v>
      </c>
      <c r="K136" s="763">
        <f t="shared" si="75"/>
        <v>104587.2101876837</v>
      </c>
      <c r="L136" s="764">
        <f t="shared" si="83"/>
        <v>90218.367830423944</v>
      </c>
      <c r="M136" s="762">
        <f t="shared" si="56"/>
        <v>0.77000000000000013</v>
      </c>
      <c r="N136" s="764">
        <f t="shared" si="57"/>
        <v>94934.070000000022</v>
      </c>
      <c r="O136" s="740">
        <f t="shared" si="76"/>
        <v>0.52687544102975892</v>
      </c>
      <c r="P136" s="765">
        <f t="shared" si="77"/>
        <v>3658.0254907843178</v>
      </c>
      <c r="Q136" s="742">
        <f t="shared" si="78"/>
        <v>4.4767832355706805E-2</v>
      </c>
      <c r="R136" s="743">
        <f t="shared" si="79"/>
        <v>81711.025490784319</v>
      </c>
      <c r="S136" s="744">
        <f t="shared" si="80"/>
        <v>13585.697391858703</v>
      </c>
      <c r="T136" s="745">
        <v>2.2999999999999998</v>
      </c>
      <c r="U136" s="726">
        <f t="shared" si="81"/>
        <v>5.9999999999999982</v>
      </c>
      <c r="V136" s="746">
        <f t="shared" si="82"/>
        <v>2</v>
      </c>
      <c r="W136" s="767">
        <v>0</v>
      </c>
      <c r="X136" s="768">
        <f t="shared" si="46"/>
        <v>0</v>
      </c>
      <c r="Y136" s="785"/>
      <c r="Z136" s="769">
        <f t="shared" si="61"/>
        <v>0</v>
      </c>
      <c r="AA136" s="770">
        <f t="shared" si="53"/>
        <v>0</v>
      </c>
      <c r="AB136" s="770">
        <f t="shared" si="54"/>
        <v>0</v>
      </c>
      <c r="AC136" s="770">
        <f t="shared" ref="AC136:AC137" si="85">IF(Y136,L136*Y136,0)</f>
        <v>0</v>
      </c>
      <c r="AD136" s="771">
        <f t="shared" si="84"/>
        <v>0</v>
      </c>
      <c r="AG136" s="773"/>
      <c r="AH136" s="786"/>
    </row>
    <row r="137" spans="1:34" ht="14.4" x14ac:dyDescent="0.3">
      <c r="A137" s="729" t="s">
        <v>357</v>
      </c>
      <c r="B137" s="726" t="str">
        <f t="shared" si="52"/>
        <v>2000s</v>
      </c>
      <c r="C137" s="730">
        <v>2004</v>
      </c>
      <c r="D137" s="731">
        <f t="shared" si="68"/>
        <v>1999</v>
      </c>
      <c r="E137" s="732">
        <f t="shared" si="69"/>
        <v>2003</v>
      </c>
      <c r="F137" s="759">
        <f t="shared" si="70"/>
        <v>130231</v>
      </c>
      <c r="G137" s="760">
        <f t="shared" si="71"/>
        <v>123291</v>
      </c>
      <c r="H137" s="760">
        <f t="shared" si="72"/>
        <v>106666</v>
      </c>
      <c r="I137" s="761">
        <f t="shared" si="73"/>
        <v>78053</v>
      </c>
      <c r="J137" s="762">
        <f t="shared" si="74"/>
        <v>0.73175144844655282</v>
      </c>
      <c r="K137" s="763">
        <f t="shared" si="75"/>
        <v>104587.2101876837</v>
      </c>
      <c r="L137" s="764">
        <f t="shared" si="83"/>
        <v>90218.367830423944</v>
      </c>
      <c r="M137" s="762">
        <f t="shared" ref="M137:M168" si="86">VLOOKUP($C137,SockeyeReturnsData,12)</f>
        <v>0.77000000000000013</v>
      </c>
      <c r="N137" s="764">
        <f t="shared" si="57"/>
        <v>94934.070000000022</v>
      </c>
      <c r="O137" s="740">
        <f t="shared" si="76"/>
        <v>0.52687544102975892</v>
      </c>
      <c r="P137" s="765">
        <f t="shared" si="77"/>
        <v>3658.0254907843178</v>
      </c>
      <c r="Q137" s="742">
        <f t="shared" si="78"/>
        <v>4.4767832355706805E-2</v>
      </c>
      <c r="R137" s="743">
        <f t="shared" si="79"/>
        <v>81711.025490784319</v>
      </c>
      <c r="S137" s="744">
        <f t="shared" si="80"/>
        <v>13585.697391858703</v>
      </c>
      <c r="T137" s="745">
        <v>3.1</v>
      </c>
      <c r="U137" s="726">
        <f t="shared" si="81"/>
        <v>5.0000000000000009</v>
      </c>
      <c r="V137" s="746">
        <f t="shared" si="82"/>
        <v>3</v>
      </c>
      <c r="W137" s="767">
        <v>1.7999999999999999E-2</v>
      </c>
      <c r="X137" s="768">
        <f t="shared" si="46"/>
        <v>2219.2379999999998</v>
      </c>
      <c r="Y137" s="785"/>
      <c r="Z137" s="769">
        <f t="shared" si="61"/>
        <v>1882.5697833783065</v>
      </c>
      <c r="AA137" s="770">
        <f t="shared" si="53"/>
        <v>1623.9306209476308</v>
      </c>
      <c r="AB137" s="770">
        <f t="shared" si="54"/>
        <v>1708.8132600000004</v>
      </c>
      <c r="AC137" s="770">
        <f t="shared" si="85"/>
        <v>0</v>
      </c>
      <c r="AD137" s="771">
        <f t="shared" si="84"/>
        <v>1623.9306209476308</v>
      </c>
      <c r="AG137" s="773"/>
      <c r="AH137" s="786"/>
    </row>
    <row r="138" spans="1:34" ht="14.4" x14ac:dyDescent="0.3">
      <c r="A138" s="729" t="s">
        <v>357</v>
      </c>
      <c r="B138" s="726" t="str">
        <f t="shared" si="52"/>
        <v>2000s</v>
      </c>
      <c r="C138" s="730">
        <v>2005</v>
      </c>
      <c r="D138" s="731">
        <f t="shared" si="68"/>
        <v>2002</v>
      </c>
      <c r="E138" s="732">
        <f t="shared" si="69"/>
        <v>2004</v>
      </c>
      <c r="F138" s="759">
        <f t="shared" si="70"/>
        <v>77399</v>
      </c>
      <c r="G138" s="760">
        <f t="shared" si="71"/>
        <v>72971</v>
      </c>
      <c r="H138" s="760">
        <f t="shared" si="72"/>
        <v>71226</v>
      </c>
      <c r="I138" s="761">
        <f t="shared" si="73"/>
        <v>55559</v>
      </c>
      <c r="J138" s="762">
        <f t="shared" si="74"/>
        <v>0.78003818830202454</v>
      </c>
      <c r="K138" s="763">
        <f t="shared" si="75"/>
        <v>68544.360968030189</v>
      </c>
      <c r="L138" s="764">
        <f t="shared" si="83"/>
        <v>56920.166638587034</v>
      </c>
      <c r="M138" s="762">
        <f t="shared" si="86"/>
        <v>0.78000000000000014</v>
      </c>
      <c r="N138" s="764">
        <f t="shared" si="57"/>
        <v>56917.380000000012</v>
      </c>
      <c r="O138" s="740">
        <f t="shared" si="76"/>
        <v>0.64259774430938321</v>
      </c>
      <c r="P138" s="765">
        <f t="shared" si="77"/>
        <v>2160.7057815966082</v>
      </c>
      <c r="Q138" s="742">
        <f t="shared" si="78"/>
        <v>3.7434455916536033E-2</v>
      </c>
      <c r="R138" s="743">
        <f t="shared" si="79"/>
        <v>57719.705781596611</v>
      </c>
      <c r="S138" s="744">
        <f t="shared" si="80"/>
        <v>2654.4699547917844</v>
      </c>
      <c r="T138" s="745">
        <v>1.1000000000000001</v>
      </c>
      <c r="U138" s="726">
        <f t="shared" si="81"/>
        <v>3.0000000000000009</v>
      </c>
      <c r="V138" s="746">
        <f t="shared" si="82"/>
        <v>1</v>
      </c>
      <c r="W138" s="767">
        <v>1.4999999999999999E-2</v>
      </c>
      <c r="X138" s="768">
        <f t="shared" si="46"/>
        <v>1094.5650000000001</v>
      </c>
      <c r="Y138" s="767">
        <v>1.4999999999999999E-2</v>
      </c>
      <c r="Z138" s="769">
        <f t="shared" si="61"/>
        <v>1028.1654145204527</v>
      </c>
      <c r="AA138" s="770">
        <f t="shared" si="53"/>
        <v>853.80249957880551</v>
      </c>
      <c r="AB138" s="770">
        <f t="shared" si="54"/>
        <v>853.76070000000016</v>
      </c>
      <c r="AC138" s="770">
        <f t="shared" si="55"/>
        <v>853.80249957880551</v>
      </c>
      <c r="AD138" s="771">
        <f t="shared" si="84"/>
        <v>853.80249957880551</v>
      </c>
      <c r="AE138" s="743">
        <f t="shared" ref="AE138:AE148" si="87">Y138*I138</f>
        <v>833.38499999999999</v>
      </c>
      <c r="AF138" s="772">
        <f t="shared" ref="AF138:AF148" si="88">Y138*R138</f>
        <v>865.7955867239491</v>
      </c>
      <c r="AG138" s="773">
        <f t="shared" ref="AG138:AG148" si="89">IF(X138=0,0,AF138/X138)</f>
        <v>0.7909951320606351</v>
      </c>
      <c r="AH138" s="786" t="s">
        <v>392</v>
      </c>
    </row>
    <row r="139" spans="1:34" ht="14.4" x14ac:dyDescent="0.3">
      <c r="A139" s="729" t="s">
        <v>357</v>
      </c>
      <c r="B139" s="726" t="str">
        <f t="shared" si="52"/>
        <v>2000s</v>
      </c>
      <c r="C139" s="730">
        <v>2005</v>
      </c>
      <c r="D139" s="731">
        <f t="shared" si="68"/>
        <v>2001</v>
      </c>
      <c r="E139" s="732">
        <f t="shared" si="69"/>
        <v>2003</v>
      </c>
      <c r="F139" s="759">
        <f t="shared" si="70"/>
        <v>77399</v>
      </c>
      <c r="G139" s="760">
        <f t="shared" si="71"/>
        <v>72971</v>
      </c>
      <c r="H139" s="760">
        <f t="shared" si="72"/>
        <v>71226</v>
      </c>
      <c r="I139" s="761">
        <f t="shared" si="73"/>
        <v>55559</v>
      </c>
      <c r="J139" s="762">
        <f t="shared" si="74"/>
        <v>0.78003818830202454</v>
      </c>
      <c r="K139" s="763">
        <f t="shared" si="75"/>
        <v>68544.360968030189</v>
      </c>
      <c r="L139" s="764">
        <f t="shared" si="83"/>
        <v>56920.166638587034</v>
      </c>
      <c r="M139" s="762">
        <f t="shared" si="86"/>
        <v>0.78000000000000014</v>
      </c>
      <c r="N139" s="764">
        <f t="shared" si="57"/>
        <v>56917.380000000012</v>
      </c>
      <c r="O139" s="740">
        <f t="shared" si="76"/>
        <v>0.64259774430938321</v>
      </c>
      <c r="P139" s="765">
        <f t="shared" si="77"/>
        <v>2160.7057815966082</v>
      </c>
      <c r="Q139" s="742">
        <f t="shared" si="78"/>
        <v>3.7434455916536033E-2</v>
      </c>
      <c r="R139" s="743">
        <f t="shared" si="79"/>
        <v>57719.705781596611</v>
      </c>
      <c r="S139" s="744">
        <f t="shared" si="80"/>
        <v>2654.4699547917844</v>
      </c>
      <c r="T139" s="745">
        <v>1.2</v>
      </c>
      <c r="U139" s="726">
        <f t="shared" si="81"/>
        <v>3.9999999999999996</v>
      </c>
      <c r="V139" s="746">
        <f t="shared" si="82"/>
        <v>1</v>
      </c>
      <c r="W139" s="767">
        <v>0.89100000000000001</v>
      </c>
      <c r="X139" s="768">
        <f t="shared" si="46"/>
        <v>65017.161</v>
      </c>
      <c r="Y139" s="767">
        <v>0.88700000000000001</v>
      </c>
      <c r="Z139" s="769">
        <f t="shared" si="61"/>
        <v>61073.025622514899</v>
      </c>
      <c r="AA139" s="770">
        <f t="shared" si="53"/>
        <v>50715.868474981049</v>
      </c>
      <c r="AB139" s="770">
        <f t="shared" si="54"/>
        <v>50713.385580000009</v>
      </c>
      <c r="AC139" s="770">
        <f t="shared" si="55"/>
        <v>50488.187808426701</v>
      </c>
      <c r="AD139" s="771">
        <f t="shared" si="84"/>
        <v>50715.868474981049</v>
      </c>
      <c r="AE139" s="743">
        <f t="shared" si="87"/>
        <v>49280.832999999999</v>
      </c>
      <c r="AF139" s="743">
        <f t="shared" si="88"/>
        <v>51197.379028276191</v>
      </c>
      <c r="AG139" s="773">
        <f t="shared" si="89"/>
        <v>0.78744408769672658</v>
      </c>
      <c r="AH139" s="786" t="s">
        <v>393</v>
      </c>
    </row>
    <row r="140" spans="1:34" ht="14.4" x14ac:dyDescent="0.3">
      <c r="A140" s="729" t="s">
        <v>357</v>
      </c>
      <c r="B140" s="726" t="str">
        <f t="shared" si="52"/>
        <v>2000s</v>
      </c>
      <c r="C140" s="730">
        <v>2005</v>
      </c>
      <c r="D140" s="731">
        <f t="shared" si="68"/>
        <v>2000</v>
      </c>
      <c r="E140" s="732">
        <f t="shared" si="69"/>
        <v>2002</v>
      </c>
      <c r="F140" s="759">
        <f t="shared" si="70"/>
        <v>77399</v>
      </c>
      <c r="G140" s="760">
        <f t="shared" si="71"/>
        <v>72971</v>
      </c>
      <c r="H140" s="760">
        <f t="shared" si="72"/>
        <v>71226</v>
      </c>
      <c r="I140" s="761">
        <f t="shared" si="73"/>
        <v>55559</v>
      </c>
      <c r="J140" s="762">
        <f t="shared" si="74"/>
        <v>0.78003818830202454</v>
      </c>
      <c r="K140" s="763">
        <f t="shared" si="75"/>
        <v>68544.360968030189</v>
      </c>
      <c r="L140" s="764">
        <f t="shared" si="83"/>
        <v>56920.166638587034</v>
      </c>
      <c r="M140" s="762">
        <f t="shared" si="86"/>
        <v>0.78000000000000014</v>
      </c>
      <c r="N140" s="764">
        <f t="shared" si="57"/>
        <v>56917.380000000012</v>
      </c>
      <c r="O140" s="740">
        <f t="shared" si="76"/>
        <v>0.64259774430938321</v>
      </c>
      <c r="P140" s="765">
        <f t="shared" si="77"/>
        <v>2160.7057815966082</v>
      </c>
      <c r="Q140" s="742">
        <f t="shared" si="78"/>
        <v>3.7434455916536033E-2</v>
      </c>
      <c r="R140" s="743">
        <f t="shared" si="79"/>
        <v>57719.705781596611</v>
      </c>
      <c r="S140" s="744">
        <f t="shared" si="80"/>
        <v>2654.4699547917844</v>
      </c>
      <c r="T140" s="745">
        <v>1.3</v>
      </c>
      <c r="U140" s="726">
        <f t="shared" si="81"/>
        <v>5</v>
      </c>
      <c r="V140" s="746">
        <f t="shared" si="82"/>
        <v>1</v>
      </c>
      <c r="W140" s="767">
        <v>3.9E-2</v>
      </c>
      <c r="X140" s="768">
        <f t="shared" si="46"/>
        <v>2845.8690000000001</v>
      </c>
      <c r="Y140" s="767">
        <v>3.9E-2</v>
      </c>
      <c r="Z140" s="769">
        <f t="shared" si="61"/>
        <v>2673.2300777531773</v>
      </c>
      <c r="AA140" s="770">
        <f t="shared" si="53"/>
        <v>2219.8864989048943</v>
      </c>
      <c r="AB140" s="770">
        <f t="shared" si="54"/>
        <v>2219.7778200000002</v>
      </c>
      <c r="AC140" s="770">
        <f t="shared" si="55"/>
        <v>2219.8864989048943</v>
      </c>
      <c r="AD140" s="771">
        <f t="shared" si="84"/>
        <v>2219.8864989048943</v>
      </c>
      <c r="AE140" s="743">
        <f t="shared" si="87"/>
        <v>2166.8009999999999</v>
      </c>
      <c r="AF140" s="743">
        <f t="shared" si="88"/>
        <v>2251.0685254822679</v>
      </c>
      <c r="AG140" s="773">
        <f t="shared" si="89"/>
        <v>0.79099513206063521</v>
      </c>
      <c r="AH140" s="786" t="s">
        <v>394</v>
      </c>
    </row>
    <row r="141" spans="1:34" ht="14.4" x14ac:dyDescent="0.3">
      <c r="A141" s="729" t="s">
        <v>357</v>
      </c>
      <c r="B141" s="726" t="str">
        <f t="shared" si="52"/>
        <v>2000s</v>
      </c>
      <c r="C141" s="730">
        <v>2005</v>
      </c>
      <c r="D141" s="731">
        <f t="shared" si="68"/>
        <v>2001</v>
      </c>
      <c r="E141" s="732">
        <f t="shared" si="69"/>
        <v>2004</v>
      </c>
      <c r="F141" s="759">
        <f t="shared" si="70"/>
        <v>77399</v>
      </c>
      <c r="G141" s="760">
        <f t="shared" si="71"/>
        <v>72971</v>
      </c>
      <c r="H141" s="760">
        <f t="shared" si="72"/>
        <v>71226</v>
      </c>
      <c r="I141" s="761">
        <f t="shared" si="73"/>
        <v>55559</v>
      </c>
      <c r="J141" s="762">
        <f t="shared" si="74"/>
        <v>0.78003818830202454</v>
      </c>
      <c r="K141" s="763">
        <f t="shared" si="75"/>
        <v>68544.360968030189</v>
      </c>
      <c r="L141" s="764">
        <f t="shared" si="83"/>
        <v>56920.166638587034</v>
      </c>
      <c r="M141" s="762">
        <f t="shared" si="86"/>
        <v>0.78000000000000014</v>
      </c>
      <c r="N141" s="764">
        <f t="shared" si="57"/>
        <v>56917.380000000012</v>
      </c>
      <c r="O141" s="740">
        <f t="shared" si="76"/>
        <v>0.64259774430938321</v>
      </c>
      <c r="P141" s="765">
        <f t="shared" si="77"/>
        <v>2160.7057815966082</v>
      </c>
      <c r="Q141" s="742">
        <f t="shared" si="78"/>
        <v>3.7434455916536033E-2</v>
      </c>
      <c r="R141" s="743">
        <f t="shared" si="79"/>
        <v>57719.705781596611</v>
      </c>
      <c r="S141" s="744">
        <f t="shared" si="80"/>
        <v>2654.4699547917844</v>
      </c>
      <c r="T141" s="745">
        <v>2.1</v>
      </c>
      <c r="U141" s="726">
        <f t="shared" si="81"/>
        <v>4.0000000000000009</v>
      </c>
      <c r="V141" s="746">
        <f t="shared" si="82"/>
        <v>2</v>
      </c>
      <c r="W141" s="767">
        <v>2.3E-2</v>
      </c>
      <c r="X141" s="768">
        <f t="shared" si="46"/>
        <v>1678.3330000000001</v>
      </c>
      <c r="Y141" s="767">
        <v>2.3E-2</v>
      </c>
      <c r="Z141" s="769">
        <f t="shared" si="61"/>
        <v>1576.5203022646942</v>
      </c>
      <c r="AA141" s="770">
        <f t="shared" si="53"/>
        <v>1309.1638326875018</v>
      </c>
      <c r="AB141" s="770">
        <f t="shared" si="54"/>
        <v>1309.0997400000003</v>
      </c>
      <c r="AC141" s="770">
        <f t="shared" si="55"/>
        <v>1309.1638326875018</v>
      </c>
      <c r="AD141" s="771">
        <f t="shared" si="84"/>
        <v>1309.1638326875018</v>
      </c>
      <c r="AE141" s="743">
        <f t="shared" si="87"/>
        <v>1277.857</v>
      </c>
      <c r="AF141" s="743">
        <f t="shared" si="88"/>
        <v>1327.553232976722</v>
      </c>
      <c r="AG141" s="773">
        <f t="shared" si="89"/>
        <v>0.7909951320606351</v>
      </c>
      <c r="AH141" s="786" t="s">
        <v>395</v>
      </c>
    </row>
    <row r="142" spans="1:34" ht="14.4" x14ac:dyDescent="0.3">
      <c r="A142" s="729" t="s">
        <v>357</v>
      </c>
      <c r="B142" s="726" t="str">
        <f t="shared" si="52"/>
        <v>2000s</v>
      </c>
      <c r="C142" s="730">
        <v>2005</v>
      </c>
      <c r="D142" s="731">
        <f t="shared" si="68"/>
        <v>2000</v>
      </c>
      <c r="E142" s="732">
        <f t="shared" si="69"/>
        <v>2003</v>
      </c>
      <c r="F142" s="759">
        <f t="shared" si="70"/>
        <v>77399</v>
      </c>
      <c r="G142" s="760">
        <f t="shared" si="71"/>
        <v>72971</v>
      </c>
      <c r="H142" s="760">
        <f t="shared" si="72"/>
        <v>71226</v>
      </c>
      <c r="I142" s="761">
        <f t="shared" si="73"/>
        <v>55559</v>
      </c>
      <c r="J142" s="762">
        <f t="shared" si="74"/>
        <v>0.78003818830202454</v>
      </c>
      <c r="K142" s="763">
        <f t="shared" si="75"/>
        <v>68544.360968030189</v>
      </c>
      <c r="L142" s="764">
        <f t="shared" si="83"/>
        <v>56920.166638587034</v>
      </c>
      <c r="M142" s="762">
        <f t="shared" si="86"/>
        <v>0.78000000000000014</v>
      </c>
      <c r="N142" s="764">
        <f t="shared" si="57"/>
        <v>56917.380000000012</v>
      </c>
      <c r="O142" s="740">
        <f t="shared" si="76"/>
        <v>0.64259774430938321</v>
      </c>
      <c r="P142" s="765">
        <f t="shared" si="77"/>
        <v>2160.7057815966082</v>
      </c>
      <c r="Q142" s="742">
        <f t="shared" si="78"/>
        <v>3.7434455916536033E-2</v>
      </c>
      <c r="R142" s="743">
        <f t="shared" si="79"/>
        <v>57719.705781596611</v>
      </c>
      <c r="S142" s="744">
        <f t="shared" si="80"/>
        <v>2654.4699547917844</v>
      </c>
      <c r="T142" s="745">
        <v>2.2000000000000002</v>
      </c>
      <c r="U142" s="726">
        <f t="shared" si="81"/>
        <v>5.0000000000000018</v>
      </c>
      <c r="V142" s="746">
        <f t="shared" si="82"/>
        <v>2</v>
      </c>
      <c r="W142" s="767">
        <v>1.9E-2</v>
      </c>
      <c r="X142" s="768">
        <f t="shared" si="46"/>
        <v>1386.4490000000001</v>
      </c>
      <c r="Y142" s="767">
        <v>2.3E-2</v>
      </c>
      <c r="Z142" s="769">
        <f t="shared" si="61"/>
        <v>1302.3428583925736</v>
      </c>
      <c r="AA142" s="770">
        <f t="shared" si="53"/>
        <v>1081.4831661331536</v>
      </c>
      <c r="AB142" s="770">
        <f t="shared" si="54"/>
        <v>1081.4302200000002</v>
      </c>
      <c r="AC142" s="770">
        <f t="shared" si="55"/>
        <v>1309.1638326875018</v>
      </c>
      <c r="AD142" s="771">
        <f t="shared" si="84"/>
        <v>1081.4831661331536</v>
      </c>
      <c r="AE142" s="743">
        <f t="shared" si="87"/>
        <v>1277.857</v>
      </c>
      <c r="AF142" s="743">
        <f t="shared" si="88"/>
        <v>1327.553232976722</v>
      </c>
      <c r="AG142" s="773">
        <f t="shared" si="89"/>
        <v>0.9575204230207689</v>
      </c>
      <c r="AH142" s="786" t="s">
        <v>395</v>
      </c>
    </row>
    <row r="143" spans="1:34" ht="15" thickBot="1" x14ac:dyDescent="0.35">
      <c r="A143" s="729" t="s">
        <v>357</v>
      </c>
      <c r="B143" s="726" t="str">
        <f t="shared" si="52"/>
        <v>2000s</v>
      </c>
      <c r="C143" s="730">
        <v>2005</v>
      </c>
      <c r="D143" s="731">
        <f t="shared" si="68"/>
        <v>1999</v>
      </c>
      <c r="E143" s="732">
        <f t="shared" si="69"/>
        <v>2002</v>
      </c>
      <c r="F143" s="759">
        <f t="shared" si="70"/>
        <v>77399</v>
      </c>
      <c r="G143" s="760">
        <f t="shared" si="71"/>
        <v>72971</v>
      </c>
      <c r="H143" s="760">
        <f t="shared" si="72"/>
        <v>71226</v>
      </c>
      <c r="I143" s="761">
        <f t="shared" si="73"/>
        <v>55559</v>
      </c>
      <c r="J143" s="762">
        <f t="shared" si="74"/>
        <v>0.78003818830202454</v>
      </c>
      <c r="K143" s="763">
        <f t="shared" si="75"/>
        <v>68544.360968030189</v>
      </c>
      <c r="L143" s="764">
        <f t="shared" si="83"/>
        <v>56920.166638587034</v>
      </c>
      <c r="M143" s="762">
        <f t="shared" si="86"/>
        <v>0.78000000000000014</v>
      </c>
      <c r="N143" s="764">
        <f t="shared" si="57"/>
        <v>56917.380000000012</v>
      </c>
      <c r="O143" s="740">
        <f t="shared" si="76"/>
        <v>0.64259774430938321</v>
      </c>
      <c r="P143" s="765">
        <f t="shared" si="77"/>
        <v>2160.7057815966082</v>
      </c>
      <c r="Q143" s="742">
        <f t="shared" si="78"/>
        <v>3.7434455916536033E-2</v>
      </c>
      <c r="R143" s="743">
        <f t="shared" si="79"/>
        <v>57719.705781596611</v>
      </c>
      <c r="S143" s="744">
        <f t="shared" si="80"/>
        <v>2654.4699547917844</v>
      </c>
      <c r="T143" s="745">
        <v>2.2999999999999998</v>
      </c>
      <c r="U143" s="726">
        <f t="shared" si="81"/>
        <v>5.9999999999999982</v>
      </c>
      <c r="V143" s="746">
        <f t="shared" si="82"/>
        <v>2</v>
      </c>
      <c r="W143" s="767">
        <v>1.4E-2</v>
      </c>
      <c r="X143" s="768">
        <f t="shared" si="46"/>
        <v>1021.5940000000001</v>
      </c>
      <c r="Y143" s="785"/>
      <c r="Z143" s="769">
        <f t="shared" si="61"/>
        <v>959.62105355242261</v>
      </c>
      <c r="AA143" s="770">
        <f t="shared" si="53"/>
        <v>796.88233294021848</v>
      </c>
      <c r="AB143" s="770">
        <f t="shared" si="54"/>
        <v>796.84332000000018</v>
      </c>
      <c r="AC143" s="770">
        <f>IF(Y143,L143*Y143,0)</f>
        <v>0</v>
      </c>
      <c r="AD143" s="771">
        <f t="shared" si="84"/>
        <v>796.88233294021848</v>
      </c>
      <c r="AE143" s="743">
        <f t="shared" si="87"/>
        <v>0</v>
      </c>
      <c r="AF143" s="743">
        <f t="shared" si="88"/>
        <v>0</v>
      </c>
      <c r="AG143" s="773">
        <f t="shared" si="89"/>
        <v>0</v>
      </c>
    </row>
    <row r="144" spans="1:34" ht="14.4" x14ac:dyDescent="0.3">
      <c r="A144" s="729" t="s">
        <v>357</v>
      </c>
      <c r="B144" s="726" t="str">
        <f t="shared" si="52"/>
        <v>2000s</v>
      </c>
      <c r="C144" s="730">
        <v>2006</v>
      </c>
      <c r="D144" s="731">
        <f t="shared" si="68"/>
        <v>2003</v>
      </c>
      <c r="E144" s="732">
        <f t="shared" si="69"/>
        <v>2005</v>
      </c>
      <c r="F144" s="759">
        <f t="shared" si="70"/>
        <v>37067</v>
      </c>
      <c r="G144" s="760">
        <f t="shared" si="71"/>
        <v>37066</v>
      </c>
      <c r="H144" s="760">
        <f t="shared" si="72"/>
        <v>35132</v>
      </c>
      <c r="I144" s="761">
        <f t="shared" si="73"/>
        <v>22075</v>
      </c>
      <c r="J144" s="762">
        <f t="shared" si="74"/>
        <v>0.62834452920414441</v>
      </c>
      <c r="K144" s="763">
        <f t="shared" si="75"/>
        <v>26454.776046145224</v>
      </c>
      <c r="L144" s="764">
        <f t="shared" si="83"/>
        <v>23290.218319480817</v>
      </c>
      <c r="M144" s="762">
        <f t="shared" si="86"/>
        <v>0.72799999999999987</v>
      </c>
      <c r="N144" s="764">
        <f t="shared" si="57"/>
        <v>26984.047999999995</v>
      </c>
      <c r="O144" s="740">
        <f t="shared" si="76"/>
        <v>0.50936167916689146</v>
      </c>
      <c r="P144" s="765">
        <f t="shared" si="77"/>
        <v>1003.4662131390186</v>
      </c>
      <c r="Q144" s="742">
        <f t="shared" si="78"/>
        <v>4.3480628386288765E-2</v>
      </c>
      <c r="R144" s="743">
        <f t="shared" si="79"/>
        <v>23078.466213139018</v>
      </c>
      <c r="S144" s="744">
        <f t="shared" si="80"/>
        <v>212.38045087100181</v>
      </c>
      <c r="T144" s="745">
        <v>1.1000000000000001</v>
      </c>
      <c r="U144" s="726">
        <f t="shared" si="81"/>
        <v>3.0000000000000009</v>
      </c>
      <c r="V144" s="746">
        <f t="shared" si="82"/>
        <v>1</v>
      </c>
      <c r="W144" s="767">
        <v>8.0000000000000002E-3</v>
      </c>
      <c r="X144" s="768">
        <f t="shared" si="46"/>
        <v>296.52800000000002</v>
      </c>
      <c r="Y144" s="767">
        <v>2.3809523809523812E-3</v>
      </c>
      <c r="Z144" s="748">
        <f t="shared" ref="Z144:Z207" si="90">K144*Y144</f>
        <v>62.987562014631493</v>
      </c>
      <c r="AA144" s="770">
        <f t="shared" si="53"/>
        <v>186.32174655584654</v>
      </c>
      <c r="AB144" s="770">
        <f t="shared" si="54"/>
        <v>215.87238399999995</v>
      </c>
      <c r="AC144" s="770">
        <f t="shared" si="55"/>
        <v>55.452900760668619</v>
      </c>
      <c r="AD144" s="782">
        <f t="shared" ref="AD144:AD207" si="91">L144*Y144</f>
        <v>55.452900760668619</v>
      </c>
      <c r="AE144" s="743">
        <f t="shared" si="87"/>
        <v>52.559523809523817</v>
      </c>
      <c r="AF144" s="772">
        <f t="shared" si="88"/>
        <v>54.948729078902431</v>
      </c>
      <c r="AG144" s="773">
        <f t="shared" si="89"/>
        <v>0.18530705052778296</v>
      </c>
      <c r="AH144" s="728" t="s">
        <v>396</v>
      </c>
    </row>
    <row r="145" spans="1:34" ht="14.4" x14ac:dyDescent="0.3">
      <c r="A145" s="729" t="s">
        <v>357</v>
      </c>
      <c r="B145" s="726" t="str">
        <f t="shared" si="52"/>
        <v>2000s</v>
      </c>
      <c r="C145" s="730">
        <v>2006</v>
      </c>
      <c r="D145" s="731">
        <f t="shared" si="68"/>
        <v>2002</v>
      </c>
      <c r="E145" s="732">
        <f t="shared" si="69"/>
        <v>2004</v>
      </c>
      <c r="F145" s="759">
        <f t="shared" si="70"/>
        <v>37067</v>
      </c>
      <c r="G145" s="760">
        <f t="shared" si="71"/>
        <v>37066</v>
      </c>
      <c r="H145" s="760">
        <f t="shared" si="72"/>
        <v>35132</v>
      </c>
      <c r="I145" s="761">
        <f t="shared" si="73"/>
        <v>22075</v>
      </c>
      <c r="J145" s="762">
        <f t="shared" si="74"/>
        <v>0.62834452920414441</v>
      </c>
      <c r="K145" s="763">
        <f t="shared" si="75"/>
        <v>26454.776046145224</v>
      </c>
      <c r="L145" s="764">
        <f t="shared" si="83"/>
        <v>23290.218319480817</v>
      </c>
      <c r="M145" s="762">
        <f t="shared" si="86"/>
        <v>0.72799999999999987</v>
      </c>
      <c r="N145" s="764">
        <f t="shared" si="57"/>
        <v>26984.047999999995</v>
      </c>
      <c r="O145" s="740">
        <f t="shared" si="76"/>
        <v>0.50936167916689146</v>
      </c>
      <c r="P145" s="765">
        <f t="shared" si="77"/>
        <v>1003.4662131390186</v>
      </c>
      <c r="Q145" s="742">
        <f t="shared" si="78"/>
        <v>4.3480628386288765E-2</v>
      </c>
      <c r="R145" s="743">
        <f t="shared" si="79"/>
        <v>23078.466213139018</v>
      </c>
      <c r="S145" s="744">
        <f t="shared" si="80"/>
        <v>212.38045087100181</v>
      </c>
      <c r="T145" s="745">
        <v>1.2</v>
      </c>
      <c r="U145" s="726">
        <f t="shared" si="81"/>
        <v>3.9999999999999996</v>
      </c>
      <c r="V145" s="746">
        <f t="shared" si="82"/>
        <v>1</v>
      </c>
      <c r="W145" s="781">
        <v>0.72399999999999998</v>
      </c>
      <c r="X145" s="768">
        <f t="shared" si="46"/>
        <v>26835.784</v>
      </c>
      <c r="Y145" s="781">
        <v>0.8833333333333333</v>
      </c>
      <c r="Z145" s="748">
        <f t="shared" si="90"/>
        <v>23368.38550742828</v>
      </c>
      <c r="AA145" s="770">
        <f t="shared" si="53"/>
        <v>16862.118063304111</v>
      </c>
      <c r="AB145" s="770">
        <f t="shared" si="54"/>
        <v>19536.450751999997</v>
      </c>
      <c r="AC145" s="770">
        <f t="shared" si="55"/>
        <v>20573.026182208054</v>
      </c>
      <c r="AD145" s="783">
        <f t="shared" si="91"/>
        <v>20573.026182208054</v>
      </c>
      <c r="AE145" s="743">
        <f t="shared" si="87"/>
        <v>19499.583333333332</v>
      </c>
      <c r="AF145" s="743">
        <f t="shared" si="88"/>
        <v>20385.978488272798</v>
      </c>
      <c r="AG145" s="773">
        <f t="shared" si="89"/>
        <v>0.75965652757798308</v>
      </c>
      <c r="AH145" s="728" t="s">
        <v>397</v>
      </c>
    </row>
    <row r="146" spans="1:34" ht="14.4" x14ac:dyDescent="0.3">
      <c r="A146" s="729" t="s">
        <v>357</v>
      </c>
      <c r="B146" s="726" t="str">
        <f t="shared" si="52"/>
        <v>2000s</v>
      </c>
      <c r="C146" s="730">
        <v>2006</v>
      </c>
      <c r="D146" s="731">
        <f t="shared" si="68"/>
        <v>2001</v>
      </c>
      <c r="E146" s="732">
        <f t="shared" si="69"/>
        <v>2003</v>
      </c>
      <c r="F146" s="759">
        <f t="shared" si="70"/>
        <v>37067</v>
      </c>
      <c r="G146" s="760">
        <f t="shared" si="71"/>
        <v>37066</v>
      </c>
      <c r="H146" s="760">
        <f t="shared" si="72"/>
        <v>35132</v>
      </c>
      <c r="I146" s="761">
        <f t="shared" si="73"/>
        <v>22075</v>
      </c>
      <c r="J146" s="762">
        <f t="shared" si="74"/>
        <v>0.62834452920414441</v>
      </c>
      <c r="K146" s="763">
        <f t="shared" si="75"/>
        <v>26454.776046145224</v>
      </c>
      <c r="L146" s="764">
        <f t="shared" si="83"/>
        <v>23290.218319480817</v>
      </c>
      <c r="M146" s="762">
        <f t="shared" si="86"/>
        <v>0.72799999999999987</v>
      </c>
      <c r="N146" s="764">
        <f t="shared" si="57"/>
        <v>26984.047999999995</v>
      </c>
      <c r="O146" s="740">
        <f t="shared" si="76"/>
        <v>0.50936167916689146</v>
      </c>
      <c r="P146" s="765">
        <f t="shared" si="77"/>
        <v>1003.4662131390186</v>
      </c>
      <c r="Q146" s="742">
        <f t="shared" si="78"/>
        <v>4.3480628386288765E-2</v>
      </c>
      <c r="R146" s="743">
        <f t="shared" si="79"/>
        <v>23078.466213139018</v>
      </c>
      <c r="S146" s="744">
        <f t="shared" si="80"/>
        <v>212.38045087100181</v>
      </c>
      <c r="T146" s="745">
        <v>1.3</v>
      </c>
      <c r="U146" s="726">
        <f t="shared" si="81"/>
        <v>5</v>
      </c>
      <c r="V146" s="746">
        <f t="shared" si="82"/>
        <v>1</v>
      </c>
      <c r="W146" s="767">
        <v>8.4000000000000005E-2</v>
      </c>
      <c r="X146" s="768">
        <f t="shared" si="46"/>
        <v>3113.5440000000003</v>
      </c>
      <c r="Y146" s="767">
        <v>0.10952380952380952</v>
      </c>
      <c r="Z146" s="748">
        <f t="shared" si="90"/>
        <v>2897.4278526730482</v>
      </c>
      <c r="AA146" s="770">
        <f t="shared" si="53"/>
        <v>1956.3783388363888</v>
      </c>
      <c r="AB146" s="770">
        <f t="shared" si="54"/>
        <v>2266.6600319999998</v>
      </c>
      <c r="AC146" s="770">
        <f t="shared" si="55"/>
        <v>2550.8334349907559</v>
      </c>
      <c r="AD146" s="783">
        <f t="shared" si="91"/>
        <v>2550.8334349907559</v>
      </c>
      <c r="AE146" s="743">
        <f t="shared" si="87"/>
        <v>2417.7380952380954</v>
      </c>
      <c r="AF146" s="743">
        <f t="shared" si="88"/>
        <v>2527.6415376295113</v>
      </c>
      <c r="AG146" s="773">
        <f t="shared" si="89"/>
        <v>0.81182136421695372</v>
      </c>
      <c r="AH146" s="728" t="s">
        <v>397</v>
      </c>
    </row>
    <row r="147" spans="1:34" ht="14.4" x14ac:dyDescent="0.3">
      <c r="A147" s="729" t="s">
        <v>357</v>
      </c>
      <c r="B147" s="726" t="str">
        <f t="shared" si="52"/>
        <v>2000s</v>
      </c>
      <c r="C147" s="730">
        <v>2006</v>
      </c>
      <c r="D147" s="731">
        <f t="shared" si="68"/>
        <v>2002</v>
      </c>
      <c r="E147" s="732">
        <f t="shared" si="69"/>
        <v>2005</v>
      </c>
      <c r="F147" s="759">
        <f t="shared" si="70"/>
        <v>37067</v>
      </c>
      <c r="G147" s="760">
        <f t="shared" si="71"/>
        <v>37066</v>
      </c>
      <c r="H147" s="760">
        <f t="shared" si="72"/>
        <v>35132</v>
      </c>
      <c r="I147" s="761">
        <f t="shared" si="73"/>
        <v>22075</v>
      </c>
      <c r="J147" s="762">
        <f t="shared" si="74"/>
        <v>0.62834452920414441</v>
      </c>
      <c r="K147" s="763">
        <f t="shared" si="75"/>
        <v>26454.776046145224</v>
      </c>
      <c r="L147" s="764">
        <f t="shared" si="83"/>
        <v>23290.218319480817</v>
      </c>
      <c r="M147" s="762">
        <f t="shared" si="86"/>
        <v>0.72799999999999987</v>
      </c>
      <c r="N147" s="764">
        <f t="shared" si="57"/>
        <v>26984.047999999995</v>
      </c>
      <c r="O147" s="740">
        <f t="shared" si="76"/>
        <v>0.50936167916689146</v>
      </c>
      <c r="P147" s="765">
        <f t="shared" si="77"/>
        <v>1003.4662131390186</v>
      </c>
      <c r="Q147" s="742">
        <f t="shared" si="78"/>
        <v>4.3480628386288765E-2</v>
      </c>
      <c r="R147" s="743">
        <f t="shared" si="79"/>
        <v>23078.466213139018</v>
      </c>
      <c r="S147" s="744">
        <f t="shared" si="80"/>
        <v>212.38045087100181</v>
      </c>
      <c r="T147" s="745">
        <v>2.1</v>
      </c>
      <c r="U147" s="726">
        <f t="shared" si="81"/>
        <v>4.0000000000000009</v>
      </c>
      <c r="V147" s="746">
        <f t="shared" si="82"/>
        <v>2</v>
      </c>
      <c r="W147" s="767">
        <v>1.7000000000000001E-2</v>
      </c>
      <c r="X147" s="768">
        <f t="shared" si="46"/>
        <v>630.12200000000007</v>
      </c>
      <c r="Y147" s="767">
        <v>0</v>
      </c>
      <c r="Z147" s="748">
        <f t="shared" si="90"/>
        <v>0</v>
      </c>
      <c r="AA147" s="770">
        <f t="shared" si="53"/>
        <v>395.93371143117389</v>
      </c>
      <c r="AB147" s="770">
        <f t="shared" si="54"/>
        <v>458.72881599999994</v>
      </c>
      <c r="AC147" s="770">
        <f>IF(Y147,L147*Y147,0)</f>
        <v>0</v>
      </c>
      <c r="AD147" s="783">
        <f t="shared" si="91"/>
        <v>0</v>
      </c>
      <c r="AE147" s="743">
        <f t="shared" si="87"/>
        <v>0</v>
      </c>
      <c r="AF147" s="743">
        <f t="shared" si="88"/>
        <v>0</v>
      </c>
      <c r="AG147" s="773">
        <f t="shared" si="89"/>
        <v>0</v>
      </c>
      <c r="AH147" s="728" t="s">
        <v>397</v>
      </c>
    </row>
    <row r="148" spans="1:34" ht="14.4" x14ac:dyDescent="0.3">
      <c r="A148" s="729" t="s">
        <v>357</v>
      </c>
      <c r="B148" s="726" t="str">
        <f t="shared" si="52"/>
        <v>2000s</v>
      </c>
      <c r="C148" s="730">
        <v>2006</v>
      </c>
      <c r="D148" s="731">
        <f t="shared" si="68"/>
        <v>2001</v>
      </c>
      <c r="E148" s="732">
        <f t="shared" si="69"/>
        <v>2004</v>
      </c>
      <c r="F148" s="759">
        <f t="shared" si="70"/>
        <v>37067</v>
      </c>
      <c r="G148" s="760">
        <f t="shared" si="71"/>
        <v>37066</v>
      </c>
      <c r="H148" s="760">
        <f t="shared" si="72"/>
        <v>35132</v>
      </c>
      <c r="I148" s="761">
        <f t="shared" si="73"/>
        <v>22075</v>
      </c>
      <c r="J148" s="762">
        <f t="shared" si="74"/>
        <v>0.62834452920414441</v>
      </c>
      <c r="K148" s="763">
        <f t="shared" si="75"/>
        <v>26454.776046145224</v>
      </c>
      <c r="L148" s="764">
        <f t="shared" si="83"/>
        <v>23290.218319480817</v>
      </c>
      <c r="M148" s="762">
        <f t="shared" si="86"/>
        <v>0.72799999999999987</v>
      </c>
      <c r="N148" s="764">
        <f t="shared" si="57"/>
        <v>26984.047999999995</v>
      </c>
      <c r="O148" s="740">
        <f t="shared" si="76"/>
        <v>0.50936167916689146</v>
      </c>
      <c r="P148" s="765">
        <f t="shared" si="77"/>
        <v>1003.4662131390186</v>
      </c>
      <c r="Q148" s="742">
        <f t="shared" si="78"/>
        <v>4.3480628386288765E-2</v>
      </c>
      <c r="R148" s="743">
        <f t="shared" si="79"/>
        <v>23078.466213139018</v>
      </c>
      <c r="S148" s="744">
        <f t="shared" si="80"/>
        <v>212.38045087100181</v>
      </c>
      <c r="T148" s="745">
        <v>2.2000000000000002</v>
      </c>
      <c r="U148" s="726">
        <f t="shared" si="81"/>
        <v>5.0000000000000018</v>
      </c>
      <c r="V148" s="746">
        <f t="shared" si="82"/>
        <v>2</v>
      </c>
      <c r="W148" s="781">
        <v>0.14799999999999999</v>
      </c>
      <c r="X148" s="768">
        <f t="shared" si="46"/>
        <v>5485.768</v>
      </c>
      <c r="Y148" s="781">
        <v>4.7619047619047623E-3</v>
      </c>
      <c r="Z148" s="748">
        <f t="shared" si="90"/>
        <v>125.97512402926299</v>
      </c>
      <c r="AA148" s="770">
        <f t="shared" si="53"/>
        <v>3446.9523112831607</v>
      </c>
      <c r="AB148" s="770">
        <f t="shared" si="54"/>
        <v>3993.639103999999</v>
      </c>
      <c r="AC148" s="770">
        <f t="shared" si="55"/>
        <v>110.90580152133724</v>
      </c>
      <c r="AD148" s="783">
        <f t="shared" si="91"/>
        <v>110.90580152133724</v>
      </c>
      <c r="AE148" s="743">
        <f t="shared" si="87"/>
        <v>105.11904761904763</v>
      </c>
      <c r="AF148" s="743">
        <f t="shared" si="88"/>
        <v>109.89745815780486</v>
      </c>
      <c r="AG148" s="773">
        <f t="shared" si="89"/>
        <v>2.0033194651652216E-2</v>
      </c>
      <c r="AH148" s="728" t="s">
        <v>397</v>
      </c>
    </row>
    <row r="149" spans="1:34" ht="14.4" x14ac:dyDescent="0.3">
      <c r="A149" s="729" t="s">
        <v>357</v>
      </c>
      <c r="B149" s="726" t="str">
        <f t="shared" si="52"/>
        <v>2000s</v>
      </c>
      <c r="C149" s="730">
        <v>2006</v>
      </c>
      <c r="D149" s="731">
        <f t="shared" si="68"/>
        <v>2000</v>
      </c>
      <c r="E149" s="732">
        <f t="shared" si="69"/>
        <v>2003</v>
      </c>
      <c r="F149" s="759">
        <f t="shared" si="70"/>
        <v>37067</v>
      </c>
      <c r="G149" s="760">
        <f t="shared" si="71"/>
        <v>37066</v>
      </c>
      <c r="H149" s="760">
        <f t="shared" si="72"/>
        <v>35132</v>
      </c>
      <c r="I149" s="761">
        <f t="shared" si="73"/>
        <v>22075</v>
      </c>
      <c r="J149" s="762">
        <f t="shared" si="74"/>
        <v>0.62834452920414441</v>
      </c>
      <c r="K149" s="763">
        <f t="shared" si="75"/>
        <v>26454.776046145224</v>
      </c>
      <c r="L149" s="764">
        <f t="shared" si="83"/>
        <v>23290.218319480817</v>
      </c>
      <c r="M149" s="762">
        <f t="shared" si="86"/>
        <v>0.72799999999999987</v>
      </c>
      <c r="N149" s="764">
        <f t="shared" si="57"/>
        <v>26984.047999999995</v>
      </c>
      <c r="O149" s="740">
        <f t="shared" si="76"/>
        <v>0.50936167916689146</v>
      </c>
      <c r="P149" s="765">
        <f t="shared" si="77"/>
        <v>1003.4662131390186</v>
      </c>
      <c r="Q149" s="742">
        <f t="shared" si="78"/>
        <v>4.3480628386288765E-2</v>
      </c>
      <c r="R149" s="743">
        <f t="shared" si="79"/>
        <v>23078.466213139018</v>
      </c>
      <c r="S149" s="744">
        <f t="shared" si="80"/>
        <v>212.38045087100181</v>
      </c>
      <c r="T149" s="745">
        <v>2.2999999999999998</v>
      </c>
      <c r="U149" s="726">
        <f t="shared" si="81"/>
        <v>5.9999999999999982</v>
      </c>
      <c r="V149" s="746">
        <f t="shared" si="82"/>
        <v>2</v>
      </c>
      <c r="W149" s="767">
        <v>2E-3</v>
      </c>
      <c r="X149" s="768">
        <f t="shared" si="46"/>
        <v>74.132000000000005</v>
      </c>
      <c r="Y149" s="785"/>
      <c r="Z149" s="748">
        <f t="shared" si="90"/>
        <v>0</v>
      </c>
      <c r="AA149" s="770">
        <f t="shared" si="53"/>
        <v>46.580436638961636</v>
      </c>
      <c r="AB149" s="770">
        <f t="shared" si="54"/>
        <v>53.968095999999989</v>
      </c>
      <c r="AC149" s="770">
        <f>IF(Y149,L149*Y149,0)</f>
        <v>0</v>
      </c>
      <c r="AD149" s="783">
        <f t="shared" si="91"/>
        <v>0</v>
      </c>
      <c r="AG149" s="773"/>
    </row>
    <row r="150" spans="1:34" ht="14.4" x14ac:dyDescent="0.3">
      <c r="A150" s="729" t="s">
        <v>357</v>
      </c>
      <c r="B150" s="726" t="str">
        <f t="shared" si="52"/>
        <v>2000s</v>
      </c>
      <c r="C150" s="730">
        <v>2007</v>
      </c>
      <c r="D150" s="731">
        <f t="shared" si="68"/>
        <v>2004</v>
      </c>
      <c r="E150" s="732">
        <f t="shared" si="69"/>
        <v>2006</v>
      </c>
      <c r="F150" s="759">
        <f t="shared" si="70"/>
        <v>26604</v>
      </c>
      <c r="G150" s="760">
        <f t="shared" si="71"/>
        <v>24376</v>
      </c>
      <c r="H150" s="760">
        <f t="shared" si="72"/>
        <v>25122</v>
      </c>
      <c r="I150" s="761">
        <f t="shared" si="73"/>
        <v>22273</v>
      </c>
      <c r="J150" s="762">
        <f t="shared" si="74"/>
        <v>0.88659342409043862</v>
      </c>
      <c r="K150" s="763">
        <f t="shared" si="75"/>
        <v>26745.682484121899</v>
      </c>
      <c r="L150" s="764">
        <f t="shared" si="83"/>
        <v>21611.60130562853</v>
      </c>
      <c r="M150" s="762">
        <f t="shared" si="86"/>
        <v>0.85299999999999987</v>
      </c>
      <c r="N150" s="764">
        <f t="shared" si="57"/>
        <v>20792.727999999996</v>
      </c>
      <c r="O150" s="740">
        <f t="shared" si="76"/>
        <v>0.78380374138496878</v>
      </c>
      <c r="P150" s="765">
        <f t="shared" si="77"/>
        <v>1253.6431016638803</v>
      </c>
      <c r="Q150" s="742">
        <f t="shared" si="78"/>
        <v>5.3286101899306604E-2</v>
      </c>
      <c r="R150" s="743">
        <f t="shared" si="79"/>
        <v>23526.643101663882</v>
      </c>
      <c r="S150" s="744">
        <f t="shared" si="80"/>
        <v>60.288352838146238</v>
      </c>
      <c r="T150" s="775">
        <v>1.1000000000000001</v>
      </c>
      <c r="U150" s="726">
        <f t="shared" si="81"/>
        <v>3.0000000000000009</v>
      </c>
      <c r="V150" s="746">
        <f t="shared" si="82"/>
        <v>1</v>
      </c>
      <c r="W150" s="781">
        <v>0.42399999999999999</v>
      </c>
      <c r="X150" s="768">
        <f t="shared" si="46"/>
        <v>10335.423999999999</v>
      </c>
      <c r="Y150" s="778">
        <v>0.2831168831168831</v>
      </c>
      <c r="Z150" s="748">
        <f t="shared" si="90"/>
        <v>7572.1542617384075</v>
      </c>
      <c r="AA150" s="770">
        <f t="shared" si="53"/>
        <v>9163.3189535864967</v>
      </c>
      <c r="AB150" s="770">
        <f t="shared" si="54"/>
        <v>8816.1166719999983</v>
      </c>
      <c r="AC150" s="770">
        <f t="shared" si="55"/>
        <v>6118.6092008143105</v>
      </c>
      <c r="AD150" s="783">
        <f t="shared" si="91"/>
        <v>6118.6092008143105</v>
      </c>
      <c r="AE150" s="743">
        <f>Y150*I150</f>
        <v>6305.8623376623373</v>
      </c>
      <c r="AF150" s="772">
        <f>Y150*R150</f>
        <v>6660.7898651463975</v>
      </c>
      <c r="AG150" s="773">
        <f>IF(X150=0,0,AF150/X150)</f>
        <v>0.64446217834376196</v>
      </c>
      <c r="AH150" s="728" t="s">
        <v>396</v>
      </c>
    </row>
    <row r="151" spans="1:34" ht="14.4" x14ac:dyDescent="0.3">
      <c r="A151" s="729" t="s">
        <v>357</v>
      </c>
      <c r="B151" s="726" t="str">
        <f t="shared" si="52"/>
        <v>2000s</v>
      </c>
      <c r="C151" s="730">
        <v>2007</v>
      </c>
      <c r="D151" s="731">
        <f t="shared" si="68"/>
        <v>2003</v>
      </c>
      <c r="E151" s="732">
        <f t="shared" si="69"/>
        <v>2005</v>
      </c>
      <c r="F151" s="759">
        <f t="shared" si="70"/>
        <v>26604</v>
      </c>
      <c r="G151" s="760">
        <f t="shared" si="71"/>
        <v>24376</v>
      </c>
      <c r="H151" s="760">
        <f t="shared" si="72"/>
        <v>25122</v>
      </c>
      <c r="I151" s="761">
        <f t="shared" si="73"/>
        <v>22273</v>
      </c>
      <c r="J151" s="762">
        <f t="shared" si="74"/>
        <v>0.88659342409043862</v>
      </c>
      <c r="K151" s="763">
        <f t="shared" si="75"/>
        <v>26745.682484121899</v>
      </c>
      <c r="L151" s="764">
        <f t="shared" si="83"/>
        <v>21611.60130562853</v>
      </c>
      <c r="M151" s="762">
        <f t="shared" si="86"/>
        <v>0.85299999999999987</v>
      </c>
      <c r="N151" s="764">
        <f t="shared" si="57"/>
        <v>20792.727999999996</v>
      </c>
      <c r="O151" s="740">
        <f t="shared" si="76"/>
        <v>0.78380374138496878</v>
      </c>
      <c r="P151" s="765">
        <f t="shared" si="77"/>
        <v>1253.6431016638803</v>
      </c>
      <c r="Q151" s="742">
        <f t="shared" si="78"/>
        <v>5.3286101899306604E-2</v>
      </c>
      <c r="R151" s="743">
        <f t="shared" si="79"/>
        <v>23526.643101663882</v>
      </c>
      <c r="S151" s="744">
        <f t="shared" si="80"/>
        <v>60.288352838146238</v>
      </c>
      <c r="T151" s="745">
        <v>1.2</v>
      </c>
      <c r="U151" s="726">
        <f t="shared" si="81"/>
        <v>3.9999999999999996</v>
      </c>
      <c r="V151" s="746">
        <f t="shared" si="82"/>
        <v>1</v>
      </c>
      <c r="W151" s="781">
        <v>0.38200000000000001</v>
      </c>
      <c r="X151" s="768">
        <f t="shared" si="46"/>
        <v>9311.6319999999996</v>
      </c>
      <c r="Y151" s="778">
        <v>0.51168831168831164</v>
      </c>
      <c r="Z151" s="748">
        <f t="shared" si="90"/>
        <v>13685.453115251983</v>
      </c>
      <c r="AA151" s="770">
        <f t="shared" si="53"/>
        <v>8255.6316987500995</v>
      </c>
      <c r="AB151" s="770">
        <f t="shared" si="54"/>
        <v>7942.8220959999981</v>
      </c>
      <c r="AC151" s="770">
        <f t="shared" si="55"/>
        <v>11058.403784957974</v>
      </c>
      <c r="AD151" s="783">
        <f t="shared" si="91"/>
        <v>11058.403784957974</v>
      </c>
      <c r="AE151" s="743">
        <f>Y151*I151</f>
        <v>11396.833766233765</v>
      </c>
      <c r="AF151" s="743">
        <f>Y151*R151</f>
        <v>12038.308288383854</v>
      </c>
      <c r="AG151" s="773">
        <f>IF(X151=0,0,AF151/X151)</f>
        <v>1.2928247474109646</v>
      </c>
      <c r="AH151" s="728" t="s">
        <v>397</v>
      </c>
    </row>
    <row r="152" spans="1:34" ht="14.4" x14ac:dyDescent="0.3">
      <c r="A152" s="729" t="s">
        <v>357</v>
      </c>
      <c r="B152" s="726" t="str">
        <f t="shared" si="52"/>
        <v>2000s</v>
      </c>
      <c r="C152" s="730">
        <v>2007</v>
      </c>
      <c r="D152" s="731">
        <f t="shared" si="68"/>
        <v>2002</v>
      </c>
      <c r="E152" s="732">
        <f t="shared" si="69"/>
        <v>2004</v>
      </c>
      <c r="F152" s="759">
        <f t="shared" si="70"/>
        <v>26604</v>
      </c>
      <c r="G152" s="760">
        <f t="shared" si="71"/>
        <v>24376</v>
      </c>
      <c r="H152" s="760">
        <f t="shared" si="72"/>
        <v>25122</v>
      </c>
      <c r="I152" s="761">
        <f t="shared" si="73"/>
        <v>22273</v>
      </c>
      <c r="J152" s="762">
        <f t="shared" si="74"/>
        <v>0.88659342409043862</v>
      </c>
      <c r="K152" s="763">
        <f t="shared" si="75"/>
        <v>26745.682484121899</v>
      </c>
      <c r="L152" s="764">
        <f t="shared" si="83"/>
        <v>21611.60130562853</v>
      </c>
      <c r="M152" s="762">
        <f t="shared" si="86"/>
        <v>0.85299999999999987</v>
      </c>
      <c r="N152" s="764">
        <f t="shared" si="57"/>
        <v>20792.727999999996</v>
      </c>
      <c r="O152" s="740">
        <f t="shared" si="76"/>
        <v>0.78380374138496878</v>
      </c>
      <c r="P152" s="765">
        <f t="shared" si="77"/>
        <v>1253.6431016638803</v>
      </c>
      <c r="Q152" s="742">
        <f t="shared" si="78"/>
        <v>5.3286101899306604E-2</v>
      </c>
      <c r="R152" s="743">
        <f t="shared" si="79"/>
        <v>23526.643101663882</v>
      </c>
      <c r="S152" s="744">
        <f t="shared" si="80"/>
        <v>60.288352838146238</v>
      </c>
      <c r="T152" s="745">
        <v>1.3</v>
      </c>
      <c r="U152" s="726">
        <f t="shared" si="81"/>
        <v>5</v>
      </c>
      <c r="V152" s="746">
        <f t="shared" si="82"/>
        <v>1</v>
      </c>
      <c r="W152" s="781">
        <v>3.2000000000000001E-2</v>
      </c>
      <c r="X152" s="768">
        <f t="shared" si="46"/>
        <v>780.03200000000004</v>
      </c>
      <c r="Y152" s="778">
        <v>0.12987012987012986</v>
      </c>
      <c r="Z152" s="748">
        <f t="shared" si="90"/>
        <v>3473.4652576781682</v>
      </c>
      <c r="AA152" s="770">
        <f t="shared" si="53"/>
        <v>691.57124178011293</v>
      </c>
      <c r="AB152" s="770">
        <f t="shared" si="54"/>
        <v>665.3672959999999</v>
      </c>
      <c r="AC152" s="770">
        <f t="shared" si="55"/>
        <v>2806.7014682634453</v>
      </c>
      <c r="AD152" s="783">
        <f t="shared" si="91"/>
        <v>2806.7014682634453</v>
      </c>
      <c r="AE152" s="743">
        <f>Y152*I152</f>
        <v>2892.5974025974024</v>
      </c>
      <c r="AF152" s="743">
        <f>Y152*R152</f>
        <v>3055.4081950212831</v>
      </c>
      <c r="AG152" s="773">
        <f>IF(X152=0,0,AF152/X152)</f>
        <v>3.9170292949792866</v>
      </c>
      <c r="AH152" s="728" t="s">
        <v>397</v>
      </c>
    </row>
    <row r="153" spans="1:34" ht="14.4" x14ac:dyDescent="0.3">
      <c r="A153" s="729" t="s">
        <v>357</v>
      </c>
      <c r="B153" s="726" t="str">
        <f t="shared" si="52"/>
        <v>2000s</v>
      </c>
      <c r="C153" s="730">
        <v>2007</v>
      </c>
      <c r="D153" s="731">
        <f t="shared" si="68"/>
        <v>2003</v>
      </c>
      <c r="E153" s="732">
        <f t="shared" si="69"/>
        <v>2006</v>
      </c>
      <c r="F153" s="759">
        <f t="shared" si="70"/>
        <v>26604</v>
      </c>
      <c r="G153" s="760">
        <f t="shared" si="71"/>
        <v>24376</v>
      </c>
      <c r="H153" s="760">
        <f t="shared" si="72"/>
        <v>25122</v>
      </c>
      <c r="I153" s="761">
        <f t="shared" si="73"/>
        <v>22273</v>
      </c>
      <c r="J153" s="762">
        <f t="shared" si="74"/>
        <v>0.88659342409043862</v>
      </c>
      <c r="K153" s="763">
        <f t="shared" si="75"/>
        <v>26745.682484121899</v>
      </c>
      <c r="L153" s="764">
        <f t="shared" si="83"/>
        <v>21611.60130562853</v>
      </c>
      <c r="M153" s="762">
        <f t="shared" si="86"/>
        <v>0.85299999999999987</v>
      </c>
      <c r="N153" s="764">
        <f t="shared" si="57"/>
        <v>20792.727999999996</v>
      </c>
      <c r="O153" s="740">
        <f t="shared" si="76"/>
        <v>0.78380374138496878</v>
      </c>
      <c r="P153" s="765">
        <f t="shared" si="77"/>
        <v>1253.6431016638803</v>
      </c>
      <c r="Q153" s="742">
        <f t="shared" si="78"/>
        <v>5.3286101899306604E-2</v>
      </c>
      <c r="R153" s="743">
        <f t="shared" si="79"/>
        <v>23526.643101663882</v>
      </c>
      <c r="S153" s="744">
        <f t="shared" si="80"/>
        <v>60.288352838146238</v>
      </c>
      <c r="T153" s="745">
        <v>2.1</v>
      </c>
      <c r="U153" s="726">
        <f t="shared" si="81"/>
        <v>4.0000000000000009</v>
      </c>
      <c r="V153" s="746">
        <f t="shared" si="82"/>
        <v>2</v>
      </c>
      <c r="W153" s="767">
        <v>5.8000000000000003E-2</v>
      </c>
      <c r="X153" s="768">
        <f t="shared" si="46"/>
        <v>1413.808</v>
      </c>
      <c r="Y153" s="767">
        <v>6.4935064935064901E-2</v>
      </c>
      <c r="Z153" s="748">
        <f t="shared" si="90"/>
        <v>1736.7326288390834</v>
      </c>
      <c r="AA153" s="770">
        <f t="shared" si="53"/>
        <v>1253.4728757264547</v>
      </c>
      <c r="AB153" s="770">
        <f t="shared" si="54"/>
        <v>1205.9782239999997</v>
      </c>
      <c r="AC153" s="770">
        <f t="shared" si="55"/>
        <v>1403.350734131722</v>
      </c>
      <c r="AD153" s="783">
        <f t="shared" si="91"/>
        <v>1403.350734131722</v>
      </c>
      <c r="AE153" s="743">
        <f>Y153*I153</f>
        <v>1446.2987012987005</v>
      </c>
      <c r="AF153" s="743">
        <f>Y153*R153</f>
        <v>1527.7040975106408</v>
      </c>
      <c r="AG153" s="773">
        <f>IF(X153=0,0,AF153/X153)</f>
        <v>1.0805598055115269</v>
      </c>
      <c r="AH153" s="728" t="s">
        <v>397</v>
      </c>
    </row>
    <row r="154" spans="1:34" ht="14.4" x14ac:dyDescent="0.3">
      <c r="A154" s="729" t="s">
        <v>357</v>
      </c>
      <c r="B154" s="726" t="str">
        <f t="shared" si="52"/>
        <v>2000s</v>
      </c>
      <c r="C154" s="730">
        <v>2007</v>
      </c>
      <c r="D154" s="731">
        <f t="shared" si="68"/>
        <v>2002</v>
      </c>
      <c r="E154" s="732">
        <f t="shared" si="69"/>
        <v>2005</v>
      </c>
      <c r="F154" s="759">
        <f t="shared" si="70"/>
        <v>26604</v>
      </c>
      <c r="G154" s="760">
        <f t="shared" si="71"/>
        <v>24376</v>
      </c>
      <c r="H154" s="760">
        <f t="shared" si="72"/>
        <v>25122</v>
      </c>
      <c r="I154" s="761">
        <f t="shared" si="73"/>
        <v>22273</v>
      </c>
      <c r="J154" s="762">
        <f t="shared" si="74"/>
        <v>0.88659342409043862</v>
      </c>
      <c r="K154" s="763">
        <f t="shared" si="75"/>
        <v>26745.682484121899</v>
      </c>
      <c r="L154" s="764">
        <f t="shared" si="83"/>
        <v>21611.60130562853</v>
      </c>
      <c r="M154" s="762">
        <f t="shared" si="86"/>
        <v>0.85299999999999987</v>
      </c>
      <c r="N154" s="764">
        <f t="shared" si="57"/>
        <v>20792.727999999996</v>
      </c>
      <c r="O154" s="740">
        <f t="shared" si="76"/>
        <v>0.78380374138496878</v>
      </c>
      <c r="P154" s="765">
        <f t="shared" si="77"/>
        <v>1253.6431016638803</v>
      </c>
      <c r="Q154" s="742">
        <f t="shared" si="78"/>
        <v>5.3286101899306604E-2</v>
      </c>
      <c r="R154" s="743">
        <f t="shared" si="79"/>
        <v>23526.643101663882</v>
      </c>
      <c r="S154" s="744">
        <f t="shared" si="80"/>
        <v>60.288352838146238</v>
      </c>
      <c r="T154" s="745">
        <v>2.2000000000000002</v>
      </c>
      <c r="U154" s="726">
        <f t="shared" si="81"/>
        <v>5.0000000000000018</v>
      </c>
      <c r="V154" s="746">
        <f t="shared" si="82"/>
        <v>2</v>
      </c>
      <c r="W154" s="781">
        <v>9.2999999999999999E-2</v>
      </c>
      <c r="X154" s="768">
        <f t="shared" si="46"/>
        <v>2266.9679999999998</v>
      </c>
      <c r="Y154" s="778">
        <v>1.038961038961039E-2</v>
      </c>
      <c r="Z154" s="748">
        <f t="shared" si="90"/>
        <v>277.87722061425347</v>
      </c>
      <c r="AA154" s="770">
        <f t="shared" si="53"/>
        <v>2009.8789214234532</v>
      </c>
      <c r="AB154" s="770">
        <f t="shared" si="54"/>
        <v>1933.7237039999995</v>
      </c>
      <c r="AC154" s="770">
        <f t="shared" si="55"/>
        <v>224.53611746107563</v>
      </c>
      <c r="AD154" s="783">
        <f t="shared" si="91"/>
        <v>224.53611746107563</v>
      </c>
      <c r="AE154" s="743">
        <f>Y154*I154</f>
        <v>231.4077922077922</v>
      </c>
      <c r="AF154" s="743">
        <f>Y154*R154</f>
        <v>244.43265560170266</v>
      </c>
      <c r="AG154" s="773">
        <f>IF(X154=0,0,AF154/X154)</f>
        <v>0.10782360209835458</v>
      </c>
      <c r="AH154" s="728" t="s">
        <v>397</v>
      </c>
    </row>
    <row r="155" spans="1:34" ht="14.4" x14ac:dyDescent="0.3">
      <c r="A155" s="729" t="s">
        <v>357</v>
      </c>
      <c r="B155" s="726" t="str">
        <f t="shared" si="52"/>
        <v>2000s</v>
      </c>
      <c r="C155" s="730">
        <v>2007</v>
      </c>
      <c r="D155" s="731">
        <f t="shared" si="68"/>
        <v>2001</v>
      </c>
      <c r="E155" s="732">
        <f t="shared" si="69"/>
        <v>2004</v>
      </c>
      <c r="F155" s="759">
        <f t="shared" si="70"/>
        <v>26604</v>
      </c>
      <c r="G155" s="760">
        <f t="shared" si="71"/>
        <v>24376</v>
      </c>
      <c r="H155" s="760">
        <f t="shared" si="72"/>
        <v>25122</v>
      </c>
      <c r="I155" s="761">
        <f t="shared" si="73"/>
        <v>22273</v>
      </c>
      <c r="J155" s="762">
        <f t="shared" si="74"/>
        <v>0.88659342409043862</v>
      </c>
      <c r="K155" s="763">
        <f t="shared" si="75"/>
        <v>26745.682484121899</v>
      </c>
      <c r="L155" s="764">
        <f t="shared" si="83"/>
        <v>21611.60130562853</v>
      </c>
      <c r="M155" s="762">
        <f t="shared" si="86"/>
        <v>0.85299999999999987</v>
      </c>
      <c r="N155" s="764">
        <f t="shared" si="57"/>
        <v>20792.727999999996</v>
      </c>
      <c r="O155" s="740">
        <f t="shared" si="76"/>
        <v>0.78380374138496878</v>
      </c>
      <c r="P155" s="765">
        <f t="shared" si="77"/>
        <v>1253.6431016638803</v>
      </c>
      <c r="Q155" s="742">
        <f t="shared" si="78"/>
        <v>5.3286101899306604E-2</v>
      </c>
      <c r="R155" s="743">
        <f t="shared" si="79"/>
        <v>23526.643101663882</v>
      </c>
      <c r="S155" s="744">
        <f t="shared" si="80"/>
        <v>60.288352838146238</v>
      </c>
      <c r="T155" s="745">
        <v>2.2999999999999998</v>
      </c>
      <c r="U155" s="726">
        <f t="shared" si="81"/>
        <v>5.9999999999999982</v>
      </c>
      <c r="V155" s="746">
        <f t="shared" si="82"/>
        <v>2</v>
      </c>
      <c r="W155" s="767">
        <v>1.0999999999999999E-2</v>
      </c>
      <c r="X155" s="768">
        <f t="shared" ref="X155:X218" si="92">W155*G155</f>
        <v>268.13599999999997</v>
      </c>
      <c r="Y155" s="785"/>
      <c r="Z155" s="748">
        <f t="shared" si="90"/>
        <v>0</v>
      </c>
      <c r="AA155" s="770">
        <f t="shared" si="53"/>
        <v>237.72761436191382</v>
      </c>
      <c r="AB155" s="770">
        <f t="shared" si="54"/>
        <v>228.72000799999995</v>
      </c>
      <c r="AC155" s="770">
        <f>IF(Y155,L155*Y155,0)</f>
        <v>0</v>
      </c>
      <c r="AD155" s="783">
        <f t="shared" si="91"/>
        <v>0</v>
      </c>
      <c r="AG155" s="773"/>
    </row>
    <row r="156" spans="1:34" ht="14.4" x14ac:dyDescent="0.3">
      <c r="A156" s="729" t="s">
        <v>357</v>
      </c>
      <c r="B156" s="726" t="str">
        <f t="shared" ref="B156:B219" si="93">LEFT(E156,3)*10 &amp; "s"</f>
        <v>2000s</v>
      </c>
      <c r="C156" s="730">
        <v>2008</v>
      </c>
      <c r="D156" s="731">
        <f t="shared" si="68"/>
        <v>2005</v>
      </c>
      <c r="E156" s="732">
        <f t="shared" si="69"/>
        <v>2007</v>
      </c>
      <c r="F156" s="759">
        <f t="shared" si="70"/>
        <v>214465</v>
      </c>
      <c r="G156" s="760">
        <f t="shared" si="71"/>
        <v>213607</v>
      </c>
      <c r="H156" s="760">
        <f t="shared" si="72"/>
        <v>193739</v>
      </c>
      <c r="I156" s="761">
        <f t="shared" si="73"/>
        <v>165334</v>
      </c>
      <c r="J156" s="762">
        <f t="shared" si="74"/>
        <v>0.85338522445145271</v>
      </c>
      <c r="K156" s="763">
        <f t="shared" si="75"/>
        <v>201815.24535141748</v>
      </c>
      <c r="L156" s="764">
        <f t="shared" si="83"/>
        <v>182289.05763940146</v>
      </c>
      <c r="M156" s="762">
        <f t="shared" si="86"/>
        <v>0.83299999999999996</v>
      </c>
      <c r="N156" s="764">
        <f t="shared" si="57"/>
        <v>177934.63099999999</v>
      </c>
      <c r="O156" s="740">
        <f t="shared" si="76"/>
        <v>0.67913036557790707</v>
      </c>
      <c r="P156" s="765">
        <f t="shared" si="77"/>
        <v>8526.1717774944645</v>
      </c>
      <c r="Q156" s="742">
        <f t="shared" si="78"/>
        <v>4.9040396603347573E-2</v>
      </c>
      <c r="R156" s="743">
        <f t="shared" si="79"/>
        <v>173860.17177749446</v>
      </c>
      <c r="S156" s="744">
        <f t="shared" si="80"/>
        <v>9161.0903844863351</v>
      </c>
      <c r="T156" s="745">
        <v>1.1000000000000001</v>
      </c>
      <c r="U156" s="726">
        <f t="shared" si="81"/>
        <v>3.0000000000000009</v>
      </c>
      <c r="V156" s="746">
        <f t="shared" si="82"/>
        <v>1</v>
      </c>
      <c r="W156" s="767">
        <v>7.3999999999999996E-2</v>
      </c>
      <c r="X156" s="768">
        <f t="shared" si="92"/>
        <v>15806.918</v>
      </c>
      <c r="Y156" s="767">
        <v>4.6382189239332093E-2</v>
      </c>
      <c r="Z156" s="748">
        <f t="shared" si="90"/>
        <v>9360.6329012716815</v>
      </c>
      <c r="AA156" s="770">
        <f t="shared" ref="AA156:AA219" si="94">L156*W156</f>
        <v>13489.390265315707</v>
      </c>
      <c r="AB156" s="770">
        <f t="shared" ref="AB156:AB219" si="95">IF(N156,N156*W156,"")</f>
        <v>13167.162693999999</v>
      </c>
      <c r="AC156" s="770">
        <f t="shared" ref="AC156:AC219" si="96">IF(Y156,L156*Y156,"")</f>
        <v>8454.9655676902348</v>
      </c>
      <c r="AD156" s="783">
        <f t="shared" si="91"/>
        <v>8454.9655676902348</v>
      </c>
      <c r="AE156" s="743">
        <f t="shared" ref="AE156:AE219" si="97">Y156*I156</f>
        <v>7668.5528756957319</v>
      </c>
      <c r="AF156" s="772">
        <f t="shared" ref="AF156:AF219" si="98">Y156*R156</f>
        <v>8064.0153885665322</v>
      </c>
      <c r="AG156" s="773">
        <f t="shared" ref="AG156:AG219" si="99">IF(X156=0,0,AF156/X156)</f>
        <v>0.51015734936858237</v>
      </c>
      <c r="AH156" s="728" t="s">
        <v>397</v>
      </c>
    </row>
    <row r="157" spans="1:34" ht="14.4" x14ac:dyDescent="0.3">
      <c r="A157" s="729" t="s">
        <v>357</v>
      </c>
      <c r="B157" s="726" t="str">
        <f t="shared" si="93"/>
        <v>2000s</v>
      </c>
      <c r="C157" s="730">
        <v>2008</v>
      </c>
      <c r="D157" s="731">
        <f t="shared" si="68"/>
        <v>2004</v>
      </c>
      <c r="E157" s="732">
        <f t="shared" si="69"/>
        <v>2006</v>
      </c>
      <c r="F157" s="759">
        <f t="shared" si="70"/>
        <v>214465</v>
      </c>
      <c r="G157" s="760">
        <f t="shared" si="71"/>
        <v>213607</v>
      </c>
      <c r="H157" s="760">
        <f t="shared" si="72"/>
        <v>193739</v>
      </c>
      <c r="I157" s="761">
        <f t="shared" si="73"/>
        <v>165334</v>
      </c>
      <c r="J157" s="762">
        <f t="shared" si="74"/>
        <v>0.85338522445145271</v>
      </c>
      <c r="K157" s="763">
        <f t="shared" si="75"/>
        <v>201815.24535141748</v>
      </c>
      <c r="L157" s="764">
        <f t="shared" si="83"/>
        <v>182289.05763940146</v>
      </c>
      <c r="M157" s="762">
        <f t="shared" si="86"/>
        <v>0.83299999999999996</v>
      </c>
      <c r="N157" s="764">
        <f t="shared" si="57"/>
        <v>177934.63099999999</v>
      </c>
      <c r="O157" s="740">
        <f t="shared" si="76"/>
        <v>0.67913036557790707</v>
      </c>
      <c r="P157" s="765">
        <f t="shared" si="77"/>
        <v>8526.1717774944645</v>
      </c>
      <c r="Q157" s="742">
        <f t="shared" si="78"/>
        <v>4.9040396603347573E-2</v>
      </c>
      <c r="R157" s="743">
        <f t="shared" si="79"/>
        <v>173860.17177749446</v>
      </c>
      <c r="S157" s="744">
        <f t="shared" si="80"/>
        <v>9161.0903844863351</v>
      </c>
      <c r="T157" s="745">
        <v>1.2</v>
      </c>
      <c r="U157" s="726">
        <f t="shared" si="81"/>
        <v>3.9999999999999996</v>
      </c>
      <c r="V157" s="746">
        <f t="shared" si="82"/>
        <v>1</v>
      </c>
      <c r="W157" s="781">
        <v>0.86399999999999999</v>
      </c>
      <c r="X157" s="768">
        <f t="shared" si="92"/>
        <v>184556.448</v>
      </c>
      <c r="Y157" s="781">
        <v>0.94063079777365488</v>
      </c>
      <c r="Z157" s="748">
        <f t="shared" si="90"/>
        <v>189833.63523778971</v>
      </c>
      <c r="AA157" s="770">
        <f t="shared" si="94"/>
        <v>157497.74580044288</v>
      </c>
      <c r="AB157" s="770">
        <f t="shared" si="95"/>
        <v>153735.52118399998</v>
      </c>
      <c r="AC157" s="770">
        <f t="shared" si="96"/>
        <v>171466.70171275796</v>
      </c>
      <c r="AD157" s="783">
        <f t="shared" si="91"/>
        <v>171466.70171275796</v>
      </c>
      <c r="AE157" s="743">
        <f t="shared" si="97"/>
        <v>155518.25231910945</v>
      </c>
      <c r="AF157" s="743">
        <f t="shared" si="98"/>
        <v>163538.2320801293</v>
      </c>
      <c r="AG157" s="773">
        <f t="shared" si="99"/>
        <v>0.88611497377826265</v>
      </c>
      <c r="AH157" s="728" t="s">
        <v>397</v>
      </c>
    </row>
    <row r="158" spans="1:34" ht="14.4" x14ac:dyDescent="0.3">
      <c r="A158" s="729" t="s">
        <v>357</v>
      </c>
      <c r="B158" s="726" t="str">
        <f t="shared" si="93"/>
        <v>2000s</v>
      </c>
      <c r="C158" s="730">
        <v>2008</v>
      </c>
      <c r="D158" s="731">
        <f t="shared" si="68"/>
        <v>2003</v>
      </c>
      <c r="E158" s="732">
        <f t="shared" si="69"/>
        <v>2005</v>
      </c>
      <c r="F158" s="759">
        <f t="shared" si="70"/>
        <v>214465</v>
      </c>
      <c r="G158" s="760">
        <f t="shared" si="71"/>
        <v>213607</v>
      </c>
      <c r="H158" s="760">
        <f t="shared" si="72"/>
        <v>193739</v>
      </c>
      <c r="I158" s="761">
        <f t="shared" si="73"/>
        <v>165334</v>
      </c>
      <c r="J158" s="762">
        <f t="shared" si="74"/>
        <v>0.85338522445145271</v>
      </c>
      <c r="K158" s="763">
        <f t="shared" si="75"/>
        <v>201815.24535141748</v>
      </c>
      <c r="L158" s="764">
        <f t="shared" si="83"/>
        <v>182289.05763940146</v>
      </c>
      <c r="M158" s="762">
        <f t="shared" si="86"/>
        <v>0.83299999999999996</v>
      </c>
      <c r="N158" s="764">
        <f t="shared" si="57"/>
        <v>177934.63099999999</v>
      </c>
      <c r="O158" s="740">
        <f t="shared" si="76"/>
        <v>0.67913036557790707</v>
      </c>
      <c r="P158" s="765">
        <f t="shared" si="77"/>
        <v>8526.1717774944645</v>
      </c>
      <c r="Q158" s="742">
        <f t="shared" si="78"/>
        <v>4.9040396603347573E-2</v>
      </c>
      <c r="R158" s="743">
        <f t="shared" si="79"/>
        <v>173860.17177749446</v>
      </c>
      <c r="S158" s="744">
        <f t="shared" si="80"/>
        <v>9161.0903844863351</v>
      </c>
      <c r="T158" s="745">
        <v>1.3</v>
      </c>
      <c r="U158" s="726">
        <f t="shared" si="81"/>
        <v>5</v>
      </c>
      <c r="V158" s="746">
        <f t="shared" si="82"/>
        <v>1</v>
      </c>
      <c r="W158" s="767">
        <v>7.0000000000000001E-3</v>
      </c>
      <c r="X158" s="768">
        <f t="shared" si="92"/>
        <v>1495.249</v>
      </c>
      <c r="Y158" s="767">
        <v>9.2764378478664197E-3</v>
      </c>
      <c r="Z158" s="748">
        <f t="shared" si="90"/>
        <v>1872.1265802543367</v>
      </c>
      <c r="AA158" s="770">
        <f t="shared" si="94"/>
        <v>1276.0234034758103</v>
      </c>
      <c r="AB158" s="770">
        <f t="shared" si="95"/>
        <v>1245.5424169999999</v>
      </c>
      <c r="AC158" s="770">
        <f t="shared" si="96"/>
        <v>1690.9931135380471</v>
      </c>
      <c r="AD158" s="783">
        <f t="shared" si="91"/>
        <v>1690.9931135380471</v>
      </c>
      <c r="AE158" s="743">
        <f t="shared" si="97"/>
        <v>1533.7105751391466</v>
      </c>
      <c r="AF158" s="743">
        <f t="shared" si="98"/>
        <v>1612.8030777133067</v>
      </c>
      <c r="AG158" s="773">
        <f t="shared" si="99"/>
        <v>1.0786183958078599</v>
      </c>
      <c r="AH158" s="728" t="s">
        <v>397</v>
      </c>
    </row>
    <row r="159" spans="1:34" ht="14.4" x14ac:dyDescent="0.3">
      <c r="A159" s="729" t="s">
        <v>357</v>
      </c>
      <c r="B159" s="726" t="str">
        <f t="shared" si="93"/>
        <v>2000s</v>
      </c>
      <c r="C159" s="730">
        <v>2008</v>
      </c>
      <c r="D159" s="731">
        <f t="shared" si="68"/>
        <v>2004</v>
      </c>
      <c r="E159" s="732">
        <f t="shared" si="69"/>
        <v>2007</v>
      </c>
      <c r="F159" s="759">
        <f t="shared" si="70"/>
        <v>214465</v>
      </c>
      <c r="G159" s="760">
        <f t="shared" si="71"/>
        <v>213607</v>
      </c>
      <c r="H159" s="760">
        <f t="shared" si="72"/>
        <v>193739</v>
      </c>
      <c r="I159" s="761">
        <f t="shared" si="73"/>
        <v>165334</v>
      </c>
      <c r="J159" s="762">
        <f t="shared" si="74"/>
        <v>0.85338522445145271</v>
      </c>
      <c r="K159" s="763">
        <f t="shared" si="75"/>
        <v>201815.24535141748</v>
      </c>
      <c r="L159" s="764">
        <f t="shared" si="83"/>
        <v>182289.05763940146</v>
      </c>
      <c r="M159" s="762">
        <f t="shared" si="86"/>
        <v>0.83299999999999996</v>
      </c>
      <c r="N159" s="764">
        <f t="shared" si="57"/>
        <v>177934.63099999999</v>
      </c>
      <c r="O159" s="740">
        <f t="shared" si="76"/>
        <v>0.67913036557790707</v>
      </c>
      <c r="P159" s="765">
        <f t="shared" si="77"/>
        <v>8526.1717774944645</v>
      </c>
      <c r="Q159" s="742">
        <f t="shared" si="78"/>
        <v>4.9040396603347573E-2</v>
      </c>
      <c r="R159" s="743">
        <f t="shared" si="79"/>
        <v>173860.17177749446</v>
      </c>
      <c r="S159" s="744">
        <f t="shared" si="80"/>
        <v>9161.0903844863351</v>
      </c>
      <c r="T159" s="745">
        <v>2.1</v>
      </c>
      <c r="U159" s="726">
        <f t="shared" si="81"/>
        <v>4.0000000000000009</v>
      </c>
      <c r="V159" s="746">
        <f t="shared" si="82"/>
        <v>2</v>
      </c>
      <c r="W159" s="767">
        <v>2.3E-2</v>
      </c>
      <c r="X159" s="768">
        <f t="shared" si="92"/>
        <v>4912.9610000000002</v>
      </c>
      <c r="Y159" s="767">
        <v>0</v>
      </c>
      <c r="Z159" s="748">
        <f t="shared" si="90"/>
        <v>0</v>
      </c>
      <c r="AA159" s="770">
        <f t="shared" si="94"/>
        <v>4192.6483257062337</v>
      </c>
      <c r="AB159" s="770">
        <f t="shared" si="95"/>
        <v>4092.4965129999996</v>
      </c>
      <c r="AC159" s="770">
        <f>IF(Y159,L159*Y159,0)</f>
        <v>0</v>
      </c>
      <c r="AD159" s="783">
        <f t="shared" si="91"/>
        <v>0</v>
      </c>
      <c r="AE159" s="743">
        <f t="shared" si="97"/>
        <v>0</v>
      </c>
      <c r="AF159" s="743">
        <f t="shared" si="98"/>
        <v>0</v>
      </c>
      <c r="AG159" s="773">
        <f t="shared" si="99"/>
        <v>0</v>
      </c>
      <c r="AH159" s="728" t="s">
        <v>397</v>
      </c>
    </row>
    <row r="160" spans="1:34" ht="14.4" x14ac:dyDescent="0.3">
      <c r="A160" s="729" t="s">
        <v>357</v>
      </c>
      <c r="B160" s="726" t="str">
        <f t="shared" si="93"/>
        <v>2000s</v>
      </c>
      <c r="C160" s="730">
        <v>2008</v>
      </c>
      <c r="D160" s="731">
        <f t="shared" si="68"/>
        <v>2003</v>
      </c>
      <c r="E160" s="732">
        <f t="shared" si="69"/>
        <v>2006</v>
      </c>
      <c r="F160" s="759">
        <f t="shared" si="70"/>
        <v>214465</v>
      </c>
      <c r="G160" s="760">
        <f t="shared" si="71"/>
        <v>213607</v>
      </c>
      <c r="H160" s="760">
        <f t="shared" si="72"/>
        <v>193739</v>
      </c>
      <c r="I160" s="761">
        <f t="shared" si="73"/>
        <v>165334</v>
      </c>
      <c r="J160" s="762">
        <f t="shared" si="74"/>
        <v>0.85338522445145271</v>
      </c>
      <c r="K160" s="763">
        <f t="shared" si="75"/>
        <v>201815.24535141748</v>
      </c>
      <c r="L160" s="764">
        <f t="shared" si="83"/>
        <v>182289.05763940146</v>
      </c>
      <c r="M160" s="762">
        <f t="shared" si="86"/>
        <v>0.83299999999999996</v>
      </c>
      <c r="N160" s="764">
        <f t="shared" si="57"/>
        <v>177934.63099999999</v>
      </c>
      <c r="O160" s="740">
        <f t="shared" si="76"/>
        <v>0.67913036557790707</v>
      </c>
      <c r="P160" s="765">
        <f t="shared" si="77"/>
        <v>8526.1717774944645</v>
      </c>
      <c r="Q160" s="742">
        <f t="shared" si="78"/>
        <v>4.9040396603347573E-2</v>
      </c>
      <c r="R160" s="743">
        <f t="shared" si="79"/>
        <v>173860.17177749446</v>
      </c>
      <c r="S160" s="744">
        <f t="shared" si="80"/>
        <v>9161.0903844863351</v>
      </c>
      <c r="T160" s="745">
        <v>2.2000000000000002</v>
      </c>
      <c r="U160" s="726">
        <f t="shared" si="81"/>
        <v>5.0000000000000018</v>
      </c>
      <c r="V160" s="746">
        <f t="shared" si="82"/>
        <v>2</v>
      </c>
      <c r="W160" s="781">
        <v>3.2000000000000001E-2</v>
      </c>
      <c r="X160" s="768">
        <f t="shared" si="92"/>
        <v>6835.424</v>
      </c>
      <c r="Y160" s="778">
        <v>3.7105751391465678E-3</v>
      </c>
      <c r="Z160" s="748">
        <f t="shared" si="90"/>
        <v>748.85063210173462</v>
      </c>
      <c r="AA160" s="770">
        <f t="shared" si="94"/>
        <v>5833.2498444608473</v>
      </c>
      <c r="AB160" s="770">
        <f t="shared" si="95"/>
        <v>5693.9081919999999</v>
      </c>
      <c r="AC160" s="770">
        <f t="shared" ref="AC160:AC166" si="100">IF(Y160,L160*Y160,0)</f>
        <v>676.39724541521878</v>
      </c>
      <c r="AD160" s="783">
        <f t="shared" si="91"/>
        <v>676.39724541521878</v>
      </c>
      <c r="AE160" s="743">
        <f t="shared" si="97"/>
        <v>613.4842300556586</v>
      </c>
      <c r="AF160" s="743">
        <f t="shared" si="98"/>
        <v>645.12123108532262</v>
      </c>
      <c r="AG160" s="773">
        <f t="shared" si="99"/>
        <v>9.4379109633187727E-2</v>
      </c>
      <c r="AH160" s="728" t="s">
        <v>397</v>
      </c>
    </row>
    <row r="161" spans="1:34" ht="14.4" x14ac:dyDescent="0.3">
      <c r="A161" s="729" t="s">
        <v>357</v>
      </c>
      <c r="B161" s="726" t="str">
        <f t="shared" si="93"/>
        <v>2000s</v>
      </c>
      <c r="C161" s="730">
        <v>2009</v>
      </c>
      <c r="D161" s="731">
        <f t="shared" si="68"/>
        <v>2006</v>
      </c>
      <c r="E161" s="732">
        <f t="shared" si="69"/>
        <v>2008</v>
      </c>
      <c r="F161" s="759">
        <f t="shared" si="70"/>
        <v>179732</v>
      </c>
      <c r="G161" s="760">
        <f t="shared" si="71"/>
        <v>177823</v>
      </c>
      <c r="H161" s="760">
        <f t="shared" si="72"/>
        <v>162830</v>
      </c>
      <c r="I161" s="761">
        <f t="shared" si="73"/>
        <v>134937</v>
      </c>
      <c r="J161" s="762">
        <f t="shared" si="74"/>
        <v>0.82869864275624883</v>
      </c>
      <c r="K161" s="763">
        <f t="shared" si="75"/>
        <v>166153.32351273368</v>
      </c>
      <c r="L161" s="764">
        <f t="shared" si="83"/>
        <v>147361.67875084444</v>
      </c>
      <c r="M161" s="762">
        <f t="shared" si="86"/>
        <v>0.82599999999999996</v>
      </c>
      <c r="N161" s="764">
        <f t="shared" si="57"/>
        <v>146881.79799999998</v>
      </c>
      <c r="O161" s="740">
        <f t="shared" si="76"/>
        <v>0.6577551835251908</v>
      </c>
      <c r="P161" s="765">
        <f t="shared" si="77"/>
        <v>9048.5604802554808</v>
      </c>
      <c r="Q161" s="742">
        <f t="shared" si="78"/>
        <v>6.2843527156990819E-2</v>
      </c>
      <c r="R161" s="743">
        <f t="shared" si="79"/>
        <v>143985.56048025549</v>
      </c>
      <c r="S161" s="744">
        <f t="shared" si="80"/>
        <v>4958.1039796106343</v>
      </c>
      <c r="T161" s="775">
        <v>1.1000000000000001</v>
      </c>
      <c r="U161" s="726">
        <f t="shared" si="81"/>
        <v>3.0000000000000009</v>
      </c>
      <c r="V161" s="746">
        <f t="shared" si="82"/>
        <v>1</v>
      </c>
      <c r="W161" s="781">
        <v>0.125</v>
      </c>
      <c r="X161" s="768">
        <f t="shared" si="92"/>
        <v>22227.875</v>
      </c>
      <c r="Y161" s="781">
        <v>3.4979423868312758E-2</v>
      </c>
      <c r="Z161" s="748">
        <f t="shared" si="90"/>
        <v>5811.9475302808078</v>
      </c>
      <c r="AA161" s="770">
        <f t="shared" si="94"/>
        <v>18420.209843855555</v>
      </c>
      <c r="AB161" s="770">
        <f t="shared" si="95"/>
        <v>18360.224749999998</v>
      </c>
      <c r="AC161" s="770">
        <f t="shared" si="100"/>
        <v>5154.6266229719249</v>
      </c>
      <c r="AD161" s="783">
        <f t="shared" si="91"/>
        <v>5154.6266229719249</v>
      </c>
      <c r="AE161" s="743">
        <f t="shared" si="97"/>
        <v>4720.0185185185182</v>
      </c>
      <c r="AF161" s="743">
        <f t="shared" si="98"/>
        <v>5036.5319509554392</v>
      </c>
      <c r="AG161" s="773">
        <f t="shared" si="99"/>
        <v>0.22658629990295695</v>
      </c>
      <c r="AH161" s="728" t="s">
        <v>397</v>
      </c>
    </row>
    <row r="162" spans="1:34" ht="14.4" x14ac:dyDescent="0.3">
      <c r="A162" s="729" t="s">
        <v>357</v>
      </c>
      <c r="B162" s="726" t="str">
        <f t="shared" si="93"/>
        <v>2000s</v>
      </c>
      <c r="C162" s="730">
        <v>2009</v>
      </c>
      <c r="D162" s="731">
        <f t="shared" si="68"/>
        <v>2005</v>
      </c>
      <c r="E162" s="732">
        <f t="shared" si="69"/>
        <v>2007</v>
      </c>
      <c r="F162" s="759">
        <f t="shared" si="70"/>
        <v>179732</v>
      </c>
      <c r="G162" s="760">
        <f t="shared" si="71"/>
        <v>177823</v>
      </c>
      <c r="H162" s="760">
        <f t="shared" si="72"/>
        <v>162830</v>
      </c>
      <c r="I162" s="761">
        <f t="shared" si="73"/>
        <v>134937</v>
      </c>
      <c r="J162" s="762">
        <f t="shared" si="74"/>
        <v>0.82869864275624883</v>
      </c>
      <c r="K162" s="763">
        <f t="shared" si="75"/>
        <v>166153.32351273368</v>
      </c>
      <c r="L162" s="764">
        <f t="shared" si="83"/>
        <v>147361.67875084444</v>
      </c>
      <c r="M162" s="762">
        <f t="shared" si="86"/>
        <v>0.82599999999999996</v>
      </c>
      <c r="N162" s="764">
        <f t="shared" si="57"/>
        <v>146881.79799999998</v>
      </c>
      <c r="O162" s="740">
        <f t="shared" si="76"/>
        <v>0.6577551835251908</v>
      </c>
      <c r="P162" s="765">
        <f t="shared" si="77"/>
        <v>9048.5604802554808</v>
      </c>
      <c r="Q162" s="742">
        <f t="shared" si="78"/>
        <v>6.2843527156990819E-2</v>
      </c>
      <c r="R162" s="743">
        <f t="shared" si="79"/>
        <v>143985.56048025549</v>
      </c>
      <c r="S162" s="744">
        <f t="shared" si="80"/>
        <v>4958.1039796106343</v>
      </c>
      <c r="T162" s="745">
        <v>1.2</v>
      </c>
      <c r="U162" s="726">
        <f t="shared" si="81"/>
        <v>3.9999999999999996</v>
      </c>
      <c r="V162" s="746">
        <f t="shared" si="82"/>
        <v>1</v>
      </c>
      <c r="W162" s="781">
        <v>0.79200000000000004</v>
      </c>
      <c r="X162" s="768">
        <f t="shared" si="92"/>
        <v>140835.81600000002</v>
      </c>
      <c r="Y162" s="781">
        <v>0.87860082304526754</v>
      </c>
      <c r="Z162" s="748">
        <f t="shared" si="90"/>
        <v>145982.44678999443</v>
      </c>
      <c r="AA162" s="770">
        <f t="shared" si="94"/>
        <v>116710.4495706688</v>
      </c>
      <c r="AB162" s="770">
        <f t="shared" si="95"/>
        <v>116330.384016</v>
      </c>
      <c r="AC162" s="770">
        <f t="shared" si="100"/>
        <v>129472.09223582424</v>
      </c>
      <c r="AD162" s="783">
        <f t="shared" si="91"/>
        <v>129472.09223582424</v>
      </c>
      <c r="AE162" s="743">
        <f t="shared" si="97"/>
        <v>118555.75925925927</v>
      </c>
      <c r="AF162" s="743">
        <f t="shared" si="98"/>
        <v>126505.83194458662</v>
      </c>
      <c r="AG162" s="773">
        <f t="shared" si="99"/>
        <v>0.89825042760846152</v>
      </c>
      <c r="AH162" s="728" t="s">
        <v>397</v>
      </c>
    </row>
    <row r="163" spans="1:34" ht="14.4" x14ac:dyDescent="0.3">
      <c r="A163" s="729" t="s">
        <v>357</v>
      </c>
      <c r="B163" s="726" t="str">
        <f t="shared" si="93"/>
        <v>2000s</v>
      </c>
      <c r="C163" s="730">
        <v>2009</v>
      </c>
      <c r="D163" s="731">
        <f t="shared" si="68"/>
        <v>2004</v>
      </c>
      <c r="E163" s="732">
        <f t="shared" si="69"/>
        <v>2006</v>
      </c>
      <c r="F163" s="759">
        <f t="shared" si="70"/>
        <v>179732</v>
      </c>
      <c r="G163" s="760">
        <f t="shared" si="71"/>
        <v>177823</v>
      </c>
      <c r="H163" s="760">
        <f t="shared" si="72"/>
        <v>162830</v>
      </c>
      <c r="I163" s="761">
        <f t="shared" si="73"/>
        <v>134937</v>
      </c>
      <c r="J163" s="762">
        <f t="shared" si="74"/>
        <v>0.82869864275624883</v>
      </c>
      <c r="K163" s="763">
        <f t="shared" si="75"/>
        <v>166153.32351273368</v>
      </c>
      <c r="L163" s="764">
        <f t="shared" si="83"/>
        <v>147361.67875084444</v>
      </c>
      <c r="M163" s="762">
        <f t="shared" si="86"/>
        <v>0.82599999999999996</v>
      </c>
      <c r="N163" s="764">
        <f t="shared" si="57"/>
        <v>146881.79799999998</v>
      </c>
      <c r="O163" s="740">
        <f t="shared" si="76"/>
        <v>0.6577551835251908</v>
      </c>
      <c r="P163" s="765">
        <f t="shared" si="77"/>
        <v>9048.5604802554808</v>
      </c>
      <c r="Q163" s="742">
        <f t="shared" si="78"/>
        <v>6.2843527156990819E-2</v>
      </c>
      <c r="R163" s="743">
        <f t="shared" si="79"/>
        <v>143985.56048025549</v>
      </c>
      <c r="S163" s="744">
        <f t="shared" si="80"/>
        <v>4958.1039796106343</v>
      </c>
      <c r="T163" s="745">
        <v>1.3</v>
      </c>
      <c r="U163" s="726">
        <f t="shared" si="81"/>
        <v>5</v>
      </c>
      <c r="V163" s="746">
        <f t="shared" si="82"/>
        <v>1</v>
      </c>
      <c r="W163" s="767">
        <v>2.5999999999999999E-2</v>
      </c>
      <c r="X163" s="768">
        <f t="shared" si="92"/>
        <v>4623.3980000000001</v>
      </c>
      <c r="Y163" s="767">
        <v>5.3497942386831275E-2</v>
      </c>
      <c r="Z163" s="748">
        <f t="shared" si="90"/>
        <v>8888.8609286647643</v>
      </c>
      <c r="AA163" s="770">
        <f t="shared" si="94"/>
        <v>3831.4036475219555</v>
      </c>
      <c r="AB163" s="770">
        <f t="shared" si="95"/>
        <v>3818.9267479999994</v>
      </c>
      <c r="AC163" s="770">
        <f t="shared" si="100"/>
        <v>7883.5465998394147</v>
      </c>
      <c r="AD163" s="783">
        <f t="shared" si="91"/>
        <v>7883.5465998394147</v>
      </c>
      <c r="AE163" s="743">
        <f t="shared" si="97"/>
        <v>7218.8518518518522</v>
      </c>
      <c r="AF163" s="743">
        <f t="shared" si="98"/>
        <v>7702.9312191083181</v>
      </c>
      <c r="AG163" s="773">
        <f t="shared" si="99"/>
        <v>1.6660757345805657</v>
      </c>
      <c r="AH163" s="728" t="s">
        <v>397</v>
      </c>
    </row>
    <row r="164" spans="1:34" ht="14.4" x14ac:dyDescent="0.3">
      <c r="A164" s="729" t="s">
        <v>357</v>
      </c>
      <c r="B164" s="726" t="str">
        <f t="shared" si="93"/>
        <v>2000s</v>
      </c>
      <c r="C164" s="730">
        <v>2009</v>
      </c>
      <c r="D164" s="731">
        <f t="shared" si="68"/>
        <v>2005</v>
      </c>
      <c r="E164" s="732">
        <f t="shared" si="69"/>
        <v>2008</v>
      </c>
      <c r="F164" s="759">
        <f t="shared" si="70"/>
        <v>179732</v>
      </c>
      <c r="G164" s="760">
        <f t="shared" si="71"/>
        <v>177823</v>
      </c>
      <c r="H164" s="760">
        <f t="shared" si="72"/>
        <v>162830</v>
      </c>
      <c r="I164" s="761">
        <f t="shared" si="73"/>
        <v>134937</v>
      </c>
      <c r="J164" s="762">
        <f t="shared" si="74"/>
        <v>0.82869864275624883</v>
      </c>
      <c r="K164" s="763">
        <f t="shared" si="75"/>
        <v>166153.32351273368</v>
      </c>
      <c r="L164" s="764">
        <f t="shared" si="83"/>
        <v>147361.67875084444</v>
      </c>
      <c r="M164" s="762">
        <f t="shared" si="86"/>
        <v>0.82599999999999996</v>
      </c>
      <c r="N164" s="764">
        <f t="shared" si="57"/>
        <v>146881.79799999998</v>
      </c>
      <c r="O164" s="740">
        <f t="shared" si="76"/>
        <v>0.6577551835251908</v>
      </c>
      <c r="P164" s="765">
        <f t="shared" si="77"/>
        <v>9048.5604802554808</v>
      </c>
      <c r="Q164" s="742">
        <f t="shared" si="78"/>
        <v>6.2843527156990819E-2</v>
      </c>
      <c r="R164" s="743">
        <f t="shared" si="79"/>
        <v>143985.56048025549</v>
      </c>
      <c r="S164" s="744">
        <f t="shared" si="80"/>
        <v>4958.1039796106343</v>
      </c>
      <c r="T164" s="745">
        <v>2.1</v>
      </c>
      <c r="U164" s="726">
        <f t="shared" si="81"/>
        <v>4.0000000000000009</v>
      </c>
      <c r="V164" s="746">
        <f t="shared" si="82"/>
        <v>2</v>
      </c>
      <c r="W164" s="767">
        <v>0.01</v>
      </c>
      <c r="X164" s="768">
        <f t="shared" si="92"/>
        <v>1778.23</v>
      </c>
      <c r="Y164" s="767">
        <v>0</v>
      </c>
      <c r="Z164" s="748">
        <f t="shared" si="90"/>
        <v>0</v>
      </c>
      <c r="AA164" s="770">
        <f t="shared" si="94"/>
        <v>1473.6167875084445</v>
      </c>
      <c r="AB164" s="770">
        <f t="shared" si="95"/>
        <v>1468.8179799999998</v>
      </c>
      <c r="AC164" s="770">
        <f t="shared" si="100"/>
        <v>0</v>
      </c>
      <c r="AD164" s="783">
        <f t="shared" si="91"/>
        <v>0</v>
      </c>
      <c r="AE164" s="743">
        <f t="shared" si="97"/>
        <v>0</v>
      </c>
      <c r="AF164" s="743">
        <f t="shared" si="98"/>
        <v>0</v>
      </c>
      <c r="AG164" s="773">
        <f t="shared" si="99"/>
        <v>0</v>
      </c>
      <c r="AH164" s="728" t="s">
        <v>397</v>
      </c>
    </row>
    <row r="165" spans="1:34" ht="14.4" x14ac:dyDescent="0.3">
      <c r="A165" s="729" t="s">
        <v>357</v>
      </c>
      <c r="B165" s="726" t="str">
        <f t="shared" si="93"/>
        <v>2000s</v>
      </c>
      <c r="C165" s="730">
        <v>2009</v>
      </c>
      <c r="D165" s="731">
        <f t="shared" si="68"/>
        <v>2004</v>
      </c>
      <c r="E165" s="732">
        <f t="shared" si="69"/>
        <v>2007</v>
      </c>
      <c r="F165" s="759">
        <f t="shared" si="70"/>
        <v>179732</v>
      </c>
      <c r="G165" s="760">
        <f t="shared" si="71"/>
        <v>177823</v>
      </c>
      <c r="H165" s="760">
        <f t="shared" si="72"/>
        <v>162830</v>
      </c>
      <c r="I165" s="761">
        <f t="shared" si="73"/>
        <v>134937</v>
      </c>
      <c r="J165" s="762">
        <f t="shared" si="74"/>
        <v>0.82869864275624883</v>
      </c>
      <c r="K165" s="763">
        <f t="shared" si="75"/>
        <v>166153.32351273368</v>
      </c>
      <c r="L165" s="764">
        <f t="shared" si="83"/>
        <v>147361.67875084444</v>
      </c>
      <c r="M165" s="762">
        <f t="shared" si="86"/>
        <v>0.82599999999999996</v>
      </c>
      <c r="N165" s="764">
        <f t="shared" si="57"/>
        <v>146881.79799999998</v>
      </c>
      <c r="O165" s="740">
        <f t="shared" si="76"/>
        <v>0.6577551835251908</v>
      </c>
      <c r="P165" s="765">
        <f t="shared" si="77"/>
        <v>9048.5604802554808</v>
      </c>
      <c r="Q165" s="742">
        <f t="shared" si="78"/>
        <v>6.2843527156990819E-2</v>
      </c>
      <c r="R165" s="743">
        <f t="shared" si="79"/>
        <v>143985.56048025549</v>
      </c>
      <c r="S165" s="744">
        <f t="shared" si="80"/>
        <v>4958.1039796106343</v>
      </c>
      <c r="T165" s="745">
        <v>2.2000000000000002</v>
      </c>
      <c r="U165" s="726">
        <f t="shared" si="81"/>
        <v>5.0000000000000018</v>
      </c>
      <c r="V165" s="746">
        <f t="shared" si="82"/>
        <v>2</v>
      </c>
      <c r="W165" s="767">
        <v>4.5999999999999999E-2</v>
      </c>
      <c r="X165" s="768">
        <f t="shared" si="92"/>
        <v>8179.8580000000002</v>
      </c>
      <c r="Y165" s="767">
        <v>3.292181069958848E-2</v>
      </c>
      <c r="Z165" s="748">
        <f t="shared" si="90"/>
        <v>5470.0682637937016</v>
      </c>
      <c r="AA165" s="770">
        <f t="shared" si="94"/>
        <v>6778.6372225388441</v>
      </c>
      <c r="AB165" s="770">
        <f t="shared" si="95"/>
        <v>6756.5627079999986</v>
      </c>
      <c r="AC165" s="770">
        <f t="shared" si="100"/>
        <v>4851.4132922088711</v>
      </c>
      <c r="AD165" s="783">
        <f t="shared" si="91"/>
        <v>4851.4132922088711</v>
      </c>
      <c r="AE165" s="743">
        <f t="shared" si="97"/>
        <v>4442.3703703703704</v>
      </c>
      <c r="AF165" s="743">
        <f t="shared" si="98"/>
        <v>4740.2653656051198</v>
      </c>
      <c r="AG165" s="773">
        <f t="shared" si="99"/>
        <v>0.57950460333237075</v>
      </c>
      <c r="AH165" s="728" t="s">
        <v>397</v>
      </c>
    </row>
    <row r="166" spans="1:34" ht="14.4" x14ac:dyDescent="0.3">
      <c r="A166" s="729" t="s">
        <v>357</v>
      </c>
      <c r="B166" s="726" t="str">
        <f t="shared" si="93"/>
        <v>2000s</v>
      </c>
      <c r="C166" s="730">
        <v>2009</v>
      </c>
      <c r="D166" s="731">
        <f t="shared" si="68"/>
        <v>2003</v>
      </c>
      <c r="E166" s="732">
        <f t="shared" si="69"/>
        <v>2006</v>
      </c>
      <c r="F166" s="759">
        <f t="shared" si="70"/>
        <v>179732</v>
      </c>
      <c r="G166" s="760">
        <f t="shared" si="71"/>
        <v>177823</v>
      </c>
      <c r="H166" s="760">
        <f t="shared" si="72"/>
        <v>162830</v>
      </c>
      <c r="I166" s="761">
        <f t="shared" si="73"/>
        <v>134937</v>
      </c>
      <c r="J166" s="762">
        <f t="shared" si="74"/>
        <v>0.82869864275624883</v>
      </c>
      <c r="K166" s="763">
        <f t="shared" si="75"/>
        <v>166153.32351273368</v>
      </c>
      <c r="L166" s="764">
        <f t="shared" si="83"/>
        <v>147361.67875084444</v>
      </c>
      <c r="M166" s="762">
        <f t="shared" si="86"/>
        <v>0.82599999999999996</v>
      </c>
      <c r="N166" s="764">
        <f t="shared" si="57"/>
        <v>146881.79799999998</v>
      </c>
      <c r="O166" s="740">
        <f t="shared" si="76"/>
        <v>0.6577551835251908</v>
      </c>
      <c r="P166" s="765">
        <f t="shared" si="77"/>
        <v>9048.5604802554808</v>
      </c>
      <c r="Q166" s="742">
        <f t="shared" si="78"/>
        <v>6.2843527156990819E-2</v>
      </c>
      <c r="R166" s="743">
        <f t="shared" si="79"/>
        <v>143985.56048025549</v>
      </c>
      <c r="S166" s="744">
        <f t="shared" si="80"/>
        <v>4958.1039796106343</v>
      </c>
      <c r="T166" s="745">
        <v>2.2999999999999998</v>
      </c>
      <c r="U166" s="726">
        <f t="shared" si="81"/>
        <v>5.9999999999999982</v>
      </c>
      <c r="V166" s="746">
        <f t="shared" si="82"/>
        <v>2</v>
      </c>
      <c r="W166" s="767">
        <v>1E-3</v>
      </c>
      <c r="X166" s="768">
        <f t="shared" si="92"/>
        <v>177.82300000000001</v>
      </c>
      <c r="Y166" s="767">
        <v>0</v>
      </c>
      <c r="Z166" s="748">
        <f t="shared" si="90"/>
        <v>0</v>
      </c>
      <c r="AA166" s="770">
        <f t="shared" si="94"/>
        <v>147.36167875084445</v>
      </c>
      <c r="AB166" s="770">
        <f t="shared" si="95"/>
        <v>146.88179799999997</v>
      </c>
      <c r="AC166" s="770">
        <f t="shared" si="100"/>
        <v>0</v>
      </c>
      <c r="AD166" s="783">
        <f t="shared" si="91"/>
        <v>0</v>
      </c>
      <c r="AE166" s="743">
        <f t="shared" si="97"/>
        <v>0</v>
      </c>
      <c r="AF166" s="743">
        <f t="shared" si="98"/>
        <v>0</v>
      </c>
      <c r="AG166" s="773">
        <f t="shared" si="99"/>
        <v>0</v>
      </c>
    </row>
    <row r="167" spans="1:34" ht="14.4" x14ac:dyDescent="0.3">
      <c r="A167" s="729" t="s">
        <v>357</v>
      </c>
      <c r="B167" s="726" t="str">
        <f t="shared" si="93"/>
        <v>2000s</v>
      </c>
      <c r="C167" s="730">
        <v>2010</v>
      </c>
      <c r="D167" s="731">
        <f t="shared" si="68"/>
        <v>2007</v>
      </c>
      <c r="E167" s="732">
        <f t="shared" si="69"/>
        <v>2009</v>
      </c>
      <c r="F167" s="759">
        <f t="shared" si="70"/>
        <v>392193</v>
      </c>
      <c r="G167" s="760">
        <f t="shared" si="71"/>
        <v>386525</v>
      </c>
      <c r="H167" s="760">
        <f t="shared" si="72"/>
        <v>338310</v>
      </c>
      <c r="I167" s="761">
        <f t="shared" si="73"/>
        <v>291764</v>
      </c>
      <c r="J167" s="762">
        <f t="shared" si="74"/>
        <v>0.86241612722059646</v>
      </c>
      <c r="K167" s="763">
        <f t="shared" si="75"/>
        <v>370724.52957322967</v>
      </c>
      <c r="L167" s="764">
        <f t="shared" si="83"/>
        <v>333345.39357394102</v>
      </c>
      <c r="M167" s="762">
        <f t="shared" si="86"/>
        <v>0.81799999999999995</v>
      </c>
      <c r="N167" s="764">
        <f t="shared" si="57"/>
        <v>316177.44999999995</v>
      </c>
      <c r="O167" s="740">
        <f t="shared" si="76"/>
        <v>0.65993920186275146</v>
      </c>
      <c r="P167" s="765">
        <f t="shared" si="77"/>
        <v>22934.232071177321</v>
      </c>
      <c r="Q167" s="742">
        <f t="shared" si="78"/>
        <v>7.2876901532736085E-2</v>
      </c>
      <c r="R167" s="743">
        <f t="shared" si="79"/>
        <v>314698.23207117734</v>
      </c>
      <c r="S167" s="744">
        <f t="shared" si="80"/>
        <v>23535.336111850047</v>
      </c>
      <c r="T167" s="745">
        <v>1.1000000000000001</v>
      </c>
      <c r="U167" s="726">
        <f t="shared" si="81"/>
        <v>3.0000000000000009</v>
      </c>
      <c r="V167" s="746">
        <f t="shared" si="82"/>
        <v>1</v>
      </c>
      <c r="W167" s="767">
        <v>1.7999999999999999E-2</v>
      </c>
      <c r="X167" s="768">
        <f t="shared" si="92"/>
        <v>6957.45</v>
      </c>
      <c r="Y167" s="767">
        <v>8.8183421516754845E-3</v>
      </c>
      <c r="Z167" s="748">
        <f t="shared" si="90"/>
        <v>3269.175745795676</v>
      </c>
      <c r="AA167" s="770">
        <f t="shared" si="94"/>
        <v>6000.2170843309377</v>
      </c>
      <c r="AB167" s="770">
        <f t="shared" si="95"/>
        <v>5691.1940999999988</v>
      </c>
      <c r="AC167" s="770">
        <f t="shared" si="96"/>
        <v>2939.5537352199385</v>
      </c>
      <c r="AD167" s="783">
        <f t="shared" si="91"/>
        <v>2939.5537352199385</v>
      </c>
      <c r="AE167" s="743">
        <f t="shared" si="97"/>
        <v>2572.8747795414461</v>
      </c>
      <c r="AF167" s="772">
        <f t="shared" si="98"/>
        <v>2775.1166849310171</v>
      </c>
      <c r="AG167" s="773">
        <f t="shared" si="99"/>
        <v>0.39886979926999361</v>
      </c>
      <c r="AH167" s="728" t="s">
        <v>397</v>
      </c>
    </row>
    <row r="168" spans="1:34" ht="14.4" x14ac:dyDescent="0.3">
      <c r="A168" s="729" t="s">
        <v>357</v>
      </c>
      <c r="B168" s="726" t="str">
        <f t="shared" si="93"/>
        <v>2000s</v>
      </c>
      <c r="C168" s="730">
        <v>2010</v>
      </c>
      <c r="D168" s="731">
        <f t="shared" si="68"/>
        <v>2006</v>
      </c>
      <c r="E168" s="732">
        <f t="shared" si="69"/>
        <v>2008</v>
      </c>
      <c r="F168" s="759">
        <f t="shared" si="70"/>
        <v>392193</v>
      </c>
      <c r="G168" s="760">
        <f t="shared" si="71"/>
        <v>386525</v>
      </c>
      <c r="H168" s="760">
        <f t="shared" si="72"/>
        <v>338310</v>
      </c>
      <c r="I168" s="761">
        <f t="shared" si="73"/>
        <v>291764</v>
      </c>
      <c r="J168" s="762">
        <f t="shared" si="74"/>
        <v>0.86241612722059646</v>
      </c>
      <c r="K168" s="763">
        <f t="shared" si="75"/>
        <v>370724.52957322967</v>
      </c>
      <c r="L168" s="764">
        <f t="shared" si="83"/>
        <v>333345.39357394102</v>
      </c>
      <c r="M168" s="762">
        <f t="shared" si="86"/>
        <v>0.81799999999999995</v>
      </c>
      <c r="N168" s="764">
        <f t="shared" si="57"/>
        <v>316177.44999999995</v>
      </c>
      <c r="O168" s="740">
        <f t="shared" si="76"/>
        <v>0.65993920186275146</v>
      </c>
      <c r="P168" s="765">
        <f t="shared" si="77"/>
        <v>22934.232071177321</v>
      </c>
      <c r="Q168" s="742">
        <f t="shared" si="78"/>
        <v>7.2876901532736085E-2</v>
      </c>
      <c r="R168" s="743">
        <f t="shared" si="79"/>
        <v>314698.23207117734</v>
      </c>
      <c r="S168" s="744">
        <f t="shared" si="80"/>
        <v>23535.336111850047</v>
      </c>
      <c r="T168" s="745">
        <v>1.2</v>
      </c>
      <c r="U168" s="726">
        <f t="shared" si="81"/>
        <v>3.9999999999999996</v>
      </c>
      <c r="V168" s="746">
        <f t="shared" si="82"/>
        <v>1</v>
      </c>
      <c r="W168" s="781">
        <v>0.95399999999999996</v>
      </c>
      <c r="X168" s="768">
        <f t="shared" si="92"/>
        <v>368744.85</v>
      </c>
      <c r="Y168" s="781">
        <v>0.89400000000000002</v>
      </c>
      <c r="Z168" s="748">
        <f t="shared" si="90"/>
        <v>331427.7294384673</v>
      </c>
      <c r="AA168" s="770">
        <f t="shared" si="94"/>
        <v>318011.50546953973</v>
      </c>
      <c r="AB168" s="770">
        <f t="shared" si="95"/>
        <v>301633.28729999997</v>
      </c>
      <c r="AC168" s="770">
        <f t="shared" si="96"/>
        <v>298010.78185510327</v>
      </c>
      <c r="AD168" s="783">
        <f t="shared" si="91"/>
        <v>298010.78185510327</v>
      </c>
      <c r="AE168" s="743">
        <f t="shared" si="97"/>
        <v>260837.016</v>
      </c>
      <c r="AF168" s="743">
        <f t="shared" si="98"/>
        <v>281340.21947163256</v>
      </c>
      <c r="AG168" s="773">
        <f t="shared" si="99"/>
        <v>0.76296718305796696</v>
      </c>
      <c r="AH168" s="728" t="s">
        <v>397</v>
      </c>
    </row>
    <row r="169" spans="1:34" ht="14.4" x14ac:dyDescent="0.3">
      <c r="A169" s="729" t="s">
        <v>357</v>
      </c>
      <c r="B169" s="726" t="str">
        <f t="shared" si="93"/>
        <v>2000s</v>
      </c>
      <c r="C169" s="730">
        <v>2010</v>
      </c>
      <c r="D169" s="731">
        <f t="shared" si="68"/>
        <v>2005</v>
      </c>
      <c r="E169" s="732">
        <f t="shared" si="69"/>
        <v>2007</v>
      </c>
      <c r="F169" s="759">
        <f t="shared" si="70"/>
        <v>392193</v>
      </c>
      <c r="G169" s="760">
        <f t="shared" si="71"/>
        <v>386525</v>
      </c>
      <c r="H169" s="760">
        <f t="shared" si="72"/>
        <v>338310</v>
      </c>
      <c r="I169" s="761">
        <f t="shared" si="73"/>
        <v>291764</v>
      </c>
      <c r="J169" s="762">
        <f t="shared" si="74"/>
        <v>0.86241612722059646</v>
      </c>
      <c r="K169" s="763">
        <f t="shared" si="75"/>
        <v>370724.52957322967</v>
      </c>
      <c r="L169" s="764">
        <f t="shared" si="83"/>
        <v>333345.39357394102</v>
      </c>
      <c r="M169" s="762">
        <f t="shared" ref="M169:M200" si="101">VLOOKUP($C169,SockeyeReturnsData,12)</f>
        <v>0.81799999999999995</v>
      </c>
      <c r="N169" s="764">
        <f t="shared" ref="N169:N234" si="102">IF(M169,M169*G169,J169*G169)</f>
        <v>316177.44999999995</v>
      </c>
      <c r="O169" s="740">
        <f t="shared" si="76"/>
        <v>0.65993920186275146</v>
      </c>
      <c r="P169" s="765">
        <f t="shared" si="77"/>
        <v>22934.232071177321</v>
      </c>
      <c r="Q169" s="742">
        <f t="shared" si="78"/>
        <v>7.2876901532736085E-2</v>
      </c>
      <c r="R169" s="743">
        <f t="shared" si="79"/>
        <v>314698.23207117734</v>
      </c>
      <c r="S169" s="744">
        <f t="shared" si="80"/>
        <v>23535.336111850047</v>
      </c>
      <c r="T169" s="745">
        <v>1.3</v>
      </c>
      <c r="U169" s="726">
        <f t="shared" si="81"/>
        <v>5</v>
      </c>
      <c r="V169" s="746">
        <f t="shared" si="82"/>
        <v>1</v>
      </c>
      <c r="W169" s="781">
        <v>5.0000000000000001E-3</v>
      </c>
      <c r="X169" s="768">
        <f t="shared" si="92"/>
        <v>1932.625</v>
      </c>
      <c r="Y169" s="781">
        <v>7.3999999999999996E-2</v>
      </c>
      <c r="Z169" s="748">
        <f t="shared" si="90"/>
        <v>27433.615188418993</v>
      </c>
      <c r="AA169" s="770">
        <f t="shared" si="94"/>
        <v>1666.726967869705</v>
      </c>
      <c r="AB169" s="770">
        <f t="shared" si="95"/>
        <v>1580.8872499999998</v>
      </c>
      <c r="AC169" s="770">
        <f t="shared" si="96"/>
        <v>24667.559124471634</v>
      </c>
      <c r="AD169" s="783">
        <f t="shared" si="91"/>
        <v>24667.559124471634</v>
      </c>
      <c r="AE169" s="743">
        <f t="shared" si="97"/>
        <v>21590.536</v>
      </c>
      <c r="AF169" s="743">
        <f t="shared" si="98"/>
        <v>23287.669173267121</v>
      </c>
      <c r="AG169" s="773">
        <f t="shared" si="99"/>
        <v>12.049760907194681</v>
      </c>
      <c r="AH169" s="728" t="s">
        <v>397</v>
      </c>
    </row>
    <row r="170" spans="1:34" ht="14.4" x14ac:dyDescent="0.3">
      <c r="A170" s="729" t="s">
        <v>357</v>
      </c>
      <c r="B170" s="726" t="str">
        <f t="shared" si="93"/>
        <v>2000s</v>
      </c>
      <c r="C170" s="730">
        <v>2010</v>
      </c>
      <c r="D170" s="731">
        <f t="shared" si="68"/>
        <v>2006</v>
      </c>
      <c r="E170" s="732">
        <f t="shared" si="69"/>
        <v>2009</v>
      </c>
      <c r="F170" s="759">
        <f t="shared" si="70"/>
        <v>392193</v>
      </c>
      <c r="G170" s="760">
        <f t="shared" si="71"/>
        <v>386525</v>
      </c>
      <c r="H170" s="760">
        <f t="shared" si="72"/>
        <v>338310</v>
      </c>
      <c r="I170" s="761">
        <f t="shared" si="73"/>
        <v>291764</v>
      </c>
      <c r="J170" s="762">
        <f t="shared" si="74"/>
        <v>0.86241612722059646</v>
      </c>
      <c r="K170" s="763">
        <f t="shared" si="75"/>
        <v>370724.52957322967</v>
      </c>
      <c r="L170" s="764">
        <f t="shared" si="83"/>
        <v>333345.39357394102</v>
      </c>
      <c r="M170" s="762">
        <f t="shared" si="101"/>
        <v>0.81799999999999995</v>
      </c>
      <c r="N170" s="764">
        <f t="shared" si="102"/>
        <v>316177.44999999995</v>
      </c>
      <c r="O170" s="740">
        <f t="shared" si="76"/>
        <v>0.65993920186275146</v>
      </c>
      <c r="P170" s="765">
        <f t="shared" si="77"/>
        <v>22934.232071177321</v>
      </c>
      <c r="Q170" s="742">
        <f t="shared" si="78"/>
        <v>7.2876901532736085E-2</v>
      </c>
      <c r="R170" s="743">
        <f t="shared" si="79"/>
        <v>314698.23207117734</v>
      </c>
      <c r="S170" s="744">
        <f t="shared" si="80"/>
        <v>23535.336111850047</v>
      </c>
      <c r="T170" s="745">
        <v>2.1</v>
      </c>
      <c r="U170" s="726">
        <f t="shared" si="81"/>
        <v>4.0000000000000009</v>
      </c>
      <c r="V170" s="746">
        <f t="shared" si="82"/>
        <v>2</v>
      </c>
      <c r="W170" s="767">
        <v>6.0000000000000001E-3</v>
      </c>
      <c r="X170" s="768">
        <f t="shared" si="92"/>
        <v>2319.15</v>
      </c>
      <c r="Y170" s="767">
        <v>1.7000000000000001E-2</v>
      </c>
      <c r="Z170" s="748">
        <f t="shared" si="90"/>
        <v>6302.317002744905</v>
      </c>
      <c r="AA170" s="770">
        <f t="shared" si="94"/>
        <v>2000.0723614436463</v>
      </c>
      <c r="AB170" s="770">
        <f t="shared" si="95"/>
        <v>1897.0646999999997</v>
      </c>
      <c r="AC170" s="770">
        <f t="shared" si="96"/>
        <v>5666.8716907569979</v>
      </c>
      <c r="AD170" s="783">
        <f t="shared" si="91"/>
        <v>5666.8716907569979</v>
      </c>
      <c r="AE170" s="743">
        <f t="shared" si="97"/>
        <v>4959.9880000000003</v>
      </c>
      <c r="AF170" s="743">
        <f t="shared" si="98"/>
        <v>5349.8699452100154</v>
      </c>
      <c r="AG170" s="773">
        <f t="shared" si="99"/>
        <v>2.3068235970980813</v>
      </c>
      <c r="AH170" s="728" t="s">
        <v>397</v>
      </c>
    </row>
    <row r="171" spans="1:34" ht="14.4" x14ac:dyDescent="0.3">
      <c r="A171" s="729" t="s">
        <v>357</v>
      </c>
      <c r="B171" s="726" t="str">
        <f t="shared" si="93"/>
        <v>2000s</v>
      </c>
      <c r="C171" s="730">
        <v>2010</v>
      </c>
      <c r="D171" s="731">
        <f t="shared" si="68"/>
        <v>2005</v>
      </c>
      <c r="E171" s="732">
        <f t="shared" si="69"/>
        <v>2008</v>
      </c>
      <c r="F171" s="759">
        <f t="shared" si="70"/>
        <v>392193</v>
      </c>
      <c r="G171" s="760">
        <f t="shared" si="71"/>
        <v>386525</v>
      </c>
      <c r="H171" s="760">
        <f t="shared" si="72"/>
        <v>338310</v>
      </c>
      <c r="I171" s="761">
        <f t="shared" si="73"/>
        <v>291764</v>
      </c>
      <c r="J171" s="762">
        <f t="shared" si="74"/>
        <v>0.86241612722059646</v>
      </c>
      <c r="K171" s="763">
        <f t="shared" si="75"/>
        <v>370724.52957322967</v>
      </c>
      <c r="L171" s="764">
        <f t="shared" si="83"/>
        <v>333345.39357394102</v>
      </c>
      <c r="M171" s="762">
        <f t="shared" si="101"/>
        <v>0.81799999999999995</v>
      </c>
      <c r="N171" s="764">
        <f t="shared" si="102"/>
        <v>316177.44999999995</v>
      </c>
      <c r="O171" s="740">
        <f t="shared" si="76"/>
        <v>0.65993920186275146</v>
      </c>
      <c r="P171" s="765">
        <f t="shared" si="77"/>
        <v>22934.232071177321</v>
      </c>
      <c r="Q171" s="742">
        <f t="shared" si="78"/>
        <v>7.2876901532736085E-2</v>
      </c>
      <c r="R171" s="743">
        <f t="shared" si="79"/>
        <v>314698.23207117734</v>
      </c>
      <c r="S171" s="744">
        <f t="shared" si="80"/>
        <v>23535.336111850047</v>
      </c>
      <c r="T171" s="745">
        <v>2.2000000000000002</v>
      </c>
      <c r="U171" s="726">
        <f t="shared" si="81"/>
        <v>5.0000000000000018</v>
      </c>
      <c r="V171" s="746">
        <f t="shared" si="82"/>
        <v>2</v>
      </c>
      <c r="W171" s="767">
        <v>1.6E-2</v>
      </c>
      <c r="X171" s="768">
        <f t="shared" si="92"/>
        <v>6184.4000000000005</v>
      </c>
      <c r="Y171" s="767">
        <v>6.0000000000000001E-3</v>
      </c>
      <c r="Z171" s="748">
        <f t="shared" si="90"/>
        <v>2224.3471774393779</v>
      </c>
      <c r="AA171" s="770">
        <f t="shared" si="94"/>
        <v>5333.5262971830562</v>
      </c>
      <c r="AB171" s="770">
        <f t="shared" si="95"/>
        <v>5058.8391999999994</v>
      </c>
      <c r="AC171" s="770">
        <f t="shared" si="96"/>
        <v>2000.0723614436463</v>
      </c>
      <c r="AD171" s="783">
        <f t="shared" si="91"/>
        <v>2000.0723614436463</v>
      </c>
      <c r="AE171" s="743">
        <f t="shared" si="97"/>
        <v>1750.5840000000001</v>
      </c>
      <c r="AF171" s="743">
        <f t="shared" si="98"/>
        <v>1888.1893924270641</v>
      </c>
      <c r="AG171" s="773">
        <f t="shared" si="99"/>
        <v>0.30531488785121663</v>
      </c>
      <c r="AH171" s="728" t="s">
        <v>397</v>
      </c>
    </row>
    <row r="172" spans="1:34" ht="14.4" x14ac:dyDescent="0.3">
      <c r="A172" s="729" t="s">
        <v>357</v>
      </c>
      <c r="B172" s="726" t="str">
        <f t="shared" si="93"/>
        <v>2010s</v>
      </c>
      <c r="C172" s="730">
        <v>2011</v>
      </c>
      <c r="D172" s="731">
        <f t="shared" si="68"/>
        <v>2008</v>
      </c>
      <c r="E172" s="732">
        <f t="shared" si="69"/>
        <v>2010</v>
      </c>
      <c r="F172" s="759">
        <f t="shared" si="70"/>
        <v>187365</v>
      </c>
      <c r="G172" s="760">
        <f t="shared" si="71"/>
        <v>185796</v>
      </c>
      <c r="H172" s="760">
        <f t="shared" si="72"/>
        <v>146111</v>
      </c>
      <c r="I172" s="761">
        <f t="shared" si="73"/>
        <v>111508</v>
      </c>
      <c r="J172" s="762">
        <f t="shared" si="74"/>
        <v>0.76317320393399535</v>
      </c>
      <c r="K172" s="763">
        <f t="shared" si="75"/>
        <v>152248.04419374978</v>
      </c>
      <c r="L172" s="764">
        <f t="shared" si="83"/>
        <v>141794.52859812061</v>
      </c>
      <c r="M172" s="762">
        <f t="shared" si="101"/>
        <v>0.7679999999999999</v>
      </c>
      <c r="N172" s="764">
        <f t="shared" si="102"/>
        <v>142691.32799999998</v>
      </c>
      <c r="O172" s="740">
        <f t="shared" si="76"/>
        <v>0.52415552541497124</v>
      </c>
      <c r="P172" s="765">
        <f t="shared" si="77"/>
        <v>11238.488601132016</v>
      </c>
      <c r="Q172" s="766">
        <f t="shared" si="78"/>
        <v>9.1558534416831941E-2</v>
      </c>
      <c r="R172" s="743">
        <f t="shared" si="79"/>
        <v>122746.48860113202</v>
      </c>
      <c r="S172" s="744">
        <f t="shared" si="80"/>
        <v>20245.458753961007</v>
      </c>
      <c r="T172" s="775">
        <v>1.1000000000000001</v>
      </c>
      <c r="U172" s="726">
        <f t="shared" si="81"/>
        <v>3.0000000000000009</v>
      </c>
      <c r="V172" s="746">
        <f t="shared" si="82"/>
        <v>1</v>
      </c>
      <c r="W172" s="781">
        <v>0.26100000000000001</v>
      </c>
      <c r="X172" s="768">
        <f t="shared" si="92"/>
        <v>48492.756000000001</v>
      </c>
      <c r="Y172" s="781">
        <v>0.182</v>
      </c>
      <c r="Z172" s="748">
        <f t="shared" si="90"/>
        <v>27709.144043262459</v>
      </c>
      <c r="AA172" s="770">
        <f t="shared" si="94"/>
        <v>37008.371964109479</v>
      </c>
      <c r="AB172" s="770">
        <f t="shared" si="95"/>
        <v>37242.436607999996</v>
      </c>
      <c r="AC172" s="770">
        <f t="shared" si="96"/>
        <v>25806.604204857951</v>
      </c>
      <c r="AD172" s="783">
        <f t="shared" si="91"/>
        <v>25806.604204857951</v>
      </c>
      <c r="AE172" s="743">
        <f t="shared" si="97"/>
        <v>20294.455999999998</v>
      </c>
      <c r="AF172" s="743">
        <f t="shared" si="98"/>
        <v>22339.860925406028</v>
      </c>
      <c r="AG172" s="773">
        <f t="shared" si="99"/>
        <v>0.46068449740010708</v>
      </c>
      <c r="AH172" s="728" t="s">
        <v>397</v>
      </c>
    </row>
    <row r="173" spans="1:34" ht="14.4" x14ac:dyDescent="0.3">
      <c r="A173" s="729" t="s">
        <v>357</v>
      </c>
      <c r="B173" s="726" t="str">
        <f t="shared" si="93"/>
        <v>2000s</v>
      </c>
      <c r="C173" s="730">
        <v>2011</v>
      </c>
      <c r="D173" s="731">
        <f t="shared" si="68"/>
        <v>2007</v>
      </c>
      <c r="E173" s="732">
        <f t="shared" si="69"/>
        <v>2009</v>
      </c>
      <c r="F173" s="759">
        <f t="shared" si="70"/>
        <v>187365</v>
      </c>
      <c r="G173" s="760">
        <f t="shared" si="71"/>
        <v>185796</v>
      </c>
      <c r="H173" s="760">
        <f t="shared" si="72"/>
        <v>146111</v>
      </c>
      <c r="I173" s="761">
        <f t="shared" si="73"/>
        <v>111508</v>
      </c>
      <c r="J173" s="762">
        <f t="shared" si="74"/>
        <v>0.76317320393399535</v>
      </c>
      <c r="K173" s="763">
        <f t="shared" si="75"/>
        <v>152248.04419374978</v>
      </c>
      <c r="L173" s="764">
        <f t="shared" si="83"/>
        <v>141794.52859812061</v>
      </c>
      <c r="M173" s="762">
        <f t="shared" si="101"/>
        <v>0.7679999999999999</v>
      </c>
      <c r="N173" s="764">
        <f t="shared" si="102"/>
        <v>142691.32799999998</v>
      </c>
      <c r="O173" s="740">
        <f t="shared" si="76"/>
        <v>0.52415552541497124</v>
      </c>
      <c r="P173" s="765">
        <f t="shared" si="77"/>
        <v>11238.488601132016</v>
      </c>
      <c r="Q173" s="766">
        <f t="shared" si="78"/>
        <v>9.1558534416831941E-2</v>
      </c>
      <c r="R173" s="743">
        <f t="shared" si="79"/>
        <v>122746.48860113202</v>
      </c>
      <c r="S173" s="744">
        <f t="shared" si="80"/>
        <v>20245.458753961007</v>
      </c>
      <c r="T173" s="745">
        <v>1.2</v>
      </c>
      <c r="U173" s="726">
        <f t="shared" si="81"/>
        <v>3.9999999999999996</v>
      </c>
      <c r="V173" s="746">
        <f t="shared" si="82"/>
        <v>1</v>
      </c>
      <c r="W173" s="781">
        <v>0.59199999999999997</v>
      </c>
      <c r="X173" s="768">
        <f t="shared" si="92"/>
        <v>109991.23199999999</v>
      </c>
      <c r="Y173" s="781">
        <v>0.66400000000000003</v>
      </c>
      <c r="Z173" s="748">
        <f t="shared" si="90"/>
        <v>101092.70134464986</v>
      </c>
      <c r="AA173" s="770">
        <f t="shared" si="94"/>
        <v>83942.360930087394</v>
      </c>
      <c r="AB173" s="770">
        <f t="shared" si="95"/>
        <v>84473.26617599999</v>
      </c>
      <c r="AC173" s="770">
        <f t="shared" si="96"/>
        <v>94151.566989152096</v>
      </c>
      <c r="AD173" s="783">
        <f t="shared" si="91"/>
        <v>94151.566989152096</v>
      </c>
      <c r="AE173" s="743">
        <f t="shared" si="97"/>
        <v>74041.312000000005</v>
      </c>
      <c r="AF173" s="743">
        <f t="shared" si="98"/>
        <v>81503.668431151658</v>
      </c>
      <c r="AG173" s="773">
        <f t="shared" si="99"/>
        <v>0.74100150483950999</v>
      </c>
      <c r="AH173" s="728" t="s">
        <v>397</v>
      </c>
    </row>
    <row r="174" spans="1:34" ht="14.4" x14ac:dyDescent="0.3">
      <c r="A174" s="729" t="s">
        <v>357</v>
      </c>
      <c r="B174" s="726" t="str">
        <f t="shared" si="93"/>
        <v>2000s</v>
      </c>
      <c r="C174" s="730">
        <v>2011</v>
      </c>
      <c r="D174" s="731">
        <f t="shared" si="68"/>
        <v>2006</v>
      </c>
      <c r="E174" s="732">
        <f t="shared" si="69"/>
        <v>2008</v>
      </c>
      <c r="F174" s="759">
        <f t="shared" si="70"/>
        <v>187365</v>
      </c>
      <c r="G174" s="760">
        <f t="shared" si="71"/>
        <v>185796</v>
      </c>
      <c r="H174" s="760">
        <f t="shared" si="72"/>
        <v>146111</v>
      </c>
      <c r="I174" s="761">
        <f t="shared" si="73"/>
        <v>111508</v>
      </c>
      <c r="J174" s="762">
        <f t="shared" si="74"/>
        <v>0.76317320393399535</v>
      </c>
      <c r="K174" s="763">
        <f t="shared" si="75"/>
        <v>152248.04419374978</v>
      </c>
      <c r="L174" s="764">
        <f t="shared" si="83"/>
        <v>141794.52859812061</v>
      </c>
      <c r="M174" s="762">
        <f t="shared" si="101"/>
        <v>0.7679999999999999</v>
      </c>
      <c r="N174" s="764">
        <f t="shared" si="102"/>
        <v>142691.32799999998</v>
      </c>
      <c r="O174" s="740">
        <f t="shared" si="76"/>
        <v>0.52415552541497124</v>
      </c>
      <c r="P174" s="765">
        <f t="shared" si="77"/>
        <v>11238.488601132016</v>
      </c>
      <c r="Q174" s="766">
        <f t="shared" si="78"/>
        <v>9.1558534416831941E-2</v>
      </c>
      <c r="R174" s="743">
        <f t="shared" si="79"/>
        <v>122746.48860113202</v>
      </c>
      <c r="S174" s="744">
        <f t="shared" si="80"/>
        <v>20245.458753961007</v>
      </c>
      <c r="T174" s="745">
        <v>1.3</v>
      </c>
      <c r="U174" s="726">
        <f t="shared" si="81"/>
        <v>5</v>
      </c>
      <c r="V174" s="746">
        <f t="shared" si="82"/>
        <v>1</v>
      </c>
      <c r="W174" s="767">
        <v>7.6999999999999999E-2</v>
      </c>
      <c r="X174" s="768">
        <f t="shared" si="92"/>
        <v>14306.291999999999</v>
      </c>
      <c r="Y174" s="767">
        <v>7.0999999999999994E-2</v>
      </c>
      <c r="Z174" s="748">
        <f t="shared" si="90"/>
        <v>10809.611137756234</v>
      </c>
      <c r="AA174" s="770">
        <f t="shared" si="94"/>
        <v>10918.178702055287</v>
      </c>
      <c r="AB174" s="770">
        <f t="shared" si="95"/>
        <v>10987.232255999998</v>
      </c>
      <c r="AC174" s="770">
        <f t="shared" si="96"/>
        <v>10067.411530466563</v>
      </c>
      <c r="AD174" s="783">
        <f t="shared" si="91"/>
        <v>10067.411530466563</v>
      </c>
      <c r="AE174" s="743">
        <f t="shared" si="97"/>
        <v>7917.0679999999993</v>
      </c>
      <c r="AF174" s="743">
        <f t="shared" si="98"/>
        <v>8715.0006906803719</v>
      </c>
      <c r="AG174" s="773">
        <f t="shared" si="99"/>
        <v>0.60917257180829054</v>
      </c>
      <c r="AH174" s="728" t="s">
        <v>397</v>
      </c>
    </row>
    <row r="175" spans="1:34" ht="14.4" x14ac:dyDescent="0.3">
      <c r="A175" s="729" t="s">
        <v>357</v>
      </c>
      <c r="B175" s="726" t="str">
        <f t="shared" si="93"/>
        <v>2010s</v>
      </c>
      <c r="C175" s="730">
        <v>2011</v>
      </c>
      <c r="D175" s="731">
        <f t="shared" si="68"/>
        <v>2007</v>
      </c>
      <c r="E175" s="732">
        <f t="shared" si="69"/>
        <v>2010</v>
      </c>
      <c r="F175" s="759">
        <f t="shared" si="70"/>
        <v>187365</v>
      </c>
      <c r="G175" s="760">
        <f t="shared" si="71"/>
        <v>185796</v>
      </c>
      <c r="H175" s="760">
        <f t="shared" si="72"/>
        <v>146111</v>
      </c>
      <c r="I175" s="761">
        <f t="shared" si="73"/>
        <v>111508</v>
      </c>
      <c r="J175" s="762">
        <f t="shared" si="74"/>
        <v>0.76317320393399535</v>
      </c>
      <c r="K175" s="763">
        <f t="shared" si="75"/>
        <v>152248.04419374978</v>
      </c>
      <c r="L175" s="764">
        <f t="shared" si="83"/>
        <v>141794.52859812061</v>
      </c>
      <c r="M175" s="762">
        <f t="shared" si="101"/>
        <v>0.7679999999999999</v>
      </c>
      <c r="N175" s="764">
        <f t="shared" si="102"/>
        <v>142691.32799999998</v>
      </c>
      <c r="O175" s="740">
        <f t="shared" si="76"/>
        <v>0.52415552541497124</v>
      </c>
      <c r="P175" s="765">
        <f t="shared" si="77"/>
        <v>11238.488601132016</v>
      </c>
      <c r="Q175" s="766">
        <f t="shared" si="78"/>
        <v>9.1558534416831941E-2</v>
      </c>
      <c r="R175" s="743">
        <f t="shared" si="79"/>
        <v>122746.48860113202</v>
      </c>
      <c r="S175" s="744">
        <f t="shared" si="80"/>
        <v>20245.458753961007</v>
      </c>
      <c r="T175" s="745">
        <v>2.1</v>
      </c>
      <c r="U175" s="726">
        <f t="shared" si="81"/>
        <v>4.0000000000000009</v>
      </c>
      <c r="V175" s="746">
        <f t="shared" si="82"/>
        <v>2</v>
      </c>
      <c r="W175" s="767">
        <v>3.1E-2</v>
      </c>
      <c r="X175" s="768">
        <f t="shared" si="92"/>
        <v>5759.6760000000004</v>
      </c>
      <c r="Y175" s="767">
        <v>4.2999999999999997E-2</v>
      </c>
      <c r="Z175" s="748">
        <f t="shared" si="90"/>
        <v>6546.6659003312398</v>
      </c>
      <c r="AA175" s="770">
        <f t="shared" si="94"/>
        <v>4395.6303865417385</v>
      </c>
      <c r="AB175" s="770">
        <f t="shared" si="95"/>
        <v>4423.4311679999992</v>
      </c>
      <c r="AC175" s="770">
        <f t="shared" si="96"/>
        <v>6097.1647297191857</v>
      </c>
      <c r="AD175" s="783">
        <f t="shared" si="91"/>
        <v>6097.1647297191857</v>
      </c>
      <c r="AE175" s="743">
        <f t="shared" si="97"/>
        <v>4794.8440000000001</v>
      </c>
      <c r="AF175" s="743">
        <f t="shared" si="98"/>
        <v>5278.0990098486764</v>
      </c>
      <c r="AG175" s="773">
        <f t="shared" si="99"/>
        <v>0.9163881804894366</v>
      </c>
      <c r="AH175" s="728" t="s">
        <v>397</v>
      </c>
    </row>
    <row r="176" spans="1:34" ht="14.4" x14ac:dyDescent="0.3">
      <c r="A176" s="729" t="s">
        <v>357</v>
      </c>
      <c r="B176" s="726" t="str">
        <f t="shared" si="93"/>
        <v>2000s</v>
      </c>
      <c r="C176" s="730">
        <v>2011</v>
      </c>
      <c r="D176" s="731">
        <f t="shared" si="68"/>
        <v>2006</v>
      </c>
      <c r="E176" s="732">
        <f t="shared" si="69"/>
        <v>2009</v>
      </c>
      <c r="F176" s="759">
        <f t="shared" si="70"/>
        <v>187365</v>
      </c>
      <c r="G176" s="760">
        <f t="shared" si="71"/>
        <v>185796</v>
      </c>
      <c r="H176" s="760">
        <f t="shared" si="72"/>
        <v>146111</v>
      </c>
      <c r="I176" s="761">
        <f t="shared" si="73"/>
        <v>111508</v>
      </c>
      <c r="J176" s="762">
        <f t="shared" si="74"/>
        <v>0.76317320393399535</v>
      </c>
      <c r="K176" s="763">
        <f t="shared" si="75"/>
        <v>152248.04419374978</v>
      </c>
      <c r="L176" s="764">
        <f t="shared" si="83"/>
        <v>141794.52859812061</v>
      </c>
      <c r="M176" s="762">
        <f t="shared" si="101"/>
        <v>0.7679999999999999</v>
      </c>
      <c r="N176" s="764">
        <f t="shared" si="102"/>
        <v>142691.32799999998</v>
      </c>
      <c r="O176" s="740">
        <f t="shared" si="76"/>
        <v>0.52415552541497124</v>
      </c>
      <c r="P176" s="765">
        <f t="shared" si="77"/>
        <v>11238.488601132016</v>
      </c>
      <c r="Q176" s="766">
        <f t="shared" si="78"/>
        <v>9.1558534416831941E-2</v>
      </c>
      <c r="R176" s="743">
        <f t="shared" si="79"/>
        <v>122746.48860113202</v>
      </c>
      <c r="S176" s="744">
        <f t="shared" si="80"/>
        <v>20245.458753961007</v>
      </c>
      <c r="T176" s="745">
        <v>2.2000000000000002</v>
      </c>
      <c r="U176" s="726">
        <f t="shared" si="81"/>
        <v>5.0000000000000018</v>
      </c>
      <c r="V176" s="746">
        <f t="shared" si="82"/>
        <v>2</v>
      </c>
      <c r="W176" s="767">
        <v>3.6999999999999998E-2</v>
      </c>
      <c r="X176" s="768">
        <f t="shared" si="92"/>
        <v>6874.4519999999993</v>
      </c>
      <c r="Y176" s="767">
        <v>0.04</v>
      </c>
      <c r="Z176" s="748">
        <f t="shared" si="90"/>
        <v>6089.921767749991</v>
      </c>
      <c r="AA176" s="770">
        <f t="shared" si="94"/>
        <v>5246.3975581304621</v>
      </c>
      <c r="AB176" s="770">
        <f t="shared" si="95"/>
        <v>5279.5791359999994</v>
      </c>
      <c r="AC176" s="770">
        <f t="shared" si="96"/>
        <v>5671.7811439248244</v>
      </c>
      <c r="AD176" s="783">
        <f t="shared" si="91"/>
        <v>5671.7811439248244</v>
      </c>
      <c r="AE176" s="743">
        <f t="shared" si="97"/>
        <v>4460.32</v>
      </c>
      <c r="AF176" s="743">
        <f t="shared" si="98"/>
        <v>4909.8595440452809</v>
      </c>
      <c r="AG176" s="773">
        <f t="shared" si="99"/>
        <v>0.71421831791760004</v>
      </c>
      <c r="AH176" s="728" t="s">
        <v>397</v>
      </c>
    </row>
    <row r="177" spans="1:34" ht="14.4" x14ac:dyDescent="0.3">
      <c r="A177" s="729" t="s">
        <v>357</v>
      </c>
      <c r="B177" s="726" t="str">
        <f t="shared" si="93"/>
        <v>2000s</v>
      </c>
      <c r="C177" s="730">
        <v>2011</v>
      </c>
      <c r="D177" s="731">
        <f t="shared" si="68"/>
        <v>2005</v>
      </c>
      <c r="E177" s="732">
        <f t="shared" si="69"/>
        <v>2008</v>
      </c>
      <c r="F177" s="759">
        <f t="shared" si="70"/>
        <v>187365</v>
      </c>
      <c r="G177" s="760">
        <f t="shared" si="71"/>
        <v>185796</v>
      </c>
      <c r="H177" s="760">
        <f t="shared" si="72"/>
        <v>146111</v>
      </c>
      <c r="I177" s="761">
        <f t="shared" si="73"/>
        <v>111508</v>
      </c>
      <c r="J177" s="762">
        <f t="shared" si="74"/>
        <v>0.76317320393399535</v>
      </c>
      <c r="K177" s="763">
        <f t="shared" si="75"/>
        <v>152248.04419374978</v>
      </c>
      <c r="L177" s="764">
        <f t="shared" si="83"/>
        <v>141794.52859812061</v>
      </c>
      <c r="M177" s="762">
        <f t="shared" si="101"/>
        <v>0.7679999999999999</v>
      </c>
      <c r="N177" s="764">
        <f t="shared" si="102"/>
        <v>142691.32799999998</v>
      </c>
      <c r="O177" s="740">
        <f t="shared" si="76"/>
        <v>0.52415552541497124</v>
      </c>
      <c r="P177" s="765">
        <f t="shared" si="77"/>
        <v>11238.488601132016</v>
      </c>
      <c r="Q177" s="766">
        <f t="shared" si="78"/>
        <v>9.1558534416831941E-2</v>
      </c>
      <c r="R177" s="743">
        <f t="shared" si="79"/>
        <v>122746.48860113202</v>
      </c>
      <c r="S177" s="744">
        <f t="shared" si="80"/>
        <v>20245.458753961007</v>
      </c>
      <c r="T177" s="745">
        <v>2.2999999999999998</v>
      </c>
      <c r="U177" s="726">
        <f t="shared" si="81"/>
        <v>5.9999999999999982</v>
      </c>
      <c r="V177" s="746">
        <f t="shared" si="82"/>
        <v>2</v>
      </c>
      <c r="W177" s="767">
        <v>2E-3</v>
      </c>
      <c r="X177" s="768">
        <f t="shared" si="92"/>
        <v>371.59199999999998</v>
      </c>
      <c r="Y177" s="767">
        <v>0</v>
      </c>
      <c r="Z177" s="748">
        <f t="shared" si="90"/>
        <v>0</v>
      </c>
      <c r="AA177" s="770">
        <f t="shared" si="94"/>
        <v>283.58905719624124</v>
      </c>
      <c r="AB177" s="770">
        <f t="shared" si="95"/>
        <v>285.38265599999994</v>
      </c>
      <c r="AC177" s="770">
        <f t="shared" ref="AC177" si="103">IF(Y177,L177*Y177,0)</f>
        <v>0</v>
      </c>
      <c r="AD177" s="783">
        <f t="shared" si="91"/>
        <v>0</v>
      </c>
      <c r="AE177" s="743">
        <f t="shared" si="97"/>
        <v>0</v>
      </c>
      <c r="AF177" s="743">
        <f t="shared" si="98"/>
        <v>0</v>
      </c>
      <c r="AG177" s="773">
        <f t="shared" si="99"/>
        <v>0</v>
      </c>
    </row>
    <row r="178" spans="1:34" ht="14.4" x14ac:dyDescent="0.3">
      <c r="A178" s="729" t="s">
        <v>357</v>
      </c>
      <c r="B178" s="726" t="str">
        <f t="shared" si="93"/>
        <v>2010s</v>
      </c>
      <c r="C178" s="730">
        <v>2012</v>
      </c>
      <c r="D178" s="731">
        <f t="shared" si="68"/>
        <v>2009</v>
      </c>
      <c r="E178" s="732">
        <f t="shared" si="69"/>
        <v>2011</v>
      </c>
      <c r="F178" s="759">
        <f t="shared" si="70"/>
        <v>521159</v>
      </c>
      <c r="G178" s="760">
        <f t="shared" si="71"/>
        <v>515673</v>
      </c>
      <c r="H178" s="760">
        <f t="shared" si="72"/>
        <v>410620</v>
      </c>
      <c r="I178" s="761">
        <f t="shared" si="73"/>
        <v>326107</v>
      </c>
      <c r="J178" s="762">
        <f t="shared" si="74"/>
        <v>0.79418196873021285</v>
      </c>
      <c r="K178" s="763">
        <f t="shared" si="75"/>
        <v>431531.57140277157</v>
      </c>
      <c r="L178" s="764">
        <f t="shared" si="83"/>
        <v>409538.19836101506</v>
      </c>
      <c r="M178" s="762">
        <f t="shared" si="101"/>
        <v>0.82400000000000007</v>
      </c>
      <c r="N178" s="764">
        <f t="shared" si="102"/>
        <v>424914.55200000003</v>
      </c>
      <c r="O178" s="740">
        <f t="shared" si="76"/>
        <v>0.58187262082753999</v>
      </c>
      <c r="P178" s="765">
        <f t="shared" si="77"/>
        <v>40378.593836150212</v>
      </c>
      <c r="Q178" s="766">
        <f t="shared" si="78"/>
        <v>0.1101778474113851</v>
      </c>
      <c r="R178" s="743">
        <f t="shared" si="79"/>
        <v>366485.59383615019</v>
      </c>
      <c r="S178" s="744">
        <f t="shared" si="80"/>
        <v>47409.486805318797</v>
      </c>
      <c r="T178" s="745">
        <v>1.1000000000000001</v>
      </c>
      <c r="U178" s="726">
        <f t="shared" si="81"/>
        <v>3.0000000000000009</v>
      </c>
      <c r="V178" s="746">
        <f t="shared" si="82"/>
        <v>1</v>
      </c>
      <c r="W178" s="767">
        <v>1.7000000000000001E-2</v>
      </c>
      <c r="X178" s="768">
        <f t="shared" si="92"/>
        <v>8766.4410000000007</v>
      </c>
      <c r="Y178" s="767">
        <v>3.0000000000000001E-3</v>
      </c>
      <c r="Z178" s="748">
        <f t="shared" si="90"/>
        <v>1294.5947142083148</v>
      </c>
      <c r="AA178" s="770">
        <f t="shared" si="94"/>
        <v>6962.1493721372563</v>
      </c>
      <c r="AB178" s="770">
        <f t="shared" si="95"/>
        <v>7223.5473840000013</v>
      </c>
      <c r="AC178" s="770">
        <f t="shared" si="96"/>
        <v>1228.6145950830453</v>
      </c>
      <c r="AD178" s="783">
        <f t="shared" si="91"/>
        <v>1228.6145950830453</v>
      </c>
      <c r="AE178" s="743">
        <f t="shared" si="97"/>
        <v>978.32100000000003</v>
      </c>
      <c r="AF178" s="743">
        <f t="shared" si="98"/>
        <v>1099.4567815084506</v>
      </c>
      <c r="AG178" s="773">
        <f t="shared" si="99"/>
        <v>0.12541654948780817</v>
      </c>
      <c r="AH178" s="728" t="s">
        <v>397</v>
      </c>
    </row>
    <row r="179" spans="1:34" ht="14.4" x14ac:dyDescent="0.3">
      <c r="A179" s="729" t="s">
        <v>357</v>
      </c>
      <c r="B179" s="726" t="str">
        <f t="shared" si="93"/>
        <v>2010s</v>
      </c>
      <c r="C179" s="730">
        <v>2012</v>
      </c>
      <c r="D179" s="731">
        <f t="shared" si="68"/>
        <v>2008</v>
      </c>
      <c r="E179" s="732">
        <f t="shared" si="69"/>
        <v>2010</v>
      </c>
      <c r="F179" s="759">
        <f t="shared" si="70"/>
        <v>521159</v>
      </c>
      <c r="G179" s="760">
        <f t="shared" si="71"/>
        <v>515673</v>
      </c>
      <c r="H179" s="760">
        <f t="shared" si="72"/>
        <v>410620</v>
      </c>
      <c r="I179" s="761">
        <f t="shared" si="73"/>
        <v>326107</v>
      </c>
      <c r="J179" s="762">
        <f t="shared" si="74"/>
        <v>0.79418196873021285</v>
      </c>
      <c r="K179" s="763">
        <f t="shared" si="75"/>
        <v>431531.57140277157</v>
      </c>
      <c r="L179" s="764">
        <f t="shared" si="83"/>
        <v>409538.19836101506</v>
      </c>
      <c r="M179" s="762">
        <f t="shared" si="101"/>
        <v>0.82400000000000007</v>
      </c>
      <c r="N179" s="764">
        <f t="shared" si="102"/>
        <v>424914.55200000003</v>
      </c>
      <c r="O179" s="740">
        <f t="shared" si="76"/>
        <v>0.58187262082753999</v>
      </c>
      <c r="P179" s="765">
        <f t="shared" si="77"/>
        <v>40378.593836150212</v>
      </c>
      <c r="Q179" s="766">
        <f t="shared" si="78"/>
        <v>0.1101778474113851</v>
      </c>
      <c r="R179" s="743">
        <f t="shared" si="79"/>
        <v>366485.59383615019</v>
      </c>
      <c r="S179" s="744">
        <f t="shared" si="80"/>
        <v>47409.486805318797</v>
      </c>
      <c r="T179" s="745">
        <v>1.2</v>
      </c>
      <c r="U179" s="726">
        <f t="shared" si="81"/>
        <v>3.9999999999999996</v>
      </c>
      <c r="V179" s="746">
        <f t="shared" si="82"/>
        <v>1</v>
      </c>
      <c r="W179" s="767">
        <v>0.96</v>
      </c>
      <c r="X179" s="768">
        <f t="shared" si="92"/>
        <v>495046.07999999996</v>
      </c>
      <c r="Y179" s="767">
        <v>0.97099999999999997</v>
      </c>
      <c r="Z179" s="748">
        <f t="shared" si="90"/>
        <v>419017.15583209117</v>
      </c>
      <c r="AA179" s="770">
        <f t="shared" si="94"/>
        <v>393156.67042657442</v>
      </c>
      <c r="AB179" s="770">
        <f t="shared" si="95"/>
        <v>407917.96992</v>
      </c>
      <c r="AC179" s="770">
        <f t="shared" si="96"/>
        <v>397661.59060854564</v>
      </c>
      <c r="AD179" s="783">
        <f t="shared" si="91"/>
        <v>397661.59060854564</v>
      </c>
      <c r="AE179" s="743">
        <f t="shared" si="97"/>
        <v>316649.897</v>
      </c>
      <c r="AF179" s="743">
        <f t="shared" si="98"/>
        <v>355857.51161490183</v>
      </c>
      <c r="AG179" s="773">
        <f t="shared" si="99"/>
        <v>0.71883714666501719</v>
      </c>
      <c r="AH179" s="728" t="s">
        <v>397</v>
      </c>
    </row>
    <row r="180" spans="1:34" ht="14.4" x14ac:dyDescent="0.3">
      <c r="A180" s="729" t="s">
        <v>357</v>
      </c>
      <c r="B180" s="726" t="str">
        <f t="shared" si="93"/>
        <v>2000s</v>
      </c>
      <c r="C180" s="730">
        <v>2012</v>
      </c>
      <c r="D180" s="731">
        <f t="shared" si="68"/>
        <v>2007</v>
      </c>
      <c r="E180" s="732">
        <f t="shared" si="69"/>
        <v>2009</v>
      </c>
      <c r="F180" s="759">
        <f t="shared" si="70"/>
        <v>521159</v>
      </c>
      <c r="G180" s="760">
        <f t="shared" si="71"/>
        <v>515673</v>
      </c>
      <c r="H180" s="760">
        <f t="shared" si="72"/>
        <v>410620</v>
      </c>
      <c r="I180" s="761">
        <f t="shared" si="73"/>
        <v>326107</v>
      </c>
      <c r="J180" s="762">
        <f t="shared" si="74"/>
        <v>0.79418196873021285</v>
      </c>
      <c r="K180" s="763">
        <f t="shared" si="75"/>
        <v>431531.57140277157</v>
      </c>
      <c r="L180" s="764">
        <f t="shared" si="83"/>
        <v>409538.19836101506</v>
      </c>
      <c r="M180" s="762">
        <f t="shared" si="101"/>
        <v>0.82400000000000007</v>
      </c>
      <c r="N180" s="764">
        <f t="shared" si="102"/>
        <v>424914.55200000003</v>
      </c>
      <c r="O180" s="740">
        <f t="shared" si="76"/>
        <v>0.58187262082753999</v>
      </c>
      <c r="P180" s="765">
        <f t="shared" si="77"/>
        <v>40378.593836150212</v>
      </c>
      <c r="Q180" s="766">
        <f t="shared" si="78"/>
        <v>0.1101778474113851</v>
      </c>
      <c r="R180" s="743">
        <f t="shared" si="79"/>
        <v>366485.59383615019</v>
      </c>
      <c r="S180" s="744">
        <f t="shared" si="80"/>
        <v>47409.486805318797</v>
      </c>
      <c r="T180" s="745">
        <v>1.3</v>
      </c>
      <c r="U180" s="726">
        <f t="shared" si="81"/>
        <v>5</v>
      </c>
      <c r="V180" s="746">
        <f t="shared" si="82"/>
        <v>1</v>
      </c>
      <c r="W180" s="767">
        <v>1.7000000000000001E-2</v>
      </c>
      <c r="X180" s="768">
        <f t="shared" si="92"/>
        <v>8766.4410000000007</v>
      </c>
      <c r="Y180" s="767">
        <v>7.0000000000000001E-3</v>
      </c>
      <c r="Z180" s="748">
        <f t="shared" si="90"/>
        <v>3020.7209998194012</v>
      </c>
      <c r="AA180" s="770">
        <f t="shared" si="94"/>
        <v>6962.1493721372563</v>
      </c>
      <c r="AB180" s="770">
        <f t="shared" si="95"/>
        <v>7223.5473840000013</v>
      </c>
      <c r="AC180" s="770">
        <f t="shared" si="96"/>
        <v>2866.7673885271056</v>
      </c>
      <c r="AD180" s="783">
        <f t="shared" si="91"/>
        <v>2866.7673885271056</v>
      </c>
      <c r="AE180" s="743">
        <f t="shared" si="97"/>
        <v>2282.7490000000003</v>
      </c>
      <c r="AF180" s="743">
        <f t="shared" si="98"/>
        <v>2565.3991568530514</v>
      </c>
      <c r="AG180" s="773">
        <f t="shared" si="99"/>
        <v>0.2926386154715524</v>
      </c>
      <c r="AH180" s="728" t="s">
        <v>397</v>
      </c>
    </row>
    <row r="181" spans="1:34" ht="14.4" x14ac:dyDescent="0.3">
      <c r="A181" s="729" t="s">
        <v>357</v>
      </c>
      <c r="B181" s="726" t="str">
        <f t="shared" si="93"/>
        <v>2010s</v>
      </c>
      <c r="C181" s="730">
        <v>2012</v>
      </c>
      <c r="D181" s="731">
        <f t="shared" si="68"/>
        <v>2008</v>
      </c>
      <c r="E181" s="732">
        <f t="shared" si="69"/>
        <v>2011</v>
      </c>
      <c r="F181" s="759">
        <f t="shared" si="70"/>
        <v>521159</v>
      </c>
      <c r="G181" s="760">
        <f t="shared" si="71"/>
        <v>515673</v>
      </c>
      <c r="H181" s="760">
        <f t="shared" si="72"/>
        <v>410620</v>
      </c>
      <c r="I181" s="761">
        <f t="shared" si="73"/>
        <v>326107</v>
      </c>
      <c r="J181" s="762">
        <f t="shared" si="74"/>
        <v>0.79418196873021285</v>
      </c>
      <c r="K181" s="763">
        <f t="shared" si="75"/>
        <v>431531.57140277157</v>
      </c>
      <c r="L181" s="764">
        <f t="shared" si="83"/>
        <v>409538.19836101506</v>
      </c>
      <c r="M181" s="762">
        <f t="shared" si="101"/>
        <v>0.82400000000000007</v>
      </c>
      <c r="N181" s="764">
        <f t="shared" si="102"/>
        <v>424914.55200000003</v>
      </c>
      <c r="O181" s="740">
        <f t="shared" si="76"/>
        <v>0.58187262082753999</v>
      </c>
      <c r="P181" s="765">
        <f t="shared" si="77"/>
        <v>40378.593836150212</v>
      </c>
      <c r="Q181" s="766">
        <f t="shared" si="78"/>
        <v>0.1101778474113851</v>
      </c>
      <c r="R181" s="743">
        <f t="shared" si="79"/>
        <v>366485.59383615019</v>
      </c>
      <c r="S181" s="744">
        <f t="shared" si="80"/>
        <v>47409.486805318797</v>
      </c>
      <c r="T181" s="745">
        <v>2.1</v>
      </c>
      <c r="U181" s="726">
        <f t="shared" si="81"/>
        <v>4.0000000000000009</v>
      </c>
      <c r="V181" s="746">
        <f t="shared" si="82"/>
        <v>2</v>
      </c>
      <c r="W181" s="767">
        <v>1E-3</v>
      </c>
      <c r="X181" s="768">
        <f t="shared" si="92"/>
        <v>515.673</v>
      </c>
      <c r="Y181" s="767">
        <v>7.0000000000000001E-3</v>
      </c>
      <c r="Z181" s="748">
        <f t="shared" si="90"/>
        <v>3020.7209998194012</v>
      </c>
      <c r="AA181" s="770">
        <f t="shared" si="94"/>
        <v>409.53819836101508</v>
      </c>
      <c r="AB181" s="770">
        <f t="shared" si="95"/>
        <v>424.91455200000001</v>
      </c>
      <c r="AC181" s="770">
        <f t="shared" si="96"/>
        <v>2866.7673885271056</v>
      </c>
      <c r="AD181" s="783">
        <f t="shared" si="91"/>
        <v>2866.7673885271056</v>
      </c>
      <c r="AE181" s="743">
        <f t="shared" si="97"/>
        <v>2282.7490000000003</v>
      </c>
      <c r="AF181" s="743">
        <f t="shared" si="98"/>
        <v>2565.3991568530514</v>
      </c>
      <c r="AG181" s="773">
        <f t="shared" si="99"/>
        <v>4.9748564630163914</v>
      </c>
      <c r="AH181" s="728" t="s">
        <v>397</v>
      </c>
    </row>
    <row r="182" spans="1:34" ht="14.4" x14ac:dyDescent="0.3">
      <c r="A182" s="729" t="s">
        <v>357</v>
      </c>
      <c r="B182" s="726" t="str">
        <f t="shared" si="93"/>
        <v>2010s</v>
      </c>
      <c r="C182" s="730">
        <v>2012</v>
      </c>
      <c r="D182" s="731">
        <f t="shared" si="68"/>
        <v>2007</v>
      </c>
      <c r="E182" s="732">
        <f t="shared" si="69"/>
        <v>2010</v>
      </c>
      <c r="F182" s="759">
        <f t="shared" si="70"/>
        <v>521159</v>
      </c>
      <c r="G182" s="760">
        <f t="shared" si="71"/>
        <v>515673</v>
      </c>
      <c r="H182" s="760">
        <f t="shared" si="72"/>
        <v>410620</v>
      </c>
      <c r="I182" s="761">
        <f t="shared" si="73"/>
        <v>326107</v>
      </c>
      <c r="J182" s="762">
        <f t="shared" si="74"/>
        <v>0.79418196873021285</v>
      </c>
      <c r="K182" s="763">
        <f t="shared" si="75"/>
        <v>431531.57140277157</v>
      </c>
      <c r="L182" s="764">
        <f t="shared" si="83"/>
        <v>409538.19836101506</v>
      </c>
      <c r="M182" s="762">
        <f t="shared" si="101"/>
        <v>0.82400000000000007</v>
      </c>
      <c r="N182" s="764">
        <f t="shared" si="102"/>
        <v>424914.55200000003</v>
      </c>
      <c r="O182" s="740">
        <f t="shared" si="76"/>
        <v>0.58187262082753999</v>
      </c>
      <c r="P182" s="765">
        <f t="shared" si="77"/>
        <v>40378.593836150212</v>
      </c>
      <c r="Q182" s="766">
        <f t="shared" si="78"/>
        <v>0.1101778474113851</v>
      </c>
      <c r="R182" s="743">
        <f t="shared" si="79"/>
        <v>366485.59383615019</v>
      </c>
      <c r="S182" s="744">
        <f t="shared" si="80"/>
        <v>47409.486805318797</v>
      </c>
      <c r="T182" s="745">
        <v>2.2000000000000002</v>
      </c>
      <c r="U182" s="726">
        <f t="shared" si="81"/>
        <v>5.0000000000000018</v>
      </c>
      <c r="V182" s="746">
        <f t="shared" si="82"/>
        <v>2</v>
      </c>
      <c r="W182" s="767">
        <v>6.0000000000000001E-3</v>
      </c>
      <c r="X182" s="768">
        <f t="shared" si="92"/>
        <v>3094.038</v>
      </c>
      <c r="Y182" s="767">
        <v>1.2E-2</v>
      </c>
      <c r="Z182" s="748">
        <f t="shared" si="90"/>
        <v>5178.3788568332593</v>
      </c>
      <c r="AA182" s="770">
        <f t="shared" si="94"/>
        <v>2457.2291901660906</v>
      </c>
      <c r="AB182" s="770">
        <f t="shared" si="95"/>
        <v>2549.4873120000002</v>
      </c>
      <c r="AC182" s="770">
        <f t="shared" si="96"/>
        <v>4914.4583803321812</v>
      </c>
      <c r="AD182" s="783">
        <f t="shared" si="91"/>
        <v>4914.4583803321812</v>
      </c>
      <c r="AE182" s="743">
        <f t="shared" si="97"/>
        <v>3913.2840000000001</v>
      </c>
      <c r="AF182" s="743">
        <f t="shared" si="98"/>
        <v>4397.8271260338024</v>
      </c>
      <c r="AG182" s="773">
        <f t="shared" si="99"/>
        <v>1.421387560861826</v>
      </c>
      <c r="AH182" s="728" t="s">
        <v>397</v>
      </c>
    </row>
    <row r="183" spans="1:34" ht="14.4" x14ac:dyDescent="0.3">
      <c r="A183" s="729" t="s">
        <v>357</v>
      </c>
      <c r="B183" s="726" t="str">
        <f t="shared" si="93"/>
        <v>2010s</v>
      </c>
      <c r="C183" s="730">
        <v>2013</v>
      </c>
      <c r="D183" s="731">
        <f t="shared" si="68"/>
        <v>2010</v>
      </c>
      <c r="E183" s="732">
        <f t="shared" si="69"/>
        <v>2012</v>
      </c>
      <c r="F183" s="759">
        <f t="shared" si="70"/>
        <v>186191</v>
      </c>
      <c r="G183" s="760">
        <f t="shared" si="71"/>
        <v>185505</v>
      </c>
      <c r="H183" s="760">
        <f t="shared" si="72"/>
        <v>159219</v>
      </c>
      <c r="I183" s="761">
        <f t="shared" si="73"/>
        <v>129993</v>
      </c>
      <c r="J183" s="762">
        <f t="shared" si="74"/>
        <v>0.81644150509675351</v>
      </c>
      <c r="K183" s="763">
        <f t="shared" si="75"/>
        <v>165847.31788638109</v>
      </c>
      <c r="L183" s="764">
        <f t="shared" si="83"/>
        <v>151453.98140297327</v>
      </c>
      <c r="M183" s="762">
        <f t="shared" si="101"/>
        <v>0.72</v>
      </c>
      <c r="N183" s="764">
        <f t="shared" si="102"/>
        <v>133563.6</v>
      </c>
      <c r="O183" s="740">
        <f t="shared" si="76"/>
        <v>0.60941214522519604</v>
      </c>
      <c r="P183" s="765">
        <f t="shared" si="77"/>
        <v>7155.2933506679474</v>
      </c>
      <c r="Q183" s="766">
        <f t="shared" si="78"/>
        <v>5.2171945970723221E-2</v>
      </c>
      <c r="R183" s="743">
        <f t="shared" si="79"/>
        <v>137148.29335066795</v>
      </c>
      <c r="S183" s="744">
        <f t="shared" si="80"/>
        <v>14865.76692480169</v>
      </c>
      <c r="T183" s="775">
        <v>1.1000000000000001</v>
      </c>
      <c r="U183" s="726">
        <f t="shared" si="81"/>
        <v>3.0000000000000009</v>
      </c>
      <c r="V183" s="746">
        <f t="shared" si="82"/>
        <v>1</v>
      </c>
      <c r="W183" s="790">
        <v>0.23499999999999999</v>
      </c>
      <c r="X183" s="791">
        <f t="shared" si="92"/>
        <v>43593.674999999996</v>
      </c>
      <c r="Y183" s="792">
        <v>0.17100000000000001</v>
      </c>
      <c r="Z183" s="769">
        <f>K183*W183</f>
        <v>38974.119703299555</v>
      </c>
      <c r="AA183" s="770">
        <f t="shared" si="94"/>
        <v>35591.685629698717</v>
      </c>
      <c r="AB183" s="770">
        <f t="shared" si="95"/>
        <v>31387.446</v>
      </c>
      <c r="AC183" s="770">
        <f t="shared" si="96"/>
        <v>25898.630819908431</v>
      </c>
      <c r="AD183" s="783">
        <f t="shared" si="91"/>
        <v>25898.630819908431</v>
      </c>
      <c r="AE183" s="743">
        <f t="shared" si="97"/>
        <v>22228.803</v>
      </c>
      <c r="AF183" s="743">
        <f t="shared" si="98"/>
        <v>23452.358162964221</v>
      </c>
      <c r="AG183" s="773">
        <f t="shared" si="99"/>
        <v>0.53797616656462721</v>
      </c>
      <c r="AH183" s="728" t="s">
        <v>398</v>
      </c>
    </row>
    <row r="184" spans="1:34" ht="14.4" x14ac:dyDescent="0.3">
      <c r="A184" s="729" t="s">
        <v>357</v>
      </c>
      <c r="B184" s="726" t="str">
        <f t="shared" si="93"/>
        <v>2010s</v>
      </c>
      <c r="C184" s="730">
        <v>2013</v>
      </c>
      <c r="D184" s="731">
        <f t="shared" si="68"/>
        <v>2009</v>
      </c>
      <c r="E184" s="732">
        <f t="shared" si="69"/>
        <v>2011</v>
      </c>
      <c r="F184" s="759">
        <f t="shared" si="70"/>
        <v>186191</v>
      </c>
      <c r="G184" s="760">
        <f t="shared" si="71"/>
        <v>185505</v>
      </c>
      <c r="H184" s="760">
        <f t="shared" si="72"/>
        <v>159219</v>
      </c>
      <c r="I184" s="761">
        <f t="shared" si="73"/>
        <v>129993</v>
      </c>
      <c r="J184" s="762">
        <f t="shared" si="74"/>
        <v>0.81644150509675351</v>
      </c>
      <c r="K184" s="763">
        <f t="shared" si="75"/>
        <v>165847.31788638109</v>
      </c>
      <c r="L184" s="764">
        <f t="shared" si="83"/>
        <v>151453.98140297327</v>
      </c>
      <c r="M184" s="762">
        <f t="shared" si="101"/>
        <v>0.72</v>
      </c>
      <c r="N184" s="764">
        <f t="shared" si="102"/>
        <v>133563.6</v>
      </c>
      <c r="O184" s="740">
        <f t="shared" si="76"/>
        <v>0.60941214522519604</v>
      </c>
      <c r="P184" s="765">
        <f t="shared" si="77"/>
        <v>7155.2933506679474</v>
      </c>
      <c r="Q184" s="766">
        <f t="shared" si="78"/>
        <v>5.2171945970723221E-2</v>
      </c>
      <c r="R184" s="743">
        <f t="shared" si="79"/>
        <v>137148.29335066795</v>
      </c>
      <c r="S184" s="744">
        <f t="shared" si="80"/>
        <v>14865.76692480169</v>
      </c>
      <c r="T184" s="745">
        <v>1.2</v>
      </c>
      <c r="U184" s="726">
        <f t="shared" si="81"/>
        <v>3.9999999999999996</v>
      </c>
      <c r="V184" s="746">
        <f t="shared" si="82"/>
        <v>1</v>
      </c>
      <c r="W184" s="790">
        <v>0.63400000000000001</v>
      </c>
      <c r="X184" s="791">
        <f t="shared" si="92"/>
        <v>117610.17</v>
      </c>
      <c r="Y184" s="792">
        <v>0.57299999999999995</v>
      </c>
      <c r="Z184" s="769">
        <f t="shared" ref="Z184:Z187" si="104">K184*W184</f>
        <v>105147.19953996562</v>
      </c>
      <c r="AA184" s="770">
        <f t="shared" si="94"/>
        <v>96021.824209485058</v>
      </c>
      <c r="AB184" s="770">
        <f t="shared" si="95"/>
        <v>84679.322400000005</v>
      </c>
      <c r="AC184" s="770">
        <f t="shared" si="96"/>
        <v>86783.131343903675</v>
      </c>
      <c r="AD184" s="783">
        <f t="shared" si="91"/>
        <v>86783.131343903675</v>
      </c>
      <c r="AE184" s="743">
        <f t="shared" si="97"/>
        <v>74485.988999999987</v>
      </c>
      <c r="AF184" s="743">
        <f t="shared" si="98"/>
        <v>78585.972089932737</v>
      </c>
      <c r="AG184" s="773">
        <f t="shared" si="99"/>
        <v>0.66819027716678525</v>
      </c>
      <c r="AH184" s="728" t="s">
        <v>398</v>
      </c>
    </row>
    <row r="185" spans="1:34" ht="14.4" x14ac:dyDescent="0.3">
      <c r="A185" s="729" t="s">
        <v>357</v>
      </c>
      <c r="B185" s="726" t="str">
        <f t="shared" si="93"/>
        <v>2010s</v>
      </c>
      <c r="C185" s="730">
        <v>2013</v>
      </c>
      <c r="D185" s="731">
        <f t="shared" si="68"/>
        <v>2008</v>
      </c>
      <c r="E185" s="732">
        <f t="shared" si="69"/>
        <v>2010</v>
      </c>
      <c r="F185" s="759">
        <f t="shared" si="70"/>
        <v>186191</v>
      </c>
      <c r="G185" s="760">
        <f t="shared" si="71"/>
        <v>185505</v>
      </c>
      <c r="H185" s="760">
        <f t="shared" si="72"/>
        <v>159219</v>
      </c>
      <c r="I185" s="761">
        <f t="shared" si="73"/>
        <v>129993</v>
      </c>
      <c r="J185" s="762">
        <f t="shared" si="74"/>
        <v>0.81644150509675351</v>
      </c>
      <c r="K185" s="763">
        <f t="shared" si="75"/>
        <v>165847.31788638109</v>
      </c>
      <c r="L185" s="764">
        <f t="shared" si="83"/>
        <v>151453.98140297327</v>
      </c>
      <c r="M185" s="762">
        <f t="shared" si="101"/>
        <v>0.72</v>
      </c>
      <c r="N185" s="764">
        <f t="shared" si="102"/>
        <v>133563.6</v>
      </c>
      <c r="O185" s="740">
        <f t="shared" si="76"/>
        <v>0.60941214522519604</v>
      </c>
      <c r="P185" s="765">
        <f t="shared" si="77"/>
        <v>7155.2933506679474</v>
      </c>
      <c r="Q185" s="766">
        <f t="shared" si="78"/>
        <v>5.2171945970723221E-2</v>
      </c>
      <c r="R185" s="743">
        <f t="shared" si="79"/>
        <v>137148.29335066795</v>
      </c>
      <c r="S185" s="744">
        <f t="shared" si="80"/>
        <v>14865.76692480169</v>
      </c>
      <c r="T185" s="745">
        <v>1.3</v>
      </c>
      <c r="U185" s="726">
        <f t="shared" si="81"/>
        <v>5</v>
      </c>
      <c r="V185" s="746">
        <f t="shared" si="82"/>
        <v>1</v>
      </c>
      <c r="W185" s="777">
        <v>8.1000000000000003E-2</v>
      </c>
      <c r="X185" s="768">
        <f t="shared" si="92"/>
        <v>15025.905000000001</v>
      </c>
      <c r="Y185" s="778">
        <v>2.4E-2</v>
      </c>
      <c r="Z185" s="769">
        <f t="shared" si="104"/>
        <v>13433.632748796868</v>
      </c>
      <c r="AA185" s="770">
        <f t="shared" si="94"/>
        <v>12267.772493640836</v>
      </c>
      <c r="AB185" s="770">
        <f t="shared" si="95"/>
        <v>10818.651600000001</v>
      </c>
      <c r="AC185" s="770">
        <f t="shared" si="96"/>
        <v>3634.8955536713584</v>
      </c>
      <c r="AD185" s="783">
        <f t="shared" si="91"/>
        <v>3634.8955536713584</v>
      </c>
      <c r="AE185" s="743">
        <f t="shared" si="97"/>
        <v>3119.8319999999999</v>
      </c>
      <c r="AF185" s="743">
        <f t="shared" si="98"/>
        <v>3291.5590404160312</v>
      </c>
      <c r="AG185" s="773">
        <f t="shared" si="99"/>
        <v>0.21905895454656682</v>
      </c>
      <c r="AH185" s="728" t="s">
        <v>398</v>
      </c>
    </row>
    <row r="186" spans="1:34" ht="14.4" x14ac:dyDescent="0.3">
      <c r="A186" s="729" t="s">
        <v>357</v>
      </c>
      <c r="B186" s="726" t="str">
        <f t="shared" si="93"/>
        <v>2010s</v>
      </c>
      <c r="C186" s="730">
        <v>2013</v>
      </c>
      <c r="D186" s="731">
        <f t="shared" si="68"/>
        <v>2009</v>
      </c>
      <c r="E186" s="732">
        <f t="shared" si="69"/>
        <v>2012</v>
      </c>
      <c r="F186" s="759">
        <f t="shared" si="70"/>
        <v>186191</v>
      </c>
      <c r="G186" s="760">
        <f t="shared" si="71"/>
        <v>185505</v>
      </c>
      <c r="H186" s="760">
        <f t="shared" si="72"/>
        <v>159219</v>
      </c>
      <c r="I186" s="761">
        <f t="shared" si="73"/>
        <v>129993</v>
      </c>
      <c r="J186" s="762">
        <f t="shared" si="74"/>
        <v>0.81644150509675351</v>
      </c>
      <c r="K186" s="763">
        <f t="shared" si="75"/>
        <v>165847.31788638109</v>
      </c>
      <c r="L186" s="764">
        <f t="shared" si="83"/>
        <v>151453.98140297327</v>
      </c>
      <c r="M186" s="762">
        <f t="shared" si="101"/>
        <v>0.72</v>
      </c>
      <c r="N186" s="764">
        <f t="shared" si="102"/>
        <v>133563.6</v>
      </c>
      <c r="O186" s="740">
        <f t="shared" si="76"/>
        <v>0.60941214522519604</v>
      </c>
      <c r="P186" s="765">
        <f t="shared" si="77"/>
        <v>7155.2933506679474</v>
      </c>
      <c r="Q186" s="766">
        <f t="shared" si="78"/>
        <v>5.2171945970723221E-2</v>
      </c>
      <c r="R186" s="743">
        <f t="shared" si="79"/>
        <v>137148.29335066795</v>
      </c>
      <c r="S186" s="744">
        <f t="shared" si="80"/>
        <v>14865.76692480169</v>
      </c>
      <c r="T186" s="745">
        <v>2.1</v>
      </c>
      <c r="U186" s="726">
        <f t="shared" si="81"/>
        <v>4.0000000000000009</v>
      </c>
      <c r="V186" s="746">
        <f t="shared" si="82"/>
        <v>2</v>
      </c>
      <c r="W186" s="767">
        <v>0</v>
      </c>
      <c r="X186" s="768">
        <f t="shared" si="92"/>
        <v>0</v>
      </c>
      <c r="Y186" s="767">
        <v>1.2E-2</v>
      </c>
      <c r="Z186" s="769">
        <f t="shared" si="104"/>
        <v>0</v>
      </c>
      <c r="AA186" s="770">
        <f t="shared" si="94"/>
        <v>0</v>
      </c>
      <c r="AB186" s="770">
        <f t="shared" si="95"/>
        <v>0</v>
      </c>
      <c r="AC186" s="770">
        <f t="shared" si="96"/>
        <v>1817.4477768356792</v>
      </c>
      <c r="AD186" s="783">
        <f t="shared" si="91"/>
        <v>1817.4477768356792</v>
      </c>
      <c r="AE186" s="743">
        <f t="shared" si="97"/>
        <v>1559.9159999999999</v>
      </c>
      <c r="AF186" s="743">
        <f t="shared" si="98"/>
        <v>1645.7795202080156</v>
      </c>
      <c r="AG186" s="773">
        <f t="shared" si="99"/>
        <v>0</v>
      </c>
      <c r="AH186" s="728" t="s">
        <v>398</v>
      </c>
    </row>
    <row r="187" spans="1:34" ht="14.4" x14ac:dyDescent="0.3">
      <c r="A187" s="729" t="s">
        <v>357</v>
      </c>
      <c r="B187" s="726" t="str">
        <f t="shared" si="93"/>
        <v>2010s</v>
      </c>
      <c r="C187" s="730">
        <v>2013</v>
      </c>
      <c r="D187" s="731">
        <f t="shared" si="68"/>
        <v>2008</v>
      </c>
      <c r="E187" s="732">
        <f t="shared" si="69"/>
        <v>2011</v>
      </c>
      <c r="F187" s="759">
        <f t="shared" si="70"/>
        <v>186191</v>
      </c>
      <c r="G187" s="760">
        <f t="shared" si="71"/>
        <v>185505</v>
      </c>
      <c r="H187" s="760">
        <f t="shared" si="72"/>
        <v>159219</v>
      </c>
      <c r="I187" s="761">
        <f t="shared" si="73"/>
        <v>129993</v>
      </c>
      <c r="J187" s="762">
        <f t="shared" si="74"/>
        <v>0.81644150509675351</v>
      </c>
      <c r="K187" s="763">
        <f t="shared" si="75"/>
        <v>165847.31788638109</v>
      </c>
      <c r="L187" s="764">
        <f t="shared" si="83"/>
        <v>151453.98140297327</v>
      </c>
      <c r="M187" s="762">
        <f t="shared" si="101"/>
        <v>0.72</v>
      </c>
      <c r="N187" s="764">
        <f t="shared" si="102"/>
        <v>133563.6</v>
      </c>
      <c r="O187" s="740">
        <f t="shared" si="76"/>
        <v>0.60941214522519604</v>
      </c>
      <c r="P187" s="765">
        <f t="shared" si="77"/>
        <v>7155.2933506679474</v>
      </c>
      <c r="Q187" s="766">
        <f t="shared" si="78"/>
        <v>5.2171945970723221E-2</v>
      </c>
      <c r="R187" s="743">
        <f t="shared" si="79"/>
        <v>137148.29335066795</v>
      </c>
      <c r="S187" s="744">
        <f t="shared" si="80"/>
        <v>14865.76692480169</v>
      </c>
      <c r="T187" s="745">
        <v>2.2000000000000002</v>
      </c>
      <c r="U187" s="726">
        <f t="shared" si="81"/>
        <v>5.0000000000000018</v>
      </c>
      <c r="V187" s="746">
        <f t="shared" si="82"/>
        <v>2</v>
      </c>
      <c r="W187" s="777">
        <v>0.05</v>
      </c>
      <c r="X187" s="768">
        <f t="shared" si="92"/>
        <v>9275.25</v>
      </c>
      <c r="Y187" s="778">
        <v>0.11</v>
      </c>
      <c r="Z187" s="769">
        <f t="shared" si="104"/>
        <v>8292.3658943190549</v>
      </c>
      <c r="AA187" s="770">
        <f t="shared" si="94"/>
        <v>7572.6990701486638</v>
      </c>
      <c r="AB187" s="770">
        <f t="shared" si="95"/>
        <v>6678.18</v>
      </c>
      <c r="AC187" s="770">
        <f t="shared" si="96"/>
        <v>16659.937954327059</v>
      </c>
      <c r="AD187" s="783">
        <f t="shared" si="91"/>
        <v>16659.937954327059</v>
      </c>
      <c r="AE187" s="743">
        <f t="shared" si="97"/>
        <v>14299.23</v>
      </c>
      <c r="AF187" s="743">
        <f t="shared" si="98"/>
        <v>15086.312268573474</v>
      </c>
      <c r="AG187" s="773">
        <f t="shared" si="99"/>
        <v>1.6265127375082584</v>
      </c>
      <c r="AH187" s="728" t="s">
        <v>398</v>
      </c>
    </row>
    <row r="188" spans="1:34" ht="14.4" x14ac:dyDescent="0.3">
      <c r="A188" s="729" t="s">
        <v>357</v>
      </c>
      <c r="B188" s="726" t="str">
        <f t="shared" si="93"/>
        <v>2010s</v>
      </c>
      <c r="C188" s="730">
        <v>2014</v>
      </c>
      <c r="D188" s="731">
        <f t="shared" si="68"/>
        <v>2011</v>
      </c>
      <c r="E188" s="732">
        <f t="shared" si="69"/>
        <v>2013</v>
      </c>
      <c r="F188" s="759">
        <f t="shared" si="70"/>
        <v>651146</v>
      </c>
      <c r="G188" s="760">
        <f t="shared" si="71"/>
        <v>614179</v>
      </c>
      <c r="H188" s="760">
        <f t="shared" si="72"/>
        <v>581121</v>
      </c>
      <c r="I188" s="761">
        <f t="shared" si="73"/>
        <v>490804</v>
      </c>
      <c r="J188" s="762">
        <f t="shared" si="74"/>
        <v>0.84458142108097967</v>
      </c>
      <c r="K188" s="763">
        <f t="shared" si="75"/>
        <v>593094.14781643241</v>
      </c>
      <c r="L188" s="764">
        <f t="shared" si="83"/>
        <v>518724.17261809501</v>
      </c>
      <c r="M188" s="762">
        <f t="shared" si="101"/>
        <v>0.81100000000000017</v>
      </c>
      <c r="N188" s="764">
        <f t="shared" si="102"/>
        <v>498099.16900000011</v>
      </c>
      <c r="O188" s="740">
        <f t="shared" si="76"/>
        <v>0.72139881044451215</v>
      </c>
      <c r="P188" s="765">
        <f t="shared" si="77"/>
        <v>27398.221299866982</v>
      </c>
      <c r="Q188" s="766">
        <f t="shared" si="78"/>
        <v>5.2871678610602699E-2</v>
      </c>
      <c r="R188" s="743">
        <f t="shared" si="79"/>
        <v>518202.22129986697</v>
      </c>
      <c r="S188" s="744">
        <f t="shared" si="80"/>
        <v>31743.592711328587</v>
      </c>
      <c r="T188" s="775">
        <v>1.1000000000000001</v>
      </c>
      <c r="U188" s="726">
        <f t="shared" si="81"/>
        <v>3.0000000000000009</v>
      </c>
      <c r="V188" s="746">
        <f t="shared" si="82"/>
        <v>1</v>
      </c>
      <c r="W188" s="777">
        <v>0.17499999999999999</v>
      </c>
      <c r="X188" s="768">
        <f t="shared" si="92"/>
        <v>107481.325</v>
      </c>
      <c r="Y188" s="778">
        <v>8.2199999999999995E-2</v>
      </c>
      <c r="Z188" s="748">
        <f t="shared" si="90"/>
        <v>48752.338950510741</v>
      </c>
      <c r="AA188" s="770">
        <f t="shared" si="94"/>
        <v>90776.730208166628</v>
      </c>
      <c r="AB188" s="770">
        <f t="shared" si="95"/>
        <v>87167.354575000019</v>
      </c>
      <c r="AC188" s="770">
        <f t="shared" si="96"/>
        <v>42639.126989207405</v>
      </c>
      <c r="AD188" s="783">
        <f t="shared" si="91"/>
        <v>42639.126989207405</v>
      </c>
      <c r="AE188" s="743">
        <f t="shared" si="97"/>
        <v>40344.088799999998</v>
      </c>
      <c r="AF188" s="743">
        <f t="shared" si="98"/>
        <v>42596.222590849065</v>
      </c>
      <c r="AG188" s="773">
        <f t="shared" si="99"/>
        <v>0.39631277890227967</v>
      </c>
      <c r="AH188" s="728" t="s">
        <v>397</v>
      </c>
    </row>
    <row r="189" spans="1:34" ht="14.4" x14ac:dyDescent="0.3">
      <c r="A189" s="729" t="s">
        <v>357</v>
      </c>
      <c r="B189" s="726" t="str">
        <f t="shared" si="93"/>
        <v>2010s</v>
      </c>
      <c r="C189" s="730">
        <v>2014</v>
      </c>
      <c r="D189" s="731">
        <f t="shared" si="68"/>
        <v>2010</v>
      </c>
      <c r="E189" s="732">
        <f t="shared" si="69"/>
        <v>2012</v>
      </c>
      <c r="F189" s="759">
        <f t="shared" si="70"/>
        <v>651146</v>
      </c>
      <c r="G189" s="760">
        <f t="shared" si="71"/>
        <v>614179</v>
      </c>
      <c r="H189" s="760">
        <f t="shared" si="72"/>
        <v>581121</v>
      </c>
      <c r="I189" s="761">
        <f t="shared" si="73"/>
        <v>490804</v>
      </c>
      <c r="J189" s="762">
        <f t="shared" si="74"/>
        <v>0.84458142108097967</v>
      </c>
      <c r="K189" s="763">
        <f t="shared" si="75"/>
        <v>593094.14781643241</v>
      </c>
      <c r="L189" s="764">
        <f t="shared" si="83"/>
        <v>518724.17261809501</v>
      </c>
      <c r="M189" s="762">
        <f t="shared" si="101"/>
        <v>0.81100000000000017</v>
      </c>
      <c r="N189" s="764">
        <f t="shared" si="102"/>
        <v>498099.16900000011</v>
      </c>
      <c r="O189" s="740">
        <f t="shared" si="76"/>
        <v>0.72139881044451215</v>
      </c>
      <c r="P189" s="765">
        <f t="shared" si="77"/>
        <v>27398.221299866982</v>
      </c>
      <c r="Q189" s="766">
        <f t="shared" si="78"/>
        <v>5.2871678610602699E-2</v>
      </c>
      <c r="R189" s="743">
        <f t="shared" si="79"/>
        <v>518202.22129986697</v>
      </c>
      <c r="S189" s="744">
        <f t="shared" si="80"/>
        <v>31743.592711328587</v>
      </c>
      <c r="T189" s="745">
        <v>1.2</v>
      </c>
      <c r="U189" s="726">
        <f t="shared" si="81"/>
        <v>3.9999999999999996</v>
      </c>
      <c r="V189" s="746">
        <f t="shared" si="82"/>
        <v>1</v>
      </c>
      <c r="W189" s="790">
        <v>0.81899999999999995</v>
      </c>
      <c r="X189" s="791">
        <f t="shared" si="92"/>
        <v>503012.60099999997</v>
      </c>
      <c r="Y189" s="792">
        <v>0.88400000000000001</v>
      </c>
      <c r="Z189" s="748">
        <f t="shared" si="90"/>
        <v>524295.22666972619</v>
      </c>
      <c r="AA189" s="770">
        <f t="shared" si="94"/>
        <v>424835.0973742198</v>
      </c>
      <c r="AB189" s="770">
        <f t="shared" si="95"/>
        <v>407943.21941100009</v>
      </c>
      <c r="AC189" s="770">
        <f t="shared" si="96"/>
        <v>458552.16859439597</v>
      </c>
      <c r="AD189" s="783">
        <f t="shared" si="91"/>
        <v>458552.16859439597</v>
      </c>
      <c r="AE189" s="743">
        <f t="shared" si="97"/>
        <v>433870.73599999998</v>
      </c>
      <c r="AF189" s="743">
        <f t="shared" si="98"/>
        <v>458090.76362908242</v>
      </c>
      <c r="AG189" s="773">
        <f t="shared" si="99"/>
        <v>0.91069440948077252</v>
      </c>
      <c r="AH189" s="728" t="s">
        <v>397</v>
      </c>
    </row>
    <row r="190" spans="1:34" ht="14.4" x14ac:dyDescent="0.3">
      <c r="A190" s="729" t="s">
        <v>357</v>
      </c>
      <c r="B190" s="726" t="str">
        <f t="shared" si="93"/>
        <v>2010s</v>
      </c>
      <c r="C190" s="730">
        <v>2014</v>
      </c>
      <c r="D190" s="731">
        <f t="shared" si="68"/>
        <v>2009</v>
      </c>
      <c r="E190" s="732">
        <f t="shared" si="69"/>
        <v>2011</v>
      </c>
      <c r="F190" s="759">
        <f t="shared" si="70"/>
        <v>651146</v>
      </c>
      <c r="G190" s="760">
        <f t="shared" si="71"/>
        <v>614179</v>
      </c>
      <c r="H190" s="760">
        <f t="shared" si="72"/>
        <v>581121</v>
      </c>
      <c r="I190" s="761">
        <f t="shared" si="73"/>
        <v>490804</v>
      </c>
      <c r="J190" s="762">
        <f t="shared" si="74"/>
        <v>0.84458142108097967</v>
      </c>
      <c r="K190" s="763">
        <f t="shared" si="75"/>
        <v>593094.14781643241</v>
      </c>
      <c r="L190" s="764">
        <f t="shared" si="83"/>
        <v>518724.17261809501</v>
      </c>
      <c r="M190" s="762">
        <f t="shared" si="101"/>
        <v>0.81100000000000017</v>
      </c>
      <c r="N190" s="764">
        <f t="shared" si="102"/>
        <v>498099.16900000011</v>
      </c>
      <c r="O190" s="740">
        <f t="shared" si="76"/>
        <v>0.72139881044451215</v>
      </c>
      <c r="P190" s="765">
        <f t="shared" si="77"/>
        <v>27398.221299866982</v>
      </c>
      <c r="Q190" s="766">
        <f t="shared" si="78"/>
        <v>5.2871678610602699E-2</v>
      </c>
      <c r="R190" s="743">
        <f t="shared" si="79"/>
        <v>518202.22129986697</v>
      </c>
      <c r="S190" s="744">
        <f t="shared" si="80"/>
        <v>31743.592711328587</v>
      </c>
      <c r="T190" s="745">
        <v>1.3</v>
      </c>
      <c r="U190" s="726">
        <f t="shared" si="81"/>
        <v>5</v>
      </c>
      <c r="V190" s="746">
        <f t="shared" si="82"/>
        <v>1</v>
      </c>
      <c r="W190" s="767">
        <v>1E-3</v>
      </c>
      <c r="X190" s="768">
        <f t="shared" si="92"/>
        <v>614.17899999999997</v>
      </c>
      <c r="Y190" s="767">
        <v>0.03</v>
      </c>
      <c r="Z190" s="748">
        <f t="shared" si="90"/>
        <v>17792.82443449297</v>
      </c>
      <c r="AA190" s="770">
        <f t="shared" si="94"/>
        <v>518.72417261809505</v>
      </c>
      <c r="AB190" s="770">
        <f t="shared" si="95"/>
        <v>498.09916900000013</v>
      </c>
      <c r="AC190" s="770">
        <f t="shared" si="96"/>
        <v>15561.725178542849</v>
      </c>
      <c r="AD190" s="783">
        <f t="shared" si="91"/>
        <v>15561.725178542849</v>
      </c>
      <c r="AE190" s="743">
        <f t="shared" si="97"/>
        <v>14724.119999999999</v>
      </c>
      <c r="AF190" s="743">
        <f t="shared" si="98"/>
        <v>15546.066638996008</v>
      </c>
      <c r="AG190" s="773">
        <f t="shared" si="99"/>
        <v>25.311947557627352</v>
      </c>
      <c r="AH190" s="728" t="s">
        <v>397</v>
      </c>
    </row>
    <row r="191" spans="1:34" ht="14.4" x14ac:dyDescent="0.3">
      <c r="A191" s="729" t="s">
        <v>357</v>
      </c>
      <c r="B191" s="726" t="str">
        <f t="shared" si="93"/>
        <v>2010s</v>
      </c>
      <c r="C191" s="730">
        <v>2014</v>
      </c>
      <c r="D191" s="731">
        <f t="shared" si="68"/>
        <v>2010</v>
      </c>
      <c r="E191" s="732">
        <f t="shared" si="69"/>
        <v>2013</v>
      </c>
      <c r="F191" s="759">
        <f t="shared" si="70"/>
        <v>651146</v>
      </c>
      <c r="G191" s="760">
        <f t="shared" si="71"/>
        <v>614179</v>
      </c>
      <c r="H191" s="760">
        <f t="shared" si="72"/>
        <v>581121</v>
      </c>
      <c r="I191" s="761">
        <f t="shared" si="73"/>
        <v>490804</v>
      </c>
      <c r="J191" s="762">
        <f t="shared" si="74"/>
        <v>0.84458142108097967</v>
      </c>
      <c r="K191" s="763">
        <f t="shared" si="75"/>
        <v>593094.14781643241</v>
      </c>
      <c r="L191" s="764">
        <f t="shared" si="83"/>
        <v>518724.17261809501</v>
      </c>
      <c r="M191" s="762">
        <f t="shared" si="101"/>
        <v>0.81100000000000017</v>
      </c>
      <c r="N191" s="764">
        <f t="shared" si="102"/>
        <v>498099.16900000011</v>
      </c>
      <c r="O191" s="740">
        <f t="shared" si="76"/>
        <v>0.72139881044451215</v>
      </c>
      <c r="P191" s="765">
        <f t="shared" si="77"/>
        <v>27398.221299866982</v>
      </c>
      <c r="Q191" s="766">
        <f t="shared" si="78"/>
        <v>5.2871678610602699E-2</v>
      </c>
      <c r="R191" s="743">
        <f t="shared" si="79"/>
        <v>518202.22129986697</v>
      </c>
      <c r="S191" s="744">
        <f t="shared" si="80"/>
        <v>31743.592711328587</v>
      </c>
      <c r="T191" s="745">
        <v>2.1</v>
      </c>
      <c r="U191" s="726">
        <f t="shared" si="81"/>
        <v>4.0000000000000009</v>
      </c>
      <c r="V191" s="746">
        <f t="shared" si="82"/>
        <v>2</v>
      </c>
      <c r="W191" s="767">
        <v>1E-3</v>
      </c>
      <c r="X191" s="768">
        <f t="shared" si="92"/>
        <v>614.17899999999997</v>
      </c>
      <c r="Y191" s="767">
        <v>0</v>
      </c>
      <c r="Z191" s="748">
        <f t="shared" si="90"/>
        <v>0</v>
      </c>
      <c r="AA191" s="770">
        <f t="shared" si="94"/>
        <v>518.72417261809505</v>
      </c>
      <c r="AB191" s="770">
        <f t="shared" si="95"/>
        <v>498.09916900000013</v>
      </c>
      <c r="AC191" s="770">
        <f t="shared" ref="AC191" si="105">IF(Y191,L191*Y191,0)</f>
        <v>0</v>
      </c>
      <c r="AD191" s="783">
        <f t="shared" si="91"/>
        <v>0</v>
      </c>
      <c r="AE191" s="743">
        <f t="shared" si="97"/>
        <v>0</v>
      </c>
      <c r="AF191" s="743">
        <f t="shared" si="98"/>
        <v>0</v>
      </c>
      <c r="AG191" s="773">
        <f t="shared" si="99"/>
        <v>0</v>
      </c>
      <c r="AH191" s="728" t="s">
        <v>397</v>
      </c>
    </row>
    <row r="192" spans="1:34" ht="14.4" x14ac:dyDescent="0.3">
      <c r="A192" s="729" t="s">
        <v>357</v>
      </c>
      <c r="B192" s="726" t="str">
        <f t="shared" si="93"/>
        <v>2010s</v>
      </c>
      <c r="C192" s="730">
        <v>2014</v>
      </c>
      <c r="D192" s="731">
        <f t="shared" ref="D192:D237" si="106">C192-U192</f>
        <v>2009</v>
      </c>
      <c r="E192" s="732">
        <f t="shared" ref="E192:E237" si="107">C192-(T192-INT(T192))*10</f>
        <v>2012</v>
      </c>
      <c r="F192" s="759">
        <f t="shared" si="70"/>
        <v>651146</v>
      </c>
      <c r="G192" s="760">
        <f t="shared" si="71"/>
        <v>614179</v>
      </c>
      <c r="H192" s="760">
        <f t="shared" si="72"/>
        <v>581121</v>
      </c>
      <c r="I192" s="761">
        <f t="shared" si="73"/>
        <v>490804</v>
      </c>
      <c r="J192" s="762">
        <f t="shared" si="74"/>
        <v>0.84458142108097967</v>
      </c>
      <c r="K192" s="763">
        <f t="shared" si="75"/>
        <v>593094.14781643241</v>
      </c>
      <c r="L192" s="764">
        <f t="shared" si="83"/>
        <v>518724.17261809501</v>
      </c>
      <c r="M192" s="762">
        <f t="shared" si="101"/>
        <v>0.81100000000000017</v>
      </c>
      <c r="N192" s="764">
        <f t="shared" si="102"/>
        <v>498099.16900000011</v>
      </c>
      <c r="O192" s="740">
        <f t="shared" si="76"/>
        <v>0.72139881044451215</v>
      </c>
      <c r="P192" s="765">
        <f t="shared" si="77"/>
        <v>27398.221299866982</v>
      </c>
      <c r="Q192" s="766">
        <f t="shared" si="78"/>
        <v>5.2871678610602699E-2</v>
      </c>
      <c r="R192" s="743">
        <f t="shared" si="79"/>
        <v>518202.22129986697</v>
      </c>
      <c r="S192" s="744">
        <f t="shared" si="80"/>
        <v>31743.592711328587</v>
      </c>
      <c r="T192" s="745">
        <v>2.2000000000000002</v>
      </c>
      <c r="U192" s="726">
        <f t="shared" si="81"/>
        <v>5.0000000000000018</v>
      </c>
      <c r="V192" s="746">
        <f t="shared" si="82"/>
        <v>2</v>
      </c>
      <c r="W192" s="767">
        <v>4.0000000000000001E-3</v>
      </c>
      <c r="X192" s="768">
        <f t="shared" si="92"/>
        <v>2456.7159999999999</v>
      </c>
      <c r="Y192" s="767">
        <v>4.0000000000000001E-3</v>
      </c>
      <c r="Z192" s="748">
        <f t="shared" si="90"/>
        <v>2372.3765912657295</v>
      </c>
      <c r="AA192" s="770">
        <f t="shared" si="94"/>
        <v>2074.8966904723802</v>
      </c>
      <c r="AB192" s="770">
        <f t="shared" si="95"/>
        <v>1992.3966760000005</v>
      </c>
      <c r="AC192" s="770">
        <f t="shared" si="96"/>
        <v>2074.8966904723802</v>
      </c>
      <c r="AD192" s="783">
        <f t="shared" si="91"/>
        <v>2074.8966904723802</v>
      </c>
      <c r="AE192" s="743">
        <f t="shared" si="97"/>
        <v>1963.2160000000001</v>
      </c>
      <c r="AF192" s="743">
        <f t="shared" si="98"/>
        <v>2072.808885199468</v>
      </c>
      <c r="AG192" s="773">
        <f t="shared" si="99"/>
        <v>0.84373158525424519</v>
      </c>
      <c r="AH192" s="728" t="s">
        <v>397</v>
      </c>
    </row>
    <row r="193" spans="1:34" ht="14.4" x14ac:dyDescent="0.3">
      <c r="A193" s="729" t="s">
        <v>357</v>
      </c>
      <c r="B193" s="726" t="str">
        <f t="shared" si="93"/>
        <v>2010s</v>
      </c>
      <c r="C193" s="730">
        <v>2015</v>
      </c>
      <c r="D193" s="731">
        <f t="shared" si="106"/>
        <v>2012</v>
      </c>
      <c r="E193" s="732">
        <f t="shared" si="107"/>
        <v>2014</v>
      </c>
      <c r="F193" s="759">
        <f t="shared" si="70"/>
        <v>512455</v>
      </c>
      <c r="G193" s="760">
        <f t="shared" si="71"/>
        <v>510706</v>
      </c>
      <c r="H193" s="760">
        <f t="shared" si="72"/>
        <v>264678</v>
      </c>
      <c r="I193" s="761">
        <f t="shared" si="73"/>
        <v>187055</v>
      </c>
      <c r="J193" s="762">
        <f t="shared" si="74"/>
        <v>0.70672666409750717</v>
      </c>
      <c r="K193" s="763">
        <f t="shared" si="75"/>
        <v>315034.60114804999</v>
      </c>
      <c r="L193" s="764">
        <f t="shared" si="83"/>
        <v>360929.54771458148</v>
      </c>
      <c r="M193" s="762">
        <f t="shared" si="101"/>
        <v>0.78400000000000003</v>
      </c>
      <c r="N193" s="764">
        <f t="shared" si="102"/>
        <v>400393.50400000002</v>
      </c>
      <c r="O193" s="740">
        <f t="shared" si="76"/>
        <v>0.30770932787161304</v>
      </c>
      <c r="P193" s="765">
        <f t="shared" si="77"/>
        <v>22362.24510537332</v>
      </c>
      <c r="Q193" s="766">
        <f t="shared" si="78"/>
        <v>0.10678320734341253</v>
      </c>
      <c r="R193" s="743">
        <f t="shared" si="79"/>
        <v>209417.24510537332</v>
      </c>
      <c r="S193" s="744">
        <f t="shared" si="80"/>
        <v>152748.36754471471</v>
      </c>
      <c r="T193" s="745">
        <v>1.1000000000000001</v>
      </c>
      <c r="U193" s="726">
        <f t="shared" si="81"/>
        <v>3.0000000000000009</v>
      </c>
      <c r="V193" s="746">
        <f t="shared" si="82"/>
        <v>1</v>
      </c>
      <c r="W193" s="767">
        <v>1E-3</v>
      </c>
      <c r="X193" s="768">
        <f t="shared" si="92"/>
        <v>510.70600000000002</v>
      </c>
      <c r="Y193" s="767">
        <v>2E-3</v>
      </c>
      <c r="Z193" s="769">
        <f t="shared" ref="Z193:Z197" si="108">K193*W193</f>
        <v>315.03460114805</v>
      </c>
      <c r="AA193" s="770">
        <f t="shared" si="94"/>
        <v>360.92954771458147</v>
      </c>
      <c r="AB193" s="770">
        <f t="shared" si="95"/>
        <v>400.39350400000001</v>
      </c>
      <c r="AC193" s="770">
        <f t="shared" si="96"/>
        <v>721.85909542916295</v>
      </c>
      <c r="AD193" s="783">
        <f t="shared" si="91"/>
        <v>721.85909542916295</v>
      </c>
      <c r="AE193" s="743">
        <f t="shared" si="97"/>
        <v>374.11</v>
      </c>
      <c r="AF193" s="743">
        <f t="shared" si="98"/>
        <v>418.83449021074665</v>
      </c>
      <c r="AG193" s="773">
        <f t="shared" si="99"/>
        <v>0.82010881056957752</v>
      </c>
      <c r="AH193" s="793" t="s">
        <v>399</v>
      </c>
    </row>
    <row r="194" spans="1:34" ht="14.4" x14ac:dyDescent="0.3">
      <c r="A194" s="729" t="s">
        <v>357</v>
      </c>
      <c r="B194" s="726" t="str">
        <f t="shared" si="93"/>
        <v>2010s</v>
      </c>
      <c r="C194" s="730">
        <v>2015</v>
      </c>
      <c r="D194" s="731">
        <f t="shared" si="106"/>
        <v>2011</v>
      </c>
      <c r="E194" s="732">
        <f t="shared" si="107"/>
        <v>2013</v>
      </c>
      <c r="F194" s="759">
        <f t="shared" ref="F194:F237" si="109">VLOOKUP($C194,SockeyeReturnsData,2)</f>
        <v>512455</v>
      </c>
      <c r="G194" s="760">
        <f t="shared" ref="G194:G237" si="110">VLOOKUP($C194,SockeyeReturnsData,3)</f>
        <v>510706</v>
      </c>
      <c r="H194" s="760">
        <f t="shared" ref="H194:H237" si="111">VLOOKUP($C194,SockeyeReturnsData,4)</f>
        <v>264678</v>
      </c>
      <c r="I194" s="761">
        <f t="shared" ref="I194:I237" si="112">VLOOKUP($C194,SockeyeReturnsData,7)</f>
        <v>187055</v>
      </c>
      <c r="J194" s="762">
        <f t="shared" ref="J194:J237" si="113">VLOOKUP($C194,SockeyeReturnsData,9)</f>
        <v>0.70672666409750717</v>
      </c>
      <c r="K194" s="763">
        <f t="shared" ref="K194:K237" si="114">VLOOKUP($C194,SockeyeReturnsData,23)</f>
        <v>315034.60114804999</v>
      </c>
      <c r="L194" s="764">
        <f t="shared" si="83"/>
        <v>360929.54771458148</v>
      </c>
      <c r="M194" s="762">
        <f t="shared" si="101"/>
        <v>0.78400000000000003</v>
      </c>
      <c r="N194" s="764">
        <f t="shared" si="102"/>
        <v>400393.50400000002</v>
      </c>
      <c r="O194" s="740">
        <f t="shared" ref="O194:O231" si="115">VLOOKUP($C194,SockeyeReturnsData,6)/G194</f>
        <v>0.30770932787161304</v>
      </c>
      <c r="P194" s="765">
        <f t="shared" ref="P194:P237" si="116">VLOOKUP($C194,SockeyeReturnsData,18)</f>
        <v>22362.24510537332</v>
      </c>
      <c r="Q194" s="766">
        <f t="shared" ref="Q194:Q237" si="117">VLOOKUP($C194,SockeyeReturnsData,20)</f>
        <v>0.10678320734341253</v>
      </c>
      <c r="R194" s="743">
        <f t="shared" ref="R194:R237" si="118">VLOOKUP($C194,SockeyeReturnsData,19)</f>
        <v>209417.24510537332</v>
      </c>
      <c r="S194" s="744">
        <f t="shared" ref="S194:S237" si="119">VLOOKUP($C194,SockeyeReturnsData,24)</f>
        <v>152748.36754471471</v>
      </c>
      <c r="T194" s="745">
        <v>1.2</v>
      </c>
      <c r="U194" s="726">
        <f t="shared" ref="U194:U237" si="120">INT(T194) + (T194-INT(T194))*10 + 1</f>
        <v>3.9999999999999996</v>
      </c>
      <c r="V194" s="746">
        <f t="shared" ref="V194:V237" si="121">INT(T194)</f>
        <v>1</v>
      </c>
      <c r="W194" s="790">
        <v>0.97499999999999998</v>
      </c>
      <c r="X194" s="768">
        <f t="shared" si="92"/>
        <v>497938.35</v>
      </c>
      <c r="Y194" s="792">
        <v>0.94699999999999995</v>
      </c>
      <c r="Z194" s="769">
        <f t="shared" si="108"/>
        <v>307158.73611934873</v>
      </c>
      <c r="AA194" s="770">
        <f t="shared" si="94"/>
        <v>351906.30902171694</v>
      </c>
      <c r="AB194" s="770">
        <f t="shared" si="95"/>
        <v>390383.66639999999</v>
      </c>
      <c r="AC194" s="770">
        <f t="shared" si="96"/>
        <v>341800.28168570867</v>
      </c>
      <c r="AD194" s="783">
        <f t="shared" si="91"/>
        <v>341800.28168570867</v>
      </c>
      <c r="AE194" s="743">
        <f t="shared" si="97"/>
        <v>177141.08499999999</v>
      </c>
      <c r="AF194" s="743">
        <f t="shared" si="98"/>
        <v>198318.13111478853</v>
      </c>
      <c r="AG194" s="773">
        <f t="shared" si="99"/>
        <v>0.39827848390225123</v>
      </c>
      <c r="AH194" s="793" t="s">
        <v>400</v>
      </c>
    </row>
    <row r="195" spans="1:34" ht="14.4" x14ac:dyDescent="0.3">
      <c r="A195" s="729" t="s">
        <v>357</v>
      </c>
      <c r="B195" s="726" t="str">
        <f t="shared" si="93"/>
        <v>2010s</v>
      </c>
      <c r="C195" s="730">
        <v>2015</v>
      </c>
      <c r="D195" s="731">
        <f t="shared" si="106"/>
        <v>2010</v>
      </c>
      <c r="E195" s="732">
        <f t="shared" si="107"/>
        <v>2012</v>
      </c>
      <c r="F195" s="759">
        <f t="shared" si="109"/>
        <v>512455</v>
      </c>
      <c r="G195" s="760">
        <f t="shared" si="110"/>
        <v>510706</v>
      </c>
      <c r="H195" s="760">
        <f t="shared" si="111"/>
        <v>264678</v>
      </c>
      <c r="I195" s="761">
        <f t="shared" si="112"/>
        <v>187055</v>
      </c>
      <c r="J195" s="762">
        <f t="shared" si="113"/>
        <v>0.70672666409750717</v>
      </c>
      <c r="K195" s="763">
        <f t="shared" si="114"/>
        <v>315034.60114804999</v>
      </c>
      <c r="L195" s="764">
        <f t="shared" ref="L195:L237" si="122">J195*G195</f>
        <v>360929.54771458148</v>
      </c>
      <c r="M195" s="762">
        <f t="shared" si="101"/>
        <v>0.78400000000000003</v>
      </c>
      <c r="N195" s="764">
        <f t="shared" si="102"/>
        <v>400393.50400000002</v>
      </c>
      <c r="O195" s="740">
        <f t="shared" si="115"/>
        <v>0.30770932787161304</v>
      </c>
      <c r="P195" s="765">
        <f t="shared" si="116"/>
        <v>22362.24510537332</v>
      </c>
      <c r="Q195" s="766">
        <f t="shared" si="117"/>
        <v>0.10678320734341253</v>
      </c>
      <c r="R195" s="743">
        <f t="shared" si="118"/>
        <v>209417.24510537332</v>
      </c>
      <c r="S195" s="744">
        <f t="shared" si="119"/>
        <v>152748.36754471471</v>
      </c>
      <c r="T195" s="745">
        <v>1.3</v>
      </c>
      <c r="U195" s="726">
        <f t="shared" si="120"/>
        <v>5</v>
      </c>
      <c r="V195" s="746">
        <f t="shared" si="121"/>
        <v>1</v>
      </c>
      <c r="W195" s="767">
        <v>1E-3</v>
      </c>
      <c r="X195" s="768">
        <f t="shared" si="92"/>
        <v>510.70600000000002</v>
      </c>
      <c r="Y195" s="767">
        <v>0.03</v>
      </c>
      <c r="Z195" s="769">
        <f t="shared" si="108"/>
        <v>315.03460114805</v>
      </c>
      <c r="AA195" s="770">
        <f t="shared" si="94"/>
        <v>360.92954771458147</v>
      </c>
      <c r="AB195" s="770">
        <f t="shared" si="95"/>
        <v>400.39350400000001</v>
      </c>
      <c r="AC195" s="770">
        <f t="shared" si="96"/>
        <v>10827.886431437444</v>
      </c>
      <c r="AD195" s="783">
        <f t="shared" si="91"/>
        <v>10827.886431437444</v>
      </c>
      <c r="AE195" s="743">
        <f t="shared" si="97"/>
        <v>5611.65</v>
      </c>
      <c r="AF195" s="743">
        <f t="shared" si="98"/>
        <v>6282.5173531611999</v>
      </c>
      <c r="AG195" s="773">
        <f t="shared" si="99"/>
        <v>12.301632158543663</v>
      </c>
    </row>
    <row r="196" spans="1:34" ht="14.4" x14ac:dyDescent="0.3">
      <c r="A196" s="729" t="s">
        <v>357</v>
      </c>
      <c r="B196" s="726" t="str">
        <f t="shared" si="93"/>
        <v>2010s</v>
      </c>
      <c r="C196" s="730">
        <v>2015</v>
      </c>
      <c r="D196" s="731">
        <f t="shared" si="106"/>
        <v>2011</v>
      </c>
      <c r="E196" s="732">
        <f t="shared" si="107"/>
        <v>2014</v>
      </c>
      <c r="F196" s="759">
        <f t="shared" si="109"/>
        <v>512455</v>
      </c>
      <c r="G196" s="760">
        <f t="shared" si="110"/>
        <v>510706</v>
      </c>
      <c r="H196" s="760">
        <f t="shared" si="111"/>
        <v>264678</v>
      </c>
      <c r="I196" s="761">
        <f t="shared" si="112"/>
        <v>187055</v>
      </c>
      <c r="J196" s="762">
        <f t="shared" si="113"/>
        <v>0.70672666409750717</v>
      </c>
      <c r="K196" s="763">
        <f t="shared" si="114"/>
        <v>315034.60114804999</v>
      </c>
      <c r="L196" s="764">
        <f t="shared" si="122"/>
        <v>360929.54771458148</v>
      </c>
      <c r="M196" s="762">
        <f t="shared" si="101"/>
        <v>0.78400000000000003</v>
      </c>
      <c r="N196" s="764">
        <f t="shared" si="102"/>
        <v>400393.50400000002</v>
      </c>
      <c r="O196" s="740">
        <f t="shared" si="115"/>
        <v>0.30770932787161304</v>
      </c>
      <c r="P196" s="765">
        <f t="shared" si="116"/>
        <v>22362.24510537332</v>
      </c>
      <c r="Q196" s="766">
        <f t="shared" si="117"/>
        <v>0.10678320734341253</v>
      </c>
      <c r="R196" s="743">
        <f t="shared" si="118"/>
        <v>209417.24510537332</v>
      </c>
      <c r="S196" s="744">
        <f t="shared" si="119"/>
        <v>152748.36754471471</v>
      </c>
      <c r="T196" s="745">
        <v>2.1</v>
      </c>
      <c r="U196" s="726">
        <f t="shared" si="120"/>
        <v>4.0000000000000009</v>
      </c>
      <c r="V196" s="746">
        <f t="shared" si="121"/>
        <v>2</v>
      </c>
      <c r="W196" s="767">
        <v>0</v>
      </c>
      <c r="X196" s="768">
        <f t="shared" si="92"/>
        <v>0</v>
      </c>
      <c r="Y196" s="767">
        <v>3.0000000000000001E-3</v>
      </c>
      <c r="Z196" s="769">
        <f t="shared" si="108"/>
        <v>0</v>
      </c>
      <c r="AA196" s="770">
        <f t="shared" si="94"/>
        <v>0</v>
      </c>
      <c r="AB196" s="770">
        <f t="shared" si="95"/>
        <v>0</v>
      </c>
      <c r="AC196" s="770">
        <f t="shared" si="96"/>
        <v>1082.7886431437444</v>
      </c>
      <c r="AD196" s="783">
        <f t="shared" si="91"/>
        <v>1082.7886431437444</v>
      </c>
      <c r="AE196" s="743">
        <f t="shared" si="97"/>
        <v>561.16499999999996</v>
      </c>
      <c r="AF196" s="743">
        <f t="shared" si="98"/>
        <v>628.25173531611995</v>
      </c>
      <c r="AG196" s="773">
        <f t="shared" si="99"/>
        <v>0</v>
      </c>
      <c r="AH196" s="793" t="s">
        <v>401</v>
      </c>
    </row>
    <row r="197" spans="1:34" ht="14.4" x14ac:dyDescent="0.3">
      <c r="A197" s="729" t="s">
        <v>357</v>
      </c>
      <c r="B197" s="726" t="str">
        <f t="shared" si="93"/>
        <v>2010s</v>
      </c>
      <c r="C197" s="730">
        <v>2015</v>
      </c>
      <c r="D197" s="731">
        <f t="shared" si="106"/>
        <v>2010</v>
      </c>
      <c r="E197" s="732">
        <f t="shared" si="107"/>
        <v>2013</v>
      </c>
      <c r="F197" s="759">
        <f t="shared" si="109"/>
        <v>512455</v>
      </c>
      <c r="G197" s="760">
        <f t="shared" si="110"/>
        <v>510706</v>
      </c>
      <c r="H197" s="760">
        <f t="shared" si="111"/>
        <v>264678</v>
      </c>
      <c r="I197" s="761">
        <f t="shared" si="112"/>
        <v>187055</v>
      </c>
      <c r="J197" s="762">
        <f t="shared" si="113"/>
        <v>0.70672666409750717</v>
      </c>
      <c r="K197" s="763">
        <f t="shared" si="114"/>
        <v>315034.60114804999</v>
      </c>
      <c r="L197" s="764">
        <f t="shared" si="122"/>
        <v>360929.54771458148</v>
      </c>
      <c r="M197" s="762">
        <f t="shared" si="101"/>
        <v>0.78400000000000003</v>
      </c>
      <c r="N197" s="764">
        <f t="shared" si="102"/>
        <v>400393.50400000002</v>
      </c>
      <c r="O197" s="740">
        <f t="shared" si="115"/>
        <v>0.30770932787161304</v>
      </c>
      <c r="P197" s="765">
        <f t="shared" si="116"/>
        <v>22362.24510537332</v>
      </c>
      <c r="Q197" s="766">
        <f t="shared" si="117"/>
        <v>0.10678320734341253</v>
      </c>
      <c r="R197" s="743">
        <f t="shared" si="118"/>
        <v>209417.24510537332</v>
      </c>
      <c r="S197" s="744">
        <f t="shared" si="119"/>
        <v>152748.36754471471</v>
      </c>
      <c r="T197" s="745">
        <v>2.2000000000000002</v>
      </c>
      <c r="U197" s="726">
        <f t="shared" si="120"/>
        <v>5.0000000000000018</v>
      </c>
      <c r="V197" s="746">
        <f t="shared" si="121"/>
        <v>2</v>
      </c>
      <c r="W197" s="767">
        <v>2.1999999999999999E-2</v>
      </c>
      <c r="X197" s="768">
        <f t="shared" si="92"/>
        <v>11235.531999999999</v>
      </c>
      <c r="Y197" s="767">
        <v>1E-3</v>
      </c>
      <c r="Z197" s="769">
        <f t="shared" si="108"/>
        <v>6930.7612252570989</v>
      </c>
      <c r="AA197" s="770">
        <f t="shared" si="94"/>
        <v>7940.4500497207919</v>
      </c>
      <c r="AB197" s="770">
        <f t="shared" si="95"/>
        <v>8808.6570879999999</v>
      </c>
      <c r="AC197" s="770">
        <f t="shared" si="96"/>
        <v>360.92954771458147</v>
      </c>
      <c r="AD197" s="783">
        <f t="shared" si="91"/>
        <v>360.92954771458147</v>
      </c>
      <c r="AE197" s="743">
        <f t="shared" si="97"/>
        <v>187.05500000000001</v>
      </c>
      <c r="AF197" s="743">
        <f t="shared" si="98"/>
        <v>209.41724510537333</v>
      </c>
      <c r="AG197" s="773">
        <f t="shared" si="99"/>
        <v>1.8638836603854035E-2</v>
      </c>
      <c r="AH197" s="794" t="s">
        <v>402</v>
      </c>
    </row>
    <row r="198" spans="1:34" ht="14.4" x14ac:dyDescent="0.3">
      <c r="A198" s="729" t="s">
        <v>357</v>
      </c>
      <c r="B198" s="726" t="str">
        <f t="shared" si="93"/>
        <v>2010s</v>
      </c>
      <c r="C198" s="730">
        <v>2016</v>
      </c>
      <c r="D198" s="731">
        <f t="shared" si="106"/>
        <v>2013</v>
      </c>
      <c r="E198" s="732">
        <f t="shared" si="107"/>
        <v>2015</v>
      </c>
      <c r="F198" s="759">
        <f t="shared" si="109"/>
        <v>356606</v>
      </c>
      <c r="G198" s="760">
        <f t="shared" si="110"/>
        <v>342498</v>
      </c>
      <c r="H198" s="760">
        <f t="shared" si="111"/>
        <v>310341</v>
      </c>
      <c r="I198" s="761">
        <f t="shared" si="112"/>
        <v>216036</v>
      </c>
      <c r="J198" s="762">
        <f t="shared" si="113"/>
        <v>0.69612458553655499</v>
      </c>
      <c r="K198" s="763">
        <f t="shared" si="114"/>
        <v>276403.91273155314</v>
      </c>
      <c r="L198" s="764">
        <f t="shared" si="122"/>
        <v>238421.27829709902</v>
      </c>
      <c r="M198" s="762">
        <f t="shared" si="101"/>
        <v>0.70099999999999996</v>
      </c>
      <c r="N198" s="764">
        <f t="shared" si="102"/>
        <v>240091.098</v>
      </c>
      <c r="O198" s="740">
        <f t="shared" si="115"/>
        <v>0.53644108870708729</v>
      </c>
      <c r="P198" s="765">
        <f t="shared" si="116"/>
        <v>12446.707589393603</v>
      </c>
      <c r="Q198" s="766">
        <f t="shared" si="117"/>
        <v>5.4475490599321802E-2</v>
      </c>
      <c r="R198" s="743">
        <f t="shared" si="118"/>
        <v>228482.7075893936</v>
      </c>
      <c r="S198" s="744">
        <f t="shared" si="119"/>
        <v>19759.496360455116</v>
      </c>
      <c r="T198" s="745">
        <v>1.1000000000000001</v>
      </c>
      <c r="U198" s="726">
        <f t="shared" si="120"/>
        <v>3.0000000000000009</v>
      </c>
      <c r="V198" s="746">
        <f t="shared" si="121"/>
        <v>1</v>
      </c>
      <c r="W198" s="767">
        <v>8.9999999999999993E-3</v>
      </c>
      <c r="X198" s="768">
        <f t="shared" si="92"/>
        <v>3082.482</v>
      </c>
      <c r="Y198" s="767">
        <v>0.01</v>
      </c>
      <c r="Z198" s="748">
        <f t="shared" si="90"/>
        <v>2764.0391273155315</v>
      </c>
      <c r="AA198" s="770">
        <f t="shared" si="94"/>
        <v>2145.7915046738913</v>
      </c>
      <c r="AB198" s="770">
        <f t="shared" si="95"/>
        <v>2160.8198819999998</v>
      </c>
      <c r="AC198" s="770">
        <f t="shared" si="96"/>
        <v>2384.2127829709902</v>
      </c>
      <c r="AD198" s="783">
        <f t="shared" si="91"/>
        <v>2384.2127829709902</v>
      </c>
      <c r="AE198" s="743">
        <f t="shared" si="97"/>
        <v>2160.36</v>
      </c>
      <c r="AF198" s="743">
        <f t="shared" si="98"/>
        <v>2284.8270758939361</v>
      </c>
      <c r="AG198" s="773">
        <f t="shared" si="99"/>
        <v>0.74122965710551958</v>
      </c>
    </row>
    <row r="199" spans="1:34" ht="14.4" x14ac:dyDescent="0.3">
      <c r="A199" s="729" t="s">
        <v>357</v>
      </c>
      <c r="B199" s="726" t="str">
        <f t="shared" si="93"/>
        <v>2010s</v>
      </c>
      <c r="C199" s="730">
        <v>2016</v>
      </c>
      <c r="D199" s="731">
        <f t="shared" si="106"/>
        <v>2012</v>
      </c>
      <c r="E199" s="732">
        <f t="shared" si="107"/>
        <v>2014</v>
      </c>
      <c r="F199" s="759">
        <f t="shared" si="109"/>
        <v>356606</v>
      </c>
      <c r="G199" s="760">
        <f t="shared" si="110"/>
        <v>342498</v>
      </c>
      <c r="H199" s="760">
        <f t="shared" si="111"/>
        <v>310341</v>
      </c>
      <c r="I199" s="761">
        <f t="shared" si="112"/>
        <v>216036</v>
      </c>
      <c r="J199" s="762">
        <f t="shared" si="113"/>
        <v>0.69612458553655499</v>
      </c>
      <c r="K199" s="763">
        <f t="shared" si="114"/>
        <v>276403.91273155314</v>
      </c>
      <c r="L199" s="764">
        <f t="shared" si="122"/>
        <v>238421.27829709902</v>
      </c>
      <c r="M199" s="762">
        <f t="shared" si="101"/>
        <v>0.70099999999999996</v>
      </c>
      <c r="N199" s="764">
        <f t="shared" si="102"/>
        <v>240091.098</v>
      </c>
      <c r="O199" s="740">
        <f t="shared" si="115"/>
        <v>0.53644108870708729</v>
      </c>
      <c r="P199" s="765">
        <f t="shared" si="116"/>
        <v>12446.707589393603</v>
      </c>
      <c r="Q199" s="766">
        <f t="shared" si="117"/>
        <v>5.4475490599321802E-2</v>
      </c>
      <c r="R199" s="743">
        <f t="shared" si="118"/>
        <v>228482.7075893936</v>
      </c>
      <c r="S199" s="744">
        <f t="shared" si="119"/>
        <v>19759.496360455116</v>
      </c>
      <c r="T199" s="745">
        <v>1.2</v>
      </c>
      <c r="U199" s="726">
        <f t="shared" si="120"/>
        <v>3.9999999999999996</v>
      </c>
      <c r="V199" s="746">
        <f t="shared" si="121"/>
        <v>1</v>
      </c>
      <c r="W199" s="767">
        <v>0.96</v>
      </c>
      <c r="X199" s="768">
        <f t="shared" si="92"/>
        <v>328798.08000000002</v>
      </c>
      <c r="Y199" s="767">
        <v>0.95699999999999996</v>
      </c>
      <c r="Z199" s="748">
        <f t="shared" si="90"/>
        <v>264518.54448409635</v>
      </c>
      <c r="AA199" s="770">
        <f t="shared" si="94"/>
        <v>228884.42716521505</v>
      </c>
      <c r="AB199" s="770">
        <f t="shared" si="95"/>
        <v>230487.45408</v>
      </c>
      <c r="AC199" s="770">
        <f t="shared" si="96"/>
        <v>228169.16333032376</v>
      </c>
      <c r="AD199" s="783">
        <f t="shared" si="91"/>
        <v>228169.16333032376</v>
      </c>
      <c r="AE199" s="743">
        <f t="shared" si="97"/>
        <v>206746.45199999999</v>
      </c>
      <c r="AF199" s="743">
        <f t="shared" si="98"/>
        <v>218657.95116304967</v>
      </c>
      <c r="AG199" s="773">
        <f t="shared" si="99"/>
        <v>0.66502198298435822</v>
      </c>
      <c r="AH199" s="786" t="s">
        <v>403</v>
      </c>
    </row>
    <row r="200" spans="1:34" ht="14.4" x14ac:dyDescent="0.3">
      <c r="A200" s="729" t="s">
        <v>357</v>
      </c>
      <c r="B200" s="726" t="str">
        <f t="shared" si="93"/>
        <v>2010s</v>
      </c>
      <c r="C200" s="730">
        <v>2016</v>
      </c>
      <c r="D200" s="731">
        <f t="shared" si="106"/>
        <v>2011</v>
      </c>
      <c r="E200" s="732">
        <f t="shared" si="107"/>
        <v>2013</v>
      </c>
      <c r="F200" s="759">
        <f t="shared" si="109"/>
        <v>356606</v>
      </c>
      <c r="G200" s="760">
        <f t="shared" si="110"/>
        <v>342498</v>
      </c>
      <c r="H200" s="760">
        <f t="shared" si="111"/>
        <v>310341</v>
      </c>
      <c r="I200" s="761">
        <f t="shared" si="112"/>
        <v>216036</v>
      </c>
      <c r="J200" s="762">
        <f t="shared" si="113"/>
        <v>0.69612458553655499</v>
      </c>
      <c r="K200" s="763">
        <f t="shared" si="114"/>
        <v>276403.91273155314</v>
      </c>
      <c r="L200" s="764">
        <f t="shared" si="122"/>
        <v>238421.27829709902</v>
      </c>
      <c r="M200" s="762">
        <f t="shared" si="101"/>
        <v>0.70099999999999996</v>
      </c>
      <c r="N200" s="764">
        <f t="shared" si="102"/>
        <v>240091.098</v>
      </c>
      <c r="O200" s="740">
        <f t="shared" si="115"/>
        <v>0.53644108870708729</v>
      </c>
      <c r="P200" s="765">
        <f t="shared" si="116"/>
        <v>12446.707589393603</v>
      </c>
      <c r="Q200" s="766">
        <f t="shared" si="117"/>
        <v>5.4475490599321802E-2</v>
      </c>
      <c r="R200" s="743">
        <f t="shared" si="118"/>
        <v>228482.7075893936</v>
      </c>
      <c r="S200" s="744">
        <f t="shared" si="119"/>
        <v>19759.496360455116</v>
      </c>
      <c r="T200" s="745">
        <v>1.3</v>
      </c>
      <c r="U200" s="726">
        <f t="shared" si="120"/>
        <v>5</v>
      </c>
      <c r="V200" s="746">
        <f t="shared" si="121"/>
        <v>1</v>
      </c>
      <c r="W200" s="767">
        <v>7.0000000000000001E-3</v>
      </c>
      <c r="X200" s="768">
        <f t="shared" si="92"/>
        <v>2397.4859999999999</v>
      </c>
      <c r="Y200" s="767">
        <v>2.5000000000000001E-2</v>
      </c>
      <c r="Z200" s="748">
        <f t="shared" si="90"/>
        <v>6910.0978182888284</v>
      </c>
      <c r="AA200" s="770">
        <f t="shared" si="94"/>
        <v>1668.9489480796931</v>
      </c>
      <c r="AB200" s="770">
        <f t="shared" si="95"/>
        <v>1680.637686</v>
      </c>
      <c r="AC200" s="770">
        <f t="shared" si="96"/>
        <v>5960.5319574274763</v>
      </c>
      <c r="AD200" s="783">
        <f t="shared" si="91"/>
        <v>5960.5319574274763</v>
      </c>
      <c r="AE200" s="743">
        <f t="shared" si="97"/>
        <v>5400.9000000000005</v>
      </c>
      <c r="AF200" s="743">
        <f t="shared" si="98"/>
        <v>5712.0676897348403</v>
      </c>
      <c r="AG200" s="773">
        <f t="shared" si="99"/>
        <v>2.3825238978391701</v>
      </c>
      <c r="AH200" s="786"/>
    </row>
    <row r="201" spans="1:34" ht="14.4" x14ac:dyDescent="0.3">
      <c r="A201" s="729" t="s">
        <v>357</v>
      </c>
      <c r="B201" s="726" t="str">
        <f t="shared" si="93"/>
        <v>2010s</v>
      </c>
      <c r="C201" s="730">
        <v>2016</v>
      </c>
      <c r="D201" s="731">
        <f t="shared" si="106"/>
        <v>2012</v>
      </c>
      <c r="E201" s="732">
        <f t="shared" si="107"/>
        <v>2015</v>
      </c>
      <c r="F201" s="759">
        <f t="shared" si="109"/>
        <v>356606</v>
      </c>
      <c r="G201" s="760">
        <f t="shared" si="110"/>
        <v>342498</v>
      </c>
      <c r="H201" s="760">
        <f t="shared" si="111"/>
        <v>310341</v>
      </c>
      <c r="I201" s="761">
        <f t="shared" si="112"/>
        <v>216036</v>
      </c>
      <c r="J201" s="762">
        <f t="shared" si="113"/>
        <v>0.69612458553655499</v>
      </c>
      <c r="K201" s="763">
        <f t="shared" si="114"/>
        <v>276403.91273155314</v>
      </c>
      <c r="L201" s="764">
        <f t="shared" si="122"/>
        <v>238421.27829709902</v>
      </c>
      <c r="M201" s="762">
        <f t="shared" ref="M201:M237" si="123">VLOOKUP($C201,SockeyeReturnsData,12)</f>
        <v>0.70099999999999996</v>
      </c>
      <c r="N201" s="764">
        <f t="shared" si="102"/>
        <v>240091.098</v>
      </c>
      <c r="O201" s="740">
        <f t="shared" si="115"/>
        <v>0.53644108870708729</v>
      </c>
      <c r="P201" s="765">
        <f t="shared" si="116"/>
        <v>12446.707589393603</v>
      </c>
      <c r="Q201" s="766">
        <f t="shared" si="117"/>
        <v>5.4475490599321802E-2</v>
      </c>
      <c r="R201" s="743">
        <f t="shared" si="118"/>
        <v>228482.7075893936</v>
      </c>
      <c r="S201" s="744">
        <f t="shared" si="119"/>
        <v>19759.496360455116</v>
      </c>
      <c r="T201" s="745">
        <v>2.1</v>
      </c>
      <c r="U201" s="726">
        <f t="shared" si="120"/>
        <v>4.0000000000000009</v>
      </c>
      <c r="V201" s="746">
        <f t="shared" si="121"/>
        <v>2</v>
      </c>
      <c r="W201" s="767">
        <v>0</v>
      </c>
      <c r="X201" s="768">
        <f t="shared" si="92"/>
        <v>0</v>
      </c>
      <c r="Y201" s="767">
        <v>3.0000000000000001E-3</v>
      </c>
      <c r="Z201" s="748">
        <f t="shared" si="90"/>
        <v>829.21173819465946</v>
      </c>
      <c r="AA201" s="770">
        <f t="shared" si="94"/>
        <v>0</v>
      </c>
      <c r="AB201" s="770">
        <f t="shared" si="95"/>
        <v>0</v>
      </c>
      <c r="AC201" s="770">
        <f t="shared" si="96"/>
        <v>715.26383489129705</v>
      </c>
      <c r="AD201" s="783">
        <f t="shared" si="91"/>
        <v>715.26383489129705</v>
      </c>
      <c r="AE201" s="743">
        <f t="shared" si="97"/>
        <v>648.10800000000006</v>
      </c>
      <c r="AF201" s="743">
        <f t="shared" si="98"/>
        <v>685.44812276818084</v>
      </c>
      <c r="AG201" s="773">
        <f t="shared" si="99"/>
        <v>0</v>
      </c>
      <c r="AH201" s="786"/>
    </row>
    <row r="202" spans="1:34" ht="14.4" x14ac:dyDescent="0.3">
      <c r="A202" s="729" t="s">
        <v>357</v>
      </c>
      <c r="B202" s="726" t="str">
        <f t="shared" si="93"/>
        <v>2010s</v>
      </c>
      <c r="C202" s="730">
        <v>2016</v>
      </c>
      <c r="D202" s="731">
        <f t="shared" si="106"/>
        <v>2011</v>
      </c>
      <c r="E202" s="732">
        <f t="shared" si="107"/>
        <v>2014</v>
      </c>
      <c r="F202" s="759">
        <f t="shared" si="109"/>
        <v>356606</v>
      </c>
      <c r="G202" s="760">
        <f t="shared" si="110"/>
        <v>342498</v>
      </c>
      <c r="H202" s="760">
        <f t="shared" si="111"/>
        <v>310341</v>
      </c>
      <c r="I202" s="761">
        <f t="shared" si="112"/>
        <v>216036</v>
      </c>
      <c r="J202" s="762">
        <f t="shared" si="113"/>
        <v>0.69612458553655499</v>
      </c>
      <c r="K202" s="763">
        <f t="shared" si="114"/>
        <v>276403.91273155314</v>
      </c>
      <c r="L202" s="764">
        <f t="shared" si="122"/>
        <v>238421.27829709902</v>
      </c>
      <c r="M202" s="762">
        <f t="shared" si="123"/>
        <v>0.70099999999999996</v>
      </c>
      <c r="N202" s="764">
        <f t="shared" si="102"/>
        <v>240091.098</v>
      </c>
      <c r="O202" s="740">
        <f t="shared" si="115"/>
        <v>0.53644108870708729</v>
      </c>
      <c r="P202" s="765">
        <f t="shared" si="116"/>
        <v>12446.707589393603</v>
      </c>
      <c r="Q202" s="766">
        <f t="shared" si="117"/>
        <v>5.4475490599321802E-2</v>
      </c>
      <c r="R202" s="743">
        <f t="shared" si="118"/>
        <v>228482.7075893936</v>
      </c>
      <c r="S202" s="744">
        <f t="shared" si="119"/>
        <v>19759.496360455116</v>
      </c>
      <c r="T202" s="745">
        <v>2.2000000000000002</v>
      </c>
      <c r="U202" s="726">
        <f t="shared" si="120"/>
        <v>5.0000000000000018</v>
      </c>
      <c r="V202" s="746">
        <f t="shared" si="121"/>
        <v>2</v>
      </c>
      <c r="W202" s="767">
        <v>2.4E-2</v>
      </c>
      <c r="X202" s="768">
        <f t="shared" si="92"/>
        <v>8219.9519999999993</v>
      </c>
      <c r="Y202" s="767">
        <v>5.0000000000000001E-3</v>
      </c>
      <c r="Z202" s="748">
        <f t="shared" si="90"/>
        <v>1382.0195636577657</v>
      </c>
      <c r="AA202" s="770">
        <f t="shared" si="94"/>
        <v>5722.1106791303764</v>
      </c>
      <c r="AB202" s="770">
        <f t="shared" si="95"/>
        <v>5762.1863519999997</v>
      </c>
      <c r="AC202" s="770">
        <f t="shared" si="96"/>
        <v>1192.1063914854951</v>
      </c>
      <c r="AD202" s="783">
        <f t="shared" si="91"/>
        <v>1192.1063914854951</v>
      </c>
      <c r="AE202" s="743">
        <f t="shared" si="97"/>
        <v>1080.18</v>
      </c>
      <c r="AF202" s="743">
        <f t="shared" si="98"/>
        <v>1142.4135379469681</v>
      </c>
      <c r="AG202" s="773">
        <f t="shared" si="99"/>
        <v>0.13898056070728493</v>
      </c>
      <c r="AH202" s="786"/>
    </row>
    <row r="203" spans="1:34" ht="14.4" x14ac:dyDescent="0.3">
      <c r="A203" s="729" t="s">
        <v>357</v>
      </c>
      <c r="B203" s="726" t="str">
        <f t="shared" si="93"/>
        <v>2010s</v>
      </c>
      <c r="C203" s="730">
        <v>2017</v>
      </c>
      <c r="D203" s="731">
        <f t="shared" si="106"/>
        <v>2014</v>
      </c>
      <c r="E203" s="732">
        <f t="shared" si="107"/>
        <v>2016</v>
      </c>
      <c r="F203" s="759">
        <f t="shared" si="109"/>
        <v>88263</v>
      </c>
      <c r="G203" s="760">
        <f t="shared" si="110"/>
        <v>87693</v>
      </c>
      <c r="H203" s="760">
        <f t="shared" si="111"/>
        <v>73218</v>
      </c>
      <c r="I203" s="761">
        <f t="shared" si="112"/>
        <v>42299</v>
      </c>
      <c r="J203" s="762">
        <f t="shared" si="113"/>
        <v>0.57771313065093288</v>
      </c>
      <c r="K203" s="763">
        <f t="shared" si="114"/>
        <v>55256.548993682518</v>
      </c>
      <c r="L203" s="764">
        <f t="shared" si="122"/>
        <v>50661.397566172258</v>
      </c>
      <c r="M203" s="762">
        <f t="shared" si="123"/>
        <v>0.59199999999999997</v>
      </c>
      <c r="N203" s="764">
        <f t="shared" si="102"/>
        <v>51914.255999999994</v>
      </c>
      <c r="O203" s="740">
        <f t="shared" si="115"/>
        <v>0.41873353631418697</v>
      </c>
      <c r="P203" s="765">
        <f t="shared" si="116"/>
        <v>2835.9937583654296</v>
      </c>
      <c r="Q203" s="766">
        <f t="shared" si="117"/>
        <v>6.2833591460058624E-2</v>
      </c>
      <c r="R203" s="743">
        <f t="shared" si="118"/>
        <v>45134.993758365432</v>
      </c>
      <c r="S203" s="744">
        <f t="shared" si="119"/>
        <v>5855.7002922778556</v>
      </c>
      <c r="T203" s="775">
        <v>1.1000000000000001</v>
      </c>
      <c r="U203" s="726">
        <f t="shared" si="120"/>
        <v>3.0000000000000009</v>
      </c>
      <c r="V203" s="746">
        <f t="shared" si="121"/>
        <v>1</v>
      </c>
      <c r="W203" s="777">
        <v>0.19</v>
      </c>
      <c r="X203" s="768">
        <f t="shared" si="92"/>
        <v>16661.670000000002</v>
      </c>
      <c r="Y203" s="778">
        <v>3.7999999999999999E-2</v>
      </c>
      <c r="Z203" s="748">
        <f t="shared" si="90"/>
        <v>2099.7488617599356</v>
      </c>
      <c r="AA203" s="770">
        <f t="shared" si="94"/>
        <v>9625.6655375727296</v>
      </c>
      <c r="AB203" s="770">
        <f t="shared" si="95"/>
        <v>9863.7086399999989</v>
      </c>
      <c r="AC203" s="770">
        <f t="shared" si="96"/>
        <v>1925.1331075145458</v>
      </c>
      <c r="AD203" s="783">
        <f t="shared" si="91"/>
        <v>1925.1331075145458</v>
      </c>
      <c r="AE203" s="743">
        <f t="shared" si="97"/>
        <v>1607.3619999999999</v>
      </c>
      <c r="AF203" s="743">
        <f t="shared" si="98"/>
        <v>1715.1297628178863</v>
      </c>
      <c r="AG203" s="773">
        <f t="shared" si="99"/>
        <v>0.10293864677537642</v>
      </c>
      <c r="AH203" s="786" t="s">
        <v>404</v>
      </c>
    </row>
    <row r="204" spans="1:34" ht="14.4" x14ac:dyDescent="0.3">
      <c r="A204" s="729" t="s">
        <v>357</v>
      </c>
      <c r="B204" s="726" t="str">
        <f t="shared" si="93"/>
        <v>2010s</v>
      </c>
      <c r="C204" s="730">
        <v>2017</v>
      </c>
      <c r="D204" s="731">
        <f t="shared" si="106"/>
        <v>2013</v>
      </c>
      <c r="E204" s="732">
        <f t="shared" si="107"/>
        <v>2015</v>
      </c>
      <c r="F204" s="759">
        <f t="shared" si="109"/>
        <v>88263</v>
      </c>
      <c r="G204" s="760">
        <f t="shared" si="110"/>
        <v>87693</v>
      </c>
      <c r="H204" s="760">
        <f t="shared" si="111"/>
        <v>73218</v>
      </c>
      <c r="I204" s="761">
        <f t="shared" si="112"/>
        <v>42299</v>
      </c>
      <c r="J204" s="762">
        <f t="shared" si="113"/>
        <v>0.57771313065093288</v>
      </c>
      <c r="K204" s="763">
        <f t="shared" si="114"/>
        <v>55256.548993682518</v>
      </c>
      <c r="L204" s="764">
        <f t="shared" si="122"/>
        <v>50661.397566172258</v>
      </c>
      <c r="M204" s="762">
        <f t="shared" si="123"/>
        <v>0.59199999999999997</v>
      </c>
      <c r="N204" s="764">
        <f t="shared" si="102"/>
        <v>51914.255999999994</v>
      </c>
      <c r="O204" s="740">
        <f t="shared" si="115"/>
        <v>0.41873353631418697</v>
      </c>
      <c r="P204" s="765">
        <f t="shared" si="116"/>
        <v>2835.9937583654296</v>
      </c>
      <c r="Q204" s="766">
        <f t="shared" si="117"/>
        <v>6.2833591460058624E-2</v>
      </c>
      <c r="R204" s="743">
        <f t="shared" si="118"/>
        <v>45134.993758365432</v>
      </c>
      <c r="S204" s="744">
        <f t="shared" si="119"/>
        <v>5855.7002922778556</v>
      </c>
      <c r="T204" s="745">
        <v>1.2</v>
      </c>
      <c r="U204" s="726">
        <f t="shared" si="120"/>
        <v>3.9999999999999996</v>
      </c>
      <c r="V204" s="746">
        <f t="shared" si="121"/>
        <v>1</v>
      </c>
      <c r="W204" s="777">
        <v>0.52700000000000002</v>
      </c>
      <c r="X204" s="768">
        <f t="shared" si="92"/>
        <v>46214.211000000003</v>
      </c>
      <c r="Y204" s="778">
        <v>0.75900000000000001</v>
      </c>
      <c r="Z204" s="748">
        <f t="shared" si="90"/>
        <v>41939.72068620503</v>
      </c>
      <c r="AA204" s="770">
        <f t="shared" si="94"/>
        <v>26698.556517372781</v>
      </c>
      <c r="AB204" s="770">
        <f t="shared" si="95"/>
        <v>27358.812911999998</v>
      </c>
      <c r="AC204" s="770">
        <f t="shared" si="96"/>
        <v>38452.000752724744</v>
      </c>
      <c r="AD204" s="783">
        <f t="shared" si="91"/>
        <v>38452.000752724744</v>
      </c>
      <c r="AE204" s="743">
        <f t="shared" si="97"/>
        <v>32104.940999999999</v>
      </c>
      <c r="AF204" s="743">
        <f t="shared" si="98"/>
        <v>34257.460262599365</v>
      </c>
      <c r="AG204" s="773">
        <f t="shared" si="99"/>
        <v>0.7412754544830239</v>
      </c>
    </row>
    <row r="205" spans="1:34" ht="14.4" x14ac:dyDescent="0.3">
      <c r="A205" s="729" t="s">
        <v>357</v>
      </c>
      <c r="B205" s="726" t="str">
        <f t="shared" si="93"/>
        <v>2010s</v>
      </c>
      <c r="C205" s="730">
        <v>2017</v>
      </c>
      <c r="D205" s="731">
        <f t="shared" si="106"/>
        <v>2012</v>
      </c>
      <c r="E205" s="732">
        <f t="shared" si="107"/>
        <v>2014</v>
      </c>
      <c r="F205" s="759">
        <f t="shared" si="109"/>
        <v>88263</v>
      </c>
      <c r="G205" s="760">
        <f t="shared" si="110"/>
        <v>87693</v>
      </c>
      <c r="H205" s="760">
        <f t="shared" si="111"/>
        <v>73218</v>
      </c>
      <c r="I205" s="761">
        <f t="shared" si="112"/>
        <v>42299</v>
      </c>
      <c r="J205" s="762">
        <f t="shared" si="113"/>
        <v>0.57771313065093288</v>
      </c>
      <c r="K205" s="763">
        <f t="shared" si="114"/>
        <v>55256.548993682518</v>
      </c>
      <c r="L205" s="764">
        <f t="shared" si="122"/>
        <v>50661.397566172258</v>
      </c>
      <c r="M205" s="762">
        <f t="shared" si="123"/>
        <v>0.59199999999999997</v>
      </c>
      <c r="N205" s="764">
        <f t="shared" si="102"/>
        <v>51914.255999999994</v>
      </c>
      <c r="O205" s="740">
        <f t="shared" si="115"/>
        <v>0.41873353631418697</v>
      </c>
      <c r="P205" s="765">
        <f t="shared" si="116"/>
        <v>2835.9937583654296</v>
      </c>
      <c r="Q205" s="766">
        <f t="shared" si="117"/>
        <v>6.2833591460058624E-2</v>
      </c>
      <c r="R205" s="743">
        <f t="shared" si="118"/>
        <v>45134.993758365432</v>
      </c>
      <c r="S205" s="744">
        <f t="shared" si="119"/>
        <v>5855.7002922778556</v>
      </c>
      <c r="T205" s="745">
        <v>1.3</v>
      </c>
      <c r="U205" s="726">
        <f t="shared" si="120"/>
        <v>5</v>
      </c>
      <c r="V205" s="746">
        <f t="shared" si="121"/>
        <v>1</v>
      </c>
      <c r="W205" s="767">
        <v>0.221</v>
      </c>
      <c r="X205" s="768">
        <f t="shared" si="92"/>
        <v>19380.152999999998</v>
      </c>
      <c r="Y205" s="767">
        <v>0.18099999999999999</v>
      </c>
      <c r="Z205" s="748">
        <f t="shared" si="90"/>
        <v>10001.435367856535</v>
      </c>
      <c r="AA205" s="770">
        <f t="shared" si="94"/>
        <v>11196.168862124068</v>
      </c>
      <c r="AB205" s="770">
        <f t="shared" si="95"/>
        <v>11473.050576</v>
      </c>
      <c r="AC205" s="770">
        <f t="shared" si="96"/>
        <v>9169.7129594771777</v>
      </c>
      <c r="AD205" s="783">
        <f t="shared" si="91"/>
        <v>9169.7129594771777</v>
      </c>
      <c r="AE205" s="743">
        <f t="shared" si="97"/>
        <v>7656.1189999999997</v>
      </c>
      <c r="AF205" s="743">
        <f t="shared" si="98"/>
        <v>8169.4338702641426</v>
      </c>
      <c r="AG205" s="773">
        <f t="shared" si="99"/>
        <v>0.42153608747382659</v>
      </c>
    </row>
    <row r="206" spans="1:34" ht="14.4" x14ac:dyDescent="0.3">
      <c r="A206" s="729" t="s">
        <v>357</v>
      </c>
      <c r="B206" s="726" t="str">
        <f t="shared" si="93"/>
        <v>2010s</v>
      </c>
      <c r="C206" s="730">
        <v>2017</v>
      </c>
      <c r="D206" s="731">
        <f t="shared" si="106"/>
        <v>2013</v>
      </c>
      <c r="E206" s="732">
        <f t="shared" si="107"/>
        <v>2016</v>
      </c>
      <c r="F206" s="759">
        <f t="shared" si="109"/>
        <v>88263</v>
      </c>
      <c r="G206" s="760">
        <f t="shared" si="110"/>
        <v>87693</v>
      </c>
      <c r="H206" s="760">
        <f t="shared" si="111"/>
        <v>73218</v>
      </c>
      <c r="I206" s="761">
        <f t="shared" si="112"/>
        <v>42299</v>
      </c>
      <c r="J206" s="762">
        <f t="shared" si="113"/>
        <v>0.57771313065093288</v>
      </c>
      <c r="K206" s="763">
        <f t="shared" si="114"/>
        <v>55256.548993682518</v>
      </c>
      <c r="L206" s="764">
        <f t="shared" si="122"/>
        <v>50661.397566172258</v>
      </c>
      <c r="M206" s="762">
        <f t="shared" si="123"/>
        <v>0.59199999999999997</v>
      </c>
      <c r="N206" s="764">
        <f t="shared" si="102"/>
        <v>51914.255999999994</v>
      </c>
      <c r="O206" s="740">
        <f t="shared" si="115"/>
        <v>0.41873353631418697</v>
      </c>
      <c r="P206" s="765">
        <f t="shared" si="116"/>
        <v>2835.9937583654296</v>
      </c>
      <c r="Q206" s="766">
        <f t="shared" si="117"/>
        <v>6.2833591460058624E-2</v>
      </c>
      <c r="R206" s="743">
        <f t="shared" si="118"/>
        <v>45134.993758365432</v>
      </c>
      <c r="S206" s="744">
        <f t="shared" si="119"/>
        <v>5855.7002922778556</v>
      </c>
      <c r="T206" s="745">
        <v>2.1</v>
      </c>
      <c r="U206" s="726">
        <f t="shared" si="120"/>
        <v>4.0000000000000009</v>
      </c>
      <c r="V206" s="746">
        <f t="shared" si="121"/>
        <v>2</v>
      </c>
      <c r="W206" s="767">
        <v>3.5999999999999997E-2</v>
      </c>
      <c r="X206" s="768">
        <f t="shared" si="92"/>
        <v>3156.9479999999999</v>
      </c>
      <c r="Y206" s="767">
        <v>1.4999999999999999E-2</v>
      </c>
      <c r="Z206" s="748">
        <f t="shared" si="90"/>
        <v>828.84823490523775</v>
      </c>
      <c r="AA206" s="770">
        <f t="shared" si="94"/>
        <v>1823.8103123822011</v>
      </c>
      <c r="AB206" s="770">
        <f t="shared" si="95"/>
        <v>1868.9132159999997</v>
      </c>
      <c r="AC206" s="770">
        <f t="shared" si="96"/>
        <v>759.92096349258384</v>
      </c>
      <c r="AD206" s="783">
        <f t="shared" si="91"/>
        <v>759.92096349258384</v>
      </c>
      <c r="AE206" s="743">
        <f t="shared" si="97"/>
        <v>634.48500000000001</v>
      </c>
      <c r="AF206" s="743">
        <f t="shared" si="98"/>
        <v>677.02490637548146</v>
      </c>
      <c r="AG206" s="773">
        <f t="shared" si="99"/>
        <v>0.21445551411536759</v>
      </c>
    </row>
    <row r="207" spans="1:34" ht="14.4" x14ac:dyDescent="0.3">
      <c r="A207" s="729" t="s">
        <v>357</v>
      </c>
      <c r="B207" s="726" t="str">
        <f t="shared" si="93"/>
        <v>2010s</v>
      </c>
      <c r="C207" s="730">
        <v>2017</v>
      </c>
      <c r="D207" s="731">
        <f t="shared" si="106"/>
        <v>2012</v>
      </c>
      <c r="E207" s="732">
        <f t="shared" si="107"/>
        <v>2015</v>
      </c>
      <c r="F207" s="759">
        <f t="shared" si="109"/>
        <v>88263</v>
      </c>
      <c r="G207" s="760">
        <f t="shared" si="110"/>
        <v>87693</v>
      </c>
      <c r="H207" s="760">
        <f t="shared" si="111"/>
        <v>73218</v>
      </c>
      <c r="I207" s="761">
        <f t="shared" si="112"/>
        <v>42299</v>
      </c>
      <c r="J207" s="762">
        <f t="shared" si="113"/>
        <v>0.57771313065093288</v>
      </c>
      <c r="K207" s="763">
        <f t="shared" si="114"/>
        <v>55256.548993682518</v>
      </c>
      <c r="L207" s="764">
        <f t="shared" si="122"/>
        <v>50661.397566172258</v>
      </c>
      <c r="M207" s="762">
        <f t="shared" si="123"/>
        <v>0.59199999999999997</v>
      </c>
      <c r="N207" s="764">
        <f t="shared" si="102"/>
        <v>51914.255999999994</v>
      </c>
      <c r="O207" s="740">
        <f t="shared" si="115"/>
        <v>0.41873353631418697</v>
      </c>
      <c r="P207" s="765">
        <f t="shared" si="116"/>
        <v>2835.9937583654296</v>
      </c>
      <c r="Q207" s="766">
        <f t="shared" si="117"/>
        <v>6.2833591460058624E-2</v>
      </c>
      <c r="R207" s="743">
        <f t="shared" si="118"/>
        <v>45134.993758365432</v>
      </c>
      <c r="S207" s="744">
        <f t="shared" si="119"/>
        <v>5855.7002922778556</v>
      </c>
      <c r="T207" s="745">
        <v>2.2000000000000002</v>
      </c>
      <c r="U207" s="726">
        <f t="shared" si="120"/>
        <v>5.0000000000000018</v>
      </c>
      <c r="V207" s="746">
        <f t="shared" si="121"/>
        <v>2</v>
      </c>
      <c r="W207" s="767">
        <v>2.1999999999999999E-2</v>
      </c>
      <c r="X207" s="768">
        <f t="shared" si="92"/>
        <v>1929.2459999999999</v>
      </c>
      <c r="Y207" s="767">
        <v>7.0000000000000001E-3</v>
      </c>
      <c r="Z207" s="748">
        <f t="shared" si="90"/>
        <v>386.79584295577763</v>
      </c>
      <c r="AA207" s="770">
        <f t="shared" si="94"/>
        <v>1114.5507464557895</v>
      </c>
      <c r="AB207" s="770">
        <f t="shared" si="95"/>
        <v>1142.1136319999998</v>
      </c>
      <c r="AC207" s="770">
        <f t="shared" si="96"/>
        <v>354.6297829632058</v>
      </c>
      <c r="AD207" s="783">
        <f t="shared" si="91"/>
        <v>354.6297829632058</v>
      </c>
      <c r="AE207" s="743">
        <f t="shared" si="97"/>
        <v>296.09300000000002</v>
      </c>
      <c r="AF207" s="743">
        <f t="shared" si="98"/>
        <v>315.94495630855801</v>
      </c>
      <c r="AG207" s="773">
        <f t="shared" si="99"/>
        <v>0.16376602896082615</v>
      </c>
    </row>
    <row r="208" spans="1:34" ht="14.4" x14ac:dyDescent="0.3">
      <c r="A208" s="729" t="s">
        <v>357</v>
      </c>
      <c r="B208" s="726" t="str">
        <f t="shared" si="93"/>
        <v>2010s</v>
      </c>
      <c r="C208" s="730">
        <v>2017</v>
      </c>
      <c r="D208" s="731">
        <f t="shared" si="106"/>
        <v>2011</v>
      </c>
      <c r="E208" s="732">
        <f t="shared" si="107"/>
        <v>2014</v>
      </c>
      <c r="F208" s="759">
        <f t="shared" si="109"/>
        <v>88263</v>
      </c>
      <c r="G208" s="760">
        <f t="shared" si="110"/>
        <v>87693</v>
      </c>
      <c r="H208" s="760">
        <f t="shared" si="111"/>
        <v>73218</v>
      </c>
      <c r="I208" s="761">
        <f t="shared" si="112"/>
        <v>42299</v>
      </c>
      <c r="J208" s="762">
        <f t="shared" si="113"/>
        <v>0.57771313065093288</v>
      </c>
      <c r="K208" s="763">
        <f t="shared" si="114"/>
        <v>55256.548993682518</v>
      </c>
      <c r="L208" s="764">
        <f t="shared" si="122"/>
        <v>50661.397566172258</v>
      </c>
      <c r="M208" s="762">
        <f t="shared" si="123"/>
        <v>0.59199999999999997</v>
      </c>
      <c r="N208" s="764">
        <f t="shared" si="102"/>
        <v>51914.255999999994</v>
      </c>
      <c r="O208" s="740">
        <f t="shared" si="115"/>
        <v>0.41873353631418697</v>
      </c>
      <c r="P208" s="765">
        <f t="shared" si="116"/>
        <v>2835.9937583654296</v>
      </c>
      <c r="Q208" s="766">
        <f t="shared" si="117"/>
        <v>6.2833591460058624E-2</v>
      </c>
      <c r="R208" s="743">
        <f t="shared" si="118"/>
        <v>45134.993758365432</v>
      </c>
      <c r="S208" s="744">
        <f t="shared" si="119"/>
        <v>5855.7002922778556</v>
      </c>
      <c r="T208" s="745">
        <v>2.2999999999999998</v>
      </c>
      <c r="U208" s="726">
        <f t="shared" si="120"/>
        <v>5.9999999999999982</v>
      </c>
      <c r="V208" s="746">
        <f t="shared" si="121"/>
        <v>2</v>
      </c>
      <c r="W208" s="767">
        <v>4.0000000000000001E-3</v>
      </c>
      <c r="X208" s="768">
        <f t="shared" si="92"/>
        <v>350.77199999999999</v>
      </c>
      <c r="Y208" s="767">
        <v>0</v>
      </c>
      <c r="Z208" s="748">
        <f t="shared" ref="Z208:Z219" si="124">K208*Y208</f>
        <v>0</v>
      </c>
      <c r="AA208" s="770">
        <f t="shared" si="94"/>
        <v>202.64559026468905</v>
      </c>
      <c r="AB208" s="770">
        <f t="shared" si="95"/>
        <v>207.65702399999998</v>
      </c>
      <c r="AC208" s="770">
        <f t="shared" ref="AC208" si="125">IF(Y208,L208*Y208,0)</f>
        <v>0</v>
      </c>
      <c r="AD208" s="783">
        <f t="shared" ref="AD208:AD219" si="126">L208*Y208</f>
        <v>0</v>
      </c>
      <c r="AE208" s="743">
        <f t="shared" si="97"/>
        <v>0</v>
      </c>
      <c r="AF208" s="743">
        <f t="shared" si="98"/>
        <v>0</v>
      </c>
      <c r="AG208" s="773">
        <f t="shared" si="99"/>
        <v>0</v>
      </c>
    </row>
    <row r="209" spans="1:34" ht="14.4" x14ac:dyDescent="0.3">
      <c r="A209" s="729" t="s">
        <v>357</v>
      </c>
      <c r="B209" s="726" t="str">
        <f t="shared" si="93"/>
        <v>2010s</v>
      </c>
      <c r="C209" s="730">
        <v>2018</v>
      </c>
      <c r="D209" s="731">
        <f t="shared" si="106"/>
        <v>2015</v>
      </c>
      <c r="E209" s="732">
        <f t="shared" si="107"/>
        <v>2017</v>
      </c>
      <c r="F209" s="759">
        <f t="shared" si="109"/>
        <v>210915</v>
      </c>
      <c r="G209" s="760">
        <f t="shared" si="110"/>
        <v>193816</v>
      </c>
      <c r="H209" s="760">
        <f t="shared" si="111"/>
        <v>172009</v>
      </c>
      <c r="I209" s="761">
        <f t="shared" si="112"/>
        <v>153637</v>
      </c>
      <c r="J209" s="762">
        <f t="shared" si="113"/>
        <v>0.89319163532140755</v>
      </c>
      <c r="K209" s="763">
        <f t="shared" si="114"/>
        <v>204657.39208029202</v>
      </c>
      <c r="L209" s="764">
        <f t="shared" si="122"/>
        <v>173114.82999145394</v>
      </c>
      <c r="M209" s="762">
        <f t="shared" si="123"/>
        <v>0.90199999999999991</v>
      </c>
      <c r="N209" s="764">
        <f t="shared" si="102"/>
        <v>174822.03199999998</v>
      </c>
      <c r="O209" s="740">
        <f t="shared" si="115"/>
        <v>0.66951128905766288</v>
      </c>
      <c r="P209" s="765">
        <f t="shared" si="116"/>
        <v>6999.0496543785493</v>
      </c>
      <c r="Q209" s="766">
        <f t="shared" si="117"/>
        <v>4.3570852678695537E-2</v>
      </c>
      <c r="R209" s="743">
        <f t="shared" si="118"/>
        <v>160636.04965437856</v>
      </c>
      <c r="S209" s="744">
        <f t="shared" si="119"/>
        <v>27751.464109436114</v>
      </c>
      <c r="T209" s="745">
        <v>1.1000000000000001</v>
      </c>
      <c r="U209" s="726">
        <f t="shared" si="120"/>
        <v>3.0000000000000009</v>
      </c>
      <c r="V209" s="746">
        <f t="shared" si="121"/>
        <v>1</v>
      </c>
      <c r="W209" s="767">
        <v>4.0000000000000001E-3</v>
      </c>
      <c r="X209" s="768">
        <f t="shared" si="92"/>
        <v>775.26400000000001</v>
      </c>
      <c r="Y209" s="767">
        <v>2.5999999999999999E-3</v>
      </c>
      <c r="Z209" s="748">
        <f t="shared" si="124"/>
        <v>532.10921940875926</v>
      </c>
      <c r="AA209" s="770">
        <f t="shared" si="94"/>
        <v>692.45931996581578</v>
      </c>
      <c r="AB209" s="770">
        <f t="shared" si="95"/>
        <v>699.28812799999992</v>
      </c>
      <c r="AC209" s="770">
        <f t="shared" si="96"/>
        <v>450.09855797778022</v>
      </c>
      <c r="AD209" s="783">
        <f t="shared" si="126"/>
        <v>450.09855797778022</v>
      </c>
      <c r="AE209" s="743">
        <f t="shared" si="97"/>
        <v>399.45619999999997</v>
      </c>
      <c r="AF209" s="743">
        <f t="shared" si="98"/>
        <v>417.65372910138422</v>
      </c>
      <c r="AG209" s="773">
        <f t="shared" si="99"/>
        <v>0.53872452364792411</v>
      </c>
      <c r="AH209" s="795" t="s">
        <v>405</v>
      </c>
    </row>
    <row r="210" spans="1:34" ht="14.4" x14ac:dyDescent="0.3">
      <c r="A210" s="729" t="s">
        <v>357</v>
      </c>
      <c r="B210" s="726" t="str">
        <f t="shared" si="93"/>
        <v>2010s</v>
      </c>
      <c r="C210" s="730">
        <v>2018</v>
      </c>
      <c r="D210" s="731">
        <f t="shared" si="106"/>
        <v>2014</v>
      </c>
      <c r="E210" s="732">
        <f t="shared" si="107"/>
        <v>2016</v>
      </c>
      <c r="F210" s="759">
        <f t="shared" si="109"/>
        <v>210915</v>
      </c>
      <c r="G210" s="760">
        <f t="shared" si="110"/>
        <v>193816</v>
      </c>
      <c r="H210" s="760">
        <f t="shared" si="111"/>
        <v>172009</v>
      </c>
      <c r="I210" s="761">
        <f t="shared" si="112"/>
        <v>153637</v>
      </c>
      <c r="J210" s="762">
        <f t="shared" si="113"/>
        <v>0.89319163532140755</v>
      </c>
      <c r="K210" s="763">
        <f t="shared" si="114"/>
        <v>204657.39208029202</v>
      </c>
      <c r="L210" s="764">
        <f t="shared" si="122"/>
        <v>173114.82999145394</v>
      </c>
      <c r="M210" s="762">
        <f t="shared" si="123"/>
        <v>0.90199999999999991</v>
      </c>
      <c r="N210" s="764">
        <f t="shared" si="102"/>
        <v>174822.03199999998</v>
      </c>
      <c r="O210" s="740">
        <f t="shared" si="115"/>
        <v>0.66951128905766288</v>
      </c>
      <c r="P210" s="765">
        <f t="shared" si="116"/>
        <v>6999.0496543785493</v>
      </c>
      <c r="Q210" s="766">
        <f t="shared" si="117"/>
        <v>4.3570852678695537E-2</v>
      </c>
      <c r="R210" s="743">
        <f t="shared" si="118"/>
        <v>160636.04965437856</v>
      </c>
      <c r="S210" s="744">
        <f t="shared" si="119"/>
        <v>27751.464109436114</v>
      </c>
      <c r="T210" s="745">
        <v>1.2</v>
      </c>
      <c r="U210" s="726">
        <f t="shared" si="120"/>
        <v>3.9999999999999996</v>
      </c>
      <c r="V210" s="746">
        <f t="shared" si="121"/>
        <v>1</v>
      </c>
      <c r="W210" s="767">
        <v>0.95599999999999996</v>
      </c>
      <c r="X210" s="768">
        <f t="shared" si="92"/>
        <v>185288.09599999999</v>
      </c>
      <c r="Y210" s="767">
        <v>0.97099999999999997</v>
      </c>
      <c r="Z210" s="748">
        <f t="shared" si="124"/>
        <v>198722.32770996355</v>
      </c>
      <c r="AA210" s="770">
        <f t="shared" si="94"/>
        <v>165497.77747182996</v>
      </c>
      <c r="AB210" s="770">
        <f t="shared" si="95"/>
        <v>167129.86259199996</v>
      </c>
      <c r="AC210" s="770">
        <f t="shared" si="96"/>
        <v>168094.49992170176</v>
      </c>
      <c r="AD210" s="783">
        <f t="shared" si="126"/>
        <v>168094.49992170176</v>
      </c>
      <c r="AE210" s="743">
        <f t="shared" si="97"/>
        <v>149181.527</v>
      </c>
      <c r="AF210" s="743">
        <f t="shared" si="98"/>
        <v>155977.60421440157</v>
      </c>
      <c r="AG210" s="773">
        <f t="shared" si="99"/>
        <v>0.84181125275528534</v>
      </c>
      <c r="AH210" s="795" t="s">
        <v>406</v>
      </c>
    </row>
    <row r="211" spans="1:34" ht="14.4" x14ac:dyDescent="0.3">
      <c r="A211" s="729" t="s">
        <v>357</v>
      </c>
      <c r="B211" s="726" t="str">
        <f t="shared" si="93"/>
        <v>2010s</v>
      </c>
      <c r="C211" s="730">
        <v>2018</v>
      </c>
      <c r="D211" s="731">
        <f t="shared" si="106"/>
        <v>2013</v>
      </c>
      <c r="E211" s="732">
        <f t="shared" si="107"/>
        <v>2015</v>
      </c>
      <c r="F211" s="759">
        <f t="shared" si="109"/>
        <v>210915</v>
      </c>
      <c r="G211" s="760">
        <f t="shared" si="110"/>
        <v>193816</v>
      </c>
      <c r="H211" s="760">
        <f t="shared" si="111"/>
        <v>172009</v>
      </c>
      <c r="I211" s="761">
        <f t="shared" si="112"/>
        <v>153637</v>
      </c>
      <c r="J211" s="762">
        <f t="shared" si="113"/>
        <v>0.89319163532140755</v>
      </c>
      <c r="K211" s="763">
        <f t="shared" si="114"/>
        <v>204657.39208029202</v>
      </c>
      <c r="L211" s="764">
        <f t="shared" si="122"/>
        <v>173114.82999145394</v>
      </c>
      <c r="M211" s="762">
        <f t="shared" si="123"/>
        <v>0.90199999999999991</v>
      </c>
      <c r="N211" s="764">
        <f t="shared" si="102"/>
        <v>174822.03199999998</v>
      </c>
      <c r="O211" s="740">
        <f t="shared" si="115"/>
        <v>0.66951128905766288</v>
      </c>
      <c r="P211" s="765">
        <f t="shared" si="116"/>
        <v>6999.0496543785493</v>
      </c>
      <c r="Q211" s="766">
        <f t="shared" si="117"/>
        <v>4.3570852678695537E-2</v>
      </c>
      <c r="R211" s="743">
        <f t="shared" si="118"/>
        <v>160636.04965437856</v>
      </c>
      <c r="S211" s="744">
        <f t="shared" si="119"/>
        <v>27751.464109436114</v>
      </c>
      <c r="T211" s="745">
        <v>1.3</v>
      </c>
      <c r="U211" s="726">
        <f t="shared" si="120"/>
        <v>5</v>
      </c>
      <c r="V211" s="746">
        <f t="shared" si="121"/>
        <v>1</v>
      </c>
      <c r="W211" s="767">
        <v>1.0999999999999999E-2</v>
      </c>
      <c r="X211" s="768">
        <f t="shared" si="92"/>
        <v>2131.9759999999997</v>
      </c>
      <c r="Y211" s="767">
        <v>2.1000000000000001E-2</v>
      </c>
      <c r="Z211" s="748">
        <f t="shared" si="124"/>
        <v>4297.8052336861329</v>
      </c>
      <c r="AA211" s="770">
        <f t="shared" si="94"/>
        <v>1904.2631299059933</v>
      </c>
      <c r="AB211" s="770">
        <f t="shared" si="95"/>
        <v>1923.0423519999997</v>
      </c>
      <c r="AC211" s="770">
        <f t="shared" si="96"/>
        <v>3635.4114298205332</v>
      </c>
      <c r="AD211" s="783">
        <f t="shared" si="126"/>
        <v>3635.4114298205332</v>
      </c>
      <c r="AE211" s="743">
        <f t="shared" si="97"/>
        <v>3226.3770000000004</v>
      </c>
      <c r="AF211" s="743">
        <f t="shared" si="98"/>
        <v>3373.35704274195</v>
      </c>
      <c r="AG211" s="773">
        <f t="shared" si="99"/>
        <v>1.5822678316932042</v>
      </c>
      <c r="AH211" s="795" t="s">
        <v>407</v>
      </c>
    </row>
    <row r="212" spans="1:34" ht="14.4" x14ac:dyDescent="0.3">
      <c r="A212" s="729" t="s">
        <v>357</v>
      </c>
      <c r="B212" s="726" t="str">
        <f t="shared" si="93"/>
        <v>2010s</v>
      </c>
      <c r="C212" s="730">
        <v>2018</v>
      </c>
      <c r="D212" s="731">
        <f t="shared" si="106"/>
        <v>2014</v>
      </c>
      <c r="E212" s="732">
        <f t="shared" si="107"/>
        <v>2017</v>
      </c>
      <c r="F212" s="759">
        <f t="shared" si="109"/>
        <v>210915</v>
      </c>
      <c r="G212" s="760">
        <f t="shared" si="110"/>
        <v>193816</v>
      </c>
      <c r="H212" s="760">
        <f t="shared" si="111"/>
        <v>172009</v>
      </c>
      <c r="I212" s="761">
        <f t="shared" si="112"/>
        <v>153637</v>
      </c>
      <c r="J212" s="762">
        <f t="shared" si="113"/>
        <v>0.89319163532140755</v>
      </c>
      <c r="K212" s="763">
        <f t="shared" si="114"/>
        <v>204657.39208029202</v>
      </c>
      <c r="L212" s="764">
        <f t="shared" si="122"/>
        <v>173114.82999145394</v>
      </c>
      <c r="M212" s="762">
        <f t="shared" si="123"/>
        <v>0.90199999999999991</v>
      </c>
      <c r="N212" s="764">
        <f t="shared" si="102"/>
        <v>174822.03199999998</v>
      </c>
      <c r="O212" s="740">
        <f t="shared" si="115"/>
        <v>0.66951128905766288</v>
      </c>
      <c r="P212" s="765">
        <f t="shared" si="116"/>
        <v>6999.0496543785493</v>
      </c>
      <c r="Q212" s="766">
        <f t="shared" si="117"/>
        <v>4.3570852678695537E-2</v>
      </c>
      <c r="R212" s="743">
        <f t="shared" si="118"/>
        <v>160636.04965437856</v>
      </c>
      <c r="S212" s="744">
        <f t="shared" si="119"/>
        <v>27751.464109436114</v>
      </c>
      <c r="T212" s="745">
        <v>2.1</v>
      </c>
      <c r="U212" s="726">
        <f t="shared" si="120"/>
        <v>4.0000000000000009</v>
      </c>
      <c r="V212" s="746">
        <f t="shared" si="121"/>
        <v>2</v>
      </c>
      <c r="W212" s="767">
        <v>2.1999999999999999E-2</v>
      </c>
      <c r="X212" s="768">
        <f t="shared" si="92"/>
        <v>4263.9519999999993</v>
      </c>
      <c r="Y212" s="767">
        <v>2.5999999999999999E-3</v>
      </c>
      <c r="Z212" s="748">
        <f t="shared" si="124"/>
        <v>532.10921940875926</v>
      </c>
      <c r="AA212" s="770">
        <f t="shared" si="94"/>
        <v>3808.5262598119866</v>
      </c>
      <c r="AB212" s="770">
        <f t="shared" si="95"/>
        <v>3846.0847039999994</v>
      </c>
      <c r="AC212" s="770">
        <f t="shared" si="96"/>
        <v>450.09855797778022</v>
      </c>
      <c r="AD212" s="783">
        <f t="shared" si="126"/>
        <v>450.09855797778022</v>
      </c>
      <c r="AE212" s="743">
        <f t="shared" si="97"/>
        <v>399.45619999999997</v>
      </c>
      <c r="AF212" s="743">
        <f t="shared" si="98"/>
        <v>417.65372910138422</v>
      </c>
      <c r="AG212" s="773">
        <f t="shared" si="99"/>
        <v>9.7949913390531662E-2</v>
      </c>
      <c r="AH212" s="795" t="s">
        <v>408</v>
      </c>
    </row>
    <row r="213" spans="1:34" ht="14.4" x14ac:dyDescent="0.3">
      <c r="A213" s="729" t="s">
        <v>357</v>
      </c>
      <c r="B213" s="726" t="str">
        <f t="shared" si="93"/>
        <v>2010s</v>
      </c>
      <c r="C213" s="730">
        <v>2018</v>
      </c>
      <c r="D213" s="731">
        <f t="shared" si="106"/>
        <v>2013</v>
      </c>
      <c r="E213" s="732">
        <f t="shared" si="107"/>
        <v>2016</v>
      </c>
      <c r="F213" s="759">
        <f t="shared" si="109"/>
        <v>210915</v>
      </c>
      <c r="G213" s="760">
        <f t="shared" si="110"/>
        <v>193816</v>
      </c>
      <c r="H213" s="760">
        <f t="shared" si="111"/>
        <v>172009</v>
      </c>
      <c r="I213" s="761">
        <f t="shared" si="112"/>
        <v>153637</v>
      </c>
      <c r="J213" s="762">
        <f t="shared" si="113"/>
        <v>0.89319163532140755</v>
      </c>
      <c r="K213" s="763">
        <f t="shared" si="114"/>
        <v>204657.39208029202</v>
      </c>
      <c r="L213" s="764">
        <f t="shared" si="122"/>
        <v>173114.82999145394</v>
      </c>
      <c r="M213" s="762">
        <f t="shared" si="123"/>
        <v>0.90199999999999991</v>
      </c>
      <c r="N213" s="764">
        <f t="shared" si="102"/>
        <v>174822.03199999998</v>
      </c>
      <c r="O213" s="740">
        <f t="shared" si="115"/>
        <v>0.66951128905766288</v>
      </c>
      <c r="P213" s="765">
        <f t="shared" si="116"/>
        <v>6999.0496543785493</v>
      </c>
      <c r="Q213" s="766">
        <f t="shared" si="117"/>
        <v>4.3570852678695537E-2</v>
      </c>
      <c r="R213" s="743">
        <f t="shared" si="118"/>
        <v>160636.04965437856</v>
      </c>
      <c r="S213" s="744">
        <f t="shared" si="119"/>
        <v>27751.464109436114</v>
      </c>
      <c r="T213" s="745">
        <v>2.2000000000000002</v>
      </c>
      <c r="U213" s="726">
        <f t="shared" si="120"/>
        <v>5.0000000000000018</v>
      </c>
      <c r="V213" s="746">
        <f t="shared" si="121"/>
        <v>2</v>
      </c>
      <c r="W213" s="767">
        <v>6.0000000000000001E-3</v>
      </c>
      <c r="X213" s="768">
        <f t="shared" si="92"/>
        <v>1162.896</v>
      </c>
      <c r="Y213" s="767">
        <v>2.5999999999999999E-3</v>
      </c>
      <c r="Z213" s="748">
        <f t="shared" si="124"/>
        <v>532.10921940875926</v>
      </c>
      <c r="AA213" s="770">
        <f t="shared" si="94"/>
        <v>1038.6889799487237</v>
      </c>
      <c r="AB213" s="770">
        <f t="shared" si="95"/>
        <v>1048.932192</v>
      </c>
      <c r="AC213" s="770">
        <f t="shared" si="96"/>
        <v>450.09855797778022</v>
      </c>
      <c r="AD213" s="783">
        <f t="shared" si="126"/>
        <v>450.09855797778022</v>
      </c>
      <c r="AE213" s="743">
        <f t="shared" si="97"/>
        <v>399.45619999999997</v>
      </c>
      <c r="AF213" s="743">
        <f t="shared" si="98"/>
        <v>417.65372910138422</v>
      </c>
      <c r="AG213" s="773">
        <f t="shared" si="99"/>
        <v>0.35914968243194939</v>
      </c>
      <c r="AH213" s="795" t="s">
        <v>409</v>
      </c>
    </row>
    <row r="214" spans="1:34" ht="14.4" x14ac:dyDescent="0.3">
      <c r="A214" s="729" t="s">
        <v>357</v>
      </c>
      <c r="B214" s="726" t="str">
        <f t="shared" si="93"/>
        <v>2010s</v>
      </c>
      <c r="C214" s="730">
        <v>2019</v>
      </c>
      <c r="D214" s="731">
        <f t="shared" si="106"/>
        <v>2016</v>
      </c>
      <c r="E214" s="732">
        <f t="shared" si="107"/>
        <v>2018</v>
      </c>
      <c r="F214" s="759">
        <f t="shared" si="109"/>
        <v>63222</v>
      </c>
      <c r="G214" s="760">
        <f t="shared" si="110"/>
        <v>63046</v>
      </c>
      <c r="H214" s="760">
        <f t="shared" si="111"/>
        <v>58562</v>
      </c>
      <c r="I214" s="761">
        <f t="shared" si="112"/>
        <v>49862</v>
      </c>
      <c r="J214" s="762">
        <f t="shared" si="113"/>
        <v>0.85143950001707591</v>
      </c>
      <c r="K214" s="763">
        <f t="shared" si="114"/>
        <v>60959.021714014452</v>
      </c>
      <c r="L214" s="764">
        <f t="shared" si="122"/>
        <v>53679.854718076567</v>
      </c>
      <c r="M214" s="762">
        <f t="shared" si="123"/>
        <v>0.85500000000000009</v>
      </c>
      <c r="N214" s="764">
        <f t="shared" si="102"/>
        <v>53904.330000000009</v>
      </c>
      <c r="O214" s="740">
        <f t="shared" si="115"/>
        <v>0.66840085017288964</v>
      </c>
      <c r="P214" s="765">
        <f t="shared" si="116"/>
        <v>986.81838051979094</v>
      </c>
      <c r="Q214" s="796">
        <f t="shared" si="117"/>
        <v>1.9406908792552031E-2</v>
      </c>
      <c r="R214" s="743">
        <f t="shared" si="118"/>
        <v>50848.818380519791</v>
      </c>
      <c r="S214" s="797">
        <f t="shared" si="119"/>
        <v>2980.8896895597791</v>
      </c>
      <c r="T214" s="745">
        <v>1.1000000000000001</v>
      </c>
      <c r="U214" s="726">
        <f t="shared" si="120"/>
        <v>3.0000000000000009</v>
      </c>
      <c r="V214" s="746">
        <f t="shared" si="121"/>
        <v>1</v>
      </c>
      <c r="W214" s="767">
        <v>0.54300000000000004</v>
      </c>
      <c r="X214" s="768">
        <f t="shared" si="92"/>
        <v>34233.978000000003</v>
      </c>
      <c r="Y214" s="767">
        <v>0.185</v>
      </c>
      <c r="Z214" s="748">
        <f t="shared" si="124"/>
        <v>11277.419017092674</v>
      </c>
      <c r="AA214" s="770">
        <f t="shared" si="94"/>
        <v>29148.161111915579</v>
      </c>
      <c r="AB214" s="770">
        <f t="shared" si="95"/>
        <v>29270.051190000006</v>
      </c>
      <c r="AC214" s="770">
        <f t="shared" si="96"/>
        <v>9930.7731228441644</v>
      </c>
      <c r="AD214" s="783">
        <f t="shared" si="126"/>
        <v>9930.7731228441644</v>
      </c>
      <c r="AE214" s="743">
        <f t="shared" si="97"/>
        <v>9224.4699999999993</v>
      </c>
      <c r="AF214" s="743">
        <f t="shared" si="98"/>
        <v>9407.0314003961612</v>
      </c>
      <c r="AG214" s="773">
        <f t="shared" si="99"/>
        <v>0.27478639497858415</v>
      </c>
      <c r="AH214" s="798" t="s">
        <v>410</v>
      </c>
    </row>
    <row r="215" spans="1:34" ht="14.4" x14ac:dyDescent="0.3">
      <c r="A215" s="729" t="s">
        <v>357</v>
      </c>
      <c r="B215" s="726" t="str">
        <f t="shared" si="93"/>
        <v>2010s</v>
      </c>
      <c r="C215" s="730">
        <v>2019</v>
      </c>
      <c r="D215" s="731">
        <f t="shared" si="106"/>
        <v>2015</v>
      </c>
      <c r="E215" s="732">
        <f t="shared" si="107"/>
        <v>2017</v>
      </c>
      <c r="F215" s="759">
        <f t="shared" si="109"/>
        <v>63222</v>
      </c>
      <c r="G215" s="760">
        <f t="shared" si="110"/>
        <v>63046</v>
      </c>
      <c r="H215" s="760">
        <f t="shared" si="111"/>
        <v>58562</v>
      </c>
      <c r="I215" s="761">
        <f t="shared" si="112"/>
        <v>49862</v>
      </c>
      <c r="J215" s="762">
        <f t="shared" si="113"/>
        <v>0.85143950001707591</v>
      </c>
      <c r="K215" s="763">
        <f t="shared" si="114"/>
        <v>60959.021714014452</v>
      </c>
      <c r="L215" s="764">
        <f t="shared" si="122"/>
        <v>53679.854718076567</v>
      </c>
      <c r="M215" s="762">
        <f t="shared" si="123"/>
        <v>0.85500000000000009</v>
      </c>
      <c r="N215" s="764">
        <f t="shared" si="102"/>
        <v>53904.330000000009</v>
      </c>
      <c r="O215" s="740">
        <f t="shared" si="115"/>
        <v>0.66840085017288964</v>
      </c>
      <c r="P215" s="765">
        <f t="shared" si="116"/>
        <v>986.81838051979094</v>
      </c>
      <c r="Q215" s="796">
        <f t="shared" si="117"/>
        <v>1.9406908792552031E-2</v>
      </c>
      <c r="R215" s="743">
        <f t="shared" si="118"/>
        <v>50848.818380519791</v>
      </c>
      <c r="S215" s="797">
        <f t="shared" si="119"/>
        <v>2980.8896895597791</v>
      </c>
      <c r="T215" s="745">
        <v>1.2</v>
      </c>
      <c r="U215" s="726">
        <f t="shared" si="120"/>
        <v>3.9999999999999996</v>
      </c>
      <c r="V215" s="746">
        <f t="shared" si="121"/>
        <v>1</v>
      </c>
      <c r="W215" s="767">
        <v>0.17199999999999999</v>
      </c>
      <c r="X215" s="768">
        <f t="shared" si="92"/>
        <v>10843.911999999998</v>
      </c>
      <c r="Y215" s="767">
        <v>0.54200000000000004</v>
      </c>
      <c r="Z215" s="748">
        <f t="shared" si="124"/>
        <v>33039.789768995834</v>
      </c>
      <c r="AA215" s="770">
        <f t="shared" si="94"/>
        <v>9232.9350115091693</v>
      </c>
      <c r="AB215" s="770">
        <f t="shared" si="95"/>
        <v>9271.5447600000007</v>
      </c>
      <c r="AC215" s="770">
        <f t="shared" si="96"/>
        <v>29094.481257197502</v>
      </c>
      <c r="AD215" s="783">
        <f t="shared" si="126"/>
        <v>29094.481257197502</v>
      </c>
      <c r="AE215" s="743">
        <f t="shared" si="97"/>
        <v>27025.204000000002</v>
      </c>
      <c r="AF215" s="743">
        <f t="shared" si="98"/>
        <v>27560.059562241728</v>
      </c>
      <c r="AG215" s="773">
        <f t="shared" si="99"/>
        <v>2.541523719690987</v>
      </c>
      <c r="AH215" s="786" t="s">
        <v>411</v>
      </c>
    </row>
    <row r="216" spans="1:34" ht="14.4" x14ac:dyDescent="0.3">
      <c r="A216" s="729" t="s">
        <v>357</v>
      </c>
      <c r="B216" s="726" t="str">
        <f t="shared" si="93"/>
        <v>2010s</v>
      </c>
      <c r="C216" s="730">
        <v>2019</v>
      </c>
      <c r="D216" s="731">
        <f t="shared" si="106"/>
        <v>2014</v>
      </c>
      <c r="E216" s="732">
        <f t="shared" si="107"/>
        <v>2016</v>
      </c>
      <c r="F216" s="759">
        <f t="shared" si="109"/>
        <v>63222</v>
      </c>
      <c r="G216" s="760">
        <f t="shared" si="110"/>
        <v>63046</v>
      </c>
      <c r="H216" s="760">
        <f t="shared" si="111"/>
        <v>58562</v>
      </c>
      <c r="I216" s="761">
        <f t="shared" si="112"/>
        <v>49862</v>
      </c>
      <c r="J216" s="762">
        <f t="shared" si="113"/>
        <v>0.85143950001707591</v>
      </c>
      <c r="K216" s="763">
        <f t="shared" si="114"/>
        <v>60959.021714014452</v>
      </c>
      <c r="L216" s="764">
        <f t="shared" si="122"/>
        <v>53679.854718076567</v>
      </c>
      <c r="M216" s="762">
        <f t="shared" si="123"/>
        <v>0.85500000000000009</v>
      </c>
      <c r="N216" s="764">
        <f t="shared" si="102"/>
        <v>53904.330000000009</v>
      </c>
      <c r="O216" s="740">
        <f t="shared" si="115"/>
        <v>0.66840085017288964</v>
      </c>
      <c r="P216" s="765">
        <f t="shared" si="116"/>
        <v>986.81838051979094</v>
      </c>
      <c r="Q216" s="796">
        <f t="shared" si="117"/>
        <v>1.9406908792552031E-2</v>
      </c>
      <c r="R216" s="743">
        <f t="shared" si="118"/>
        <v>50848.818380519791</v>
      </c>
      <c r="S216" s="797">
        <f t="shared" si="119"/>
        <v>2980.8896895597791</v>
      </c>
      <c r="T216" s="745">
        <v>1.3</v>
      </c>
      <c r="U216" s="726">
        <f t="shared" si="120"/>
        <v>5</v>
      </c>
      <c r="V216" s="746">
        <f t="shared" si="121"/>
        <v>1</v>
      </c>
      <c r="W216" s="767">
        <v>0.224</v>
      </c>
      <c r="X216" s="768">
        <f t="shared" si="92"/>
        <v>14122.304</v>
      </c>
      <c r="Y216" s="767">
        <v>0.26700000000000002</v>
      </c>
      <c r="Z216" s="748">
        <f t="shared" si="124"/>
        <v>16276.058797641859</v>
      </c>
      <c r="AA216" s="770">
        <f t="shared" si="94"/>
        <v>12024.287456849152</v>
      </c>
      <c r="AB216" s="770">
        <f t="shared" si="95"/>
        <v>12074.569920000002</v>
      </c>
      <c r="AC216" s="770">
        <f t="shared" si="96"/>
        <v>14332.521209726445</v>
      </c>
      <c r="AD216" s="783">
        <f t="shared" si="126"/>
        <v>14332.521209726445</v>
      </c>
      <c r="AE216" s="743">
        <f t="shared" si="97"/>
        <v>13313.154</v>
      </c>
      <c r="AF216" s="743">
        <f t="shared" si="98"/>
        <v>13576.634507598785</v>
      </c>
      <c r="AG216" s="773">
        <f t="shared" si="99"/>
        <v>0.96136115662138311</v>
      </c>
    </row>
    <row r="217" spans="1:34" ht="14.4" x14ac:dyDescent="0.3">
      <c r="A217" s="729" t="s">
        <v>357</v>
      </c>
      <c r="B217" s="726" t="str">
        <f t="shared" si="93"/>
        <v>2010s</v>
      </c>
      <c r="C217" s="730">
        <v>2019</v>
      </c>
      <c r="D217" s="731">
        <f t="shared" si="106"/>
        <v>2015</v>
      </c>
      <c r="E217" s="732">
        <f t="shared" si="107"/>
        <v>2018</v>
      </c>
      <c r="F217" s="759">
        <f t="shared" si="109"/>
        <v>63222</v>
      </c>
      <c r="G217" s="760">
        <f t="shared" si="110"/>
        <v>63046</v>
      </c>
      <c r="H217" s="760">
        <f t="shared" si="111"/>
        <v>58562</v>
      </c>
      <c r="I217" s="761">
        <f t="shared" si="112"/>
        <v>49862</v>
      </c>
      <c r="J217" s="762">
        <f t="shared" si="113"/>
        <v>0.85143950001707591</v>
      </c>
      <c r="K217" s="763">
        <f t="shared" si="114"/>
        <v>60959.021714014452</v>
      </c>
      <c r="L217" s="764">
        <f t="shared" si="122"/>
        <v>53679.854718076567</v>
      </c>
      <c r="M217" s="762">
        <f t="shared" si="123"/>
        <v>0.85500000000000009</v>
      </c>
      <c r="N217" s="764">
        <f t="shared" si="102"/>
        <v>53904.330000000009</v>
      </c>
      <c r="O217" s="740">
        <f t="shared" si="115"/>
        <v>0.66840085017288964</v>
      </c>
      <c r="P217" s="765">
        <f t="shared" si="116"/>
        <v>986.81838051979094</v>
      </c>
      <c r="Q217" s="796">
        <f t="shared" si="117"/>
        <v>1.9406908792552031E-2</v>
      </c>
      <c r="R217" s="743">
        <f t="shared" si="118"/>
        <v>50848.818380519791</v>
      </c>
      <c r="S217" s="797">
        <f t="shared" si="119"/>
        <v>2980.8896895597791</v>
      </c>
      <c r="T217" s="745">
        <v>2.1</v>
      </c>
      <c r="U217" s="726">
        <f t="shared" si="120"/>
        <v>4.0000000000000009</v>
      </c>
      <c r="V217" s="746">
        <f t="shared" si="121"/>
        <v>2</v>
      </c>
      <c r="W217" s="767">
        <v>1.2E-2</v>
      </c>
      <c r="X217" s="768">
        <f t="shared" si="92"/>
        <v>756.55200000000002</v>
      </c>
      <c r="Y217" s="767">
        <v>2E-3</v>
      </c>
      <c r="Z217" s="748">
        <f t="shared" si="124"/>
        <v>121.91804342802891</v>
      </c>
      <c r="AA217" s="770">
        <f t="shared" si="94"/>
        <v>644.15825661691883</v>
      </c>
      <c r="AB217" s="770">
        <f t="shared" si="95"/>
        <v>646.85196000000008</v>
      </c>
      <c r="AC217" s="770">
        <f t="shared" si="96"/>
        <v>107.35970943615314</v>
      </c>
      <c r="AD217" s="783">
        <f t="shared" si="126"/>
        <v>107.35970943615314</v>
      </c>
      <c r="AE217" s="743">
        <f t="shared" si="97"/>
        <v>99.724000000000004</v>
      </c>
      <c r="AF217" s="743">
        <f t="shared" si="98"/>
        <v>101.69763676103959</v>
      </c>
      <c r="AG217" s="773">
        <f t="shared" si="99"/>
        <v>0.13442253375979388</v>
      </c>
      <c r="AH217" s="799" t="s">
        <v>412</v>
      </c>
    </row>
    <row r="218" spans="1:34" ht="14.4" x14ac:dyDescent="0.3">
      <c r="A218" s="729" t="s">
        <v>357</v>
      </c>
      <c r="B218" s="726" t="str">
        <f t="shared" si="93"/>
        <v>2010s</v>
      </c>
      <c r="C218" s="730">
        <v>2019</v>
      </c>
      <c r="D218" s="731">
        <f t="shared" si="106"/>
        <v>2014</v>
      </c>
      <c r="E218" s="732">
        <f t="shared" si="107"/>
        <v>2017</v>
      </c>
      <c r="F218" s="759">
        <f t="shared" si="109"/>
        <v>63222</v>
      </c>
      <c r="G218" s="760">
        <f t="shared" si="110"/>
        <v>63046</v>
      </c>
      <c r="H218" s="760">
        <f t="shared" si="111"/>
        <v>58562</v>
      </c>
      <c r="I218" s="761">
        <f t="shared" si="112"/>
        <v>49862</v>
      </c>
      <c r="J218" s="762">
        <f t="shared" si="113"/>
        <v>0.85143950001707591</v>
      </c>
      <c r="K218" s="763">
        <f t="shared" si="114"/>
        <v>60959.021714014452</v>
      </c>
      <c r="L218" s="764">
        <f t="shared" si="122"/>
        <v>53679.854718076567</v>
      </c>
      <c r="M218" s="762">
        <f t="shared" si="123"/>
        <v>0.85500000000000009</v>
      </c>
      <c r="N218" s="764">
        <f t="shared" si="102"/>
        <v>53904.330000000009</v>
      </c>
      <c r="O218" s="740">
        <f t="shared" si="115"/>
        <v>0.66840085017288964</v>
      </c>
      <c r="P218" s="765">
        <f t="shared" si="116"/>
        <v>986.81838051979094</v>
      </c>
      <c r="Q218" s="796">
        <f t="shared" si="117"/>
        <v>1.9406908792552031E-2</v>
      </c>
      <c r="R218" s="743">
        <f t="shared" si="118"/>
        <v>50848.818380519791</v>
      </c>
      <c r="S218" s="797">
        <f t="shared" si="119"/>
        <v>2980.8896895597791</v>
      </c>
      <c r="T218" s="745">
        <v>2.2000000000000002</v>
      </c>
      <c r="U218" s="726">
        <f t="shared" si="120"/>
        <v>5.0000000000000018</v>
      </c>
      <c r="V218" s="746">
        <f t="shared" si="121"/>
        <v>2</v>
      </c>
      <c r="W218" s="767">
        <v>4.8000000000000001E-2</v>
      </c>
      <c r="X218" s="768">
        <f t="shared" si="92"/>
        <v>3026.2080000000001</v>
      </c>
      <c r="Y218" s="767">
        <v>4.0000000000000001E-3</v>
      </c>
      <c r="Z218" s="748">
        <f t="shared" si="124"/>
        <v>243.83608685605782</v>
      </c>
      <c r="AA218" s="770">
        <f t="shared" si="94"/>
        <v>2576.6330264676753</v>
      </c>
      <c r="AB218" s="770">
        <f t="shared" si="95"/>
        <v>2587.4078400000003</v>
      </c>
      <c r="AC218" s="770">
        <f t="shared" si="96"/>
        <v>214.71941887230628</v>
      </c>
      <c r="AD218" s="783">
        <f t="shared" si="126"/>
        <v>214.71941887230628</v>
      </c>
      <c r="AE218" s="743">
        <f t="shared" si="97"/>
        <v>199.44800000000001</v>
      </c>
      <c r="AF218" s="743">
        <f t="shared" si="98"/>
        <v>203.39527352207918</v>
      </c>
      <c r="AG218" s="773">
        <f t="shared" si="99"/>
        <v>6.7211266879896939E-2</v>
      </c>
      <c r="AH218" s="786" t="s">
        <v>413</v>
      </c>
    </row>
    <row r="219" spans="1:34" ht="14.4" x14ac:dyDescent="0.3">
      <c r="A219" s="729" t="s">
        <v>357</v>
      </c>
      <c r="B219" s="726" t="str">
        <f t="shared" si="93"/>
        <v>2010s</v>
      </c>
      <c r="C219" s="730">
        <v>2019</v>
      </c>
      <c r="D219" s="731">
        <f t="shared" si="106"/>
        <v>2013</v>
      </c>
      <c r="E219" s="732">
        <f t="shared" si="107"/>
        <v>2016</v>
      </c>
      <c r="F219" s="759">
        <f t="shared" si="109"/>
        <v>63222</v>
      </c>
      <c r="G219" s="760">
        <f t="shared" si="110"/>
        <v>63046</v>
      </c>
      <c r="H219" s="760">
        <f t="shared" si="111"/>
        <v>58562</v>
      </c>
      <c r="I219" s="761">
        <f t="shared" si="112"/>
        <v>49862</v>
      </c>
      <c r="J219" s="762">
        <f t="shared" si="113"/>
        <v>0.85143950001707591</v>
      </c>
      <c r="K219" s="763">
        <f t="shared" si="114"/>
        <v>60959.021714014452</v>
      </c>
      <c r="L219" s="764">
        <f t="shared" si="122"/>
        <v>53679.854718076567</v>
      </c>
      <c r="M219" s="762">
        <f t="shared" si="123"/>
        <v>0.85500000000000009</v>
      </c>
      <c r="N219" s="764">
        <f t="shared" si="102"/>
        <v>53904.330000000009</v>
      </c>
      <c r="O219" s="740">
        <f t="shared" si="115"/>
        <v>0.66840085017288964</v>
      </c>
      <c r="P219" s="765">
        <f t="shared" si="116"/>
        <v>986.81838051979094</v>
      </c>
      <c r="Q219" s="796">
        <f t="shared" si="117"/>
        <v>1.9406908792552031E-2</v>
      </c>
      <c r="R219" s="743">
        <f t="shared" si="118"/>
        <v>50848.818380519791</v>
      </c>
      <c r="S219" s="797">
        <f t="shared" si="119"/>
        <v>2980.8896895597791</v>
      </c>
      <c r="T219" s="745">
        <v>2.2999999999999998</v>
      </c>
      <c r="U219" s="726">
        <f t="shared" si="120"/>
        <v>5.9999999999999982</v>
      </c>
      <c r="V219" s="746">
        <f t="shared" si="121"/>
        <v>2</v>
      </c>
      <c r="W219" s="767">
        <v>1E-3</v>
      </c>
      <c r="X219" s="768">
        <f t="shared" ref="X219:X237" si="127">W219*G219</f>
        <v>63.045999999999999</v>
      </c>
      <c r="Y219" s="767">
        <v>0</v>
      </c>
      <c r="Z219" s="748">
        <f t="shared" si="124"/>
        <v>0</v>
      </c>
      <c r="AA219" s="770">
        <f t="shared" si="94"/>
        <v>53.679854718076569</v>
      </c>
      <c r="AB219" s="770">
        <f t="shared" si="95"/>
        <v>53.904330000000009</v>
      </c>
      <c r="AC219" s="770" t="str">
        <f t="shared" si="96"/>
        <v/>
      </c>
      <c r="AD219" s="783">
        <f t="shared" si="126"/>
        <v>0</v>
      </c>
      <c r="AE219" s="743">
        <f t="shared" si="97"/>
        <v>0</v>
      </c>
      <c r="AF219" s="743">
        <f t="shared" si="98"/>
        <v>0</v>
      </c>
      <c r="AG219" s="773">
        <f t="shared" si="99"/>
        <v>0</v>
      </c>
    </row>
    <row r="220" spans="1:34" ht="14.4" x14ac:dyDescent="0.3">
      <c r="A220" s="729" t="s">
        <v>357</v>
      </c>
      <c r="B220" s="726" t="str">
        <f t="shared" ref="B220:B237" si="128">LEFT(E220,3)*10 &amp; "s"</f>
        <v>2010s</v>
      </c>
      <c r="C220" s="800">
        <v>2020</v>
      </c>
      <c r="D220" s="731">
        <f t="shared" si="106"/>
        <v>2017</v>
      </c>
      <c r="E220" s="732">
        <f t="shared" si="107"/>
        <v>2019</v>
      </c>
      <c r="F220" s="759">
        <f t="shared" si="109"/>
        <v>345018</v>
      </c>
      <c r="G220" s="760">
        <f t="shared" si="110"/>
        <v>341739</v>
      </c>
      <c r="H220" s="760">
        <f t="shared" si="111"/>
        <v>280440</v>
      </c>
      <c r="I220" s="761">
        <f t="shared" si="112"/>
        <v>226107</v>
      </c>
      <c r="J220" s="762">
        <f t="shared" si="113"/>
        <v>0.80625802310654682</v>
      </c>
      <c r="K220" s="763">
        <f t="shared" si="114"/>
        <v>297055.82899379538</v>
      </c>
      <c r="L220" s="764">
        <f t="shared" si="122"/>
        <v>275529.81055840821</v>
      </c>
      <c r="M220" s="762">
        <f t="shared" si="123"/>
        <v>0.80700000000000005</v>
      </c>
      <c r="N220" s="764">
        <f t="shared" si="102"/>
        <v>275783.37300000002</v>
      </c>
      <c r="O220" s="740">
        <f t="shared" si="115"/>
        <v>0.58122426764285029</v>
      </c>
      <c r="P220" s="765">
        <f t="shared" si="116"/>
        <v>15008.493100128369</v>
      </c>
      <c r="Q220" s="796">
        <f t="shared" si="117"/>
        <v>6.224607513668054E-2</v>
      </c>
      <c r="R220" s="743">
        <f t="shared" si="118"/>
        <v>241115.49310012837</v>
      </c>
      <c r="S220" s="797">
        <f t="shared" si="119"/>
        <v>37058.037516046199</v>
      </c>
      <c r="T220" s="745">
        <v>1.1000000000000001</v>
      </c>
      <c r="U220" s="726">
        <f t="shared" si="120"/>
        <v>3.0000000000000009</v>
      </c>
      <c r="V220" s="746">
        <f t="shared" si="121"/>
        <v>1</v>
      </c>
      <c r="W220" s="767">
        <v>8.9999999999999993E-3</v>
      </c>
      <c r="X220" s="768">
        <f t="shared" si="127"/>
        <v>3075.6509999999998</v>
      </c>
      <c r="Y220" s="801"/>
      <c r="Z220" s="769">
        <f t="shared" ref="Z220:Z237" si="129">K220*W220</f>
        <v>2673.5024609441584</v>
      </c>
      <c r="AA220" s="770">
        <f t="shared" ref="AA220:AA231" si="130">L220*W220</f>
        <v>2479.7682950256735</v>
      </c>
      <c r="AB220" s="770">
        <f t="shared" ref="AB220:AB231" si="131">IF(N220,N220*W220,"")</f>
        <v>2482.0503570000001</v>
      </c>
      <c r="AC220" s="770" t="str">
        <f t="shared" ref="AC220:AC231" si="132">IF(Y220,L220*Y220,"")</f>
        <v/>
      </c>
      <c r="AD220" s="783">
        <f t="shared" ref="AD220:AD230" si="133">IF(ISNUMBER(Y220),Y220*L220,W220*L220)</f>
        <v>2479.7682950256735</v>
      </c>
      <c r="AE220" s="743">
        <f t="shared" ref="AE220:AE231" si="134">Y220*I220</f>
        <v>0</v>
      </c>
      <c r="AF220" s="772">
        <f t="shared" ref="AF220:AF231" si="135">Y220*R220</f>
        <v>0</v>
      </c>
      <c r="AG220" s="773">
        <f t="shared" ref="AG220:AG231" si="136">IF(X220=0,0,AF220/X220)</f>
        <v>0</v>
      </c>
      <c r="AH220" s="802" t="s">
        <v>414</v>
      </c>
    </row>
    <row r="221" spans="1:34" ht="14.4" x14ac:dyDescent="0.3">
      <c r="A221" s="729" t="s">
        <v>357</v>
      </c>
      <c r="B221" s="726" t="str">
        <f t="shared" si="128"/>
        <v>2010s</v>
      </c>
      <c r="C221" s="800">
        <v>2020</v>
      </c>
      <c r="D221" s="731">
        <f t="shared" si="106"/>
        <v>2016</v>
      </c>
      <c r="E221" s="732">
        <f t="shared" si="107"/>
        <v>2018</v>
      </c>
      <c r="F221" s="759">
        <f t="shared" si="109"/>
        <v>345018</v>
      </c>
      <c r="G221" s="760">
        <f t="shared" si="110"/>
        <v>341739</v>
      </c>
      <c r="H221" s="760">
        <f t="shared" si="111"/>
        <v>280440</v>
      </c>
      <c r="I221" s="761">
        <f t="shared" si="112"/>
        <v>226107</v>
      </c>
      <c r="J221" s="762">
        <f t="shared" si="113"/>
        <v>0.80625802310654682</v>
      </c>
      <c r="K221" s="763">
        <f t="shared" si="114"/>
        <v>297055.82899379538</v>
      </c>
      <c r="L221" s="764">
        <f t="shared" si="122"/>
        <v>275529.81055840821</v>
      </c>
      <c r="M221" s="762">
        <f t="shared" si="123"/>
        <v>0.80700000000000005</v>
      </c>
      <c r="N221" s="764">
        <f t="shared" si="102"/>
        <v>275783.37300000002</v>
      </c>
      <c r="O221" s="740">
        <f t="shared" si="115"/>
        <v>0.58122426764285029</v>
      </c>
      <c r="P221" s="765">
        <f t="shared" si="116"/>
        <v>15008.493100128369</v>
      </c>
      <c r="Q221" s="796">
        <f t="shared" si="117"/>
        <v>6.224607513668054E-2</v>
      </c>
      <c r="R221" s="743">
        <f t="shared" si="118"/>
        <v>241115.49310012837</v>
      </c>
      <c r="S221" s="797">
        <f t="shared" si="119"/>
        <v>37058.037516046199</v>
      </c>
      <c r="T221" s="745">
        <v>1.2</v>
      </c>
      <c r="U221" s="726">
        <f t="shared" si="120"/>
        <v>3.9999999999999996</v>
      </c>
      <c r="V221" s="746">
        <f t="shared" si="121"/>
        <v>1</v>
      </c>
      <c r="W221" s="767">
        <v>0.98599999999999999</v>
      </c>
      <c r="X221" s="768">
        <f t="shared" si="127"/>
        <v>336954.65399999998</v>
      </c>
      <c r="Y221" s="801"/>
      <c r="Z221" s="769">
        <f t="shared" si="129"/>
        <v>292897.04738788225</v>
      </c>
      <c r="AA221" s="770">
        <f t="shared" si="130"/>
        <v>271672.39321059047</v>
      </c>
      <c r="AB221" s="770">
        <f t="shared" si="131"/>
        <v>271922.40577800001</v>
      </c>
      <c r="AC221" s="770" t="str">
        <f t="shared" si="132"/>
        <v/>
      </c>
      <c r="AD221" s="783">
        <f t="shared" si="133"/>
        <v>271672.39321059047</v>
      </c>
      <c r="AE221" s="743">
        <f t="shared" si="134"/>
        <v>0</v>
      </c>
      <c r="AF221" s="772">
        <f t="shared" si="135"/>
        <v>0</v>
      </c>
      <c r="AG221" s="773">
        <f t="shared" si="136"/>
        <v>0</v>
      </c>
      <c r="AH221" s="803">
        <v>275.5298105584082</v>
      </c>
    </row>
    <row r="222" spans="1:34" ht="14.4" x14ac:dyDescent="0.3">
      <c r="A222" s="729" t="s">
        <v>357</v>
      </c>
      <c r="B222" s="726" t="str">
        <f t="shared" si="128"/>
        <v>2010s</v>
      </c>
      <c r="C222" s="800">
        <v>2020</v>
      </c>
      <c r="D222" s="731">
        <f t="shared" si="106"/>
        <v>2015</v>
      </c>
      <c r="E222" s="732">
        <f t="shared" si="107"/>
        <v>2017</v>
      </c>
      <c r="F222" s="759">
        <f t="shared" si="109"/>
        <v>345018</v>
      </c>
      <c r="G222" s="760">
        <f t="shared" si="110"/>
        <v>341739</v>
      </c>
      <c r="H222" s="760">
        <f t="shared" si="111"/>
        <v>280440</v>
      </c>
      <c r="I222" s="761">
        <f t="shared" si="112"/>
        <v>226107</v>
      </c>
      <c r="J222" s="762">
        <f t="shared" si="113"/>
        <v>0.80625802310654682</v>
      </c>
      <c r="K222" s="763">
        <f t="shared" si="114"/>
        <v>297055.82899379538</v>
      </c>
      <c r="L222" s="764">
        <f t="shared" si="122"/>
        <v>275529.81055840821</v>
      </c>
      <c r="M222" s="762">
        <f t="shared" si="123"/>
        <v>0.80700000000000005</v>
      </c>
      <c r="N222" s="764">
        <f t="shared" si="102"/>
        <v>275783.37300000002</v>
      </c>
      <c r="O222" s="740">
        <f t="shared" si="115"/>
        <v>0.58122426764285029</v>
      </c>
      <c r="P222" s="765">
        <f t="shared" si="116"/>
        <v>15008.493100128369</v>
      </c>
      <c r="Q222" s="796">
        <f t="shared" si="117"/>
        <v>6.224607513668054E-2</v>
      </c>
      <c r="R222" s="743">
        <f t="shared" si="118"/>
        <v>241115.49310012837</v>
      </c>
      <c r="S222" s="797">
        <f t="shared" si="119"/>
        <v>37058.037516046199</v>
      </c>
      <c r="T222" s="745">
        <v>1.3</v>
      </c>
      <c r="U222" s="726">
        <f t="shared" si="120"/>
        <v>5</v>
      </c>
      <c r="V222" s="746">
        <f t="shared" si="121"/>
        <v>1</v>
      </c>
      <c r="W222" s="767">
        <v>2E-3</v>
      </c>
      <c r="X222" s="768">
        <f t="shared" si="127"/>
        <v>683.47800000000007</v>
      </c>
      <c r="Y222" s="801"/>
      <c r="Z222" s="769">
        <f t="shared" si="129"/>
        <v>594.11165798759077</v>
      </c>
      <c r="AA222" s="770">
        <f t="shared" si="130"/>
        <v>551.0596211168164</v>
      </c>
      <c r="AB222" s="770">
        <f t="shared" si="131"/>
        <v>551.56674600000008</v>
      </c>
      <c r="AC222" s="770" t="str">
        <f t="shared" si="132"/>
        <v/>
      </c>
      <c r="AD222" s="783">
        <f t="shared" si="133"/>
        <v>551.0596211168164</v>
      </c>
      <c r="AE222" s="743">
        <f t="shared" si="134"/>
        <v>0</v>
      </c>
      <c r="AF222" s="772">
        <f t="shared" si="135"/>
        <v>0</v>
      </c>
      <c r="AG222" s="773">
        <f t="shared" si="136"/>
        <v>0</v>
      </c>
      <c r="AH222" s="803">
        <v>271396.8634000321</v>
      </c>
    </row>
    <row r="223" spans="1:34" ht="14.4" x14ac:dyDescent="0.3">
      <c r="A223" s="729" t="s">
        <v>357</v>
      </c>
      <c r="B223" s="726" t="str">
        <f t="shared" si="128"/>
        <v>2010s</v>
      </c>
      <c r="C223" s="800">
        <v>2020</v>
      </c>
      <c r="D223" s="731">
        <f t="shared" si="106"/>
        <v>2016</v>
      </c>
      <c r="E223" s="732">
        <f t="shared" si="107"/>
        <v>2019</v>
      </c>
      <c r="F223" s="759">
        <f t="shared" si="109"/>
        <v>345018</v>
      </c>
      <c r="G223" s="760">
        <f t="shared" si="110"/>
        <v>341739</v>
      </c>
      <c r="H223" s="760">
        <f t="shared" si="111"/>
        <v>280440</v>
      </c>
      <c r="I223" s="761">
        <f t="shared" si="112"/>
        <v>226107</v>
      </c>
      <c r="J223" s="762">
        <f t="shared" si="113"/>
        <v>0.80625802310654682</v>
      </c>
      <c r="K223" s="763">
        <f t="shared" si="114"/>
        <v>297055.82899379538</v>
      </c>
      <c r="L223" s="764">
        <f t="shared" si="122"/>
        <v>275529.81055840821</v>
      </c>
      <c r="M223" s="762">
        <f t="shared" si="123"/>
        <v>0.80700000000000005</v>
      </c>
      <c r="N223" s="764">
        <f t="shared" si="102"/>
        <v>275783.37300000002</v>
      </c>
      <c r="O223" s="740">
        <f t="shared" si="115"/>
        <v>0.58122426764285029</v>
      </c>
      <c r="P223" s="765">
        <f t="shared" si="116"/>
        <v>15008.493100128369</v>
      </c>
      <c r="Q223" s="796">
        <f t="shared" si="117"/>
        <v>6.224607513668054E-2</v>
      </c>
      <c r="R223" s="743">
        <f t="shared" si="118"/>
        <v>241115.49310012837</v>
      </c>
      <c r="S223" s="797">
        <f t="shared" si="119"/>
        <v>37058.037516046199</v>
      </c>
      <c r="T223" s="745">
        <v>2.1</v>
      </c>
      <c r="U223" s="726">
        <f t="shared" si="120"/>
        <v>4.0000000000000009</v>
      </c>
      <c r="V223" s="746">
        <f t="shared" si="121"/>
        <v>2</v>
      </c>
      <c r="W223" s="767">
        <v>1E-3</v>
      </c>
      <c r="X223" s="768">
        <f t="shared" si="127"/>
        <v>341.73900000000003</v>
      </c>
      <c r="Y223" s="801"/>
      <c r="Z223" s="769">
        <f t="shared" si="129"/>
        <v>297.05582899379539</v>
      </c>
      <c r="AA223" s="770">
        <f t="shared" si="130"/>
        <v>275.5298105584082</v>
      </c>
      <c r="AB223" s="770">
        <f t="shared" si="131"/>
        <v>275.78337300000004</v>
      </c>
      <c r="AC223" s="770" t="str">
        <f t="shared" si="132"/>
        <v/>
      </c>
      <c r="AD223" s="783">
        <f t="shared" si="133"/>
        <v>275.5298105584082</v>
      </c>
      <c r="AE223" s="743">
        <f t="shared" si="134"/>
        <v>0</v>
      </c>
      <c r="AF223" s="772">
        <f t="shared" si="135"/>
        <v>0</v>
      </c>
      <c r="AG223" s="773">
        <f t="shared" si="136"/>
        <v>0</v>
      </c>
      <c r="AH223" s="803">
        <v>0</v>
      </c>
    </row>
    <row r="224" spans="1:34" ht="14.4" x14ac:dyDescent="0.3">
      <c r="A224" s="729" t="s">
        <v>357</v>
      </c>
      <c r="B224" s="726" t="str">
        <f t="shared" si="128"/>
        <v>2010s</v>
      </c>
      <c r="C224" s="800">
        <v>2020</v>
      </c>
      <c r="D224" s="731">
        <f t="shared" si="106"/>
        <v>2015</v>
      </c>
      <c r="E224" s="732">
        <f t="shared" si="107"/>
        <v>2018</v>
      </c>
      <c r="F224" s="759">
        <f t="shared" si="109"/>
        <v>345018</v>
      </c>
      <c r="G224" s="760">
        <f t="shared" si="110"/>
        <v>341739</v>
      </c>
      <c r="H224" s="760">
        <f t="shared" si="111"/>
        <v>280440</v>
      </c>
      <c r="I224" s="761">
        <f t="shared" si="112"/>
        <v>226107</v>
      </c>
      <c r="J224" s="762">
        <f t="shared" si="113"/>
        <v>0.80625802310654682</v>
      </c>
      <c r="K224" s="763">
        <f t="shared" si="114"/>
        <v>297055.82899379538</v>
      </c>
      <c r="L224" s="764">
        <f t="shared" si="122"/>
        <v>275529.81055840821</v>
      </c>
      <c r="M224" s="762">
        <f t="shared" si="123"/>
        <v>0.80700000000000005</v>
      </c>
      <c r="N224" s="764">
        <f t="shared" si="102"/>
        <v>275783.37300000002</v>
      </c>
      <c r="O224" s="740">
        <f t="shared" si="115"/>
        <v>0.58122426764285029</v>
      </c>
      <c r="P224" s="765">
        <f t="shared" si="116"/>
        <v>15008.493100128369</v>
      </c>
      <c r="Q224" s="796">
        <f t="shared" si="117"/>
        <v>6.224607513668054E-2</v>
      </c>
      <c r="R224" s="743">
        <f t="shared" si="118"/>
        <v>241115.49310012837</v>
      </c>
      <c r="S224" s="797">
        <f t="shared" si="119"/>
        <v>37058.037516046199</v>
      </c>
      <c r="T224" s="745">
        <v>2.2000000000000002</v>
      </c>
      <c r="U224" s="726">
        <f t="shared" si="120"/>
        <v>5.0000000000000018</v>
      </c>
      <c r="V224" s="746">
        <f t="shared" si="121"/>
        <v>2</v>
      </c>
      <c r="W224" s="767">
        <v>2E-3</v>
      </c>
      <c r="X224" s="768">
        <f t="shared" si="127"/>
        <v>683.47800000000007</v>
      </c>
      <c r="Y224" s="801"/>
      <c r="Z224" s="769">
        <f t="shared" si="129"/>
        <v>594.11165798759077</v>
      </c>
      <c r="AA224" s="770">
        <f t="shared" si="130"/>
        <v>551.0596211168164</v>
      </c>
      <c r="AB224" s="770">
        <f t="shared" si="131"/>
        <v>551.56674600000008</v>
      </c>
      <c r="AC224" s="770" t="str">
        <f t="shared" si="132"/>
        <v/>
      </c>
      <c r="AD224" s="783">
        <f t="shared" si="133"/>
        <v>551.0596211168164</v>
      </c>
      <c r="AE224" s="743">
        <f t="shared" si="134"/>
        <v>0</v>
      </c>
      <c r="AF224" s="772">
        <f t="shared" si="135"/>
        <v>0</v>
      </c>
      <c r="AG224" s="773">
        <f t="shared" si="136"/>
        <v>0</v>
      </c>
      <c r="AH224" s="803">
        <v>275.5298105584082</v>
      </c>
    </row>
    <row r="225" spans="1:34" ht="14.4" x14ac:dyDescent="0.3">
      <c r="A225" s="729" t="s">
        <v>357</v>
      </c>
      <c r="B225" s="726" t="str">
        <f t="shared" si="128"/>
        <v>2010s</v>
      </c>
      <c r="C225" s="800">
        <v>2020</v>
      </c>
      <c r="D225" s="731">
        <f t="shared" si="106"/>
        <v>2014</v>
      </c>
      <c r="E225" s="732">
        <f t="shared" si="107"/>
        <v>2017</v>
      </c>
      <c r="F225" s="759">
        <f t="shared" si="109"/>
        <v>345018</v>
      </c>
      <c r="G225" s="760">
        <f t="shared" si="110"/>
        <v>341739</v>
      </c>
      <c r="H225" s="760">
        <f t="shared" si="111"/>
        <v>280440</v>
      </c>
      <c r="I225" s="761">
        <f t="shared" si="112"/>
        <v>226107</v>
      </c>
      <c r="J225" s="762">
        <f t="shared" si="113"/>
        <v>0.80625802310654682</v>
      </c>
      <c r="K225" s="763">
        <f t="shared" si="114"/>
        <v>297055.82899379538</v>
      </c>
      <c r="L225" s="764">
        <f t="shared" si="122"/>
        <v>275529.81055840821</v>
      </c>
      <c r="M225" s="762">
        <f t="shared" si="123"/>
        <v>0.80700000000000005</v>
      </c>
      <c r="N225" s="764">
        <f t="shared" si="102"/>
        <v>275783.37300000002</v>
      </c>
      <c r="O225" s="740">
        <f t="shared" si="115"/>
        <v>0.58122426764285029</v>
      </c>
      <c r="P225" s="765">
        <f t="shared" si="116"/>
        <v>15008.493100128369</v>
      </c>
      <c r="Q225" s="796">
        <f t="shared" si="117"/>
        <v>6.224607513668054E-2</v>
      </c>
      <c r="R225" s="743">
        <f t="shared" si="118"/>
        <v>241115.49310012837</v>
      </c>
      <c r="S225" s="797">
        <f t="shared" si="119"/>
        <v>37058.037516046199</v>
      </c>
      <c r="T225" s="745">
        <v>2.2999999999999998</v>
      </c>
      <c r="U225" s="726">
        <f t="shared" si="120"/>
        <v>5.9999999999999982</v>
      </c>
      <c r="V225" s="746">
        <f t="shared" si="121"/>
        <v>2</v>
      </c>
      <c r="W225" s="767">
        <v>0</v>
      </c>
      <c r="X225" s="768">
        <f t="shared" si="127"/>
        <v>0</v>
      </c>
      <c r="Y225" s="801"/>
      <c r="Z225" s="769">
        <f t="shared" si="129"/>
        <v>0</v>
      </c>
      <c r="AA225" s="770">
        <f t="shared" si="130"/>
        <v>0</v>
      </c>
      <c r="AB225" s="770">
        <f t="shared" si="131"/>
        <v>0</v>
      </c>
      <c r="AC225" s="770" t="str">
        <f t="shared" si="132"/>
        <v/>
      </c>
      <c r="AD225" s="783">
        <f>IF(ISNUMBER(Y225),Y225*L225,W225*L225)</f>
        <v>0</v>
      </c>
      <c r="AE225" s="743">
        <f t="shared" si="134"/>
        <v>0</v>
      </c>
      <c r="AF225" s="772">
        <f t="shared" si="135"/>
        <v>0</v>
      </c>
      <c r="AG225" s="773">
        <f t="shared" si="136"/>
        <v>0</v>
      </c>
      <c r="AH225" s="803">
        <v>551.0596211168164</v>
      </c>
    </row>
    <row r="226" spans="1:34" ht="14.4" x14ac:dyDescent="0.3">
      <c r="A226" s="729" t="s">
        <v>357</v>
      </c>
      <c r="B226" s="726" t="str">
        <f t="shared" si="128"/>
        <v>2020s</v>
      </c>
      <c r="C226" s="804">
        <v>2021</v>
      </c>
      <c r="D226" s="731">
        <f t="shared" si="106"/>
        <v>2018</v>
      </c>
      <c r="E226" s="732">
        <f t="shared" si="107"/>
        <v>2020</v>
      </c>
      <c r="F226" s="759">
        <f t="shared" si="109"/>
        <v>152309</v>
      </c>
      <c r="G226" s="760">
        <f t="shared" si="110"/>
        <v>151765</v>
      </c>
      <c r="H226" s="760">
        <f t="shared" si="111"/>
        <v>109367</v>
      </c>
      <c r="I226" s="761">
        <f t="shared" si="112"/>
        <v>76255</v>
      </c>
      <c r="J226" s="762">
        <f t="shared" si="113"/>
        <v>0.69723956952279942</v>
      </c>
      <c r="K226" s="763">
        <f t="shared" si="114"/>
        <v>110834.91467090861</v>
      </c>
      <c r="L226" s="764">
        <f t="shared" si="122"/>
        <v>105816.56326862765</v>
      </c>
      <c r="M226" s="762">
        <f t="shared" si="123"/>
        <v>0.69262486130169598</v>
      </c>
      <c r="N226" s="764">
        <f t="shared" si="102"/>
        <v>105116.21207545188</v>
      </c>
      <c r="O226" s="740">
        <f t="shared" si="115"/>
        <v>0.42193522880769613</v>
      </c>
      <c r="P226" s="765">
        <f t="shared" si="116"/>
        <v>7026.7803816507721</v>
      </c>
      <c r="Q226" s="805">
        <f t="shared" si="117"/>
        <v>8.4373561053204413E-2</v>
      </c>
      <c r="R226" s="772">
        <f t="shared" si="118"/>
        <v>83281.780381650766</v>
      </c>
      <c r="S226" s="797">
        <f t="shared" si="119"/>
        <v>22914.081212797289</v>
      </c>
      <c r="T226" s="745">
        <v>1.1000000000000001</v>
      </c>
      <c r="U226" s="726">
        <f t="shared" si="120"/>
        <v>3.0000000000000009</v>
      </c>
      <c r="V226" s="746">
        <f t="shared" si="121"/>
        <v>1</v>
      </c>
      <c r="W226" s="806">
        <v>0.253</v>
      </c>
      <c r="X226" s="768">
        <f t="shared" si="127"/>
        <v>38396.544999999998</v>
      </c>
      <c r="Y226" s="807"/>
      <c r="Z226" s="769">
        <f t="shared" si="129"/>
        <v>28041.233411739879</v>
      </c>
      <c r="AA226" s="770">
        <f t="shared" si="130"/>
        <v>26771.590506962795</v>
      </c>
      <c r="AB226" s="770">
        <f t="shared" si="131"/>
        <v>26594.401655089328</v>
      </c>
      <c r="AC226" s="770" t="str">
        <f t="shared" si="132"/>
        <v/>
      </c>
      <c r="AD226" s="783">
        <f t="shared" si="133"/>
        <v>26771.590506962795</v>
      </c>
      <c r="AE226" s="743">
        <f t="shared" si="134"/>
        <v>0</v>
      </c>
      <c r="AF226" s="772">
        <f t="shared" si="135"/>
        <v>0</v>
      </c>
      <c r="AG226" s="773">
        <f t="shared" si="136"/>
        <v>0</v>
      </c>
      <c r="AH226" s="802" t="s">
        <v>415</v>
      </c>
    </row>
    <row r="227" spans="1:34" ht="14.4" x14ac:dyDescent="0.3">
      <c r="A227" s="729" t="s">
        <v>357</v>
      </c>
      <c r="B227" s="726" t="str">
        <f t="shared" si="128"/>
        <v>2010s</v>
      </c>
      <c r="C227" s="804">
        <v>2021</v>
      </c>
      <c r="D227" s="731">
        <f t="shared" si="106"/>
        <v>2017</v>
      </c>
      <c r="E227" s="732">
        <f t="shared" si="107"/>
        <v>2019</v>
      </c>
      <c r="F227" s="759">
        <f t="shared" si="109"/>
        <v>152309</v>
      </c>
      <c r="G227" s="760">
        <f t="shared" si="110"/>
        <v>151765</v>
      </c>
      <c r="H227" s="760">
        <f t="shared" si="111"/>
        <v>109367</v>
      </c>
      <c r="I227" s="761">
        <f t="shared" si="112"/>
        <v>76255</v>
      </c>
      <c r="J227" s="762">
        <f t="shared" si="113"/>
        <v>0.69723956952279942</v>
      </c>
      <c r="K227" s="763">
        <f t="shared" si="114"/>
        <v>110834.91467090861</v>
      </c>
      <c r="L227" s="764">
        <f t="shared" si="122"/>
        <v>105816.56326862765</v>
      </c>
      <c r="M227" s="762">
        <f t="shared" si="123"/>
        <v>0.69262486130169598</v>
      </c>
      <c r="N227" s="764">
        <f t="shared" si="102"/>
        <v>105116.21207545188</v>
      </c>
      <c r="O227" s="740">
        <f t="shared" si="115"/>
        <v>0.42193522880769613</v>
      </c>
      <c r="P227" s="765">
        <f t="shared" si="116"/>
        <v>7026.7803816507721</v>
      </c>
      <c r="Q227" s="805">
        <f t="shared" si="117"/>
        <v>8.4373561053204413E-2</v>
      </c>
      <c r="R227" s="772">
        <f t="shared" si="118"/>
        <v>83281.780381650766</v>
      </c>
      <c r="S227" s="797">
        <f t="shared" si="119"/>
        <v>22914.081212797289</v>
      </c>
      <c r="T227" s="745">
        <v>1.2</v>
      </c>
      <c r="U227" s="726">
        <f t="shared" si="120"/>
        <v>3.9999999999999996</v>
      </c>
      <c r="V227" s="746">
        <f t="shared" si="121"/>
        <v>1</v>
      </c>
      <c r="W227" s="806">
        <v>0.59799999999999998</v>
      </c>
      <c r="X227" s="768">
        <f t="shared" si="127"/>
        <v>90755.47</v>
      </c>
      <c r="Y227" s="807"/>
      <c r="Z227" s="769">
        <f t="shared" si="129"/>
        <v>66279.278973203342</v>
      </c>
      <c r="AA227" s="770">
        <f t="shared" si="130"/>
        <v>63278.304834639333</v>
      </c>
      <c r="AB227" s="770">
        <f t="shared" si="131"/>
        <v>62859.494821120221</v>
      </c>
      <c r="AC227" s="770" t="str">
        <f t="shared" si="132"/>
        <v/>
      </c>
      <c r="AD227" s="783">
        <f t="shared" si="133"/>
        <v>63278.304834639333</v>
      </c>
      <c r="AE227" s="743">
        <f t="shared" si="134"/>
        <v>0</v>
      </c>
      <c r="AF227" s="772">
        <f t="shared" si="135"/>
        <v>0</v>
      </c>
      <c r="AG227" s="773">
        <f t="shared" si="136"/>
        <v>0</v>
      </c>
    </row>
    <row r="228" spans="1:34" ht="14.4" x14ac:dyDescent="0.3">
      <c r="A228" s="729" t="s">
        <v>357</v>
      </c>
      <c r="B228" s="726" t="str">
        <f t="shared" si="128"/>
        <v>2010s</v>
      </c>
      <c r="C228" s="804">
        <v>2021</v>
      </c>
      <c r="D228" s="731">
        <f t="shared" si="106"/>
        <v>2016</v>
      </c>
      <c r="E228" s="732">
        <f t="shared" si="107"/>
        <v>2018</v>
      </c>
      <c r="F228" s="759">
        <f t="shared" si="109"/>
        <v>152309</v>
      </c>
      <c r="G228" s="760">
        <f t="shared" si="110"/>
        <v>151765</v>
      </c>
      <c r="H228" s="760">
        <f t="shared" si="111"/>
        <v>109367</v>
      </c>
      <c r="I228" s="761">
        <f t="shared" si="112"/>
        <v>76255</v>
      </c>
      <c r="J228" s="762">
        <f t="shared" si="113"/>
        <v>0.69723956952279942</v>
      </c>
      <c r="K228" s="763">
        <f t="shared" si="114"/>
        <v>110834.91467090861</v>
      </c>
      <c r="L228" s="764">
        <f t="shared" si="122"/>
        <v>105816.56326862765</v>
      </c>
      <c r="M228" s="762">
        <f t="shared" si="123"/>
        <v>0.69262486130169598</v>
      </c>
      <c r="N228" s="764">
        <f t="shared" si="102"/>
        <v>105116.21207545188</v>
      </c>
      <c r="O228" s="740">
        <f t="shared" si="115"/>
        <v>0.42193522880769613</v>
      </c>
      <c r="P228" s="765">
        <f t="shared" si="116"/>
        <v>7026.7803816507721</v>
      </c>
      <c r="Q228" s="805">
        <f t="shared" si="117"/>
        <v>8.4373561053204413E-2</v>
      </c>
      <c r="R228" s="772">
        <f t="shared" si="118"/>
        <v>83281.780381650766</v>
      </c>
      <c r="S228" s="797">
        <f t="shared" si="119"/>
        <v>22914.081212797289</v>
      </c>
      <c r="T228" s="745">
        <v>1.3</v>
      </c>
      <c r="U228" s="726">
        <f t="shared" si="120"/>
        <v>5</v>
      </c>
      <c r="V228" s="746">
        <f t="shared" si="121"/>
        <v>1</v>
      </c>
      <c r="W228" s="806">
        <v>0.114</v>
      </c>
      <c r="X228" s="768">
        <f t="shared" si="127"/>
        <v>17301.21</v>
      </c>
      <c r="Y228" s="807"/>
      <c r="Z228" s="769">
        <f t="shared" si="129"/>
        <v>12635.180272483582</v>
      </c>
      <c r="AA228" s="770">
        <f t="shared" si="130"/>
        <v>12063.088212623552</v>
      </c>
      <c r="AB228" s="770">
        <f t="shared" si="131"/>
        <v>11983.248176601515</v>
      </c>
      <c r="AC228" s="770" t="str">
        <f t="shared" si="132"/>
        <v/>
      </c>
      <c r="AD228" s="783">
        <f t="shared" si="133"/>
        <v>12063.088212623552</v>
      </c>
      <c r="AE228" s="743">
        <f t="shared" si="134"/>
        <v>0</v>
      </c>
      <c r="AF228" s="772">
        <f t="shared" si="135"/>
        <v>0</v>
      </c>
      <c r="AG228" s="773">
        <f t="shared" si="136"/>
        <v>0</v>
      </c>
    </row>
    <row r="229" spans="1:34" ht="14.4" x14ac:dyDescent="0.3">
      <c r="A229" s="729" t="s">
        <v>357</v>
      </c>
      <c r="B229" s="726" t="str">
        <f t="shared" si="128"/>
        <v>2020s</v>
      </c>
      <c r="C229" s="804">
        <v>2021</v>
      </c>
      <c r="D229" s="731">
        <f t="shared" si="106"/>
        <v>2017</v>
      </c>
      <c r="E229" s="732">
        <f t="shared" si="107"/>
        <v>2020</v>
      </c>
      <c r="F229" s="759">
        <f t="shared" si="109"/>
        <v>152309</v>
      </c>
      <c r="G229" s="760">
        <f t="shared" si="110"/>
        <v>151765</v>
      </c>
      <c r="H229" s="760">
        <f t="shared" si="111"/>
        <v>109367</v>
      </c>
      <c r="I229" s="761">
        <f t="shared" si="112"/>
        <v>76255</v>
      </c>
      <c r="J229" s="762">
        <f t="shared" si="113"/>
        <v>0.69723956952279942</v>
      </c>
      <c r="K229" s="763">
        <f t="shared" si="114"/>
        <v>110834.91467090861</v>
      </c>
      <c r="L229" s="764">
        <f t="shared" si="122"/>
        <v>105816.56326862765</v>
      </c>
      <c r="M229" s="762">
        <f t="shared" si="123"/>
        <v>0.69262486130169598</v>
      </c>
      <c r="N229" s="764">
        <f t="shared" si="102"/>
        <v>105116.21207545188</v>
      </c>
      <c r="O229" s="740">
        <f t="shared" si="115"/>
        <v>0.42193522880769613</v>
      </c>
      <c r="P229" s="765">
        <f t="shared" si="116"/>
        <v>7026.7803816507721</v>
      </c>
      <c r="Q229" s="805">
        <f t="shared" si="117"/>
        <v>8.4373561053204413E-2</v>
      </c>
      <c r="R229" s="772">
        <f t="shared" si="118"/>
        <v>83281.780381650766</v>
      </c>
      <c r="S229" s="797">
        <f t="shared" si="119"/>
        <v>22914.081212797289</v>
      </c>
      <c r="T229" s="745">
        <v>2.1</v>
      </c>
      <c r="U229" s="726">
        <f t="shared" si="120"/>
        <v>4.0000000000000009</v>
      </c>
      <c r="V229" s="746">
        <f t="shared" si="121"/>
        <v>2</v>
      </c>
      <c r="W229" s="806">
        <v>0.03</v>
      </c>
      <c r="X229" s="768">
        <f t="shared" si="127"/>
        <v>4552.95</v>
      </c>
      <c r="Y229" s="807"/>
      <c r="Z229" s="769">
        <f t="shared" si="129"/>
        <v>3325.0474401272581</v>
      </c>
      <c r="AA229" s="770">
        <f t="shared" si="130"/>
        <v>3174.4968980588296</v>
      </c>
      <c r="AB229" s="770">
        <f t="shared" si="131"/>
        <v>3153.4863622635562</v>
      </c>
      <c r="AC229" s="770" t="str">
        <f t="shared" si="132"/>
        <v/>
      </c>
      <c r="AD229" s="783">
        <f t="shared" si="133"/>
        <v>3174.4968980588296</v>
      </c>
      <c r="AE229" s="743">
        <f t="shared" si="134"/>
        <v>0</v>
      </c>
      <c r="AF229" s="772">
        <f t="shared" si="135"/>
        <v>0</v>
      </c>
      <c r="AG229" s="773">
        <f t="shared" si="136"/>
        <v>0</v>
      </c>
    </row>
    <row r="230" spans="1:34" ht="14.4" x14ac:dyDescent="0.3">
      <c r="A230" s="729" t="s">
        <v>357</v>
      </c>
      <c r="B230" s="726" t="str">
        <f t="shared" si="128"/>
        <v>2010s</v>
      </c>
      <c r="C230" s="804">
        <v>2021</v>
      </c>
      <c r="D230" s="731">
        <f t="shared" si="106"/>
        <v>2016</v>
      </c>
      <c r="E230" s="732">
        <f t="shared" si="107"/>
        <v>2019</v>
      </c>
      <c r="F230" s="759">
        <f t="shared" si="109"/>
        <v>152309</v>
      </c>
      <c r="G230" s="760">
        <f t="shared" si="110"/>
        <v>151765</v>
      </c>
      <c r="H230" s="760">
        <f t="shared" si="111"/>
        <v>109367</v>
      </c>
      <c r="I230" s="761">
        <f t="shared" si="112"/>
        <v>76255</v>
      </c>
      <c r="J230" s="762">
        <f t="shared" si="113"/>
        <v>0.69723956952279942</v>
      </c>
      <c r="K230" s="763">
        <f t="shared" si="114"/>
        <v>110834.91467090861</v>
      </c>
      <c r="L230" s="764">
        <f t="shared" si="122"/>
        <v>105816.56326862765</v>
      </c>
      <c r="M230" s="762">
        <f t="shared" si="123"/>
        <v>0.69262486130169598</v>
      </c>
      <c r="N230" s="764">
        <f t="shared" si="102"/>
        <v>105116.21207545188</v>
      </c>
      <c r="O230" s="740">
        <f t="shared" si="115"/>
        <v>0.42193522880769613</v>
      </c>
      <c r="P230" s="765">
        <f t="shared" si="116"/>
        <v>7026.7803816507721</v>
      </c>
      <c r="Q230" s="805">
        <f t="shared" si="117"/>
        <v>8.4373561053204413E-2</v>
      </c>
      <c r="R230" s="772">
        <f t="shared" si="118"/>
        <v>83281.780381650766</v>
      </c>
      <c r="S230" s="797">
        <f t="shared" si="119"/>
        <v>22914.081212797289</v>
      </c>
      <c r="T230" s="745">
        <v>2.2000000000000002</v>
      </c>
      <c r="U230" s="726">
        <f t="shared" si="120"/>
        <v>5.0000000000000018</v>
      </c>
      <c r="V230" s="746">
        <f t="shared" si="121"/>
        <v>2</v>
      </c>
      <c r="W230" s="806">
        <v>5.0000000000000001E-3</v>
      </c>
      <c r="X230" s="768">
        <f t="shared" si="127"/>
        <v>758.82500000000005</v>
      </c>
      <c r="Y230" s="807"/>
      <c r="Z230" s="769">
        <f t="shared" si="129"/>
        <v>554.17457335454299</v>
      </c>
      <c r="AA230" s="770">
        <f t="shared" si="130"/>
        <v>529.08281634313823</v>
      </c>
      <c r="AB230" s="770">
        <f t="shared" si="131"/>
        <v>525.5810603772594</v>
      </c>
      <c r="AC230" s="770" t="str">
        <f t="shared" si="132"/>
        <v/>
      </c>
      <c r="AD230" s="783">
        <f t="shared" si="133"/>
        <v>529.08281634313823</v>
      </c>
      <c r="AE230" s="743">
        <f t="shared" si="134"/>
        <v>0</v>
      </c>
      <c r="AF230" s="772">
        <f t="shared" si="135"/>
        <v>0</v>
      </c>
      <c r="AG230" s="773">
        <f t="shared" si="136"/>
        <v>0</v>
      </c>
    </row>
    <row r="231" spans="1:34" ht="15" thickBot="1" x14ac:dyDescent="0.35">
      <c r="A231" s="808" t="s">
        <v>357</v>
      </c>
      <c r="B231" s="809" t="str">
        <f t="shared" si="128"/>
        <v>2010s</v>
      </c>
      <c r="C231" s="810">
        <v>2021</v>
      </c>
      <c r="D231" s="811">
        <f t="shared" si="106"/>
        <v>2015</v>
      </c>
      <c r="E231" s="812">
        <f t="shared" si="107"/>
        <v>2018</v>
      </c>
      <c r="F231" s="813">
        <f t="shared" si="109"/>
        <v>152309</v>
      </c>
      <c r="G231" s="814">
        <f t="shared" si="110"/>
        <v>151765</v>
      </c>
      <c r="H231" s="814">
        <f t="shared" si="111"/>
        <v>109367</v>
      </c>
      <c r="I231" s="815">
        <f t="shared" si="112"/>
        <v>76255</v>
      </c>
      <c r="J231" s="816">
        <f t="shared" si="113"/>
        <v>0.69723956952279942</v>
      </c>
      <c r="K231" s="817">
        <f t="shared" si="114"/>
        <v>110834.91467090861</v>
      </c>
      <c r="L231" s="818">
        <f t="shared" si="122"/>
        <v>105816.56326862765</v>
      </c>
      <c r="M231" s="816">
        <f t="shared" si="123"/>
        <v>0.69262486130169598</v>
      </c>
      <c r="N231" s="818">
        <f t="shared" si="102"/>
        <v>105116.21207545188</v>
      </c>
      <c r="O231" s="819">
        <f t="shared" si="115"/>
        <v>0.42193522880769613</v>
      </c>
      <c r="P231" s="820">
        <f t="shared" si="116"/>
        <v>7026.7803816507721</v>
      </c>
      <c r="Q231" s="821">
        <f t="shared" si="117"/>
        <v>8.4373561053204413E-2</v>
      </c>
      <c r="R231" s="822">
        <f t="shared" si="118"/>
        <v>83281.780381650766</v>
      </c>
      <c r="S231" s="823">
        <f t="shared" si="119"/>
        <v>22914.081212797289</v>
      </c>
      <c r="T231" s="824">
        <v>2.2999999999999998</v>
      </c>
      <c r="U231" s="809">
        <f t="shared" si="120"/>
        <v>5.9999999999999982</v>
      </c>
      <c r="V231" s="825">
        <f t="shared" si="121"/>
        <v>2</v>
      </c>
      <c r="W231" s="826">
        <v>0</v>
      </c>
      <c r="X231" s="827">
        <f t="shared" si="127"/>
        <v>0</v>
      </c>
      <c r="Y231" s="828"/>
      <c r="Z231" s="829">
        <f t="shared" si="129"/>
        <v>0</v>
      </c>
      <c r="AA231" s="830">
        <f t="shared" si="130"/>
        <v>0</v>
      </c>
      <c r="AB231" s="830">
        <f t="shared" si="131"/>
        <v>0</v>
      </c>
      <c r="AC231" s="830" t="str">
        <f t="shared" si="132"/>
        <v/>
      </c>
      <c r="AD231" s="784">
        <f>IF(ISNUMBER(Y231),Y231*L231,W231*L231)</f>
        <v>0</v>
      </c>
      <c r="AE231" s="831">
        <f t="shared" si="134"/>
        <v>0</v>
      </c>
      <c r="AF231" s="822">
        <f t="shared" si="135"/>
        <v>0</v>
      </c>
      <c r="AG231" s="832">
        <f t="shared" si="136"/>
        <v>0</v>
      </c>
    </row>
    <row r="232" spans="1:34" ht="14.4" x14ac:dyDescent="0.3">
      <c r="A232" s="729" t="s">
        <v>357</v>
      </c>
      <c r="B232" s="726" t="str">
        <f t="shared" si="128"/>
        <v>2020s</v>
      </c>
      <c r="C232" s="804">
        <v>2022</v>
      </c>
      <c r="D232" s="731">
        <f t="shared" si="106"/>
        <v>2019</v>
      </c>
      <c r="E232" s="732">
        <f t="shared" si="107"/>
        <v>2021</v>
      </c>
      <c r="F232" s="759">
        <f t="shared" si="109"/>
        <v>663253</v>
      </c>
      <c r="G232" s="760">
        <f t="shared" si="110"/>
        <v>663253</v>
      </c>
      <c r="H232" s="760">
        <f t="shared" si="111"/>
        <v>659933</v>
      </c>
      <c r="I232" s="761">
        <f t="shared" si="112"/>
        <v>478415</v>
      </c>
      <c r="J232" s="762">
        <f t="shared" si="113"/>
        <v>0.72494480500293212</v>
      </c>
      <c r="K232" s="763">
        <f t="shared" si="114"/>
        <v>537298.58440745843</v>
      </c>
      <c r="L232" s="764">
        <f t="shared" si="122"/>
        <v>480821.81675260974</v>
      </c>
      <c r="M232" s="762">
        <f t="shared" si="123"/>
        <v>0</v>
      </c>
      <c r="N232" s="764">
        <f t="shared" si="102"/>
        <v>480821.81675260974</v>
      </c>
      <c r="O232" s="740">
        <f t="shared" ref="O232:O237" si="137">VLOOKUP($C232,SockeyeReturnsData,6)/G232</f>
        <v>0.63571819501758753</v>
      </c>
      <c r="P232" s="765">
        <f t="shared" si="116"/>
        <v>0</v>
      </c>
      <c r="Q232" s="805">
        <f t="shared" si="117"/>
        <v>0</v>
      </c>
      <c r="R232" s="772">
        <f t="shared" si="118"/>
        <v>478415</v>
      </c>
      <c r="S232" s="797">
        <f t="shared" si="119"/>
        <v>0</v>
      </c>
      <c r="T232" s="745">
        <v>1.1000000000000001</v>
      </c>
      <c r="U232" s="726">
        <f t="shared" si="120"/>
        <v>3.0000000000000009</v>
      </c>
      <c r="V232" s="746">
        <f t="shared" si="121"/>
        <v>1</v>
      </c>
      <c r="W232" s="806">
        <v>0.02</v>
      </c>
      <c r="X232" s="768">
        <f t="shared" si="127"/>
        <v>13265.06</v>
      </c>
      <c r="Y232" s="807"/>
      <c r="Z232" s="769">
        <f t="shared" si="129"/>
        <v>10745.971688149169</v>
      </c>
      <c r="AH232" s="802" t="s">
        <v>415</v>
      </c>
    </row>
    <row r="233" spans="1:34" ht="14.4" x14ac:dyDescent="0.3">
      <c r="A233" s="729" t="s">
        <v>357</v>
      </c>
      <c r="B233" s="726" t="str">
        <f t="shared" si="128"/>
        <v>2020s</v>
      </c>
      <c r="C233" s="804">
        <v>2022</v>
      </c>
      <c r="D233" s="731">
        <f t="shared" si="106"/>
        <v>2018</v>
      </c>
      <c r="E233" s="732">
        <f t="shared" si="107"/>
        <v>2020</v>
      </c>
      <c r="F233" s="759">
        <f t="shared" si="109"/>
        <v>663253</v>
      </c>
      <c r="G233" s="760">
        <f t="shared" si="110"/>
        <v>663253</v>
      </c>
      <c r="H233" s="760">
        <f t="shared" si="111"/>
        <v>659933</v>
      </c>
      <c r="I233" s="761">
        <f t="shared" si="112"/>
        <v>478415</v>
      </c>
      <c r="J233" s="762">
        <f t="shared" si="113"/>
        <v>0.72494480500293212</v>
      </c>
      <c r="K233" s="763">
        <f t="shared" si="114"/>
        <v>537298.58440745843</v>
      </c>
      <c r="L233" s="764">
        <f t="shared" si="122"/>
        <v>480821.81675260974</v>
      </c>
      <c r="M233" s="762">
        <f t="shared" si="123"/>
        <v>0</v>
      </c>
      <c r="N233" s="764">
        <f t="shared" si="102"/>
        <v>480821.81675260974</v>
      </c>
      <c r="O233" s="740">
        <f t="shared" si="137"/>
        <v>0.63571819501758753</v>
      </c>
      <c r="P233" s="765">
        <f t="shared" si="116"/>
        <v>0</v>
      </c>
      <c r="Q233" s="805">
        <f t="shared" si="117"/>
        <v>0</v>
      </c>
      <c r="R233" s="772">
        <f t="shared" si="118"/>
        <v>478415</v>
      </c>
      <c r="S233" s="797">
        <f t="shared" si="119"/>
        <v>0</v>
      </c>
      <c r="T233" s="745">
        <v>1.2</v>
      </c>
      <c r="U233" s="726">
        <f t="shared" si="120"/>
        <v>3.9999999999999996</v>
      </c>
      <c r="V233" s="746">
        <f t="shared" si="121"/>
        <v>1</v>
      </c>
      <c r="W233" s="806">
        <v>0.94399999999999995</v>
      </c>
      <c r="X233" s="768">
        <f t="shared" si="127"/>
        <v>626110.83199999994</v>
      </c>
      <c r="Y233" s="807"/>
      <c r="Z233" s="769">
        <f t="shared" si="129"/>
        <v>507209.86368064076</v>
      </c>
    </row>
    <row r="234" spans="1:34" ht="14.4" x14ac:dyDescent="0.3">
      <c r="A234" s="729" t="s">
        <v>357</v>
      </c>
      <c r="B234" s="726" t="str">
        <f t="shared" si="128"/>
        <v>2010s</v>
      </c>
      <c r="C234" s="804">
        <v>2022</v>
      </c>
      <c r="D234" s="731">
        <f t="shared" si="106"/>
        <v>2017</v>
      </c>
      <c r="E234" s="732">
        <f t="shared" si="107"/>
        <v>2019</v>
      </c>
      <c r="F234" s="759">
        <f t="shared" si="109"/>
        <v>663253</v>
      </c>
      <c r="G234" s="760">
        <f t="shared" si="110"/>
        <v>663253</v>
      </c>
      <c r="H234" s="760">
        <f t="shared" si="111"/>
        <v>659933</v>
      </c>
      <c r="I234" s="761">
        <f t="shared" si="112"/>
        <v>478415</v>
      </c>
      <c r="J234" s="762">
        <f t="shared" si="113"/>
        <v>0.72494480500293212</v>
      </c>
      <c r="K234" s="763">
        <f t="shared" si="114"/>
        <v>537298.58440745843</v>
      </c>
      <c r="L234" s="764">
        <f t="shared" si="122"/>
        <v>480821.81675260974</v>
      </c>
      <c r="M234" s="762">
        <f t="shared" si="123"/>
        <v>0</v>
      </c>
      <c r="N234" s="764">
        <f t="shared" si="102"/>
        <v>480821.81675260974</v>
      </c>
      <c r="O234" s="740">
        <f t="shared" si="137"/>
        <v>0.63571819501758753</v>
      </c>
      <c r="P234" s="765">
        <f t="shared" si="116"/>
        <v>0</v>
      </c>
      <c r="Q234" s="805">
        <f t="shared" si="117"/>
        <v>0</v>
      </c>
      <c r="R234" s="772">
        <f t="shared" si="118"/>
        <v>478415</v>
      </c>
      <c r="S234" s="797">
        <f t="shared" si="119"/>
        <v>0</v>
      </c>
      <c r="T234" s="745">
        <v>1.3</v>
      </c>
      <c r="U234" s="726">
        <f t="shared" si="120"/>
        <v>5</v>
      </c>
      <c r="V234" s="746">
        <f t="shared" si="121"/>
        <v>1</v>
      </c>
      <c r="W234" s="806">
        <v>2.3E-2</v>
      </c>
      <c r="X234" s="768">
        <f t="shared" si="127"/>
        <v>15254.819</v>
      </c>
      <c r="Y234" s="807"/>
      <c r="Z234" s="769">
        <f t="shared" si="129"/>
        <v>12357.867441371543</v>
      </c>
    </row>
    <row r="235" spans="1:34" ht="14.4" x14ac:dyDescent="0.3">
      <c r="A235" s="729" t="s">
        <v>357</v>
      </c>
      <c r="B235" s="726" t="str">
        <f t="shared" si="128"/>
        <v>2020s</v>
      </c>
      <c r="C235" s="804">
        <v>2022</v>
      </c>
      <c r="D235" s="731">
        <f t="shared" si="106"/>
        <v>2018</v>
      </c>
      <c r="E235" s="732">
        <f t="shared" si="107"/>
        <v>2021</v>
      </c>
      <c r="F235" s="759">
        <f t="shared" si="109"/>
        <v>663253</v>
      </c>
      <c r="G235" s="760">
        <f t="shared" si="110"/>
        <v>663253</v>
      </c>
      <c r="H235" s="760">
        <f t="shared" si="111"/>
        <v>659933</v>
      </c>
      <c r="I235" s="761">
        <f t="shared" si="112"/>
        <v>478415</v>
      </c>
      <c r="J235" s="762">
        <f t="shared" si="113"/>
        <v>0.72494480500293212</v>
      </c>
      <c r="K235" s="763">
        <f t="shared" si="114"/>
        <v>537298.58440745843</v>
      </c>
      <c r="L235" s="764">
        <f t="shared" si="122"/>
        <v>480821.81675260974</v>
      </c>
      <c r="M235" s="762">
        <f t="shared" si="123"/>
        <v>0</v>
      </c>
      <c r="N235" s="764">
        <f t="shared" ref="N235:N237" si="138">IF(M235,M235*G235,J235*G235)</f>
        <v>480821.81675260974</v>
      </c>
      <c r="O235" s="740">
        <f t="shared" si="137"/>
        <v>0.63571819501758753</v>
      </c>
      <c r="P235" s="765">
        <f t="shared" si="116"/>
        <v>0</v>
      </c>
      <c r="Q235" s="805">
        <f t="shared" si="117"/>
        <v>0</v>
      </c>
      <c r="R235" s="772">
        <f t="shared" si="118"/>
        <v>478415</v>
      </c>
      <c r="S235" s="797">
        <f t="shared" si="119"/>
        <v>0</v>
      </c>
      <c r="T235" s="745">
        <v>2.1</v>
      </c>
      <c r="U235" s="726">
        <f t="shared" si="120"/>
        <v>4.0000000000000009</v>
      </c>
      <c r="V235" s="746">
        <f t="shared" si="121"/>
        <v>2</v>
      </c>
      <c r="W235" s="806">
        <v>8.0000000000000002E-3</v>
      </c>
      <c r="X235" s="768">
        <f t="shared" si="127"/>
        <v>5306.0240000000003</v>
      </c>
      <c r="Y235" s="807"/>
      <c r="Z235" s="769">
        <f t="shared" si="129"/>
        <v>4298.3886752596673</v>
      </c>
    </row>
    <row r="236" spans="1:34" ht="14.4" x14ac:dyDescent="0.3">
      <c r="A236" s="729" t="s">
        <v>357</v>
      </c>
      <c r="B236" s="726" t="str">
        <f t="shared" si="128"/>
        <v>2020s</v>
      </c>
      <c r="C236" s="804">
        <v>2022</v>
      </c>
      <c r="D236" s="731">
        <f t="shared" si="106"/>
        <v>2017</v>
      </c>
      <c r="E236" s="732">
        <f t="shared" si="107"/>
        <v>2020</v>
      </c>
      <c r="F236" s="759">
        <f t="shared" si="109"/>
        <v>663253</v>
      </c>
      <c r="G236" s="760">
        <f t="shared" si="110"/>
        <v>663253</v>
      </c>
      <c r="H236" s="760">
        <f t="shared" si="111"/>
        <v>659933</v>
      </c>
      <c r="I236" s="761">
        <f t="shared" si="112"/>
        <v>478415</v>
      </c>
      <c r="J236" s="762">
        <f t="shared" si="113"/>
        <v>0.72494480500293212</v>
      </c>
      <c r="K236" s="763">
        <f t="shared" si="114"/>
        <v>537298.58440745843</v>
      </c>
      <c r="L236" s="764">
        <f t="shared" si="122"/>
        <v>480821.81675260974</v>
      </c>
      <c r="M236" s="762">
        <f t="shared" si="123"/>
        <v>0</v>
      </c>
      <c r="N236" s="764">
        <f t="shared" si="138"/>
        <v>480821.81675260974</v>
      </c>
      <c r="O236" s="740">
        <f t="shared" si="137"/>
        <v>0.63571819501758753</v>
      </c>
      <c r="P236" s="765">
        <f t="shared" si="116"/>
        <v>0</v>
      </c>
      <c r="Q236" s="805">
        <f t="shared" si="117"/>
        <v>0</v>
      </c>
      <c r="R236" s="772">
        <f t="shared" si="118"/>
        <v>478415</v>
      </c>
      <c r="S236" s="797">
        <f t="shared" si="119"/>
        <v>0</v>
      </c>
      <c r="T236" s="745">
        <v>2.2000000000000002</v>
      </c>
      <c r="U236" s="726">
        <f t="shared" si="120"/>
        <v>5.0000000000000018</v>
      </c>
      <c r="V236" s="746">
        <f t="shared" si="121"/>
        <v>2</v>
      </c>
      <c r="W236" s="806">
        <v>4.0000000000000001E-3</v>
      </c>
      <c r="X236" s="768">
        <f t="shared" si="127"/>
        <v>2653.0120000000002</v>
      </c>
      <c r="Y236" s="807"/>
      <c r="Z236" s="769">
        <f t="shared" si="129"/>
        <v>2149.1943376298336</v>
      </c>
    </row>
    <row r="237" spans="1:34" ht="15" thickBot="1" x14ac:dyDescent="0.35">
      <c r="A237" s="808" t="s">
        <v>357</v>
      </c>
      <c r="B237" s="809" t="str">
        <f t="shared" si="128"/>
        <v>2010s</v>
      </c>
      <c r="C237" s="810">
        <v>2022</v>
      </c>
      <c r="D237" s="811">
        <f t="shared" si="106"/>
        <v>2016</v>
      </c>
      <c r="E237" s="812">
        <f t="shared" si="107"/>
        <v>2019</v>
      </c>
      <c r="F237" s="813">
        <f t="shared" si="109"/>
        <v>663253</v>
      </c>
      <c r="G237" s="814">
        <f t="shared" si="110"/>
        <v>663253</v>
      </c>
      <c r="H237" s="814">
        <f t="shared" si="111"/>
        <v>659933</v>
      </c>
      <c r="I237" s="815">
        <f t="shared" si="112"/>
        <v>478415</v>
      </c>
      <c r="J237" s="816">
        <f t="shared" si="113"/>
        <v>0.72494480500293212</v>
      </c>
      <c r="K237" s="817">
        <f t="shared" si="114"/>
        <v>537298.58440745843</v>
      </c>
      <c r="L237" s="818">
        <f t="shared" si="122"/>
        <v>480821.81675260974</v>
      </c>
      <c r="M237" s="816">
        <f t="shared" si="123"/>
        <v>0</v>
      </c>
      <c r="N237" s="818">
        <f t="shared" si="138"/>
        <v>480821.81675260974</v>
      </c>
      <c r="O237" s="819">
        <f t="shared" si="137"/>
        <v>0.63571819501758753</v>
      </c>
      <c r="P237" s="820">
        <f t="shared" si="116"/>
        <v>0</v>
      </c>
      <c r="Q237" s="821">
        <f t="shared" si="117"/>
        <v>0</v>
      </c>
      <c r="R237" s="822">
        <f t="shared" si="118"/>
        <v>478415</v>
      </c>
      <c r="S237" s="823">
        <f t="shared" si="119"/>
        <v>0</v>
      </c>
      <c r="T237" s="824">
        <v>2.2999999999999998</v>
      </c>
      <c r="U237" s="809">
        <f t="shared" si="120"/>
        <v>5.9999999999999982</v>
      </c>
      <c r="V237" s="825">
        <f t="shared" si="121"/>
        <v>2</v>
      </c>
      <c r="W237" s="826">
        <v>0</v>
      </c>
      <c r="X237" s="827">
        <f t="shared" si="127"/>
        <v>0</v>
      </c>
      <c r="Y237" s="828"/>
      <c r="Z237" s="829">
        <f t="shared" si="129"/>
        <v>0</v>
      </c>
    </row>
    <row r="241" spans="9:17" x14ac:dyDescent="0.25">
      <c r="I241" s="786"/>
      <c r="J241" s="728"/>
      <c r="K241" s="834"/>
      <c r="L241" s="728"/>
      <c r="M241" s="728"/>
      <c r="N241" s="728"/>
      <c r="O241" s="728"/>
    </row>
    <row r="242" spans="9:17" x14ac:dyDescent="0.25">
      <c r="I242" s="786"/>
      <c r="J242" s="728"/>
      <c r="K242" s="834"/>
      <c r="L242" s="728"/>
      <c r="M242" s="728"/>
      <c r="N242" s="728"/>
      <c r="O242" s="728"/>
    </row>
    <row r="243" spans="9:17" x14ac:dyDescent="0.25">
      <c r="I243" s="786"/>
      <c r="J243" s="728"/>
      <c r="K243" s="834"/>
      <c r="L243" s="728"/>
      <c r="M243" s="728"/>
      <c r="N243" s="728"/>
      <c r="O243" s="728"/>
    </row>
    <row r="244" spans="9:17" x14ac:dyDescent="0.25">
      <c r="I244" s="786"/>
      <c r="J244" s="728"/>
      <c r="K244" s="834"/>
      <c r="L244" s="728"/>
      <c r="M244" s="728"/>
      <c r="N244" s="728"/>
      <c r="O244" s="728"/>
    </row>
    <row r="245" spans="9:17" x14ac:dyDescent="0.25">
      <c r="I245" s="786"/>
      <c r="J245" s="728"/>
      <c r="K245" s="834"/>
      <c r="L245" s="728"/>
      <c r="M245" s="728"/>
      <c r="N245" s="728"/>
      <c r="O245" s="728"/>
    </row>
    <row r="250" spans="9:17" x14ac:dyDescent="0.25">
      <c r="P250" s="837"/>
      <c r="Q250" s="837"/>
    </row>
    <row r="254" spans="9:17" x14ac:dyDescent="0.25">
      <c r="P254" s="837"/>
      <c r="Q254" s="837"/>
    </row>
  </sheetData>
  <sheetProtection formatCells="0" formatColumns="0" formatRows="0" insertColumns="0" insertRows="0" sort="0" autoFilter="0" pivotTables="0"/>
  <autoFilter ref="A1:AH231" xr:uid="{00000000-0001-0000-0000-000000000000}"/>
  <conditionalFormatting sqref="O27:O225">
    <cfRule type="colorScale" priority="52">
      <colorScale>
        <cfvo type="min"/>
        <cfvo type="max"/>
        <color rgb="FFF8696B"/>
        <color rgb="FFFCFCFF"/>
      </colorScale>
    </cfRule>
  </conditionalFormatting>
  <conditionalFormatting sqref="Q27:Q225">
    <cfRule type="colorScale" priority="53">
      <colorScale>
        <cfvo type="min"/>
        <cfvo type="max"/>
        <color rgb="FFFCFCFF"/>
        <color rgb="FFF8696B"/>
      </colorScale>
    </cfRule>
  </conditionalFormatting>
  <conditionalFormatting sqref="O27:O225 S32:S231">
    <cfRule type="colorScale" priority="54">
      <colorScale>
        <cfvo type="min"/>
        <cfvo type="percentile" val="50"/>
        <cfvo type="max"/>
        <color rgb="FFF8696B"/>
        <color rgb="FFFCFCFF"/>
        <color rgb="FF63BE7B"/>
      </colorScale>
    </cfRule>
  </conditionalFormatting>
  <conditionalFormatting sqref="AE27:AF219">
    <cfRule type="colorScale" priority="55">
      <colorScale>
        <cfvo type="min"/>
        <cfvo type="percentile" val="50"/>
        <cfvo type="max"/>
        <color rgb="FFF8696B"/>
        <color rgb="FFFFEB84"/>
        <color rgb="FF63BE7B"/>
      </colorScale>
    </cfRule>
  </conditionalFormatting>
  <conditionalFormatting sqref="AE27:AF219">
    <cfRule type="colorScale" priority="56">
      <colorScale>
        <cfvo type="min"/>
        <cfvo type="percentile" val="50"/>
        <cfvo type="max"/>
        <color rgb="FFF8696B"/>
        <color rgb="FFFFEB84"/>
        <color rgb="FF63BE7B"/>
      </colorScale>
    </cfRule>
  </conditionalFormatting>
  <conditionalFormatting sqref="J27:J225 L220:L225 L27:N219">
    <cfRule type="colorScale" priority="51">
      <colorScale>
        <cfvo type="min"/>
        <cfvo type="max"/>
        <color rgb="FFFFEF9C"/>
        <color rgb="FF63BE7B"/>
      </colorScale>
    </cfRule>
  </conditionalFormatting>
  <conditionalFormatting sqref="AA27:AD218 AD219:AD225 AA219:AC231">
    <cfRule type="colorScale" priority="50">
      <colorScale>
        <cfvo type="min"/>
        <cfvo type="percentile" val="50"/>
        <cfvo type="max"/>
        <color rgb="FFF8696B"/>
        <color rgb="FFFFEB84"/>
        <color rgb="FF63BE7B"/>
      </colorScale>
    </cfRule>
  </conditionalFormatting>
  <conditionalFormatting sqref="J27:J225">
    <cfRule type="colorScale" priority="49">
      <colorScale>
        <cfvo type="min"/>
        <cfvo type="percentile" val="50"/>
        <cfvo type="max"/>
        <color rgb="FFF8696B"/>
        <color rgb="FFFFEB84"/>
        <color rgb="FF63BE7B"/>
      </colorScale>
    </cfRule>
  </conditionalFormatting>
  <conditionalFormatting sqref="M27:N219">
    <cfRule type="colorScale" priority="48">
      <colorScale>
        <cfvo type="min"/>
        <cfvo type="percentile" val="50"/>
        <cfvo type="max"/>
        <color rgb="FFF8696B"/>
        <color rgb="FFFFEB84"/>
        <color rgb="FF63BE7B"/>
      </colorScale>
    </cfRule>
  </conditionalFormatting>
  <conditionalFormatting sqref="M27:M219">
    <cfRule type="colorScale" priority="47">
      <colorScale>
        <cfvo type="min"/>
        <cfvo type="percentile" val="50"/>
        <cfvo type="max"/>
        <color rgb="FFF8696B"/>
        <color rgb="FFFFEB84"/>
        <color rgb="FF63BE7B"/>
      </colorScale>
    </cfRule>
  </conditionalFormatting>
  <conditionalFormatting sqref="M27:M219 J27:J225">
    <cfRule type="colorScale" priority="46">
      <colorScale>
        <cfvo type="min"/>
        <cfvo type="percentile" val="50"/>
        <cfvo type="max"/>
        <color rgb="FFF8696B"/>
        <color rgb="FFFFEB84"/>
        <color rgb="FF63BE7B"/>
      </colorScale>
    </cfRule>
  </conditionalFormatting>
  <conditionalFormatting sqref="M220:M225">
    <cfRule type="colorScale" priority="45">
      <colorScale>
        <cfvo type="min"/>
        <cfvo type="max"/>
        <color rgb="FFFFEF9C"/>
        <color rgb="FF63BE7B"/>
      </colorScale>
    </cfRule>
  </conditionalFormatting>
  <conditionalFormatting sqref="M220:M225">
    <cfRule type="colorScale" priority="44">
      <colorScale>
        <cfvo type="min"/>
        <cfvo type="percentile" val="50"/>
        <cfvo type="max"/>
        <color rgb="FFF8696B"/>
        <color rgb="FFFFEB84"/>
        <color rgb="FF63BE7B"/>
      </colorScale>
    </cfRule>
  </conditionalFormatting>
  <conditionalFormatting sqref="M220:M225">
    <cfRule type="colorScale" priority="43">
      <colorScale>
        <cfvo type="min"/>
        <cfvo type="percentile" val="50"/>
        <cfvo type="max"/>
        <color rgb="FFF8696B"/>
        <color rgb="FFFFEB84"/>
        <color rgb="FF63BE7B"/>
      </colorScale>
    </cfRule>
  </conditionalFormatting>
  <conditionalFormatting sqref="M220:M225">
    <cfRule type="colorScale" priority="42">
      <colorScale>
        <cfvo type="min"/>
        <cfvo type="percentile" val="50"/>
        <cfvo type="max"/>
        <color rgb="FFF8696B"/>
        <color rgb="FFFFEB84"/>
        <color rgb="FF63BE7B"/>
      </colorScale>
    </cfRule>
  </conditionalFormatting>
  <conditionalFormatting sqref="N220:N231">
    <cfRule type="colorScale" priority="41">
      <colorScale>
        <cfvo type="min"/>
        <cfvo type="max"/>
        <color rgb="FFFFEF9C"/>
        <color rgb="FF63BE7B"/>
      </colorScale>
    </cfRule>
  </conditionalFormatting>
  <conditionalFormatting sqref="N220:N231">
    <cfRule type="colorScale" priority="40">
      <colorScale>
        <cfvo type="min"/>
        <cfvo type="percentile" val="50"/>
        <cfvo type="max"/>
        <color rgb="FFF8696B"/>
        <color rgb="FFFFEB84"/>
        <color rgb="FF63BE7B"/>
      </colorScale>
    </cfRule>
  </conditionalFormatting>
  <conditionalFormatting sqref="J226:J231 L226:L231">
    <cfRule type="colorScale" priority="39">
      <colorScale>
        <cfvo type="min"/>
        <cfvo type="max"/>
        <color rgb="FFFFEF9C"/>
        <color rgb="FF63BE7B"/>
      </colorScale>
    </cfRule>
  </conditionalFormatting>
  <conditionalFormatting sqref="J226:J231">
    <cfRule type="colorScale" priority="38">
      <colorScale>
        <cfvo type="min"/>
        <cfvo type="percentile" val="50"/>
        <cfvo type="max"/>
        <color rgb="FFF8696B"/>
        <color rgb="FFFFEB84"/>
        <color rgb="FF63BE7B"/>
      </colorScale>
    </cfRule>
  </conditionalFormatting>
  <conditionalFormatting sqref="J226:J231">
    <cfRule type="colorScale" priority="37">
      <colorScale>
        <cfvo type="min"/>
        <cfvo type="percentile" val="50"/>
        <cfvo type="max"/>
        <color rgb="FFF8696B"/>
        <color rgb="FFFFEB84"/>
        <color rgb="FF63BE7B"/>
      </colorScale>
    </cfRule>
  </conditionalFormatting>
  <conditionalFormatting sqref="M226:M231">
    <cfRule type="colorScale" priority="36">
      <colorScale>
        <cfvo type="min"/>
        <cfvo type="max"/>
        <color rgb="FFFFEF9C"/>
        <color rgb="FF63BE7B"/>
      </colorScale>
    </cfRule>
  </conditionalFormatting>
  <conditionalFormatting sqref="M226:M231">
    <cfRule type="colorScale" priority="35">
      <colorScale>
        <cfvo type="min"/>
        <cfvo type="percentile" val="50"/>
        <cfvo type="max"/>
        <color rgb="FFF8696B"/>
        <color rgb="FFFFEB84"/>
        <color rgb="FF63BE7B"/>
      </colorScale>
    </cfRule>
  </conditionalFormatting>
  <conditionalFormatting sqref="M226:M231">
    <cfRule type="colorScale" priority="34">
      <colorScale>
        <cfvo type="min"/>
        <cfvo type="percentile" val="50"/>
        <cfvo type="max"/>
        <color rgb="FFF8696B"/>
        <color rgb="FFFFEB84"/>
        <color rgb="FF63BE7B"/>
      </colorScale>
    </cfRule>
  </conditionalFormatting>
  <conditionalFormatting sqref="M226:M231">
    <cfRule type="colorScale" priority="33">
      <colorScale>
        <cfvo type="min"/>
        <cfvo type="percentile" val="50"/>
        <cfvo type="max"/>
        <color rgb="FFF8696B"/>
        <color rgb="FFFFEB84"/>
        <color rgb="FF63BE7B"/>
      </colorScale>
    </cfRule>
  </conditionalFormatting>
  <conditionalFormatting sqref="N27:N231">
    <cfRule type="colorScale" priority="32">
      <colorScale>
        <cfvo type="min"/>
        <cfvo type="percentile" val="50"/>
        <cfvo type="max"/>
        <color rgb="FFF8696B"/>
        <color rgb="FFFFEB84"/>
        <color rgb="FF63BE7B"/>
      </colorScale>
    </cfRule>
  </conditionalFormatting>
  <conditionalFormatting sqref="M27:M231">
    <cfRule type="colorScale" priority="31">
      <colorScale>
        <cfvo type="min"/>
        <cfvo type="percentile" val="50"/>
        <cfvo type="max"/>
        <color rgb="FFF8696B"/>
        <color rgb="FFFFEB84"/>
        <color rgb="FF63BE7B"/>
      </colorScale>
    </cfRule>
  </conditionalFormatting>
  <conditionalFormatting sqref="L27:L231">
    <cfRule type="colorScale" priority="30">
      <colorScale>
        <cfvo type="min"/>
        <cfvo type="percentile" val="50"/>
        <cfvo type="max"/>
        <color rgb="FFF8696B"/>
        <color rgb="FFFFEB84"/>
        <color rgb="FF63BE7B"/>
      </colorScale>
    </cfRule>
  </conditionalFormatting>
  <conditionalFormatting sqref="J27:J231">
    <cfRule type="colorScale" priority="29">
      <colorScale>
        <cfvo type="min"/>
        <cfvo type="percentile" val="50"/>
        <cfvo type="max"/>
        <color rgb="FFF8696B"/>
        <color rgb="FFFFEB84"/>
        <color rgb="FF63BE7B"/>
      </colorScale>
    </cfRule>
  </conditionalFormatting>
  <conditionalFormatting sqref="G27:I231">
    <cfRule type="colorScale" priority="28">
      <colorScale>
        <cfvo type="min"/>
        <cfvo type="percentile" val="50"/>
        <cfvo type="max"/>
        <color rgb="FFF8696B"/>
        <color rgb="FFFFEB84"/>
        <color rgb="FF63BE7B"/>
      </colorScale>
    </cfRule>
  </conditionalFormatting>
  <conditionalFormatting sqref="O226:O231">
    <cfRule type="colorScale" priority="26">
      <colorScale>
        <cfvo type="min"/>
        <cfvo type="max"/>
        <color rgb="FFF8696B"/>
        <color rgb="FFFCFCFF"/>
      </colorScale>
    </cfRule>
  </conditionalFormatting>
  <conditionalFormatting sqref="O226:O231">
    <cfRule type="colorScale" priority="27">
      <colorScale>
        <cfvo type="min"/>
        <cfvo type="percentile" val="50"/>
        <cfvo type="max"/>
        <color rgb="FFF8696B"/>
        <color rgb="FFFCFCFF"/>
        <color rgb="FF63BE7B"/>
      </colorScale>
    </cfRule>
  </conditionalFormatting>
  <conditionalFormatting sqref="O27:O231">
    <cfRule type="colorScale" priority="25">
      <colorScale>
        <cfvo type="min"/>
        <cfvo type="percentile" val="50"/>
        <cfvo type="max"/>
        <color rgb="FFF8696B"/>
        <color rgb="FFFFEB84"/>
        <color rgb="FF63BE7B"/>
      </colorScale>
    </cfRule>
  </conditionalFormatting>
  <conditionalFormatting sqref="AD226:AD231">
    <cfRule type="colorScale" priority="24">
      <colorScale>
        <cfvo type="min"/>
        <cfvo type="percentile" val="50"/>
        <cfvo type="max"/>
        <color rgb="FFF8696B"/>
        <color rgb="FFFFEB84"/>
        <color rgb="FF63BE7B"/>
      </colorScale>
    </cfRule>
  </conditionalFormatting>
  <conditionalFormatting sqref="F27:F231">
    <cfRule type="colorScale" priority="23">
      <colorScale>
        <cfvo type="min"/>
        <cfvo type="percentile" val="50"/>
        <cfvo type="max"/>
        <color rgb="FFF8696B"/>
        <color rgb="FFFFEB84"/>
        <color rgb="FF63BE7B"/>
      </colorScale>
    </cfRule>
  </conditionalFormatting>
  <conditionalFormatting sqref="S32:S231">
    <cfRule type="colorScale" priority="57">
      <colorScale>
        <cfvo type="min"/>
        <cfvo type="max"/>
        <color rgb="FFF8696B"/>
        <color rgb="FFFCFCFF"/>
      </colorScale>
    </cfRule>
  </conditionalFormatting>
  <conditionalFormatting sqref="S2:S31">
    <cfRule type="colorScale" priority="21">
      <colorScale>
        <cfvo type="min"/>
        <cfvo type="percentile" val="50"/>
        <cfvo type="max"/>
        <color rgb="FFF8696B"/>
        <color rgb="FFFCFCFF"/>
        <color rgb="FF63BE7B"/>
      </colorScale>
    </cfRule>
  </conditionalFormatting>
  <conditionalFormatting sqref="S2:S31">
    <cfRule type="colorScale" priority="22">
      <colorScale>
        <cfvo type="min"/>
        <cfvo type="max"/>
        <color rgb="FFF8696B"/>
        <color rgb="FFFCFCFF"/>
      </colorScale>
    </cfRule>
  </conditionalFormatting>
  <conditionalFormatting sqref="S232:S237">
    <cfRule type="colorScale" priority="19">
      <colorScale>
        <cfvo type="min"/>
        <cfvo type="percentile" val="50"/>
        <cfvo type="max"/>
        <color rgb="FFF8696B"/>
        <color rgb="FFFCFCFF"/>
        <color rgb="FF63BE7B"/>
      </colorScale>
    </cfRule>
  </conditionalFormatting>
  <conditionalFormatting sqref="N232:N237">
    <cfRule type="colorScale" priority="18">
      <colorScale>
        <cfvo type="min"/>
        <cfvo type="max"/>
        <color rgb="FFFFEF9C"/>
        <color rgb="FF63BE7B"/>
      </colorScale>
    </cfRule>
  </conditionalFormatting>
  <conditionalFormatting sqref="N232:N237">
    <cfRule type="colorScale" priority="17">
      <colorScale>
        <cfvo type="min"/>
        <cfvo type="percentile" val="50"/>
        <cfvo type="max"/>
        <color rgb="FFF8696B"/>
        <color rgb="FFFFEB84"/>
        <color rgb="FF63BE7B"/>
      </colorScale>
    </cfRule>
  </conditionalFormatting>
  <conditionalFormatting sqref="J232:J237 L232:L237">
    <cfRule type="colorScale" priority="16">
      <colorScale>
        <cfvo type="min"/>
        <cfvo type="max"/>
        <color rgb="FFFFEF9C"/>
        <color rgb="FF63BE7B"/>
      </colorScale>
    </cfRule>
  </conditionalFormatting>
  <conditionalFormatting sqref="J232:J237">
    <cfRule type="colorScale" priority="15">
      <colorScale>
        <cfvo type="min"/>
        <cfvo type="percentile" val="50"/>
        <cfvo type="max"/>
        <color rgb="FFF8696B"/>
        <color rgb="FFFFEB84"/>
        <color rgb="FF63BE7B"/>
      </colorScale>
    </cfRule>
  </conditionalFormatting>
  <conditionalFormatting sqref="J232:J237">
    <cfRule type="colorScale" priority="14">
      <colorScale>
        <cfvo type="min"/>
        <cfvo type="percentile" val="50"/>
        <cfvo type="max"/>
        <color rgb="FFF8696B"/>
        <color rgb="FFFFEB84"/>
        <color rgb="FF63BE7B"/>
      </colorScale>
    </cfRule>
  </conditionalFormatting>
  <conditionalFormatting sqref="M232:M237">
    <cfRule type="colorScale" priority="13">
      <colorScale>
        <cfvo type="min"/>
        <cfvo type="max"/>
        <color rgb="FFFFEF9C"/>
        <color rgb="FF63BE7B"/>
      </colorScale>
    </cfRule>
  </conditionalFormatting>
  <conditionalFormatting sqref="M232:M237">
    <cfRule type="colorScale" priority="12">
      <colorScale>
        <cfvo type="min"/>
        <cfvo type="percentile" val="50"/>
        <cfvo type="max"/>
        <color rgb="FFF8696B"/>
        <color rgb="FFFFEB84"/>
        <color rgb="FF63BE7B"/>
      </colorScale>
    </cfRule>
  </conditionalFormatting>
  <conditionalFormatting sqref="M232:M237">
    <cfRule type="colorScale" priority="11">
      <colorScale>
        <cfvo type="min"/>
        <cfvo type="percentile" val="50"/>
        <cfvo type="max"/>
        <color rgb="FFF8696B"/>
        <color rgb="FFFFEB84"/>
        <color rgb="FF63BE7B"/>
      </colorScale>
    </cfRule>
  </conditionalFormatting>
  <conditionalFormatting sqref="M232:M237">
    <cfRule type="colorScale" priority="10">
      <colorScale>
        <cfvo type="min"/>
        <cfvo type="percentile" val="50"/>
        <cfvo type="max"/>
        <color rgb="FFF8696B"/>
        <color rgb="FFFFEB84"/>
        <color rgb="FF63BE7B"/>
      </colorScale>
    </cfRule>
  </conditionalFormatting>
  <conditionalFormatting sqref="N232:N237">
    <cfRule type="colorScale" priority="9">
      <colorScale>
        <cfvo type="min"/>
        <cfvo type="percentile" val="50"/>
        <cfvo type="max"/>
        <color rgb="FFF8696B"/>
        <color rgb="FFFFEB84"/>
        <color rgb="FF63BE7B"/>
      </colorScale>
    </cfRule>
  </conditionalFormatting>
  <conditionalFormatting sqref="M232:M237">
    <cfRule type="colorScale" priority="8">
      <colorScale>
        <cfvo type="min"/>
        <cfvo type="percentile" val="50"/>
        <cfvo type="max"/>
        <color rgb="FFF8696B"/>
        <color rgb="FFFFEB84"/>
        <color rgb="FF63BE7B"/>
      </colorScale>
    </cfRule>
  </conditionalFormatting>
  <conditionalFormatting sqref="L232:L237">
    <cfRule type="colorScale" priority="7">
      <colorScale>
        <cfvo type="min"/>
        <cfvo type="percentile" val="50"/>
        <cfvo type="max"/>
        <color rgb="FFF8696B"/>
        <color rgb="FFFFEB84"/>
        <color rgb="FF63BE7B"/>
      </colorScale>
    </cfRule>
  </conditionalFormatting>
  <conditionalFormatting sqref="J232:J237">
    <cfRule type="colorScale" priority="6">
      <colorScale>
        <cfvo type="min"/>
        <cfvo type="percentile" val="50"/>
        <cfvo type="max"/>
        <color rgb="FFF8696B"/>
        <color rgb="FFFFEB84"/>
        <color rgb="FF63BE7B"/>
      </colorScale>
    </cfRule>
  </conditionalFormatting>
  <conditionalFormatting sqref="G232:I237">
    <cfRule type="colorScale" priority="5">
      <colorScale>
        <cfvo type="min"/>
        <cfvo type="percentile" val="50"/>
        <cfvo type="max"/>
        <color rgb="FFF8696B"/>
        <color rgb="FFFFEB84"/>
        <color rgb="FF63BE7B"/>
      </colorScale>
    </cfRule>
  </conditionalFormatting>
  <conditionalFormatting sqref="O232:O237">
    <cfRule type="colorScale" priority="3">
      <colorScale>
        <cfvo type="min"/>
        <cfvo type="max"/>
        <color rgb="FFF8696B"/>
        <color rgb="FFFCFCFF"/>
      </colorScale>
    </cfRule>
  </conditionalFormatting>
  <conditionalFormatting sqref="O232:O237">
    <cfRule type="colorScale" priority="4">
      <colorScale>
        <cfvo type="min"/>
        <cfvo type="percentile" val="50"/>
        <cfvo type="max"/>
        <color rgb="FFF8696B"/>
        <color rgb="FFFCFCFF"/>
        <color rgb="FF63BE7B"/>
      </colorScale>
    </cfRule>
  </conditionalFormatting>
  <conditionalFormatting sqref="O232:O237">
    <cfRule type="colorScale" priority="2">
      <colorScale>
        <cfvo type="min"/>
        <cfvo type="percentile" val="50"/>
        <cfvo type="max"/>
        <color rgb="FFF8696B"/>
        <color rgb="FFFFEB84"/>
        <color rgb="FF63BE7B"/>
      </colorScale>
    </cfRule>
  </conditionalFormatting>
  <conditionalFormatting sqref="F232:F237">
    <cfRule type="colorScale" priority="1">
      <colorScale>
        <cfvo type="min"/>
        <cfvo type="percentile" val="50"/>
        <cfvo type="max"/>
        <color rgb="FFF8696B"/>
        <color rgb="FFFFEB84"/>
        <color rgb="FF63BE7B"/>
      </colorScale>
    </cfRule>
  </conditionalFormatting>
  <conditionalFormatting sqref="S232:S237">
    <cfRule type="colorScale" priority="20">
      <colorScale>
        <cfvo type="min"/>
        <cfvo type="max"/>
        <color rgb="FFF8696B"/>
        <color rgb="FFFCFCFF"/>
      </colorScale>
    </cfRule>
  </conditionalFormatting>
  <pageMargins left="0.75" right="0.75" top="1" bottom="1" header="0.5" footer="0.5"/>
  <pageSetup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BCB6D-1DCE-4228-A1AD-1687090E9C96}">
  <sheetPr codeName="Sheet13">
    <tabColor rgb="FF0070C0"/>
  </sheetPr>
  <dimension ref="A1:X147"/>
  <sheetViews>
    <sheetView zoomScaleNormal="100" workbookViewId="0">
      <pane xSplit="1" ySplit="4" topLeftCell="B5" activePane="bottomRight" state="frozen"/>
      <selection pane="topRight" activeCell="B1" sqref="B1"/>
      <selection pane="bottomLeft" activeCell="A5" sqref="A5"/>
      <selection pane="bottomRight" activeCell="L26" sqref="L26"/>
    </sheetView>
  </sheetViews>
  <sheetFormatPr defaultRowHeight="13.2" x14ac:dyDescent="0.25"/>
  <cols>
    <col min="1" max="1" width="16.77734375" style="726" bestFit="1" customWidth="1"/>
    <col min="2" max="2" width="8.21875" style="728" bestFit="1" customWidth="1"/>
    <col min="3" max="7" width="8.21875" style="726" bestFit="1" customWidth="1"/>
    <col min="8" max="11" width="8.21875" style="728" bestFit="1" customWidth="1"/>
    <col min="12" max="12" width="7.88671875" style="728" bestFit="1" customWidth="1"/>
    <col min="13" max="13" width="22" style="728" customWidth="1"/>
    <col min="14" max="14" width="2.44140625" style="728" customWidth="1"/>
    <col min="15" max="16" width="12.33203125" style="728" customWidth="1"/>
    <col min="17" max="17" width="8.109375" style="728" bestFit="1" customWidth="1"/>
    <col min="18" max="16384" width="8.88671875" style="728"/>
  </cols>
  <sheetData>
    <row r="1" spans="1:24" ht="29.4" customHeight="1" x14ac:dyDescent="0.3">
      <c r="A1" s="1111" t="s">
        <v>416</v>
      </c>
      <c r="B1" s="1112"/>
      <c r="C1" s="1112"/>
      <c r="D1" s="1112"/>
      <c r="E1" s="1112"/>
      <c r="F1" s="1112"/>
      <c r="G1" s="1112"/>
      <c r="H1" s="1112"/>
      <c r="I1" s="1112"/>
      <c r="J1" s="1112"/>
      <c r="K1" s="1112"/>
      <c r="L1" s="1113"/>
      <c r="M1" s="1117" t="s">
        <v>417</v>
      </c>
      <c r="N1" s="1118"/>
      <c r="O1" s="1118"/>
      <c r="P1" s="1118"/>
      <c r="Q1" s="1118"/>
      <c r="R1" s="1118"/>
      <c r="S1" s="1118"/>
      <c r="T1" s="1118"/>
      <c r="U1" s="1118"/>
      <c r="V1" s="1118"/>
      <c r="W1" s="1118"/>
      <c r="X1" s="1118"/>
    </row>
    <row r="2" spans="1:24" ht="29.4" customHeight="1" thickBot="1" x14ac:dyDescent="0.3">
      <c r="A2" s="1114"/>
      <c r="B2" s="1115"/>
      <c r="C2" s="1115"/>
      <c r="D2" s="1115"/>
      <c r="E2" s="1115"/>
      <c r="F2" s="1115"/>
      <c r="G2" s="1115"/>
      <c r="H2" s="1115"/>
      <c r="I2" s="1115"/>
      <c r="J2" s="1115"/>
      <c r="K2" s="1115"/>
      <c r="L2" s="1116"/>
      <c r="M2" s="1119" t="s">
        <v>418</v>
      </c>
      <c r="N2" s="1120"/>
      <c r="O2" s="1120"/>
      <c r="P2" s="1120"/>
      <c r="Q2" s="1120"/>
      <c r="R2" s="1120"/>
      <c r="S2" s="1120"/>
      <c r="T2" s="1120"/>
      <c r="U2" s="1120"/>
      <c r="V2" s="1120"/>
      <c r="W2" s="1120"/>
      <c r="X2" s="1120"/>
    </row>
    <row r="3" spans="1:24" ht="14.4" x14ac:dyDescent="0.3">
      <c r="A3" s="850" t="s">
        <v>419</v>
      </c>
      <c r="B3" s="845" t="s">
        <v>211</v>
      </c>
      <c r="C3" s="848"/>
      <c r="D3" s="848"/>
      <c r="E3" s="848"/>
      <c r="F3" s="848"/>
      <c r="G3" s="848"/>
      <c r="H3" s="848"/>
      <c r="I3" s="848"/>
      <c r="J3" s="848"/>
      <c r="K3" s="848"/>
      <c r="L3" s="848"/>
      <c r="O3" s="1121" t="s">
        <v>420</v>
      </c>
      <c r="P3" s="1121"/>
    </row>
    <row r="4" spans="1:24" s="726" customFormat="1" ht="14.4" x14ac:dyDescent="0.3">
      <c r="A4" s="847" t="s">
        <v>303</v>
      </c>
      <c r="B4">
        <v>1.1000000000000001</v>
      </c>
      <c r="C4">
        <v>1.2</v>
      </c>
      <c r="D4">
        <v>1.3</v>
      </c>
      <c r="E4">
        <v>2.1</v>
      </c>
      <c r="F4">
        <v>2.2000000000000002</v>
      </c>
      <c r="G4">
        <v>2.2999999999999998</v>
      </c>
      <c r="H4">
        <v>3.1</v>
      </c>
      <c r="I4">
        <v>3.2</v>
      </c>
      <c r="J4">
        <v>3.3</v>
      </c>
      <c r="K4">
        <v>4.0999999999999996</v>
      </c>
      <c r="L4" s="849" t="s">
        <v>3</v>
      </c>
      <c r="M4" s="728"/>
      <c r="N4" s="728"/>
      <c r="O4" s="838" t="s">
        <v>421</v>
      </c>
      <c r="P4" s="839" t="s">
        <v>422</v>
      </c>
      <c r="Q4" s="728" t="s">
        <v>423</v>
      </c>
    </row>
    <row r="5" spans="1:24" ht="14.4" x14ac:dyDescent="0.3">
      <c r="A5" s="522">
        <v>1980</v>
      </c>
      <c r="B5" s="856">
        <v>1898.5552663938881</v>
      </c>
      <c r="C5" s="856">
        <v>30121.309514903034</v>
      </c>
      <c r="D5" s="856">
        <v>3030.3862905902447</v>
      </c>
      <c r="E5" s="856">
        <v>839.74559859729675</v>
      </c>
      <c r="F5" s="856">
        <v>584.17085119811952</v>
      </c>
      <c r="G5" s="856"/>
      <c r="H5" s="856"/>
      <c r="I5" s="851"/>
      <c r="J5" s="851"/>
      <c r="K5" s="851"/>
      <c r="L5" s="852">
        <v>36474.167521682582</v>
      </c>
      <c r="M5" s="1122" t="s">
        <v>425</v>
      </c>
      <c r="O5" s="840">
        <f t="shared" ref="O5:O47" si="0">VLOOKUP($A5,SockeyeReturnsData,23)</f>
        <v>36510.678199882466</v>
      </c>
      <c r="P5" s="841">
        <f>(O5-L5)/O5</f>
        <v>1.0000000000000378E-3</v>
      </c>
    </row>
    <row r="6" spans="1:24" ht="14.4" x14ac:dyDescent="0.3">
      <c r="A6" s="522">
        <v>1981</v>
      </c>
      <c r="B6" s="856">
        <v>2109.5480606045776</v>
      </c>
      <c r="C6" s="856">
        <v>33468.791346130318</v>
      </c>
      <c r="D6" s="856">
        <v>3367.1632505803836</v>
      </c>
      <c r="E6" s="856">
        <v>933.06933449817848</v>
      </c>
      <c r="F6" s="856">
        <v>649.0917109552546</v>
      </c>
      <c r="G6" s="856"/>
      <c r="H6" s="856"/>
      <c r="I6" s="851"/>
      <c r="J6" s="851"/>
      <c r="K6" s="851"/>
      <c r="L6" s="852">
        <v>40527.66370276871</v>
      </c>
      <c r="M6" s="1122"/>
      <c r="O6" s="840">
        <f t="shared" si="0"/>
        <v>40568.231934703414</v>
      </c>
      <c r="P6" s="841">
        <f t="shared" ref="P6:P47" si="1">(O6-L6)/O6</f>
        <v>9.9999999999999872E-4</v>
      </c>
    </row>
    <row r="7" spans="1:24" ht="14.4" x14ac:dyDescent="0.3">
      <c r="A7" s="522">
        <v>1982</v>
      </c>
      <c r="B7" s="856">
        <v>1440.5734515557187</v>
      </c>
      <c r="C7" s="856">
        <v>22855.251875643615</v>
      </c>
      <c r="D7" s="856">
        <v>2299.3768553677819</v>
      </c>
      <c r="E7" s="856">
        <v>637.17671895733713</v>
      </c>
      <c r="F7" s="856">
        <v>443.25336970945193</v>
      </c>
      <c r="G7" s="856"/>
      <c r="H7" s="856"/>
      <c r="I7" s="851"/>
      <c r="J7" s="851"/>
      <c r="K7" s="851"/>
      <c r="L7" s="852">
        <v>27675.632271233906</v>
      </c>
      <c r="M7" s="1122"/>
      <c r="O7" s="840">
        <f t="shared" si="0"/>
        <v>27703.335606840745</v>
      </c>
      <c r="P7" s="841">
        <f t="shared" si="1"/>
        <v>9.9999999999992478E-4</v>
      </c>
    </row>
    <row r="8" spans="1:24" ht="14.4" x14ac:dyDescent="0.3">
      <c r="A8" s="522">
        <v>1983</v>
      </c>
      <c r="B8" s="856">
        <v>2062.9200489604314</v>
      </c>
      <c r="C8" s="856">
        <v>32729.020007545303</v>
      </c>
      <c r="D8" s="856">
        <v>3292.7377704560731</v>
      </c>
      <c r="E8" s="856">
        <v>912.44540627096001</v>
      </c>
      <c r="F8" s="856">
        <v>634.74463044936351</v>
      </c>
      <c r="G8" s="856"/>
      <c r="H8" s="856"/>
      <c r="I8" s="851"/>
      <c r="J8" s="851"/>
      <c r="K8" s="851"/>
      <c r="L8" s="852">
        <v>39631.867863682135</v>
      </c>
      <c r="M8" s="1122"/>
      <c r="O8" s="840">
        <f t="shared" si="0"/>
        <v>39671.539403085219</v>
      </c>
      <c r="P8" s="841">
        <f t="shared" si="1"/>
        <v>9.9999999999995535E-4</v>
      </c>
    </row>
    <row r="9" spans="1:24" ht="14.4" x14ac:dyDescent="0.3">
      <c r="A9" s="522">
        <v>1984</v>
      </c>
      <c r="B9" s="856">
        <v>7476.0544211900378</v>
      </c>
      <c r="C9" s="856">
        <v>118610.47879772657</v>
      </c>
      <c r="D9" s="856">
        <v>11932.933018437947</v>
      </c>
      <c r="E9" s="856">
        <v>3306.7163786032861</v>
      </c>
      <c r="F9" s="856">
        <v>2300.3244372892427</v>
      </c>
      <c r="G9" s="856"/>
      <c r="H9" s="856"/>
      <c r="I9" s="851"/>
      <c r="J9" s="851"/>
      <c r="K9" s="851"/>
      <c r="L9" s="852">
        <v>143626.50705324707</v>
      </c>
      <c r="M9" s="1122"/>
      <c r="O9" s="840">
        <f t="shared" si="0"/>
        <v>143770.27733057766</v>
      </c>
      <c r="P9" s="841">
        <f t="shared" si="1"/>
        <v>1.0000000000001113E-3</v>
      </c>
    </row>
    <row r="10" spans="1:24" ht="14.4" x14ac:dyDescent="0.3">
      <c r="A10" s="522">
        <v>1985</v>
      </c>
      <c r="B10" s="856">
        <v>8449.8857000311546</v>
      </c>
      <c r="C10" s="856">
        <v>107766.65820329588</v>
      </c>
      <c r="D10" s="856">
        <v>734.77266956792653</v>
      </c>
      <c r="E10" s="856">
        <v>1347.0832275411985</v>
      </c>
      <c r="F10" s="856">
        <v>4163.7117942182504</v>
      </c>
      <c r="G10" s="856"/>
      <c r="H10" s="856"/>
      <c r="I10" s="851"/>
      <c r="J10" s="851"/>
      <c r="K10" s="851"/>
      <c r="L10" s="852">
        <v>122462.11159465442</v>
      </c>
      <c r="M10" s="1122"/>
      <c r="O10" s="840">
        <f t="shared" si="0"/>
        <v>122462.11159465442</v>
      </c>
      <c r="P10" s="841">
        <f t="shared" si="1"/>
        <v>0</v>
      </c>
    </row>
    <row r="11" spans="1:24" ht="14.4" x14ac:dyDescent="0.3">
      <c r="A11" s="522">
        <v>1986</v>
      </c>
      <c r="B11" s="856">
        <v>2696.520054190255</v>
      </c>
      <c r="C11" s="856">
        <v>42781.327782826156</v>
      </c>
      <c r="D11" s="856">
        <v>4304.0608557267533</v>
      </c>
      <c r="E11" s="856">
        <v>1192.6915624303051</v>
      </c>
      <c r="F11" s="856">
        <v>829.69847821238614</v>
      </c>
      <c r="G11" s="856"/>
      <c r="H11" s="856"/>
      <c r="I11" s="851"/>
      <c r="J11" s="851"/>
      <c r="K11" s="851"/>
      <c r="L11" s="852">
        <v>51804.298733385855</v>
      </c>
      <c r="M11" s="1122"/>
      <c r="O11" s="840">
        <f t="shared" si="0"/>
        <v>51856.154888274134</v>
      </c>
      <c r="P11" s="841">
        <f t="shared" si="1"/>
        <v>1.0000000000000935E-3</v>
      </c>
    </row>
    <row r="12" spans="1:24" ht="14.4" x14ac:dyDescent="0.3">
      <c r="A12" s="522">
        <v>1987</v>
      </c>
      <c r="B12" s="856">
        <v>48891.6658076862</v>
      </c>
      <c r="C12" s="856">
        <v>45711.720064096859</v>
      </c>
      <c r="D12" s="856">
        <v>2782.4525256406782</v>
      </c>
      <c r="E12" s="856">
        <v>993.7330448716707</v>
      </c>
      <c r="F12" s="856">
        <v>993.7330448716707</v>
      </c>
      <c r="G12" s="856"/>
      <c r="H12" s="856"/>
      <c r="I12" s="851"/>
      <c r="J12" s="851"/>
      <c r="K12" s="851"/>
      <c r="L12" s="852">
        <v>99373.304487167072</v>
      </c>
      <c r="M12" s="1122"/>
      <c r="O12" s="840">
        <f t="shared" si="0"/>
        <v>99373.304487167072</v>
      </c>
      <c r="P12" s="841">
        <f t="shared" si="1"/>
        <v>0</v>
      </c>
    </row>
    <row r="13" spans="1:24" ht="14.4" x14ac:dyDescent="0.3">
      <c r="A13" s="522">
        <v>1988</v>
      </c>
      <c r="B13" s="856">
        <v>164.81361319420949</v>
      </c>
      <c r="C13" s="856">
        <v>79852.195592594493</v>
      </c>
      <c r="D13" s="856">
        <v>1071.2884857623617</v>
      </c>
      <c r="E13" s="856">
        <v>824.06806597104753</v>
      </c>
      <c r="F13" s="856">
        <v>494.44083958262848</v>
      </c>
      <c r="G13" s="856"/>
      <c r="H13" s="856"/>
      <c r="I13" s="851"/>
      <c r="J13" s="851"/>
      <c r="K13" s="851"/>
      <c r="L13" s="852">
        <v>82406.806597104747</v>
      </c>
      <c r="M13" s="1122"/>
      <c r="O13" s="840">
        <f t="shared" si="0"/>
        <v>82406.806597104747</v>
      </c>
      <c r="P13" s="841">
        <f t="shared" si="1"/>
        <v>0</v>
      </c>
    </row>
    <row r="14" spans="1:24" ht="14.4" x14ac:dyDescent="0.3">
      <c r="A14" s="522">
        <v>1989</v>
      </c>
      <c r="B14" s="856">
        <v>722.85631103441995</v>
      </c>
      <c r="C14" s="856">
        <v>22432.640852434834</v>
      </c>
      <c r="D14" s="856">
        <v>650.57067993097792</v>
      </c>
      <c r="E14" s="856">
        <v>144.571262206884</v>
      </c>
      <c r="F14" s="856">
        <v>120.47605183907</v>
      </c>
      <c r="G14" s="856"/>
      <c r="H14" s="856"/>
      <c r="I14" s="851"/>
      <c r="J14" s="851"/>
      <c r="K14" s="851"/>
      <c r="L14" s="852">
        <v>24071.11515744618</v>
      </c>
      <c r="M14" s="1122"/>
      <c r="O14" s="840">
        <f t="shared" si="0"/>
        <v>24095.210367813997</v>
      </c>
      <c r="P14" s="841">
        <f t="shared" si="1"/>
        <v>1.0000000000001388E-3</v>
      </c>
    </row>
    <row r="15" spans="1:24" ht="14.4" x14ac:dyDescent="0.3">
      <c r="A15" s="522">
        <v>1990</v>
      </c>
      <c r="B15" s="856">
        <v>4804.1333502790212</v>
      </c>
      <c r="C15" s="856">
        <v>2784.6967649847425</v>
      </c>
      <c r="D15" s="856">
        <v>2402.0666751395106</v>
      </c>
      <c r="E15" s="856">
        <v>201.94365852942789</v>
      </c>
      <c r="F15" s="856">
        <v>372.00147623841985</v>
      </c>
      <c r="G15" s="856">
        <v>63.771681640871968</v>
      </c>
      <c r="H15" s="856"/>
      <c r="I15" s="851"/>
      <c r="J15" s="851"/>
      <c r="K15" s="851"/>
      <c r="L15" s="852">
        <v>10628.613606811994</v>
      </c>
      <c r="M15" s="1122"/>
      <c r="O15" s="840">
        <f t="shared" si="0"/>
        <v>10628.613606811994</v>
      </c>
      <c r="P15" s="841">
        <f t="shared" si="1"/>
        <v>0</v>
      </c>
    </row>
    <row r="16" spans="1:24" ht="14.4" x14ac:dyDescent="0.3">
      <c r="A16" s="522">
        <v>1991</v>
      </c>
      <c r="B16" s="856">
        <v>6254.1954364518051</v>
      </c>
      <c r="C16" s="856">
        <v>30864.860595476443</v>
      </c>
      <c r="D16" s="856">
        <v>609.17488017387711</v>
      </c>
      <c r="E16" s="856">
        <v>2720.9811314433182</v>
      </c>
      <c r="F16" s="856">
        <v>40.611658678258479</v>
      </c>
      <c r="G16" s="856">
        <v>121.83497603477544</v>
      </c>
      <c r="H16" s="856"/>
      <c r="I16" s="851"/>
      <c r="J16" s="851"/>
      <c r="K16" s="851"/>
      <c r="L16" s="852">
        <v>40611.658678258478</v>
      </c>
      <c r="M16" s="1122"/>
      <c r="O16" s="840">
        <f t="shared" si="0"/>
        <v>40611.658678258478</v>
      </c>
      <c r="P16" s="841">
        <f t="shared" si="1"/>
        <v>0</v>
      </c>
    </row>
    <row r="17" spans="1:16" ht="14.4" x14ac:dyDescent="0.3">
      <c r="A17" s="522">
        <v>1992</v>
      </c>
      <c r="B17" s="856">
        <v>10467.718346523669</v>
      </c>
      <c r="C17" s="856">
        <v>45401.405609478395</v>
      </c>
      <c r="D17" s="856">
        <v>867.14826539249327</v>
      </c>
      <c r="E17" s="856">
        <v>4335.7413269624667</v>
      </c>
      <c r="F17" s="856">
        <v>867.14826539249327</v>
      </c>
      <c r="G17" s="856"/>
      <c r="H17" s="856"/>
      <c r="I17" s="851"/>
      <c r="J17" s="851"/>
      <c r="K17" s="851"/>
      <c r="L17" s="852">
        <v>61939.16181374951</v>
      </c>
      <c r="M17" s="1122"/>
      <c r="O17" s="840">
        <f t="shared" si="0"/>
        <v>61939.161813749517</v>
      </c>
      <c r="P17" s="841">
        <f t="shared" si="1"/>
        <v>1.1746942323924502E-16</v>
      </c>
    </row>
    <row r="18" spans="1:16" ht="14.4" x14ac:dyDescent="0.3">
      <c r="A18" s="522">
        <v>1993</v>
      </c>
      <c r="B18" s="856">
        <v>0</v>
      </c>
      <c r="C18" s="856">
        <v>38673.427223718209</v>
      </c>
      <c r="D18" s="856">
        <v>2310.8135770654621</v>
      </c>
      <c r="E18" s="856">
        <v>87.200512342092921</v>
      </c>
      <c r="F18" s="856">
        <v>2485.2146017496484</v>
      </c>
      <c r="G18" s="856">
        <v>87.200512342092921</v>
      </c>
      <c r="H18" s="856"/>
      <c r="I18" s="851"/>
      <c r="J18" s="851"/>
      <c r="K18" s="851"/>
      <c r="L18" s="852">
        <v>43643.856427217499</v>
      </c>
      <c r="M18" s="1122"/>
      <c r="O18" s="840">
        <f t="shared" si="0"/>
        <v>43600.256171046458</v>
      </c>
      <c r="P18" s="841">
        <f t="shared" si="1"/>
        <v>-9.9999999999987729E-4</v>
      </c>
    </row>
    <row r="19" spans="1:16" ht="14.4" x14ac:dyDescent="0.3">
      <c r="A19" s="522">
        <v>1994</v>
      </c>
      <c r="B19" s="856">
        <v>332.37293736211774</v>
      </c>
      <c r="C19" s="856">
        <v>292.86007068270516</v>
      </c>
      <c r="D19" s="856">
        <v>1622.3518201311761</v>
      </c>
      <c r="E19" s="856">
        <v>37.188580404153036</v>
      </c>
      <c r="F19" s="856">
        <v>39.512866679412603</v>
      </c>
      <c r="G19" s="856"/>
      <c r="H19" s="856"/>
      <c r="I19" s="851"/>
      <c r="J19" s="851"/>
      <c r="K19" s="851"/>
      <c r="L19" s="852">
        <v>2324.2862752595647</v>
      </c>
      <c r="M19" s="1122"/>
      <c r="O19" s="840">
        <f t="shared" si="0"/>
        <v>2324.2862752595647</v>
      </c>
      <c r="P19" s="841">
        <f t="shared" si="1"/>
        <v>0</v>
      </c>
    </row>
    <row r="20" spans="1:16" ht="14.4" x14ac:dyDescent="0.3">
      <c r="A20" s="522">
        <v>1995</v>
      </c>
      <c r="B20" s="856">
        <v>2662.6579745981844</v>
      </c>
      <c r="C20" s="856">
        <v>3313.8164623328498</v>
      </c>
      <c r="D20" s="856">
        <v>83.81247861931331</v>
      </c>
      <c r="E20" s="856">
        <v>373.93259691693635</v>
      </c>
      <c r="F20" s="856">
        <v>0</v>
      </c>
      <c r="G20" s="856"/>
      <c r="H20" s="856"/>
      <c r="I20" s="851"/>
      <c r="J20" s="851"/>
      <c r="K20" s="851"/>
      <c r="L20" s="852">
        <v>6434.2195124672835</v>
      </c>
      <c r="O20" s="840">
        <f t="shared" si="0"/>
        <v>6447.1137399471781</v>
      </c>
      <c r="P20" s="841">
        <f t="shared" si="1"/>
        <v>2.000000000000046E-3</v>
      </c>
    </row>
    <row r="21" spans="1:16" ht="14.4" x14ac:dyDescent="0.3">
      <c r="A21" s="522">
        <v>1996</v>
      </c>
      <c r="B21" s="856">
        <v>1774.8507237171495</v>
      </c>
      <c r="C21" s="856">
        <v>20060.483837803047</v>
      </c>
      <c r="D21" s="856">
        <v>887.42536185857477</v>
      </c>
      <c r="E21" s="856">
        <v>0</v>
      </c>
      <c r="F21" s="856">
        <v>630.53907289951371</v>
      </c>
      <c r="G21" s="856"/>
      <c r="H21" s="856"/>
      <c r="I21" s="851"/>
      <c r="J21" s="851"/>
      <c r="K21" s="851"/>
      <c r="L21" s="852">
        <v>23353.298996278289</v>
      </c>
      <c r="O21" s="840">
        <f t="shared" si="0"/>
        <v>23353.298996278285</v>
      </c>
      <c r="P21" s="841">
        <f t="shared" si="1"/>
        <v>-1.5578008090726205E-16</v>
      </c>
    </row>
    <row r="22" spans="1:16" ht="14.4" x14ac:dyDescent="0.3">
      <c r="A22" s="522">
        <v>1997</v>
      </c>
      <c r="B22" s="856">
        <v>0</v>
      </c>
      <c r="C22" s="856">
        <v>34300.38192049729</v>
      </c>
      <c r="D22" s="856">
        <v>1218.6133597668838</v>
      </c>
      <c r="E22" s="856">
        <v>322.57412464417507</v>
      </c>
      <c r="F22" s="856">
        <v>0</v>
      </c>
      <c r="G22" s="856"/>
      <c r="H22" s="856"/>
      <c r="I22" s="851"/>
      <c r="J22" s="851"/>
      <c r="K22" s="851"/>
      <c r="L22" s="852">
        <v>35841.569404908347</v>
      </c>
      <c r="O22" s="840">
        <f t="shared" si="0"/>
        <v>35841.569404908347</v>
      </c>
      <c r="P22" s="841">
        <f t="shared" si="1"/>
        <v>0</v>
      </c>
    </row>
    <row r="23" spans="1:16" ht="14.4" x14ac:dyDescent="0.3">
      <c r="A23" s="522">
        <v>1998</v>
      </c>
      <c r="B23" s="856">
        <v>347.05582072490824</v>
      </c>
      <c r="C23" s="856">
        <v>5166.5479726783515</v>
      </c>
      <c r="D23" s="856">
        <v>1034.6192391421794</v>
      </c>
      <c r="E23" s="856">
        <v>0</v>
      </c>
      <c r="F23" s="856">
        <v>0</v>
      </c>
      <c r="G23" s="856"/>
      <c r="H23" s="856"/>
      <c r="I23" s="851"/>
      <c r="J23" s="851"/>
      <c r="K23" s="851"/>
      <c r="L23" s="852">
        <v>6548.2230325454384</v>
      </c>
      <c r="O23" s="840">
        <f t="shared" si="0"/>
        <v>6548.2230325454384</v>
      </c>
      <c r="P23" s="841">
        <f t="shared" si="1"/>
        <v>0</v>
      </c>
    </row>
    <row r="24" spans="1:16" ht="14.4" x14ac:dyDescent="0.3">
      <c r="A24" s="522">
        <v>1999</v>
      </c>
      <c r="B24" s="856">
        <v>1624.412031529238</v>
      </c>
      <c r="C24" s="856">
        <v>12097.594866388798</v>
      </c>
      <c r="D24" s="856">
        <v>0</v>
      </c>
      <c r="E24" s="856">
        <v>541.47067717641266</v>
      </c>
      <c r="F24" s="856">
        <v>0</v>
      </c>
      <c r="G24" s="856"/>
      <c r="H24" s="856"/>
      <c r="I24" s="851"/>
      <c r="J24" s="851"/>
      <c r="K24" s="851"/>
      <c r="L24" s="852">
        <v>14263.477575094448</v>
      </c>
      <c r="O24" s="840">
        <f t="shared" si="0"/>
        <v>14249.228346747701</v>
      </c>
      <c r="P24" s="841">
        <f t="shared" si="1"/>
        <v>-9.9999999999996901E-4</v>
      </c>
    </row>
    <row r="25" spans="1:16" ht="14.4" x14ac:dyDescent="0.3">
      <c r="A25" s="522">
        <v>2000</v>
      </c>
      <c r="B25" s="856">
        <v>10066.993913315671</v>
      </c>
      <c r="C25" s="856">
        <v>65048.268362962786</v>
      </c>
      <c r="D25" s="856">
        <v>774.3841471781285</v>
      </c>
      <c r="E25" s="856">
        <v>774.3841471781285</v>
      </c>
      <c r="F25" s="856">
        <v>774.3841471781285</v>
      </c>
      <c r="G25" s="856"/>
      <c r="H25" s="856"/>
      <c r="I25" s="851"/>
      <c r="J25" s="851"/>
      <c r="K25" s="851"/>
      <c r="L25" s="852">
        <v>77438.414717812862</v>
      </c>
      <c r="O25" s="840">
        <f t="shared" si="0"/>
        <v>77438.414717812848</v>
      </c>
      <c r="P25" s="841">
        <f t="shared" si="1"/>
        <v>-1.8791597531269624E-16</v>
      </c>
    </row>
    <row r="26" spans="1:16" ht="14.4" x14ac:dyDescent="0.3">
      <c r="A26" s="522">
        <v>2001</v>
      </c>
      <c r="B26" s="856">
        <v>3068.5422432682035</v>
      </c>
      <c r="C26" s="856">
        <v>87778.905383187375</v>
      </c>
      <c r="D26" s="856">
        <v>2045.6948288454687</v>
      </c>
      <c r="E26" s="856">
        <v>45.56320300610362</v>
      </c>
      <c r="F26" s="856">
        <v>45.56320300610362</v>
      </c>
      <c r="G26" s="856"/>
      <c r="H26" s="856"/>
      <c r="I26" s="851"/>
      <c r="J26" s="851"/>
      <c r="K26" s="851"/>
      <c r="L26" s="852">
        <v>92984.268861313278</v>
      </c>
      <c r="O26" s="840">
        <f t="shared" si="0"/>
        <v>92986.128583884944</v>
      </c>
      <c r="P26" s="841">
        <f t="shared" si="1"/>
        <v>1.9999999999871717E-5</v>
      </c>
    </row>
    <row r="27" spans="1:16" ht="14.4" x14ac:dyDescent="0.3">
      <c r="A27" s="522">
        <v>2002</v>
      </c>
      <c r="B27" s="856">
        <v>261.67591981135206</v>
      </c>
      <c r="C27" s="856">
        <v>6502.6466073120991</v>
      </c>
      <c r="D27" s="856">
        <v>1936.4018066040053</v>
      </c>
      <c r="E27" s="856">
        <v>170.08934787737883</v>
      </c>
      <c r="F27" s="856">
        <v>2891.5189139154404</v>
      </c>
      <c r="G27" s="856">
        <v>1321.463395047328</v>
      </c>
      <c r="H27" s="856"/>
      <c r="I27" s="851"/>
      <c r="J27" s="851"/>
      <c r="K27" s="851"/>
      <c r="L27" s="852">
        <v>13083.795990567603</v>
      </c>
      <c r="O27" s="840">
        <f t="shared" si="0"/>
        <v>13083.795990567603</v>
      </c>
      <c r="P27" s="841">
        <f t="shared" si="1"/>
        <v>0</v>
      </c>
    </row>
    <row r="28" spans="1:16" ht="14.4" x14ac:dyDescent="0.3">
      <c r="A28" s="522">
        <v>2003</v>
      </c>
      <c r="B28" s="856">
        <v>10196.801442463664</v>
      </c>
      <c r="C28" s="856">
        <v>18235.155864259836</v>
      </c>
      <c r="D28" s="856">
        <v>707.07747228762616</v>
      </c>
      <c r="E28" s="856">
        <v>1972.374001644431</v>
      </c>
      <c r="F28" s="856">
        <v>297.71683043689524</v>
      </c>
      <c r="G28" s="856">
        <v>334.93143424150713</v>
      </c>
      <c r="H28" s="856">
        <v>2605.0222663228333</v>
      </c>
      <c r="I28" s="851">
        <v>1042.0089065291334</v>
      </c>
      <c r="J28" s="851">
        <v>37.214603804611905</v>
      </c>
      <c r="K28" s="851">
        <v>1786.3009826213715</v>
      </c>
      <c r="L28" s="852">
        <v>37214.603804611914</v>
      </c>
      <c r="O28" s="840">
        <f t="shared" si="0"/>
        <v>37214.603804611907</v>
      </c>
      <c r="P28" s="841">
        <f t="shared" si="1"/>
        <v>-1.9551350465490474E-16</v>
      </c>
    </row>
    <row r="29" spans="1:16" ht="14.4" x14ac:dyDescent="0.3">
      <c r="A29" s="522">
        <v>2004</v>
      </c>
      <c r="B29" s="856">
        <v>3242.2035158181948</v>
      </c>
      <c r="C29" s="856">
        <v>97684.454315296578</v>
      </c>
      <c r="D29" s="856">
        <v>0</v>
      </c>
      <c r="E29" s="856">
        <v>313.76163056305109</v>
      </c>
      <c r="F29" s="856">
        <v>1568.8081528152554</v>
      </c>
      <c r="G29" s="856">
        <v>0</v>
      </c>
      <c r="H29" s="856">
        <v>1882.5697833783065</v>
      </c>
      <c r="I29" s="851"/>
      <c r="J29" s="851"/>
      <c r="K29" s="851"/>
      <c r="L29" s="852">
        <v>104691.79739787139</v>
      </c>
      <c r="O29" s="840">
        <f t="shared" si="0"/>
        <v>104587.2101876837</v>
      </c>
      <c r="P29" s="841">
        <f t="shared" si="1"/>
        <v>-1.0000000000000456E-3</v>
      </c>
    </row>
    <row r="30" spans="1:16" ht="14.4" x14ac:dyDescent="0.3">
      <c r="A30" s="522">
        <v>2005</v>
      </c>
      <c r="B30" s="856">
        <v>1028.1654145204527</v>
      </c>
      <c r="C30" s="856">
        <v>61073.025622514899</v>
      </c>
      <c r="D30" s="856">
        <v>2673.2300777531773</v>
      </c>
      <c r="E30" s="856">
        <v>1576.5203022646942</v>
      </c>
      <c r="F30" s="856">
        <v>1302.3428583925736</v>
      </c>
      <c r="G30" s="856">
        <v>959.62105355242261</v>
      </c>
      <c r="H30" s="856"/>
      <c r="I30" s="851"/>
      <c r="J30" s="851"/>
      <c r="K30" s="851"/>
      <c r="L30" s="852">
        <v>68612.905328998226</v>
      </c>
      <c r="O30" s="840">
        <f t="shared" si="0"/>
        <v>68544.360968030189</v>
      </c>
      <c r="P30" s="841">
        <f t="shared" si="1"/>
        <v>-1.0000000000000982E-3</v>
      </c>
    </row>
    <row r="31" spans="1:16" ht="14.4" x14ac:dyDescent="0.3">
      <c r="A31" s="522">
        <v>2006</v>
      </c>
      <c r="B31" s="856">
        <v>62.987562014631493</v>
      </c>
      <c r="C31" s="856">
        <v>23368.38550742828</v>
      </c>
      <c r="D31" s="856">
        <v>2897.4278526730482</v>
      </c>
      <c r="E31" s="856">
        <v>0</v>
      </c>
      <c r="F31" s="856">
        <v>125.97512402926299</v>
      </c>
      <c r="G31" s="856">
        <v>0</v>
      </c>
      <c r="H31" s="856"/>
      <c r="I31" s="851"/>
      <c r="J31" s="851"/>
      <c r="K31" s="851"/>
      <c r="L31" s="852">
        <v>26454.776046145224</v>
      </c>
      <c r="O31" s="840">
        <f t="shared" si="0"/>
        <v>26454.776046145224</v>
      </c>
      <c r="P31" s="841">
        <f t="shared" si="1"/>
        <v>0</v>
      </c>
    </row>
    <row r="32" spans="1:16" ht="14.4" x14ac:dyDescent="0.3">
      <c r="A32" s="522">
        <v>2007</v>
      </c>
      <c r="B32" s="856">
        <v>7572.1542617384075</v>
      </c>
      <c r="C32" s="856">
        <v>13685.453115251983</v>
      </c>
      <c r="D32" s="856">
        <v>3473.4652576781682</v>
      </c>
      <c r="E32" s="856">
        <v>1736.7326288390834</v>
      </c>
      <c r="F32" s="856">
        <v>277.87722061425347</v>
      </c>
      <c r="G32" s="856">
        <v>0</v>
      </c>
      <c r="H32" s="856"/>
      <c r="I32" s="851"/>
      <c r="J32" s="851"/>
      <c r="K32" s="851"/>
      <c r="L32" s="852">
        <v>26745.682484121891</v>
      </c>
      <c r="O32" s="840">
        <f t="shared" si="0"/>
        <v>26745.682484121899</v>
      </c>
      <c r="P32" s="841">
        <f t="shared" si="1"/>
        <v>2.7204232378451893E-16</v>
      </c>
    </row>
    <row r="33" spans="1:16" ht="14.4" x14ac:dyDescent="0.3">
      <c r="A33" s="522">
        <v>2008</v>
      </c>
      <c r="B33" s="856">
        <v>9360.6329012716815</v>
      </c>
      <c r="C33" s="856">
        <v>189833.63523778971</v>
      </c>
      <c r="D33" s="856">
        <v>1872.1265802543367</v>
      </c>
      <c r="E33" s="856">
        <v>0</v>
      </c>
      <c r="F33" s="856">
        <v>748.85063210173462</v>
      </c>
      <c r="G33" s="856"/>
      <c r="H33" s="856"/>
      <c r="I33" s="851"/>
      <c r="J33" s="851"/>
      <c r="K33" s="851"/>
      <c r="L33" s="852">
        <v>201815.24535141748</v>
      </c>
      <c r="O33" s="840">
        <f t="shared" si="0"/>
        <v>201815.24535141748</v>
      </c>
      <c r="P33" s="841">
        <f t="shared" si="1"/>
        <v>0</v>
      </c>
    </row>
    <row r="34" spans="1:16" ht="14.4" x14ac:dyDescent="0.3">
      <c r="A34" s="522">
        <v>2009</v>
      </c>
      <c r="B34" s="856">
        <v>5811.9475302808078</v>
      </c>
      <c r="C34" s="856">
        <v>145982.44678999443</v>
      </c>
      <c r="D34" s="856">
        <v>8888.8609286647643</v>
      </c>
      <c r="E34" s="856">
        <v>0</v>
      </c>
      <c r="F34" s="856">
        <v>5470.0682637937016</v>
      </c>
      <c r="G34" s="856">
        <v>0</v>
      </c>
      <c r="H34" s="856"/>
      <c r="I34" s="851"/>
      <c r="J34" s="851"/>
      <c r="K34" s="851"/>
      <c r="L34" s="852">
        <v>166153.32351273371</v>
      </c>
      <c r="O34" s="840">
        <f t="shared" si="0"/>
        <v>166153.32351273368</v>
      </c>
      <c r="P34" s="841">
        <f t="shared" si="1"/>
        <v>-1.7516249354171505E-16</v>
      </c>
    </row>
    <row r="35" spans="1:16" ht="14.4" x14ac:dyDescent="0.3">
      <c r="A35" s="522">
        <v>2010</v>
      </c>
      <c r="B35" s="856">
        <v>3269.175745795676</v>
      </c>
      <c r="C35" s="856">
        <v>331427.7294384673</v>
      </c>
      <c r="D35" s="856">
        <v>27433.615188418993</v>
      </c>
      <c r="E35" s="856">
        <v>6302.317002744905</v>
      </c>
      <c r="F35" s="856">
        <v>2224.3471774393779</v>
      </c>
      <c r="G35" s="856"/>
      <c r="H35" s="856"/>
      <c r="I35" s="851"/>
      <c r="J35" s="851"/>
      <c r="K35" s="851"/>
      <c r="L35" s="852">
        <v>370657.18455286621</v>
      </c>
      <c r="O35" s="840">
        <f t="shared" si="0"/>
        <v>370724.52957322967</v>
      </c>
      <c r="P35" s="841">
        <f t="shared" si="1"/>
        <v>1.8165784832469207E-4</v>
      </c>
    </row>
    <row r="36" spans="1:16" ht="14.4" x14ac:dyDescent="0.3">
      <c r="A36" s="522">
        <v>2011</v>
      </c>
      <c r="B36" s="856">
        <v>27709.144043262459</v>
      </c>
      <c r="C36" s="856">
        <v>101092.70134464986</v>
      </c>
      <c r="D36" s="856">
        <v>10809.611137756234</v>
      </c>
      <c r="E36" s="856">
        <v>6546.6659003312398</v>
      </c>
      <c r="F36" s="856">
        <v>6089.921767749991</v>
      </c>
      <c r="G36" s="856">
        <v>0</v>
      </c>
      <c r="H36" s="856"/>
      <c r="I36" s="851"/>
      <c r="J36" s="851"/>
      <c r="K36" s="851"/>
      <c r="L36" s="852">
        <v>152248.04419374981</v>
      </c>
      <c r="O36" s="840">
        <f t="shared" si="0"/>
        <v>152248.04419374978</v>
      </c>
      <c r="P36" s="841">
        <f t="shared" si="1"/>
        <v>-1.9116061957220531E-16</v>
      </c>
    </row>
    <row r="37" spans="1:16" ht="14.4" x14ac:dyDescent="0.3">
      <c r="A37" s="522">
        <v>2012</v>
      </c>
      <c r="B37" s="856">
        <v>1294.5947142083148</v>
      </c>
      <c r="C37" s="856">
        <v>419017.15583209117</v>
      </c>
      <c r="D37" s="856">
        <v>3020.7209998194012</v>
      </c>
      <c r="E37" s="856">
        <v>3020.7209998194012</v>
      </c>
      <c r="F37" s="856">
        <v>5178.3788568332593</v>
      </c>
      <c r="G37" s="856"/>
      <c r="H37" s="856"/>
      <c r="I37" s="851"/>
      <c r="J37" s="851"/>
      <c r="K37" s="851"/>
      <c r="L37" s="852">
        <v>431531.57140277157</v>
      </c>
      <c r="O37" s="840">
        <f t="shared" si="0"/>
        <v>431531.57140277157</v>
      </c>
      <c r="P37" s="841">
        <f t="shared" si="1"/>
        <v>0</v>
      </c>
    </row>
    <row r="38" spans="1:16" ht="14.4" x14ac:dyDescent="0.3">
      <c r="A38" s="855">
        <v>2013</v>
      </c>
      <c r="B38" s="857">
        <v>38974.119703299555</v>
      </c>
      <c r="C38" s="857">
        <v>105147.19953996562</v>
      </c>
      <c r="D38" s="857">
        <v>13433.632748796868</v>
      </c>
      <c r="E38" s="857">
        <v>0</v>
      </c>
      <c r="F38" s="857">
        <v>8292.3658943190549</v>
      </c>
      <c r="G38" s="857"/>
      <c r="H38" s="857"/>
      <c r="I38" s="853"/>
      <c r="J38" s="853"/>
      <c r="K38" s="853"/>
      <c r="L38" s="852">
        <v>165847.31788638109</v>
      </c>
      <c r="O38" s="840">
        <f t="shared" si="0"/>
        <v>165847.31788638109</v>
      </c>
      <c r="P38" s="841">
        <f t="shared" si="1"/>
        <v>0</v>
      </c>
    </row>
    <row r="39" spans="1:16" ht="14.4" x14ac:dyDescent="0.3">
      <c r="A39" s="522">
        <v>2014</v>
      </c>
      <c r="B39" s="856">
        <v>48752.338950510741</v>
      </c>
      <c r="C39" s="856">
        <v>524295.22666972619</v>
      </c>
      <c r="D39" s="856">
        <v>17792.82443449297</v>
      </c>
      <c r="E39" s="856">
        <v>0</v>
      </c>
      <c r="F39" s="856">
        <v>2372.3765912657295</v>
      </c>
      <c r="G39" s="856"/>
      <c r="H39" s="856"/>
      <c r="I39" s="851"/>
      <c r="J39" s="851"/>
      <c r="K39" s="851"/>
      <c r="L39" s="852">
        <v>593212.76664599567</v>
      </c>
      <c r="O39" s="840">
        <f t="shared" si="0"/>
        <v>593094.14781643241</v>
      </c>
      <c r="P39" s="841">
        <f t="shared" si="1"/>
        <v>-1.9999999999995548E-4</v>
      </c>
    </row>
    <row r="40" spans="1:16" ht="14.4" x14ac:dyDescent="0.3">
      <c r="A40" s="522">
        <v>2015</v>
      </c>
      <c r="B40" s="856">
        <v>315.03460114805</v>
      </c>
      <c r="C40" s="856">
        <v>307158.73611934873</v>
      </c>
      <c r="D40" s="856">
        <v>315.03460114805</v>
      </c>
      <c r="E40" s="856">
        <v>0</v>
      </c>
      <c r="F40" s="856">
        <v>6930.7612252570989</v>
      </c>
      <c r="G40" s="856"/>
      <c r="H40" s="856"/>
      <c r="I40" s="851"/>
      <c r="J40" s="851"/>
      <c r="K40" s="851"/>
      <c r="L40" s="852">
        <v>314719.56654690194</v>
      </c>
      <c r="O40" s="840">
        <f t="shared" si="0"/>
        <v>315034.60114804999</v>
      </c>
      <c r="P40" s="841">
        <f t="shared" si="1"/>
        <v>9.9999999999997877E-4</v>
      </c>
    </row>
    <row r="41" spans="1:16" ht="14.4" x14ac:dyDescent="0.3">
      <c r="A41" s="522">
        <v>2016</v>
      </c>
      <c r="B41" s="856">
        <v>2764.0391273155315</v>
      </c>
      <c r="C41" s="856">
        <v>264518.54448409635</v>
      </c>
      <c r="D41" s="856">
        <v>6910.0978182888284</v>
      </c>
      <c r="E41" s="856">
        <v>829.21173819465946</v>
      </c>
      <c r="F41" s="856">
        <v>1382.0195636577657</v>
      </c>
      <c r="G41" s="856"/>
      <c r="H41" s="856"/>
      <c r="I41" s="851"/>
      <c r="J41" s="851"/>
      <c r="K41" s="851"/>
      <c r="L41" s="852">
        <v>276403.91273155314</v>
      </c>
      <c r="O41" s="840">
        <f t="shared" si="0"/>
        <v>276403.91273155314</v>
      </c>
      <c r="P41" s="841">
        <f t="shared" si="1"/>
        <v>0</v>
      </c>
    </row>
    <row r="42" spans="1:16" ht="14.4" x14ac:dyDescent="0.3">
      <c r="A42" s="522">
        <v>2017</v>
      </c>
      <c r="B42" s="856">
        <v>2099.7488617599356</v>
      </c>
      <c r="C42" s="856">
        <v>41939.72068620503</v>
      </c>
      <c r="D42" s="856">
        <v>10001.435367856535</v>
      </c>
      <c r="E42" s="856">
        <v>828.84823490523775</v>
      </c>
      <c r="F42" s="856">
        <v>386.79584295577763</v>
      </c>
      <c r="G42" s="856">
        <v>0</v>
      </c>
      <c r="H42" s="856"/>
      <c r="I42" s="851"/>
      <c r="J42" s="851"/>
      <c r="K42" s="851"/>
      <c r="L42" s="852">
        <v>55256.548993682518</v>
      </c>
      <c r="O42" s="840">
        <f t="shared" si="0"/>
        <v>55256.548993682518</v>
      </c>
      <c r="P42" s="841">
        <f t="shared" si="1"/>
        <v>0</v>
      </c>
    </row>
    <row r="43" spans="1:16" ht="14.4" x14ac:dyDescent="0.3">
      <c r="A43" s="522">
        <v>2018</v>
      </c>
      <c r="B43" s="856">
        <v>532.10921940875926</v>
      </c>
      <c r="C43" s="856">
        <v>198722.32770996355</v>
      </c>
      <c r="D43" s="856">
        <v>4297.8052336861329</v>
      </c>
      <c r="E43" s="856">
        <v>532.10921940875926</v>
      </c>
      <c r="F43" s="856">
        <v>532.10921940875926</v>
      </c>
      <c r="G43" s="856"/>
      <c r="H43" s="856"/>
      <c r="I43" s="851"/>
      <c r="J43" s="851"/>
      <c r="K43" s="851"/>
      <c r="L43" s="852">
        <v>204616.460601876</v>
      </c>
      <c r="O43" s="840">
        <f t="shared" si="0"/>
        <v>204657.39208029202</v>
      </c>
      <c r="P43" s="841">
        <f t="shared" si="1"/>
        <v>1.9999999999982852E-4</v>
      </c>
    </row>
    <row r="44" spans="1:16" ht="14.4" x14ac:dyDescent="0.3">
      <c r="A44" s="522">
        <v>2019</v>
      </c>
      <c r="B44" s="856">
        <v>11277.419017092674</v>
      </c>
      <c r="C44" s="856">
        <v>33039.789768995834</v>
      </c>
      <c r="D44" s="856">
        <v>16276.058797641859</v>
      </c>
      <c r="E44" s="856">
        <v>121.91804342802891</v>
      </c>
      <c r="F44" s="856">
        <v>243.83608685605782</v>
      </c>
      <c r="G44" s="856">
        <v>0</v>
      </c>
      <c r="H44" s="856"/>
      <c r="I44" s="851"/>
      <c r="J44" s="851"/>
      <c r="K44" s="851"/>
      <c r="L44" s="852">
        <v>60959.021714014452</v>
      </c>
      <c r="O44" s="840">
        <f t="shared" si="0"/>
        <v>60959.021714014452</v>
      </c>
      <c r="P44" s="841">
        <f t="shared" si="1"/>
        <v>0</v>
      </c>
    </row>
    <row r="45" spans="1:16" ht="14.4" x14ac:dyDescent="0.3">
      <c r="A45" s="522">
        <v>2020</v>
      </c>
      <c r="B45" s="856">
        <v>2673.5024609441584</v>
      </c>
      <c r="C45" s="856">
        <v>292897.04738788225</v>
      </c>
      <c r="D45" s="856">
        <v>594.11165798759077</v>
      </c>
      <c r="E45" s="856">
        <v>297.05582899379539</v>
      </c>
      <c r="F45" s="856">
        <v>594.11165798759077</v>
      </c>
      <c r="G45" s="856">
        <v>0</v>
      </c>
      <c r="H45" s="856"/>
      <c r="I45" s="851"/>
      <c r="J45" s="851"/>
      <c r="K45" s="851"/>
      <c r="L45" s="852">
        <v>297055.82899379538</v>
      </c>
      <c r="O45" s="840">
        <f t="shared" si="0"/>
        <v>297055.82899379538</v>
      </c>
      <c r="P45" s="841">
        <f t="shared" si="1"/>
        <v>0</v>
      </c>
    </row>
    <row r="46" spans="1:16" ht="15" thickBot="1" x14ac:dyDescent="0.35">
      <c r="A46" s="522">
        <v>2021</v>
      </c>
      <c r="B46" s="856">
        <v>28041.233411739879</v>
      </c>
      <c r="C46" s="856">
        <v>66279.278973203342</v>
      </c>
      <c r="D46" s="856">
        <v>12635.180272483582</v>
      </c>
      <c r="E46" s="856">
        <v>3325.0474401272581</v>
      </c>
      <c r="F46" s="856">
        <v>554.17457335454299</v>
      </c>
      <c r="G46" s="856">
        <v>0</v>
      </c>
      <c r="H46" s="856"/>
      <c r="I46" s="851"/>
      <c r="J46" s="851"/>
      <c r="K46" s="851"/>
      <c r="L46" s="852">
        <v>110834.91467090861</v>
      </c>
      <c r="O46" s="842">
        <f t="shared" si="0"/>
        <v>110834.91467090861</v>
      </c>
      <c r="P46" s="843">
        <f t="shared" si="1"/>
        <v>0</v>
      </c>
    </row>
    <row r="47" spans="1:16" ht="15" thickBot="1" x14ac:dyDescent="0.35">
      <c r="A47" s="522">
        <v>2022</v>
      </c>
      <c r="B47" s="854">
        <v>10745.971688149169</v>
      </c>
      <c r="C47" s="854">
        <v>507209.86368064076</v>
      </c>
      <c r="D47" s="854">
        <v>12357.867441371543</v>
      </c>
      <c r="E47" s="854">
        <v>4298.3886752596673</v>
      </c>
      <c r="F47" s="854">
        <v>2149.1943376298336</v>
      </c>
      <c r="G47" s="854">
        <v>0</v>
      </c>
      <c r="H47" s="854"/>
      <c r="I47" s="854"/>
      <c r="J47" s="854"/>
      <c r="K47" s="854"/>
      <c r="L47" s="854">
        <v>536761.28582305089</v>
      </c>
      <c r="O47" s="844">
        <f t="shared" si="0"/>
        <v>537298.58440745843</v>
      </c>
      <c r="P47" s="843">
        <f t="shared" si="1"/>
        <v>1.0000000000001605E-3</v>
      </c>
    </row>
    <row r="48" spans="1:16" x14ac:dyDescent="0.25">
      <c r="A48" s="728"/>
      <c r="C48" s="728"/>
      <c r="D48" s="728"/>
      <c r="E48" s="728"/>
      <c r="F48" s="728"/>
      <c r="G48" s="728"/>
    </row>
    <row r="49" s="728" customFormat="1" x14ac:dyDescent="0.25"/>
    <row r="50" s="728" customFormat="1" x14ac:dyDescent="0.25"/>
    <row r="51" s="728" customFormat="1" x14ac:dyDescent="0.25"/>
    <row r="52" s="728" customFormat="1" x14ac:dyDescent="0.25"/>
    <row r="53" s="728" customFormat="1" x14ac:dyDescent="0.25"/>
    <row r="54" s="728" customFormat="1" x14ac:dyDescent="0.25"/>
    <row r="55" s="728" customFormat="1" x14ac:dyDescent="0.25"/>
    <row r="56" s="728" customFormat="1" x14ac:dyDescent="0.25"/>
    <row r="57" s="728" customFormat="1" x14ac:dyDescent="0.25"/>
    <row r="58" s="728" customFormat="1" x14ac:dyDescent="0.25"/>
    <row r="59" s="728" customFormat="1" x14ac:dyDescent="0.25"/>
    <row r="60" s="728" customFormat="1" x14ac:dyDescent="0.25"/>
    <row r="61" s="728" customFormat="1" x14ac:dyDescent="0.25"/>
    <row r="62" s="728" customFormat="1" x14ac:dyDescent="0.25"/>
    <row r="63" s="728" customFormat="1" x14ac:dyDescent="0.25"/>
    <row r="64" s="728" customFormat="1" x14ac:dyDescent="0.25"/>
    <row r="65" s="728" customFormat="1" x14ac:dyDescent="0.25"/>
    <row r="66" s="728" customFormat="1" x14ac:dyDescent="0.25"/>
    <row r="67" s="728" customFormat="1" x14ac:dyDescent="0.25"/>
    <row r="68" s="728" customFormat="1" x14ac:dyDescent="0.25"/>
    <row r="69" s="728" customFormat="1" x14ac:dyDescent="0.25"/>
    <row r="70" s="728" customFormat="1" x14ac:dyDescent="0.25"/>
    <row r="71" s="728" customFormat="1" x14ac:dyDescent="0.25"/>
    <row r="72" s="728" customFormat="1" x14ac:dyDescent="0.25"/>
    <row r="73" s="728" customFormat="1" x14ac:dyDescent="0.25"/>
    <row r="74" s="728" customFormat="1" x14ac:dyDescent="0.25"/>
    <row r="75" s="728" customFormat="1" x14ac:dyDescent="0.25"/>
    <row r="76" s="728" customFormat="1" x14ac:dyDescent="0.25"/>
    <row r="77" s="728" customFormat="1" x14ac:dyDescent="0.25"/>
    <row r="78" s="728" customFormat="1" x14ac:dyDescent="0.25"/>
    <row r="79" s="728" customFormat="1" x14ac:dyDescent="0.25"/>
    <row r="80" s="728" customFormat="1" x14ac:dyDescent="0.25"/>
    <row r="81" s="728" customFormat="1" x14ac:dyDescent="0.25"/>
    <row r="82" s="728" customFormat="1" x14ac:dyDescent="0.25"/>
    <row r="83" s="728" customFormat="1" x14ac:dyDescent="0.25"/>
    <row r="84" s="728" customFormat="1" x14ac:dyDescent="0.25"/>
    <row r="85" s="728" customFormat="1" x14ac:dyDescent="0.25"/>
    <row r="86" s="728" customFormat="1" x14ac:dyDescent="0.25"/>
    <row r="87" s="728" customFormat="1" x14ac:dyDescent="0.25"/>
    <row r="88" s="728" customFormat="1" x14ac:dyDescent="0.25"/>
    <row r="89" s="728" customFormat="1" x14ac:dyDescent="0.25"/>
    <row r="90" s="728" customFormat="1" x14ac:dyDescent="0.25"/>
    <row r="91" s="728" customFormat="1" x14ac:dyDescent="0.25"/>
    <row r="92" s="728" customFormat="1" x14ac:dyDescent="0.25"/>
    <row r="93" s="728" customFormat="1" x14ac:dyDescent="0.25"/>
    <row r="94" s="728" customFormat="1" x14ac:dyDescent="0.25"/>
    <row r="95" s="728" customFormat="1" x14ac:dyDescent="0.25"/>
    <row r="96" s="728" customFormat="1" x14ac:dyDescent="0.25"/>
    <row r="97" s="728" customFormat="1" x14ac:dyDescent="0.25"/>
    <row r="98" s="728" customFormat="1" x14ac:dyDescent="0.25"/>
    <row r="99" s="728" customFormat="1" x14ac:dyDescent="0.25"/>
    <row r="100" s="728" customFormat="1" x14ac:dyDescent="0.25"/>
    <row r="101" s="728" customFormat="1" x14ac:dyDescent="0.25"/>
    <row r="102" s="728" customFormat="1" x14ac:dyDescent="0.25"/>
    <row r="103" s="728" customFormat="1" x14ac:dyDescent="0.25"/>
    <row r="104" s="728" customFormat="1" x14ac:dyDescent="0.25"/>
    <row r="105" s="728" customFormat="1" x14ac:dyDescent="0.25"/>
    <row r="106" s="728" customFormat="1" x14ac:dyDescent="0.25"/>
    <row r="107" s="728" customFormat="1" x14ac:dyDescent="0.25"/>
    <row r="108" s="728" customFormat="1" x14ac:dyDescent="0.25"/>
    <row r="109" s="728" customFormat="1" x14ac:dyDescent="0.25"/>
    <row r="110" s="728" customFormat="1" x14ac:dyDescent="0.25"/>
    <row r="111" s="728" customFormat="1" x14ac:dyDescent="0.25"/>
    <row r="112" s="728" customFormat="1" x14ac:dyDescent="0.25"/>
    <row r="113" s="728" customFormat="1" x14ac:dyDescent="0.25"/>
    <row r="114" s="728" customFormat="1" x14ac:dyDescent="0.25"/>
    <row r="115" s="728" customFormat="1" x14ac:dyDescent="0.25"/>
    <row r="116" s="728" customFormat="1" x14ac:dyDescent="0.25"/>
    <row r="117" s="728" customFormat="1" x14ac:dyDescent="0.25"/>
    <row r="118" s="728" customFormat="1" x14ac:dyDescent="0.25"/>
    <row r="119" s="728" customFormat="1" x14ac:dyDescent="0.25"/>
    <row r="120" s="728" customFormat="1" x14ac:dyDescent="0.25"/>
    <row r="121" s="728" customFormat="1" x14ac:dyDescent="0.25"/>
    <row r="122" s="728" customFormat="1" x14ac:dyDescent="0.25"/>
    <row r="123" s="728" customFormat="1" x14ac:dyDescent="0.25"/>
    <row r="124" s="728" customFormat="1" x14ac:dyDescent="0.25"/>
    <row r="125" s="728" customFormat="1" x14ac:dyDescent="0.25"/>
    <row r="126" s="728" customFormat="1" x14ac:dyDescent="0.25"/>
    <row r="127" s="728" customFormat="1" x14ac:dyDescent="0.25"/>
    <row r="128" s="728" customFormat="1" x14ac:dyDescent="0.25"/>
    <row r="129" s="728" customFormat="1" x14ac:dyDescent="0.25"/>
    <row r="130" s="728" customFormat="1" x14ac:dyDescent="0.25"/>
    <row r="131" s="728" customFormat="1" x14ac:dyDescent="0.25"/>
    <row r="132" s="728" customFormat="1" x14ac:dyDescent="0.25"/>
    <row r="133" s="728" customFormat="1" x14ac:dyDescent="0.25"/>
    <row r="134" s="728" customFormat="1" x14ac:dyDescent="0.25"/>
    <row r="135" s="728" customFormat="1" x14ac:dyDescent="0.25"/>
    <row r="136" s="728" customFormat="1" x14ac:dyDescent="0.25"/>
    <row r="137" s="728" customFormat="1" x14ac:dyDescent="0.25"/>
    <row r="138" s="728" customFormat="1" x14ac:dyDescent="0.25"/>
    <row r="139" s="728" customFormat="1" x14ac:dyDescent="0.25"/>
    <row r="140" s="728" customFormat="1" x14ac:dyDescent="0.25"/>
    <row r="141" s="728" customFormat="1" x14ac:dyDescent="0.25"/>
    <row r="142" s="728" customFormat="1" x14ac:dyDescent="0.25"/>
    <row r="143" s="728" customFormat="1" x14ac:dyDescent="0.25"/>
    <row r="144" s="728" customFormat="1" x14ac:dyDescent="0.25"/>
    <row r="145" s="728" customFormat="1" x14ac:dyDescent="0.25"/>
    <row r="146" s="728" customFormat="1" x14ac:dyDescent="0.25"/>
    <row r="147" s="728" customFormat="1" x14ac:dyDescent="0.25"/>
  </sheetData>
  <sheetProtection sheet="1" objects="1" scenarios="1"/>
  <mergeCells count="5">
    <mergeCell ref="A1:L2"/>
    <mergeCell ref="M1:X1"/>
    <mergeCell ref="M2:X2"/>
    <mergeCell ref="O3:P3"/>
    <mergeCell ref="M5:M19"/>
  </mergeCells>
  <conditionalFormatting sqref="P5:P47">
    <cfRule type="colorScale" priority="1">
      <colorScale>
        <cfvo type="min"/>
        <cfvo type="max"/>
        <color rgb="FFFCFCFF"/>
        <color rgb="FFF8696B"/>
      </colorScale>
    </cfRule>
  </conditionalFormatting>
  <pageMargins left="0.7" right="0.7" top="0.75" bottom="0.75" header="0.3" footer="0.3"/>
  <pageSetup orientation="portrait" horizontalDpi="0" verticalDpi="0"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022D8-A9AB-4435-BD7A-0D545BC19C42}">
  <sheetPr codeName="Sheet14">
    <tabColor rgb="FF0070C0"/>
  </sheetPr>
  <dimension ref="A1:N174"/>
  <sheetViews>
    <sheetView zoomScaleNormal="100" workbookViewId="0">
      <pane xSplit="1" ySplit="4" topLeftCell="B8" activePane="bottomRight" state="frozen"/>
      <selection pane="topRight" activeCell="B1" sqref="B1"/>
      <selection pane="bottomLeft" activeCell="A5" sqref="A5"/>
      <selection pane="bottomRight" activeCell="M7" sqref="M6:M7"/>
    </sheetView>
  </sheetViews>
  <sheetFormatPr defaultRowHeight="13.2" x14ac:dyDescent="0.25"/>
  <cols>
    <col min="1" max="1" width="16.109375" style="726" bestFit="1" customWidth="1"/>
    <col min="2" max="12" width="7.88671875" style="728" bestFit="1" customWidth="1"/>
    <col min="13" max="13" width="42.77734375" style="728" customWidth="1"/>
    <col min="14" max="14" width="10.44140625" style="728" bestFit="1" customWidth="1"/>
    <col min="15" max="16384" width="8.88671875" style="728"/>
  </cols>
  <sheetData>
    <row r="1" spans="1:14" ht="28.2" customHeight="1" x14ac:dyDescent="0.25">
      <c r="A1" s="1111" t="s">
        <v>424</v>
      </c>
      <c r="B1" s="1112"/>
      <c r="C1" s="1112"/>
      <c r="D1" s="1112"/>
      <c r="E1" s="1112"/>
      <c r="F1" s="1112"/>
      <c r="G1" s="1112"/>
      <c r="H1" s="1112"/>
      <c r="I1" s="1112"/>
      <c r="J1" s="1112"/>
      <c r="K1" s="1112"/>
      <c r="L1" s="1113"/>
    </row>
    <row r="2" spans="1:14" ht="28.2" customHeight="1" thickBot="1" x14ac:dyDescent="0.3">
      <c r="A2" s="1114"/>
      <c r="B2" s="1115"/>
      <c r="C2" s="1115"/>
      <c r="D2" s="1115"/>
      <c r="E2" s="1115"/>
      <c r="F2" s="1115"/>
      <c r="G2" s="1115"/>
      <c r="H2" s="1115"/>
      <c r="I2" s="1115"/>
      <c r="J2" s="1115"/>
      <c r="K2" s="1115"/>
      <c r="L2" s="1116"/>
    </row>
    <row r="3" spans="1:14" ht="14.4" x14ac:dyDescent="0.3">
      <c r="A3" s="846" t="s">
        <v>419</v>
      </c>
      <c r="B3" s="845" t="s">
        <v>211</v>
      </c>
      <c r="C3"/>
      <c r="D3"/>
      <c r="E3"/>
      <c r="F3"/>
      <c r="G3"/>
      <c r="H3"/>
      <c r="I3"/>
      <c r="J3"/>
      <c r="K3"/>
      <c r="L3"/>
    </row>
    <row r="4" spans="1:14" s="726" customFormat="1" ht="14.4" x14ac:dyDescent="0.3">
      <c r="A4" s="859" t="s">
        <v>333</v>
      </c>
      <c r="B4" s="860">
        <v>1.1000000000000001</v>
      </c>
      <c r="C4" s="860">
        <v>1.2</v>
      </c>
      <c r="D4" s="860">
        <v>1.3</v>
      </c>
      <c r="E4" s="860">
        <v>2.1</v>
      </c>
      <c r="F4" s="860">
        <v>2.2000000000000002</v>
      </c>
      <c r="G4" s="860">
        <v>2.2999999999999998</v>
      </c>
      <c r="H4" s="860">
        <v>3.1</v>
      </c>
      <c r="I4" s="860">
        <v>3.2</v>
      </c>
      <c r="J4" s="860">
        <v>3.3</v>
      </c>
      <c r="K4" s="860">
        <v>4.0999999999999996</v>
      </c>
      <c r="L4" s="860" t="s">
        <v>3</v>
      </c>
      <c r="M4" s="728"/>
      <c r="N4" s="728"/>
    </row>
    <row r="5" spans="1:14" ht="14.4" x14ac:dyDescent="0.3">
      <c r="A5" s="860">
        <v>1977</v>
      </c>
      <c r="B5" s="858"/>
      <c r="C5" s="858"/>
      <c r="D5" s="858">
        <v>3030.3862905902447</v>
      </c>
      <c r="E5" s="858"/>
      <c r="F5" s="858"/>
      <c r="G5" s="858"/>
      <c r="H5" s="858"/>
      <c r="I5" s="858"/>
      <c r="J5" s="858"/>
      <c r="K5" s="858"/>
      <c r="L5" s="858">
        <v>3030.3862905902447</v>
      </c>
    </row>
    <row r="6" spans="1:14" ht="14.4" x14ac:dyDescent="0.3">
      <c r="A6" s="860">
        <v>1978</v>
      </c>
      <c r="B6" s="858"/>
      <c r="C6" s="858">
        <v>30121.309514903034</v>
      </c>
      <c r="D6" s="858">
        <v>3367.1632505803836</v>
      </c>
      <c r="E6" s="858"/>
      <c r="F6" s="858">
        <v>584.17085119811952</v>
      </c>
      <c r="G6" s="858"/>
      <c r="H6" s="858"/>
      <c r="I6" s="858"/>
      <c r="J6" s="858"/>
      <c r="K6" s="858"/>
      <c r="L6" s="858">
        <v>34072.64361668154</v>
      </c>
    </row>
    <row r="7" spans="1:14" ht="14.4" x14ac:dyDescent="0.3">
      <c r="A7" s="860">
        <v>1979</v>
      </c>
      <c r="B7" s="858">
        <v>1898.5552663938881</v>
      </c>
      <c r="C7" s="858">
        <v>33468.791346130318</v>
      </c>
      <c r="D7" s="858">
        <v>2299.3768553677819</v>
      </c>
      <c r="E7" s="858">
        <v>839.74559859729675</v>
      </c>
      <c r="F7" s="858">
        <v>649.0917109552546</v>
      </c>
      <c r="G7" s="858"/>
      <c r="H7" s="858"/>
      <c r="I7" s="858"/>
      <c r="J7" s="858"/>
      <c r="K7" s="858"/>
      <c r="L7" s="858">
        <v>39155.560777444538</v>
      </c>
    </row>
    <row r="8" spans="1:14" ht="14.4" x14ac:dyDescent="0.3">
      <c r="A8" s="860">
        <v>1980</v>
      </c>
      <c r="B8" s="858">
        <v>2109.5480606045776</v>
      </c>
      <c r="C8" s="858">
        <v>22855.251875643615</v>
      </c>
      <c r="D8" s="858">
        <v>3292.7377704560731</v>
      </c>
      <c r="E8" s="858">
        <v>933.06933449817848</v>
      </c>
      <c r="F8" s="858">
        <v>443.25336970945193</v>
      </c>
      <c r="G8" s="858"/>
      <c r="H8" s="858"/>
      <c r="I8" s="858"/>
      <c r="J8" s="858"/>
      <c r="K8" s="858"/>
      <c r="L8" s="858">
        <v>29633.860410911893</v>
      </c>
    </row>
    <row r="9" spans="1:14" ht="14.4" x14ac:dyDescent="0.3">
      <c r="A9" s="860">
        <v>1981</v>
      </c>
      <c r="B9" s="858">
        <v>1440.5734515557187</v>
      </c>
      <c r="C9" s="858">
        <v>32729.020007545303</v>
      </c>
      <c r="D9" s="858">
        <v>11932.933018437947</v>
      </c>
      <c r="E9" s="858">
        <v>637.17671895733713</v>
      </c>
      <c r="F9" s="858">
        <v>634.74463044936351</v>
      </c>
      <c r="G9" s="858"/>
      <c r="H9" s="858"/>
      <c r="I9" s="858"/>
      <c r="J9" s="858"/>
      <c r="K9" s="858"/>
      <c r="L9" s="858">
        <v>47374.447826945667</v>
      </c>
    </row>
    <row r="10" spans="1:14" ht="14.4" x14ac:dyDescent="0.3">
      <c r="A10" s="860">
        <v>1982</v>
      </c>
      <c r="B10" s="858">
        <v>2062.9200489604314</v>
      </c>
      <c r="C10" s="858">
        <v>118610.47879772657</v>
      </c>
      <c r="D10" s="858">
        <v>734.77266956792653</v>
      </c>
      <c r="E10" s="858">
        <v>912.44540627096001</v>
      </c>
      <c r="F10" s="858">
        <v>2300.3244372892427</v>
      </c>
      <c r="G10" s="858"/>
      <c r="H10" s="858"/>
      <c r="I10" s="858"/>
      <c r="J10" s="858"/>
      <c r="K10" s="858"/>
      <c r="L10" s="858">
        <v>124620.94135981511</v>
      </c>
    </row>
    <row r="11" spans="1:14" ht="14.4" x14ac:dyDescent="0.3">
      <c r="A11" s="860">
        <v>1983</v>
      </c>
      <c r="B11" s="858">
        <v>7476.0544211900378</v>
      </c>
      <c r="C11" s="858">
        <v>107766.65820329588</v>
      </c>
      <c r="D11" s="858">
        <v>4304.0608557267533</v>
      </c>
      <c r="E11" s="858">
        <v>3306.7163786032861</v>
      </c>
      <c r="F11" s="858">
        <v>4163.7117942182504</v>
      </c>
      <c r="G11" s="858"/>
      <c r="H11" s="858"/>
      <c r="I11" s="858"/>
      <c r="J11" s="858"/>
      <c r="K11" s="858"/>
      <c r="L11" s="858">
        <v>127017.20165303422</v>
      </c>
    </row>
    <row r="12" spans="1:14" ht="14.4" x14ac:dyDescent="0.3">
      <c r="A12" s="860">
        <v>1984</v>
      </c>
      <c r="B12" s="858">
        <v>8449.8857000311546</v>
      </c>
      <c r="C12" s="858">
        <v>42781.327782826156</v>
      </c>
      <c r="D12" s="858">
        <v>2782.4525256406782</v>
      </c>
      <c r="E12" s="858">
        <v>1347.0832275411985</v>
      </c>
      <c r="F12" s="858">
        <v>829.69847821238614</v>
      </c>
      <c r="G12" s="858"/>
      <c r="H12" s="858"/>
      <c r="I12" s="858"/>
      <c r="J12" s="858"/>
      <c r="K12" s="858"/>
      <c r="L12" s="858">
        <v>56190.447714251568</v>
      </c>
    </row>
    <row r="13" spans="1:14" ht="14.4" x14ac:dyDescent="0.3">
      <c r="A13" s="860">
        <v>1985</v>
      </c>
      <c r="B13" s="858">
        <v>2696.520054190255</v>
      </c>
      <c r="C13" s="858">
        <v>45711.720064096859</v>
      </c>
      <c r="D13" s="858">
        <v>1071.2884857623617</v>
      </c>
      <c r="E13" s="858">
        <v>1192.6915624303051</v>
      </c>
      <c r="F13" s="858">
        <v>993.7330448716707</v>
      </c>
      <c r="G13" s="858"/>
      <c r="H13" s="858"/>
      <c r="I13" s="858"/>
      <c r="J13" s="858"/>
      <c r="K13" s="858"/>
      <c r="L13" s="861">
        <v>51665.953211351451</v>
      </c>
      <c r="M13" s="1123" t="s">
        <v>427</v>
      </c>
    </row>
    <row r="14" spans="1:14" ht="14.4" x14ac:dyDescent="0.3">
      <c r="A14" s="860">
        <v>1986</v>
      </c>
      <c r="B14" s="858">
        <v>48891.6658076862</v>
      </c>
      <c r="C14" s="858">
        <v>79852.195592594493</v>
      </c>
      <c r="D14" s="858">
        <v>650.57067993097792</v>
      </c>
      <c r="E14" s="858">
        <v>993.7330448716707</v>
      </c>
      <c r="F14" s="858">
        <v>494.44083958262848</v>
      </c>
      <c r="G14" s="858"/>
      <c r="H14" s="858"/>
      <c r="I14" s="858"/>
      <c r="J14" s="858"/>
      <c r="K14" s="858"/>
      <c r="L14" s="861">
        <v>130882.60596466599</v>
      </c>
      <c r="M14" s="1124"/>
    </row>
    <row r="15" spans="1:14" ht="14.4" x14ac:dyDescent="0.3">
      <c r="A15" s="860">
        <v>1987</v>
      </c>
      <c r="B15" s="858">
        <v>164.81361319420949</v>
      </c>
      <c r="C15" s="858">
        <v>22432.640852434834</v>
      </c>
      <c r="D15" s="858">
        <v>2402.0666751395106</v>
      </c>
      <c r="E15" s="858">
        <v>824.06806597104753</v>
      </c>
      <c r="F15" s="858">
        <v>120.47605183907</v>
      </c>
      <c r="G15" s="858">
        <v>63.771681640871968</v>
      </c>
      <c r="H15" s="858"/>
      <c r="I15" s="858"/>
      <c r="J15" s="858"/>
      <c r="K15" s="858"/>
      <c r="L15" s="861">
        <v>26007.836940219542</v>
      </c>
      <c r="M15" s="1124"/>
    </row>
    <row r="16" spans="1:14" ht="14.4" x14ac:dyDescent="0.3">
      <c r="A16" s="860">
        <v>1988</v>
      </c>
      <c r="B16" s="858">
        <v>722.85631103441995</v>
      </c>
      <c r="C16" s="858">
        <v>2784.6967649847425</v>
      </c>
      <c r="D16" s="858">
        <v>609.17488017387711</v>
      </c>
      <c r="E16" s="858">
        <v>144.571262206884</v>
      </c>
      <c r="F16" s="858">
        <v>372.00147623841985</v>
      </c>
      <c r="G16" s="858"/>
      <c r="H16" s="858"/>
      <c r="I16" s="858"/>
      <c r="J16" s="858"/>
      <c r="K16" s="858"/>
      <c r="L16" s="861">
        <v>4633.300694638343</v>
      </c>
      <c r="M16" s="1124"/>
    </row>
    <row r="17" spans="1:13" ht="14.4" x14ac:dyDescent="0.3">
      <c r="A17" s="860">
        <v>1989</v>
      </c>
      <c r="B17" s="858">
        <v>4804.1333502790212</v>
      </c>
      <c r="C17" s="858">
        <v>30864.860595476443</v>
      </c>
      <c r="D17" s="858">
        <v>867.14826539249327</v>
      </c>
      <c r="E17" s="858">
        <v>201.94365852942789</v>
      </c>
      <c r="F17" s="858">
        <v>40.611658678258479</v>
      </c>
      <c r="G17" s="858">
        <v>121.83497603477544</v>
      </c>
      <c r="H17" s="858"/>
      <c r="I17" s="858"/>
      <c r="J17" s="858"/>
      <c r="K17" s="858"/>
      <c r="L17" s="861">
        <v>36900.532504390416</v>
      </c>
      <c r="M17" s="1124"/>
    </row>
    <row r="18" spans="1:13" ht="14.4" x14ac:dyDescent="0.3">
      <c r="A18" s="860">
        <v>1990</v>
      </c>
      <c r="B18" s="858">
        <v>6254.1954364518051</v>
      </c>
      <c r="C18" s="858">
        <v>45401.405609478395</v>
      </c>
      <c r="D18" s="858">
        <v>2310.8135770654621</v>
      </c>
      <c r="E18" s="858">
        <v>2720.9811314433182</v>
      </c>
      <c r="F18" s="858">
        <v>867.14826539249327</v>
      </c>
      <c r="G18" s="858">
        <v>87.200512342092921</v>
      </c>
      <c r="H18" s="858"/>
      <c r="I18" s="858"/>
      <c r="J18" s="858"/>
      <c r="K18" s="858"/>
      <c r="L18" s="861">
        <v>57641.744532173558</v>
      </c>
    </row>
    <row r="19" spans="1:13" ht="14.4" x14ac:dyDescent="0.3">
      <c r="A19" s="860">
        <v>1991</v>
      </c>
      <c r="B19" s="858">
        <v>10467.718346523669</v>
      </c>
      <c r="C19" s="858">
        <v>38673.427223718209</v>
      </c>
      <c r="D19" s="858">
        <v>1622.3518201311761</v>
      </c>
      <c r="E19" s="858">
        <v>4335.7413269624667</v>
      </c>
      <c r="F19" s="858">
        <v>2485.2146017496484</v>
      </c>
      <c r="G19" s="858"/>
      <c r="H19" s="858"/>
      <c r="I19" s="858"/>
      <c r="J19" s="858"/>
      <c r="K19" s="858"/>
      <c r="L19" s="861">
        <v>57584.453319085165</v>
      </c>
    </row>
    <row r="20" spans="1:13" ht="14.4" x14ac:dyDescent="0.3">
      <c r="A20" s="860">
        <v>1992</v>
      </c>
      <c r="B20" s="858">
        <v>0</v>
      </c>
      <c r="C20" s="858">
        <v>292.86007068270516</v>
      </c>
      <c r="D20" s="858">
        <v>83.81247861931331</v>
      </c>
      <c r="E20" s="858">
        <v>87.200512342092921</v>
      </c>
      <c r="F20" s="858">
        <v>39.512866679412603</v>
      </c>
      <c r="G20" s="858"/>
      <c r="H20" s="858"/>
      <c r="I20" s="858"/>
      <c r="J20" s="858"/>
      <c r="K20" s="858"/>
      <c r="L20" s="861">
        <v>503.38592832352396</v>
      </c>
    </row>
    <row r="21" spans="1:13" ht="14.4" x14ac:dyDescent="0.3">
      <c r="A21" s="860">
        <v>1993</v>
      </c>
      <c r="B21" s="858">
        <v>332.37293736211774</v>
      </c>
      <c r="C21" s="858">
        <v>3313.8164623328498</v>
      </c>
      <c r="D21" s="858">
        <v>887.42536185857477</v>
      </c>
      <c r="E21" s="858">
        <v>37.188580404153036</v>
      </c>
      <c r="F21" s="858">
        <v>0</v>
      </c>
      <c r="G21" s="858"/>
      <c r="H21" s="858"/>
      <c r="I21" s="858"/>
      <c r="J21" s="858"/>
      <c r="K21" s="858"/>
      <c r="L21" s="861">
        <v>4570.803341957695</v>
      </c>
    </row>
    <row r="22" spans="1:13" ht="14.4" x14ac:dyDescent="0.3">
      <c r="A22" s="860">
        <v>1994</v>
      </c>
      <c r="B22" s="858">
        <v>2662.6579745981844</v>
      </c>
      <c r="C22" s="858">
        <v>20060.483837803047</v>
      </c>
      <c r="D22" s="858">
        <v>1218.6133597668838</v>
      </c>
      <c r="E22" s="858">
        <v>373.93259691693635</v>
      </c>
      <c r="F22" s="858">
        <v>630.53907289951371</v>
      </c>
      <c r="G22" s="858"/>
      <c r="H22" s="858"/>
      <c r="I22" s="858"/>
      <c r="J22" s="858"/>
      <c r="K22" s="858"/>
      <c r="L22" s="861">
        <v>24946.226841984568</v>
      </c>
    </row>
    <row r="23" spans="1:13" ht="14.4" x14ac:dyDescent="0.3">
      <c r="A23" s="860">
        <v>1995</v>
      </c>
      <c r="B23" s="858">
        <v>1774.8507237171495</v>
      </c>
      <c r="C23" s="858">
        <v>34300.38192049729</v>
      </c>
      <c r="D23" s="858">
        <v>1034.6192391421794</v>
      </c>
      <c r="E23" s="858">
        <v>0</v>
      </c>
      <c r="F23" s="858">
        <v>0</v>
      </c>
      <c r="G23" s="858"/>
      <c r="H23" s="858"/>
      <c r="I23" s="858"/>
      <c r="J23" s="858"/>
      <c r="K23" s="858"/>
      <c r="L23" s="861">
        <v>37109.85188335662</v>
      </c>
    </row>
    <row r="24" spans="1:13" ht="14.4" x14ac:dyDescent="0.3">
      <c r="A24" s="860">
        <v>1996</v>
      </c>
      <c r="B24" s="858">
        <v>0</v>
      </c>
      <c r="C24" s="858">
        <v>5166.5479726783515</v>
      </c>
      <c r="D24" s="858">
        <v>0</v>
      </c>
      <c r="E24" s="858">
        <v>322.57412464417507</v>
      </c>
      <c r="F24" s="858">
        <v>0</v>
      </c>
      <c r="G24" s="858"/>
      <c r="H24" s="858"/>
      <c r="I24" s="858"/>
      <c r="J24" s="858"/>
      <c r="K24" s="858"/>
      <c r="L24" s="861">
        <v>5489.1220973225263</v>
      </c>
    </row>
    <row r="25" spans="1:13" ht="14.4" x14ac:dyDescent="0.3">
      <c r="A25" s="860">
        <v>1997</v>
      </c>
      <c r="B25" s="858">
        <v>347.05582072490824</v>
      </c>
      <c r="C25" s="858">
        <v>12097.594866388798</v>
      </c>
      <c r="D25" s="858">
        <v>774.3841471781285</v>
      </c>
      <c r="E25" s="858">
        <v>0</v>
      </c>
      <c r="F25" s="858">
        <v>0</v>
      </c>
      <c r="G25" s="858"/>
      <c r="H25" s="858"/>
      <c r="I25" s="858"/>
      <c r="J25" s="858"/>
      <c r="K25" s="858"/>
      <c r="L25" s="861">
        <v>13219.034834291835</v>
      </c>
    </row>
    <row r="26" spans="1:13" ht="14.4" x14ac:dyDescent="0.3">
      <c r="A26" s="860">
        <v>1998</v>
      </c>
      <c r="B26" s="858">
        <v>1624.412031529238</v>
      </c>
      <c r="C26" s="858">
        <v>65048.268362962786</v>
      </c>
      <c r="D26" s="858">
        <v>2045.6948288454687</v>
      </c>
      <c r="E26" s="858">
        <v>541.47067717641266</v>
      </c>
      <c r="F26" s="858">
        <v>774.3841471781285</v>
      </c>
      <c r="G26" s="858"/>
      <c r="H26" s="858"/>
      <c r="I26" s="858"/>
      <c r="J26" s="858"/>
      <c r="K26" s="858"/>
      <c r="L26" s="861">
        <v>70034.23004769205</v>
      </c>
    </row>
    <row r="27" spans="1:13" ht="14.4" x14ac:dyDescent="0.3">
      <c r="A27" s="860">
        <v>1999</v>
      </c>
      <c r="B27" s="858">
        <v>10066.993913315671</v>
      </c>
      <c r="C27" s="858">
        <v>87778.905383187375</v>
      </c>
      <c r="D27" s="858">
        <v>1936.4018066040053</v>
      </c>
      <c r="E27" s="858">
        <v>774.3841471781285</v>
      </c>
      <c r="F27" s="858">
        <v>45.56320300610362</v>
      </c>
      <c r="G27" s="858">
        <v>1321.463395047328</v>
      </c>
      <c r="H27" s="858"/>
      <c r="I27" s="858"/>
      <c r="J27" s="858"/>
      <c r="K27" s="858"/>
      <c r="L27" s="861">
        <v>101923.71184833861</v>
      </c>
    </row>
    <row r="28" spans="1:13" ht="14.4" x14ac:dyDescent="0.3">
      <c r="A28" s="860">
        <v>2000</v>
      </c>
      <c r="B28" s="858">
        <v>3068.5422432682035</v>
      </c>
      <c r="C28" s="858">
        <v>6502.6466073120991</v>
      </c>
      <c r="D28" s="858">
        <v>707.07747228762616</v>
      </c>
      <c r="E28" s="858">
        <v>45.56320300610362</v>
      </c>
      <c r="F28" s="858">
        <v>2891.5189139154404</v>
      </c>
      <c r="G28" s="858">
        <v>334.93143424150713</v>
      </c>
      <c r="H28" s="858"/>
      <c r="I28" s="858"/>
      <c r="J28" s="858">
        <v>37.214603804611905</v>
      </c>
      <c r="K28" s="858"/>
      <c r="L28" s="861">
        <v>13587.494477835595</v>
      </c>
    </row>
    <row r="29" spans="1:13" ht="14.4" x14ac:dyDescent="0.3">
      <c r="A29" s="860">
        <v>2001</v>
      </c>
      <c r="B29" s="858">
        <v>261.67591981135206</v>
      </c>
      <c r="C29" s="858">
        <v>18235.155864259836</v>
      </c>
      <c r="D29" s="858">
        <v>0</v>
      </c>
      <c r="E29" s="858">
        <v>170.08934787737883</v>
      </c>
      <c r="F29" s="858">
        <v>297.71683043689524</v>
      </c>
      <c r="G29" s="858">
        <v>0</v>
      </c>
      <c r="H29" s="858"/>
      <c r="I29" s="858">
        <v>1042.0089065291334</v>
      </c>
      <c r="J29" s="858"/>
      <c r="K29" s="858"/>
      <c r="L29" s="861">
        <v>20006.646868914595</v>
      </c>
    </row>
    <row r="30" spans="1:13" ht="14.4" x14ac:dyDescent="0.3">
      <c r="A30" s="860">
        <v>2002</v>
      </c>
      <c r="B30" s="858">
        <v>10196.801442463664</v>
      </c>
      <c r="C30" s="858">
        <v>97684.454315296578</v>
      </c>
      <c r="D30" s="858">
        <v>2673.2300777531773</v>
      </c>
      <c r="E30" s="858">
        <v>1972.374001644431</v>
      </c>
      <c r="F30" s="858">
        <v>1568.8081528152554</v>
      </c>
      <c r="G30" s="858">
        <v>959.62105355242261</v>
      </c>
      <c r="H30" s="858">
        <v>2605.0222663228333</v>
      </c>
      <c r="I30" s="858"/>
      <c r="J30" s="858"/>
      <c r="K30" s="858">
        <v>1786.3009826213715</v>
      </c>
      <c r="L30" s="861">
        <v>119446.61229246974</v>
      </c>
    </row>
    <row r="31" spans="1:13" ht="14.4" x14ac:dyDescent="0.3">
      <c r="A31" s="860">
        <v>2003</v>
      </c>
      <c r="B31" s="858">
        <v>3242.2035158181948</v>
      </c>
      <c r="C31" s="858">
        <v>61073.025622514899</v>
      </c>
      <c r="D31" s="858">
        <v>2897.4278526730482</v>
      </c>
      <c r="E31" s="858">
        <v>313.76163056305109</v>
      </c>
      <c r="F31" s="858">
        <v>1302.3428583925736</v>
      </c>
      <c r="G31" s="858">
        <v>0</v>
      </c>
      <c r="H31" s="858">
        <v>1882.5697833783065</v>
      </c>
      <c r="I31" s="858"/>
      <c r="J31" s="858"/>
      <c r="K31" s="858"/>
      <c r="L31" s="861">
        <v>70711.331263340064</v>
      </c>
    </row>
    <row r="32" spans="1:13" ht="14.4" x14ac:dyDescent="0.3">
      <c r="A32" s="860">
        <v>2004</v>
      </c>
      <c r="B32" s="858">
        <v>1028.1654145204527</v>
      </c>
      <c r="C32" s="858">
        <v>23368.38550742828</v>
      </c>
      <c r="D32" s="858">
        <v>3473.4652576781682</v>
      </c>
      <c r="E32" s="858">
        <v>1576.5203022646942</v>
      </c>
      <c r="F32" s="858">
        <v>125.97512402926299</v>
      </c>
      <c r="G32" s="858">
        <v>0</v>
      </c>
      <c r="H32" s="858"/>
      <c r="I32" s="858"/>
      <c r="J32" s="858"/>
      <c r="K32" s="858"/>
      <c r="L32" s="861">
        <v>29572.511605920859</v>
      </c>
    </row>
    <row r="33" spans="1:12" ht="14.4" x14ac:dyDescent="0.3">
      <c r="A33" s="860">
        <v>2005</v>
      </c>
      <c r="B33" s="858">
        <v>62.987562014631493</v>
      </c>
      <c r="C33" s="858">
        <v>13685.453115251983</v>
      </c>
      <c r="D33" s="858">
        <v>1872.1265802543367</v>
      </c>
      <c r="E33" s="858">
        <v>0</v>
      </c>
      <c r="F33" s="858">
        <v>277.87722061425347</v>
      </c>
      <c r="G33" s="858"/>
      <c r="H33" s="858"/>
      <c r="I33" s="858"/>
      <c r="J33" s="858"/>
      <c r="K33" s="858"/>
      <c r="L33" s="861">
        <v>15898.444478135205</v>
      </c>
    </row>
    <row r="34" spans="1:12" ht="14.4" x14ac:dyDescent="0.3">
      <c r="A34" s="860">
        <v>2006</v>
      </c>
      <c r="B34" s="858">
        <v>7572.1542617384075</v>
      </c>
      <c r="C34" s="858">
        <v>189833.63523778971</v>
      </c>
      <c r="D34" s="858">
        <v>8888.8609286647643</v>
      </c>
      <c r="E34" s="858">
        <v>1736.7326288390834</v>
      </c>
      <c r="F34" s="858">
        <v>748.85063210173462</v>
      </c>
      <c r="G34" s="858">
        <v>0</v>
      </c>
      <c r="H34" s="858"/>
      <c r="I34" s="858"/>
      <c r="J34" s="858"/>
      <c r="K34" s="858"/>
      <c r="L34" s="861">
        <v>208780.23368913372</v>
      </c>
    </row>
    <row r="35" spans="1:12" ht="14.4" x14ac:dyDescent="0.3">
      <c r="A35" s="860">
        <v>2007</v>
      </c>
      <c r="B35" s="858">
        <v>9360.6329012716815</v>
      </c>
      <c r="C35" s="858">
        <v>145982.44678999443</v>
      </c>
      <c r="D35" s="858">
        <v>27433.615188418993</v>
      </c>
      <c r="E35" s="858">
        <v>0</v>
      </c>
      <c r="F35" s="858">
        <v>5470.0682637937016</v>
      </c>
      <c r="G35" s="858"/>
      <c r="H35" s="858"/>
      <c r="I35" s="858"/>
      <c r="J35" s="858"/>
      <c r="K35" s="858"/>
      <c r="L35" s="861">
        <v>188246.76314347883</v>
      </c>
    </row>
    <row r="36" spans="1:12" ht="14.4" x14ac:dyDescent="0.3">
      <c r="A36" s="860">
        <v>2008</v>
      </c>
      <c r="B36" s="858">
        <v>5811.9475302808078</v>
      </c>
      <c r="C36" s="858">
        <v>331427.7294384673</v>
      </c>
      <c r="D36" s="858">
        <v>10809.611137756234</v>
      </c>
      <c r="E36" s="858">
        <v>0</v>
      </c>
      <c r="F36" s="858">
        <v>2224.3471774393779</v>
      </c>
      <c r="G36" s="858">
        <v>0</v>
      </c>
      <c r="H36" s="858"/>
      <c r="I36" s="858"/>
      <c r="J36" s="858"/>
      <c r="K36" s="858"/>
      <c r="L36" s="861">
        <v>350273.63528394373</v>
      </c>
    </row>
    <row r="37" spans="1:12" ht="14.4" x14ac:dyDescent="0.3">
      <c r="A37" s="860">
        <v>2009</v>
      </c>
      <c r="B37" s="858">
        <v>3269.175745795676</v>
      </c>
      <c r="C37" s="858">
        <v>101092.70134464986</v>
      </c>
      <c r="D37" s="858">
        <v>3020.7209998194012</v>
      </c>
      <c r="E37" s="858">
        <v>6302.317002744905</v>
      </c>
      <c r="F37" s="858">
        <v>6089.921767749991</v>
      </c>
      <c r="G37" s="858"/>
      <c r="H37" s="858"/>
      <c r="I37" s="858"/>
      <c r="J37" s="858"/>
      <c r="K37" s="858"/>
      <c r="L37" s="861">
        <v>119774.83686075982</v>
      </c>
    </row>
    <row r="38" spans="1:12" ht="14.4" x14ac:dyDescent="0.3">
      <c r="A38" s="860">
        <v>2010</v>
      </c>
      <c r="B38" s="858">
        <v>27709.144043262459</v>
      </c>
      <c r="C38" s="858">
        <v>419017.15583209117</v>
      </c>
      <c r="D38" s="858">
        <v>13433.632748796868</v>
      </c>
      <c r="E38" s="858">
        <v>6546.6659003312398</v>
      </c>
      <c r="F38" s="858">
        <v>5178.3788568332593</v>
      </c>
      <c r="G38" s="858"/>
      <c r="H38" s="858"/>
      <c r="I38" s="858"/>
      <c r="J38" s="858"/>
      <c r="K38" s="858"/>
      <c r="L38" s="861">
        <v>471884.97738131502</v>
      </c>
    </row>
    <row r="39" spans="1:12" ht="14.4" x14ac:dyDescent="0.3">
      <c r="A39" s="860">
        <v>2011</v>
      </c>
      <c r="B39" s="858">
        <v>1294.5947142083148</v>
      </c>
      <c r="C39" s="858">
        <v>105147.19953996562</v>
      </c>
      <c r="D39" s="858">
        <v>17792.82443449297</v>
      </c>
      <c r="E39" s="858">
        <v>3020.7209998194012</v>
      </c>
      <c r="F39" s="858">
        <v>8292.3658943190549</v>
      </c>
      <c r="G39" s="858"/>
      <c r="H39" s="858"/>
      <c r="I39" s="858"/>
      <c r="J39" s="858"/>
      <c r="K39" s="858"/>
      <c r="L39" s="861">
        <v>135547.70558280536</v>
      </c>
    </row>
    <row r="40" spans="1:12" ht="14.4" x14ac:dyDescent="0.3">
      <c r="A40" s="860">
        <v>2012</v>
      </c>
      <c r="B40" s="858">
        <v>38974.119703299555</v>
      </c>
      <c r="C40" s="858">
        <v>524295.22666972619</v>
      </c>
      <c r="D40" s="858">
        <v>315.03460114805</v>
      </c>
      <c r="E40" s="858">
        <v>0</v>
      </c>
      <c r="F40" s="858">
        <v>2372.3765912657295</v>
      </c>
      <c r="G40" s="858"/>
      <c r="H40" s="858"/>
      <c r="I40" s="858"/>
      <c r="J40" s="858"/>
      <c r="K40" s="858"/>
      <c r="L40" s="861">
        <v>565956.75756543968</v>
      </c>
    </row>
    <row r="41" spans="1:12" ht="14.4" x14ac:dyDescent="0.3">
      <c r="A41" s="860">
        <v>2013</v>
      </c>
      <c r="B41" s="858">
        <v>48752.338950510741</v>
      </c>
      <c r="C41" s="858">
        <v>307158.73611934873</v>
      </c>
      <c r="D41" s="858">
        <v>6910.0978182888284</v>
      </c>
      <c r="E41" s="858">
        <v>0</v>
      </c>
      <c r="F41" s="858">
        <v>6930.7612252570989</v>
      </c>
      <c r="G41" s="858"/>
      <c r="H41" s="858"/>
      <c r="I41" s="858"/>
      <c r="J41" s="858"/>
      <c r="K41" s="858"/>
      <c r="L41" s="861">
        <v>369751.93411340541</v>
      </c>
    </row>
    <row r="42" spans="1:12" ht="14.4" x14ac:dyDescent="0.3">
      <c r="A42" s="860">
        <v>2014</v>
      </c>
      <c r="B42" s="858">
        <v>315.03460114805</v>
      </c>
      <c r="C42" s="858">
        <v>264518.54448409635</v>
      </c>
      <c r="D42" s="858">
        <v>10001.435367856535</v>
      </c>
      <c r="E42" s="858">
        <v>0</v>
      </c>
      <c r="F42" s="858">
        <v>1382.0195636577657</v>
      </c>
      <c r="G42" s="858">
        <v>0</v>
      </c>
      <c r="H42" s="858"/>
      <c r="I42" s="858"/>
      <c r="J42" s="858"/>
      <c r="K42" s="858"/>
      <c r="L42" s="861">
        <v>276217.03401675867</v>
      </c>
    </row>
    <row r="43" spans="1:12" ht="14.4" x14ac:dyDescent="0.3">
      <c r="A43" s="860">
        <v>2015</v>
      </c>
      <c r="B43" s="858">
        <v>2764.0391273155315</v>
      </c>
      <c r="C43" s="858">
        <v>41939.72068620503</v>
      </c>
      <c r="D43" s="858">
        <v>4297.8052336861329</v>
      </c>
      <c r="E43" s="858">
        <v>829.21173819465946</v>
      </c>
      <c r="F43" s="858">
        <v>386.79584295577763</v>
      </c>
      <c r="G43" s="858"/>
      <c r="H43" s="858"/>
      <c r="I43" s="858"/>
      <c r="J43" s="858"/>
      <c r="K43" s="858"/>
      <c r="L43" s="861">
        <v>50217.572628357128</v>
      </c>
    </row>
    <row r="44" spans="1:12" ht="14.4" x14ac:dyDescent="0.3">
      <c r="A44" s="860">
        <v>2016</v>
      </c>
      <c r="B44" s="858">
        <v>2099.7488617599356</v>
      </c>
      <c r="C44" s="858">
        <v>198722.32770996355</v>
      </c>
      <c r="D44" s="858">
        <v>16276.058797641859</v>
      </c>
      <c r="E44" s="858">
        <v>828.84823490523775</v>
      </c>
      <c r="F44" s="858">
        <v>532.10921940875926</v>
      </c>
      <c r="G44" s="858">
        <v>0</v>
      </c>
      <c r="H44" s="858"/>
      <c r="I44" s="858"/>
      <c r="J44" s="858"/>
      <c r="K44" s="858"/>
      <c r="L44" s="861">
        <v>218459.09282367936</v>
      </c>
    </row>
    <row r="45" spans="1:12" ht="14.4" x14ac:dyDescent="0.3">
      <c r="A45" s="860">
        <v>2017</v>
      </c>
      <c r="B45" s="858">
        <v>532.10921940875926</v>
      </c>
      <c r="C45" s="858">
        <v>33039.789768995834</v>
      </c>
      <c r="D45" s="858">
        <v>594.11165798759077</v>
      </c>
      <c r="E45" s="858">
        <v>532.10921940875926</v>
      </c>
      <c r="F45" s="858">
        <v>243.83608685605782</v>
      </c>
      <c r="G45" s="858">
        <v>0</v>
      </c>
      <c r="H45" s="858"/>
      <c r="I45" s="858"/>
      <c r="J45" s="858"/>
      <c r="K45" s="858"/>
      <c r="L45" s="861">
        <v>34941.955952657001</v>
      </c>
    </row>
    <row r="46" spans="1:12" ht="14.4" x14ac:dyDescent="0.3">
      <c r="A46" s="860">
        <v>2018</v>
      </c>
      <c r="B46" s="858">
        <v>11277.419017092674</v>
      </c>
      <c r="C46" s="858">
        <v>292897.04738788225</v>
      </c>
      <c r="D46" s="858">
        <v>12635.180272483582</v>
      </c>
      <c r="E46" s="858">
        <v>121.91804342802891</v>
      </c>
      <c r="F46" s="858">
        <v>594.11165798759077</v>
      </c>
      <c r="G46" s="858">
        <v>0</v>
      </c>
      <c r="H46" s="858"/>
      <c r="I46" s="858"/>
      <c r="J46" s="858"/>
      <c r="K46" s="858"/>
      <c r="L46" s="861">
        <v>317525.67637887411</v>
      </c>
    </row>
    <row r="47" spans="1:12" ht="14.4" x14ac:dyDescent="0.3">
      <c r="A47" s="860">
        <v>2019</v>
      </c>
      <c r="B47" s="858">
        <v>2673.5024609441584</v>
      </c>
      <c r="C47" s="858">
        <v>66279.278973203342</v>
      </c>
      <c r="D47" s="858">
        <v>12357.867441371543</v>
      </c>
      <c r="E47" s="858">
        <v>297.05582899379539</v>
      </c>
      <c r="F47" s="858">
        <v>554.17457335454299</v>
      </c>
      <c r="G47" s="858">
        <v>0</v>
      </c>
      <c r="H47" s="858"/>
      <c r="I47" s="858"/>
      <c r="J47" s="858"/>
      <c r="K47" s="858"/>
      <c r="L47" s="861">
        <v>82161.879277867381</v>
      </c>
    </row>
    <row r="48" spans="1:12" ht="14.4" x14ac:dyDescent="0.3">
      <c r="A48" s="860">
        <v>2020</v>
      </c>
      <c r="B48" s="858">
        <v>28041.233411739879</v>
      </c>
      <c r="C48" s="858">
        <v>507209.86368064076</v>
      </c>
      <c r="D48" s="858"/>
      <c r="E48" s="858">
        <v>3325.0474401272581</v>
      </c>
      <c r="F48" s="858">
        <v>2149.1943376298336</v>
      </c>
      <c r="G48" s="858"/>
      <c r="H48" s="858"/>
      <c r="I48" s="858"/>
      <c r="J48" s="858"/>
      <c r="K48" s="858"/>
      <c r="L48" s="858">
        <v>540725.3388701377</v>
      </c>
    </row>
    <row r="49" spans="1:12" ht="14.4" x14ac:dyDescent="0.3">
      <c r="A49" s="860">
        <v>2021</v>
      </c>
      <c r="B49" s="858">
        <v>10745.971688149169</v>
      </c>
      <c r="C49" s="858"/>
      <c r="D49" s="858"/>
      <c r="E49" s="858">
        <v>4298.3886752596673</v>
      </c>
      <c r="F49" s="858"/>
      <c r="G49" s="858"/>
      <c r="H49" s="858"/>
      <c r="I49" s="858"/>
      <c r="J49" s="858"/>
      <c r="K49" s="858"/>
      <c r="L49" s="858">
        <v>15044.360363408836</v>
      </c>
    </row>
    <row r="50" spans="1:12" x14ac:dyDescent="0.25">
      <c r="A50" s="728"/>
    </row>
    <row r="51" spans="1:12" x14ac:dyDescent="0.25">
      <c r="A51" s="728"/>
    </row>
    <row r="52" spans="1:12" x14ac:dyDescent="0.25">
      <c r="A52" s="728"/>
    </row>
    <row r="53" spans="1:12" x14ac:dyDescent="0.25">
      <c r="A53" s="728"/>
    </row>
    <row r="54" spans="1:12" x14ac:dyDescent="0.25">
      <c r="A54" s="728"/>
    </row>
    <row r="55" spans="1:12" x14ac:dyDescent="0.25">
      <c r="A55" s="728"/>
    </row>
    <row r="56" spans="1:12" x14ac:dyDescent="0.25">
      <c r="A56" s="728"/>
    </row>
    <row r="57" spans="1:12" x14ac:dyDescent="0.25">
      <c r="A57" s="728"/>
    </row>
    <row r="58" spans="1:12" x14ac:dyDescent="0.25">
      <c r="A58" s="728"/>
    </row>
    <row r="59" spans="1:12" x14ac:dyDescent="0.25">
      <c r="A59" s="728"/>
    </row>
    <row r="60" spans="1:12" x14ac:dyDescent="0.25">
      <c r="A60" s="728"/>
    </row>
    <row r="61" spans="1:12" x14ac:dyDescent="0.25">
      <c r="A61" s="728"/>
    </row>
    <row r="62" spans="1:12" x14ac:dyDescent="0.25">
      <c r="A62" s="728"/>
    </row>
    <row r="63" spans="1:12" x14ac:dyDescent="0.25">
      <c r="A63" s="728"/>
    </row>
    <row r="64" spans="1:12" x14ac:dyDescent="0.25">
      <c r="A64" s="728"/>
    </row>
    <row r="65" spans="1:1" x14ac:dyDescent="0.25">
      <c r="A65" s="728"/>
    </row>
    <row r="66" spans="1:1" x14ac:dyDescent="0.25">
      <c r="A66" s="728"/>
    </row>
    <row r="67" spans="1:1" x14ac:dyDescent="0.25">
      <c r="A67" s="728"/>
    </row>
    <row r="68" spans="1:1" x14ac:dyDescent="0.25">
      <c r="A68" s="728"/>
    </row>
    <row r="69" spans="1:1" x14ac:dyDescent="0.25">
      <c r="A69" s="728"/>
    </row>
    <row r="70" spans="1:1" x14ac:dyDescent="0.25">
      <c r="A70" s="728"/>
    </row>
    <row r="71" spans="1:1" x14ac:dyDescent="0.25">
      <c r="A71" s="728"/>
    </row>
    <row r="72" spans="1:1" x14ac:dyDescent="0.25">
      <c r="A72" s="728"/>
    </row>
    <row r="73" spans="1:1" x14ac:dyDescent="0.25">
      <c r="A73" s="728"/>
    </row>
    <row r="74" spans="1:1" x14ac:dyDescent="0.25">
      <c r="A74" s="728"/>
    </row>
    <row r="75" spans="1:1" x14ac:dyDescent="0.25">
      <c r="A75" s="728"/>
    </row>
    <row r="76" spans="1:1" x14ac:dyDescent="0.25">
      <c r="A76" s="728"/>
    </row>
    <row r="77" spans="1:1" x14ac:dyDescent="0.25">
      <c r="A77" s="728"/>
    </row>
    <row r="78" spans="1:1" x14ac:dyDescent="0.25">
      <c r="A78" s="728"/>
    </row>
    <row r="79" spans="1:1" x14ac:dyDescent="0.25">
      <c r="A79" s="728"/>
    </row>
    <row r="80" spans="1:1" x14ac:dyDescent="0.25">
      <c r="A80" s="728"/>
    </row>
    <row r="81" spans="1:1" x14ac:dyDescent="0.25">
      <c r="A81" s="728"/>
    </row>
    <row r="82" spans="1:1" x14ac:dyDescent="0.25">
      <c r="A82" s="728"/>
    </row>
    <row r="83" spans="1:1" x14ac:dyDescent="0.25">
      <c r="A83" s="728"/>
    </row>
    <row r="84" spans="1:1" x14ac:dyDescent="0.25">
      <c r="A84" s="728"/>
    </row>
    <row r="85" spans="1:1" x14ac:dyDescent="0.25">
      <c r="A85" s="728"/>
    </row>
    <row r="86" spans="1:1" x14ac:dyDescent="0.25">
      <c r="A86" s="728"/>
    </row>
    <row r="87" spans="1:1" x14ac:dyDescent="0.25">
      <c r="A87" s="728"/>
    </row>
    <row r="88" spans="1:1" x14ac:dyDescent="0.25">
      <c r="A88" s="728"/>
    </row>
    <row r="89" spans="1:1" x14ac:dyDescent="0.25">
      <c r="A89" s="728"/>
    </row>
    <row r="90" spans="1:1" x14ac:dyDescent="0.25">
      <c r="A90" s="728"/>
    </row>
    <row r="91" spans="1:1" x14ac:dyDescent="0.25">
      <c r="A91" s="728"/>
    </row>
    <row r="92" spans="1:1" x14ac:dyDescent="0.25">
      <c r="A92" s="728"/>
    </row>
    <row r="93" spans="1:1" x14ac:dyDescent="0.25">
      <c r="A93" s="728"/>
    </row>
    <row r="94" spans="1:1" x14ac:dyDescent="0.25">
      <c r="A94" s="728"/>
    </row>
    <row r="95" spans="1:1" x14ac:dyDescent="0.25">
      <c r="A95" s="728"/>
    </row>
    <row r="96" spans="1:1" x14ac:dyDescent="0.25">
      <c r="A96" s="728"/>
    </row>
    <row r="97" spans="1:1" x14ac:dyDescent="0.25">
      <c r="A97" s="728"/>
    </row>
    <row r="98" spans="1:1" x14ac:dyDescent="0.25">
      <c r="A98" s="728"/>
    </row>
    <row r="99" spans="1:1" x14ac:dyDescent="0.25">
      <c r="A99" s="728"/>
    </row>
    <row r="100" spans="1:1" x14ac:dyDescent="0.25">
      <c r="A100" s="728"/>
    </row>
    <row r="101" spans="1:1" x14ac:dyDescent="0.25">
      <c r="A101" s="728"/>
    </row>
    <row r="102" spans="1:1" x14ac:dyDescent="0.25">
      <c r="A102" s="728"/>
    </row>
    <row r="103" spans="1:1" x14ac:dyDescent="0.25">
      <c r="A103" s="728"/>
    </row>
    <row r="104" spans="1:1" x14ac:dyDescent="0.25">
      <c r="A104" s="728"/>
    </row>
    <row r="105" spans="1:1" x14ac:dyDescent="0.25">
      <c r="A105" s="728"/>
    </row>
    <row r="106" spans="1:1" x14ac:dyDescent="0.25">
      <c r="A106" s="728"/>
    </row>
    <row r="107" spans="1:1" x14ac:dyDescent="0.25">
      <c r="A107" s="728"/>
    </row>
    <row r="108" spans="1:1" x14ac:dyDescent="0.25">
      <c r="A108" s="728"/>
    </row>
    <row r="109" spans="1:1" x14ac:dyDescent="0.25">
      <c r="A109" s="728"/>
    </row>
    <row r="110" spans="1:1" x14ac:dyDescent="0.25">
      <c r="A110" s="728"/>
    </row>
    <row r="111" spans="1:1" x14ac:dyDescent="0.25">
      <c r="A111" s="728"/>
    </row>
    <row r="112" spans="1:1" x14ac:dyDescent="0.25">
      <c r="A112" s="728"/>
    </row>
    <row r="113" spans="1:1" x14ac:dyDescent="0.25">
      <c r="A113" s="728"/>
    </row>
    <row r="114" spans="1:1" x14ac:dyDescent="0.25">
      <c r="A114" s="728"/>
    </row>
    <row r="115" spans="1:1" x14ac:dyDescent="0.25">
      <c r="A115" s="728"/>
    </row>
    <row r="116" spans="1:1" x14ac:dyDescent="0.25">
      <c r="A116" s="728"/>
    </row>
    <row r="117" spans="1:1" x14ac:dyDescent="0.25">
      <c r="A117" s="728"/>
    </row>
    <row r="118" spans="1:1" x14ac:dyDescent="0.25">
      <c r="A118" s="728"/>
    </row>
    <row r="119" spans="1:1" x14ac:dyDescent="0.25">
      <c r="A119" s="728"/>
    </row>
    <row r="120" spans="1:1" x14ac:dyDescent="0.25">
      <c r="A120" s="728"/>
    </row>
    <row r="121" spans="1:1" x14ac:dyDescent="0.25">
      <c r="A121" s="728"/>
    </row>
    <row r="122" spans="1:1" x14ac:dyDescent="0.25">
      <c r="A122" s="728"/>
    </row>
    <row r="123" spans="1:1" x14ac:dyDescent="0.25">
      <c r="A123" s="728"/>
    </row>
    <row r="124" spans="1:1" x14ac:dyDescent="0.25">
      <c r="A124" s="728"/>
    </row>
    <row r="125" spans="1:1" x14ac:dyDescent="0.25">
      <c r="A125" s="728"/>
    </row>
    <row r="126" spans="1:1" x14ac:dyDescent="0.25">
      <c r="A126" s="728"/>
    </row>
    <row r="127" spans="1:1" x14ac:dyDescent="0.25">
      <c r="A127" s="728"/>
    </row>
    <row r="128" spans="1:1" x14ac:dyDescent="0.25">
      <c r="A128" s="728"/>
    </row>
    <row r="129" spans="1:1" x14ac:dyDescent="0.25">
      <c r="A129" s="728"/>
    </row>
    <row r="130" spans="1:1" x14ac:dyDescent="0.25">
      <c r="A130" s="728"/>
    </row>
    <row r="131" spans="1:1" x14ac:dyDescent="0.25">
      <c r="A131" s="728"/>
    </row>
    <row r="132" spans="1:1" x14ac:dyDescent="0.25">
      <c r="A132" s="728"/>
    </row>
    <row r="133" spans="1:1" x14ac:dyDescent="0.25">
      <c r="A133" s="728"/>
    </row>
    <row r="134" spans="1:1" x14ac:dyDescent="0.25">
      <c r="A134" s="728"/>
    </row>
    <row r="135" spans="1:1" x14ac:dyDescent="0.25">
      <c r="A135" s="728"/>
    </row>
    <row r="136" spans="1:1" x14ac:dyDescent="0.25">
      <c r="A136" s="728"/>
    </row>
    <row r="137" spans="1:1" x14ac:dyDescent="0.25">
      <c r="A137" s="728"/>
    </row>
    <row r="138" spans="1:1" x14ac:dyDescent="0.25">
      <c r="A138" s="728"/>
    </row>
    <row r="139" spans="1:1" x14ac:dyDescent="0.25">
      <c r="A139" s="728"/>
    </row>
    <row r="140" spans="1:1" x14ac:dyDescent="0.25">
      <c r="A140" s="728"/>
    </row>
    <row r="141" spans="1:1" x14ac:dyDescent="0.25">
      <c r="A141" s="728"/>
    </row>
    <row r="142" spans="1:1" x14ac:dyDescent="0.25">
      <c r="A142" s="728"/>
    </row>
    <row r="143" spans="1:1" x14ac:dyDescent="0.25">
      <c r="A143" s="728"/>
    </row>
    <row r="144" spans="1:1" x14ac:dyDescent="0.25">
      <c r="A144" s="728"/>
    </row>
    <row r="145" spans="1:1" x14ac:dyDescent="0.25">
      <c r="A145" s="728"/>
    </row>
    <row r="146" spans="1:1" x14ac:dyDescent="0.25">
      <c r="A146" s="728"/>
    </row>
    <row r="147" spans="1:1" x14ac:dyDescent="0.25">
      <c r="A147" s="728"/>
    </row>
    <row r="148" spans="1:1" x14ac:dyDescent="0.25">
      <c r="A148" s="728"/>
    </row>
    <row r="149" spans="1:1" x14ac:dyDescent="0.25">
      <c r="A149" s="728"/>
    </row>
    <row r="150" spans="1:1" x14ac:dyDescent="0.25">
      <c r="A150" s="728"/>
    </row>
    <row r="151" spans="1:1" x14ac:dyDescent="0.25">
      <c r="A151" s="728"/>
    </row>
    <row r="152" spans="1:1" x14ac:dyDescent="0.25">
      <c r="A152" s="728"/>
    </row>
    <row r="153" spans="1:1" x14ac:dyDescent="0.25">
      <c r="A153" s="728"/>
    </row>
    <row r="154" spans="1:1" x14ac:dyDescent="0.25">
      <c r="A154" s="728"/>
    </row>
    <row r="155" spans="1:1" x14ac:dyDescent="0.25">
      <c r="A155" s="728"/>
    </row>
    <row r="156" spans="1:1" x14ac:dyDescent="0.25">
      <c r="A156" s="728"/>
    </row>
    <row r="157" spans="1:1" x14ac:dyDescent="0.25">
      <c r="A157" s="728"/>
    </row>
    <row r="158" spans="1:1" x14ac:dyDescent="0.25">
      <c r="A158" s="728"/>
    </row>
    <row r="159" spans="1:1" x14ac:dyDescent="0.25">
      <c r="A159" s="728"/>
    </row>
    <row r="160" spans="1:1" x14ac:dyDescent="0.25">
      <c r="A160" s="728"/>
    </row>
    <row r="161" spans="1:1" x14ac:dyDescent="0.25">
      <c r="A161" s="728"/>
    </row>
    <row r="162" spans="1:1" x14ac:dyDescent="0.25">
      <c r="A162" s="728"/>
    </row>
    <row r="163" spans="1:1" x14ac:dyDescent="0.25">
      <c r="A163" s="728"/>
    </row>
    <row r="164" spans="1:1" x14ac:dyDescent="0.25">
      <c r="A164" s="728"/>
    </row>
    <row r="165" spans="1:1" x14ac:dyDescent="0.25">
      <c r="A165" s="728"/>
    </row>
    <row r="166" spans="1:1" x14ac:dyDescent="0.25">
      <c r="A166" s="728"/>
    </row>
    <row r="167" spans="1:1" x14ac:dyDescent="0.25">
      <c r="A167" s="728"/>
    </row>
    <row r="168" spans="1:1" x14ac:dyDescent="0.25">
      <c r="A168" s="728"/>
    </row>
    <row r="169" spans="1:1" x14ac:dyDescent="0.25">
      <c r="A169" s="728"/>
    </row>
    <row r="170" spans="1:1" x14ac:dyDescent="0.25">
      <c r="A170" s="728"/>
    </row>
    <row r="171" spans="1:1" x14ac:dyDescent="0.25">
      <c r="A171" s="728"/>
    </row>
    <row r="172" spans="1:1" x14ac:dyDescent="0.25">
      <c r="A172" s="728"/>
    </row>
    <row r="173" spans="1:1" x14ac:dyDescent="0.25">
      <c r="A173" s="728"/>
    </row>
    <row r="174" spans="1:1" x14ac:dyDescent="0.25">
      <c r="A174" s="728"/>
    </row>
  </sheetData>
  <sheetProtection sheet="1" objects="1" scenarios="1"/>
  <mergeCells count="2">
    <mergeCell ref="A1:L2"/>
    <mergeCell ref="M13:M17"/>
  </mergeCells>
  <pageMargins left="0.7" right="0.7" top="0.75" bottom="0.75" header="0.3" footer="0.3"/>
  <pageSetup orientation="portrait" horizontalDpi="0" verticalDpi="0"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7A2C6-1A03-4197-9B91-511AAE5F7D05}">
  <sheetPr>
    <tabColor rgb="FF0070C0"/>
  </sheetPr>
  <dimension ref="A1:K51"/>
  <sheetViews>
    <sheetView tabSelected="1" workbookViewId="0">
      <pane xSplit="1" ySplit="5" topLeftCell="B6" activePane="bottomRight" state="frozen"/>
      <selection pane="topRight" activeCell="B1" sqref="B1"/>
      <selection pane="bottomLeft" activeCell="A6" sqref="A6"/>
      <selection pane="bottomRight" activeCell="M24" sqref="M24"/>
    </sheetView>
  </sheetViews>
  <sheetFormatPr defaultRowHeight="14.4" x14ac:dyDescent="0.3"/>
  <cols>
    <col min="1" max="1" width="10.77734375" bestFit="1" customWidth="1"/>
    <col min="2" max="2" width="16.21875" customWidth="1"/>
    <col min="3" max="3" width="7.109375" customWidth="1"/>
    <col min="4" max="4" width="9.44140625" customWidth="1"/>
    <col min="5" max="5" width="4.44140625" bestFit="1" customWidth="1"/>
    <col min="6" max="6" width="6.5546875" bestFit="1" customWidth="1"/>
    <col min="7" max="7" width="4.44140625" bestFit="1" customWidth="1"/>
    <col min="8" max="8" width="6.5546875" bestFit="1" customWidth="1"/>
    <col min="9" max="9" width="3.77734375" bestFit="1" customWidth="1"/>
    <col min="10" max="10" width="11.21875" bestFit="1" customWidth="1"/>
    <col min="11" max="11" width="8.44140625" bestFit="1" customWidth="1"/>
  </cols>
  <sheetData>
    <row r="1" spans="1:11" x14ac:dyDescent="0.3">
      <c r="A1" s="1127" t="s">
        <v>94</v>
      </c>
      <c r="B1" s="1148" t="s">
        <v>357</v>
      </c>
      <c r="C1" s="1149"/>
      <c r="D1" s="1150" t="s">
        <v>516</v>
      </c>
      <c r="E1" s="1149"/>
      <c r="F1" s="1149"/>
      <c r="G1" s="1149"/>
      <c r="H1" s="1149"/>
      <c r="I1" s="1149"/>
      <c r="J1" s="1149"/>
    </row>
    <row r="2" spans="1:11" ht="15" thickBot="1" x14ac:dyDescent="0.35"/>
    <row r="3" spans="1:11" ht="15" thickBot="1" x14ac:dyDescent="0.35">
      <c r="A3" s="1135"/>
      <c r="B3" s="1146" t="s">
        <v>515</v>
      </c>
      <c r="C3" s="1141"/>
      <c r="D3" s="1142"/>
      <c r="E3" s="1134"/>
      <c r="F3" s="1134"/>
      <c r="G3" s="1134"/>
      <c r="H3" s="1134"/>
      <c r="I3" s="1134"/>
      <c r="J3" s="1135"/>
      <c r="K3" s="1135"/>
    </row>
    <row r="4" spans="1:11" ht="15" thickBot="1" x14ac:dyDescent="0.35">
      <c r="A4" s="1136"/>
      <c r="B4" s="1145">
        <v>1</v>
      </c>
      <c r="C4" s="1144"/>
      <c r="D4" s="1145">
        <v>2</v>
      </c>
      <c r="E4" s="1144"/>
      <c r="F4" s="1145">
        <v>3</v>
      </c>
      <c r="G4" s="1144"/>
      <c r="H4" s="1145">
        <v>4</v>
      </c>
      <c r="I4" s="1145"/>
      <c r="J4" s="1138" t="s">
        <v>519</v>
      </c>
      <c r="K4" s="1138" t="s">
        <v>517</v>
      </c>
    </row>
    <row r="5" spans="1:11" ht="15" thickBot="1" x14ac:dyDescent="0.35">
      <c r="A5" s="1137" t="s">
        <v>521</v>
      </c>
      <c r="B5" s="1147" t="s">
        <v>520</v>
      </c>
      <c r="C5" s="1140" t="s">
        <v>518</v>
      </c>
      <c r="D5" s="1143" t="s">
        <v>520</v>
      </c>
      <c r="E5" s="1140" t="s">
        <v>518</v>
      </c>
      <c r="F5" s="1143" t="s">
        <v>520</v>
      </c>
      <c r="G5" s="1140" t="s">
        <v>518</v>
      </c>
      <c r="H5" s="1143" t="s">
        <v>520</v>
      </c>
      <c r="I5" s="1151" t="s">
        <v>518</v>
      </c>
      <c r="J5" s="1139"/>
      <c r="K5" s="1139"/>
    </row>
    <row r="6" spans="1:11" x14ac:dyDescent="0.3">
      <c r="A6" s="1131">
        <v>1975</v>
      </c>
      <c r="B6" s="1129">
        <v>3030.3862905902447</v>
      </c>
      <c r="C6" s="1130">
        <v>0.83838383838383834</v>
      </c>
      <c r="D6" s="1129">
        <v>584.17085119811952</v>
      </c>
      <c r="E6" s="1130">
        <v>0.16161616161616163</v>
      </c>
      <c r="F6" s="1129"/>
      <c r="G6" s="1130">
        <v>0</v>
      </c>
      <c r="H6" s="1129"/>
      <c r="I6" s="1130">
        <v>0</v>
      </c>
      <c r="J6" s="1132">
        <v>3614.5571417883643</v>
      </c>
      <c r="K6" s="1133">
        <v>1</v>
      </c>
    </row>
    <row r="7" spans="1:11" x14ac:dyDescent="0.3">
      <c r="A7" s="1128">
        <v>1976</v>
      </c>
      <c r="B7" s="1129">
        <v>33488.472765483421</v>
      </c>
      <c r="C7" s="1130">
        <v>0.95743419644453542</v>
      </c>
      <c r="D7" s="1129">
        <v>1488.8373095525512</v>
      </c>
      <c r="E7" s="1130">
        <v>4.2565803555464521E-2</v>
      </c>
      <c r="F7" s="1129"/>
      <c r="G7" s="1130">
        <v>0</v>
      </c>
      <c r="H7" s="1129"/>
      <c r="I7" s="1130">
        <v>0</v>
      </c>
      <c r="J7" s="1129">
        <v>34977.310075035974</v>
      </c>
      <c r="K7" s="1130">
        <v>1</v>
      </c>
    </row>
    <row r="8" spans="1:11" x14ac:dyDescent="0.3">
      <c r="A8" s="1128">
        <v>1977</v>
      </c>
      <c r="B8" s="1129">
        <v>37666.723467891985</v>
      </c>
      <c r="C8" s="1130">
        <v>0.96474858293226207</v>
      </c>
      <c r="D8" s="1129">
        <v>1376.3227042076305</v>
      </c>
      <c r="E8" s="1130">
        <v>3.5251417067737878E-2</v>
      </c>
      <c r="F8" s="1129"/>
      <c r="G8" s="1130">
        <v>0</v>
      </c>
      <c r="H8" s="1129"/>
      <c r="I8" s="1130">
        <v>0</v>
      </c>
      <c r="J8" s="1129">
        <v>39043.046172099617</v>
      </c>
      <c r="K8" s="1130">
        <v>1</v>
      </c>
    </row>
    <row r="9" spans="1:11" x14ac:dyDescent="0.3">
      <c r="A9" s="1128">
        <v>1978</v>
      </c>
      <c r="B9" s="1129">
        <v>28257.537706704265</v>
      </c>
      <c r="C9" s="1130">
        <v>0.95692703523658074</v>
      </c>
      <c r="D9" s="1129">
        <v>1271.9213494067008</v>
      </c>
      <c r="E9" s="1130">
        <v>4.3072964763419305E-2</v>
      </c>
      <c r="F9" s="1129"/>
      <c r="G9" s="1130">
        <v>0</v>
      </c>
      <c r="H9" s="1129"/>
      <c r="I9" s="1130">
        <v>0</v>
      </c>
      <c r="J9" s="1129">
        <v>29529.459056110965</v>
      </c>
      <c r="K9" s="1130">
        <v>1</v>
      </c>
    </row>
    <row r="10" spans="1:11" x14ac:dyDescent="0.3">
      <c r="A10" s="1128">
        <v>1979</v>
      </c>
      <c r="B10" s="1129">
        <v>46102.526477538966</v>
      </c>
      <c r="C10" s="1130">
        <v>0.93485246803260835</v>
      </c>
      <c r="D10" s="1129">
        <v>3212.7698435602028</v>
      </c>
      <c r="E10" s="1130">
        <v>6.5147531967391717E-2</v>
      </c>
      <c r="F10" s="1129"/>
      <c r="G10" s="1130">
        <v>0</v>
      </c>
      <c r="H10" s="1129"/>
      <c r="I10" s="1130">
        <v>0</v>
      </c>
      <c r="J10" s="1129">
        <v>49315.296321099166</v>
      </c>
      <c r="K10" s="1130">
        <v>1</v>
      </c>
    </row>
    <row r="11" spans="1:11" x14ac:dyDescent="0.3">
      <c r="A11" s="1128">
        <v>1980</v>
      </c>
      <c r="B11" s="1129">
        <v>121408.17151625492</v>
      </c>
      <c r="C11" s="1130">
        <v>0.9420351540841988</v>
      </c>
      <c r="D11" s="1129">
        <v>7470.4281728215365</v>
      </c>
      <c r="E11" s="1130">
        <v>5.7964845915801158E-2</v>
      </c>
      <c r="F11" s="1129"/>
      <c r="G11" s="1130">
        <v>0</v>
      </c>
      <c r="H11" s="1129"/>
      <c r="I11" s="1130">
        <v>0</v>
      </c>
      <c r="J11" s="1129">
        <v>128878.59968907647</v>
      </c>
      <c r="K11" s="1130">
        <v>1</v>
      </c>
    </row>
    <row r="12" spans="1:11" x14ac:dyDescent="0.3">
      <c r="A12" s="1128">
        <v>1981</v>
      </c>
      <c r="B12" s="1129">
        <v>119546.77348021268</v>
      </c>
      <c r="C12" s="1130">
        <v>0.98211700518911105</v>
      </c>
      <c r="D12" s="1129">
        <v>2176.7817057535849</v>
      </c>
      <c r="E12" s="1130">
        <v>1.7882994810888911E-2</v>
      </c>
      <c r="F12" s="1129"/>
      <c r="G12" s="1130">
        <v>0</v>
      </c>
      <c r="H12" s="1129"/>
      <c r="I12" s="1130">
        <v>0</v>
      </c>
      <c r="J12" s="1129">
        <v>121723.55518596627</v>
      </c>
      <c r="K12" s="1130">
        <v>1</v>
      </c>
    </row>
    <row r="13" spans="1:11" x14ac:dyDescent="0.3">
      <c r="A13" s="1128">
        <v>1982</v>
      </c>
      <c r="B13" s="1129">
        <v>54013.666008497989</v>
      </c>
      <c r="C13" s="1130">
        <v>0.96109571028543339</v>
      </c>
      <c r="D13" s="1129">
        <v>2186.4246073019758</v>
      </c>
      <c r="E13" s="1130">
        <v>3.8904289714566574E-2</v>
      </c>
      <c r="F13" s="1129"/>
      <c r="G13" s="1130">
        <v>0</v>
      </c>
      <c r="H13" s="1129"/>
      <c r="I13" s="1130">
        <v>0</v>
      </c>
      <c r="J13" s="1129">
        <v>56200.090615799963</v>
      </c>
      <c r="K13" s="1130">
        <v>1</v>
      </c>
    </row>
    <row r="14" spans="1:11" x14ac:dyDescent="0.3">
      <c r="A14" s="1128">
        <v>1983</v>
      </c>
      <c r="B14" s="1129">
        <v>49479.528604049476</v>
      </c>
      <c r="C14" s="1130">
        <v>0.97080162903576106</v>
      </c>
      <c r="D14" s="1129">
        <v>1488.1738844542992</v>
      </c>
      <c r="E14" s="1130">
        <v>2.9198370964238975E-2</v>
      </c>
      <c r="F14" s="1129"/>
      <c r="G14" s="1130">
        <v>0</v>
      </c>
      <c r="H14" s="1129"/>
      <c r="I14" s="1130">
        <v>0</v>
      </c>
      <c r="J14" s="1129">
        <v>50967.702488503775</v>
      </c>
      <c r="K14" s="1130">
        <v>1</v>
      </c>
    </row>
    <row r="15" spans="1:11" x14ac:dyDescent="0.3">
      <c r="A15" s="1128">
        <v>1984</v>
      </c>
      <c r="B15" s="1129">
        <v>129394.43208021169</v>
      </c>
      <c r="C15" s="1130">
        <v>0.99226767981621455</v>
      </c>
      <c r="D15" s="1129">
        <v>1008.3157994509895</v>
      </c>
      <c r="E15" s="1130">
        <v>7.7323201837853619E-3</v>
      </c>
      <c r="F15" s="1129"/>
      <c r="G15" s="1130">
        <v>0</v>
      </c>
      <c r="H15" s="1129"/>
      <c r="I15" s="1130">
        <v>0</v>
      </c>
      <c r="J15" s="1129">
        <v>130402.74787966268</v>
      </c>
      <c r="K15" s="1130">
        <v>1</v>
      </c>
    </row>
    <row r="16" spans="1:11" x14ac:dyDescent="0.3">
      <c r="A16" s="1128">
        <v>1985</v>
      </c>
      <c r="B16" s="1129">
        <v>24999.521140768553</v>
      </c>
      <c r="C16" s="1130">
        <v>0.97975502281459637</v>
      </c>
      <c r="D16" s="1129">
        <v>516.57273844530391</v>
      </c>
      <c r="E16" s="1130">
        <v>2.0244977185403717E-2</v>
      </c>
      <c r="F16" s="1129"/>
      <c r="G16" s="1130">
        <v>0</v>
      </c>
      <c r="H16" s="1129"/>
      <c r="I16" s="1130">
        <v>0</v>
      </c>
      <c r="J16" s="1129">
        <v>25516.093879213855</v>
      </c>
      <c r="K16" s="1130">
        <v>1</v>
      </c>
    </row>
    <row r="17" spans="1:11" x14ac:dyDescent="0.3">
      <c r="A17" s="1128">
        <v>1986</v>
      </c>
      <c r="B17" s="1129">
        <v>4116.7279561930391</v>
      </c>
      <c r="C17" s="1130">
        <v>0.91868317840343428</v>
      </c>
      <c r="D17" s="1129">
        <v>364.39029324246178</v>
      </c>
      <c r="E17" s="1130">
        <v>8.131682159656578E-2</v>
      </c>
      <c r="F17" s="1129"/>
      <c r="G17" s="1130">
        <v>0</v>
      </c>
      <c r="H17" s="1129"/>
      <c r="I17" s="1130">
        <v>0</v>
      </c>
      <c r="J17" s="1129">
        <v>4481.1182494355007</v>
      </c>
      <c r="K17" s="1130">
        <v>1</v>
      </c>
    </row>
    <row r="18" spans="1:11" x14ac:dyDescent="0.3">
      <c r="A18" s="1128">
        <v>1987</v>
      </c>
      <c r="B18" s="1129">
        <v>36536.142211147955</v>
      </c>
      <c r="C18" s="1130">
        <v>0.90859996624395856</v>
      </c>
      <c r="D18" s="1129">
        <v>3675.3299091779045</v>
      </c>
      <c r="E18" s="1130">
        <v>9.1400033756041485E-2</v>
      </c>
      <c r="F18" s="1129"/>
      <c r="G18" s="1130">
        <v>0</v>
      </c>
      <c r="H18" s="1129"/>
      <c r="I18" s="1130">
        <v>0</v>
      </c>
      <c r="J18" s="1129">
        <v>40211.47212032586</v>
      </c>
      <c r="K18" s="1130">
        <v>1</v>
      </c>
    </row>
    <row r="19" spans="1:11" x14ac:dyDescent="0.3">
      <c r="A19" s="1128">
        <v>1988</v>
      </c>
      <c r="B19" s="1129">
        <v>53966.41462299566</v>
      </c>
      <c r="C19" s="1130">
        <v>0.88778991644473282</v>
      </c>
      <c r="D19" s="1129">
        <v>6820.9559287121156</v>
      </c>
      <c r="E19" s="1130">
        <v>0.11221008355526715</v>
      </c>
      <c r="F19" s="1129"/>
      <c r="G19" s="1130">
        <v>0</v>
      </c>
      <c r="H19" s="1129"/>
      <c r="I19" s="1130">
        <v>0</v>
      </c>
      <c r="J19" s="1129">
        <v>60787.370551707776</v>
      </c>
      <c r="K19" s="1130">
        <v>1</v>
      </c>
    </row>
    <row r="20" spans="1:11" x14ac:dyDescent="0.3">
      <c r="A20" s="1128">
        <v>1989</v>
      </c>
      <c r="B20" s="1129">
        <v>50763.49739037305</v>
      </c>
      <c r="C20" s="1130">
        <v>0.99751006378032703</v>
      </c>
      <c r="D20" s="1129">
        <v>126.71337902150552</v>
      </c>
      <c r="E20" s="1130">
        <v>2.4899362196729416E-3</v>
      </c>
      <c r="F20" s="1129"/>
      <c r="G20" s="1130">
        <v>0</v>
      </c>
      <c r="H20" s="1129"/>
      <c r="I20" s="1130">
        <v>0</v>
      </c>
      <c r="J20" s="1129">
        <v>50890.210769394558</v>
      </c>
      <c r="K20" s="1130">
        <v>1</v>
      </c>
    </row>
    <row r="21" spans="1:11" x14ac:dyDescent="0.3">
      <c r="A21" s="1128">
        <v>1990</v>
      </c>
      <c r="B21" s="1129">
        <v>376.67254930201847</v>
      </c>
      <c r="C21" s="1130">
        <v>0.91014236966260698</v>
      </c>
      <c r="D21" s="1129">
        <v>37.188580404153036</v>
      </c>
      <c r="E21" s="1130">
        <v>8.9857630337393052E-2</v>
      </c>
      <c r="F21" s="1129"/>
      <c r="G21" s="1130">
        <v>0</v>
      </c>
      <c r="H21" s="1129"/>
      <c r="I21" s="1130">
        <v>0</v>
      </c>
      <c r="J21" s="1129">
        <v>413.86112970617148</v>
      </c>
      <c r="K21" s="1130">
        <v>1</v>
      </c>
    </row>
    <row r="22" spans="1:11" x14ac:dyDescent="0.3">
      <c r="A22" s="1128">
        <v>1991</v>
      </c>
      <c r="B22" s="1129">
        <v>4533.6147615535419</v>
      </c>
      <c r="C22" s="1130">
        <v>0.81862477549524848</v>
      </c>
      <c r="D22" s="1129">
        <v>1004.47166981645</v>
      </c>
      <c r="E22" s="1130">
        <v>0.18137522450475144</v>
      </c>
      <c r="F22" s="1129"/>
      <c r="G22" s="1130">
        <v>0</v>
      </c>
      <c r="H22" s="1129"/>
      <c r="I22" s="1130">
        <v>0</v>
      </c>
      <c r="J22" s="1129">
        <v>5538.0864313699922</v>
      </c>
      <c r="K22" s="1130">
        <v>1</v>
      </c>
    </row>
    <row r="23" spans="1:11" x14ac:dyDescent="0.3">
      <c r="A23" s="1128">
        <v>1992</v>
      </c>
      <c r="B23" s="1129">
        <v>23941.755172168116</v>
      </c>
      <c r="C23" s="1130">
        <v>1</v>
      </c>
      <c r="D23" s="1129">
        <v>0</v>
      </c>
      <c r="E23" s="1130">
        <v>0</v>
      </c>
      <c r="F23" s="1129"/>
      <c r="G23" s="1130">
        <v>0</v>
      </c>
      <c r="H23" s="1129"/>
      <c r="I23" s="1130">
        <v>0</v>
      </c>
      <c r="J23" s="1129">
        <v>23941.755172168116</v>
      </c>
      <c r="K23" s="1130">
        <v>1</v>
      </c>
    </row>
    <row r="24" spans="1:11" x14ac:dyDescent="0.3">
      <c r="A24" s="1128">
        <v>1993</v>
      </c>
      <c r="B24" s="1129">
        <v>37109.85188335662</v>
      </c>
      <c r="C24" s="1130">
        <v>0.99138249483014462</v>
      </c>
      <c r="D24" s="1129">
        <v>322.57412464417507</v>
      </c>
      <c r="E24" s="1130">
        <v>8.6175051698553599E-3</v>
      </c>
      <c r="F24" s="1129"/>
      <c r="G24" s="1130">
        <v>0</v>
      </c>
      <c r="H24" s="1129"/>
      <c r="I24" s="1130">
        <v>0</v>
      </c>
      <c r="J24" s="1129">
        <v>37432.426008000795</v>
      </c>
      <c r="K24" s="1130">
        <v>1</v>
      </c>
    </row>
    <row r="25" spans="1:11" x14ac:dyDescent="0.3">
      <c r="A25" s="1128">
        <v>1994</v>
      </c>
      <c r="B25" s="1129">
        <v>5166.5479726783515</v>
      </c>
      <c r="C25" s="1130">
        <v>1</v>
      </c>
      <c r="D25" s="1129">
        <v>0</v>
      </c>
      <c r="E25" s="1130">
        <v>0</v>
      </c>
      <c r="F25" s="1129"/>
      <c r="G25" s="1130">
        <v>0</v>
      </c>
      <c r="H25" s="1129"/>
      <c r="I25" s="1130">
        <v>0</v>
      </c>
      <c r="J25" s="1129">
        <v>5166.5479726783515</v>
      </c>
      <c r="K25" s="1130">
        <v>1</v>
      </c>
    </row>
    <row r="26" spans="1:11" x14ac:dyDescent="0.3">
      <c r="A26" s="1128">
        <v>1995</v>
      </c>
      <c r="B26" s="1129">
        <v>13219.034834291835</v>
      </c>
      <c r="C26" s="1130">
        <v>0.90946922506757544</v>
      </c>
      <c r="D26" s="1129">
        <v>1315.8548243545411</v>
      </c>
      <c r="E26" s="1130">
        <v>9.0530774932424604E-2</v>
      </c>
      <c r="F26" s="1129"/>
      <c r="G26" s="1130">
        <v>0</v>
      </c>
      <c r="H26" s="1129"/>
      <c r="I26" s="1130">
        <v>0</v>
      </c>
      <c r="J26" s="1129">
        <v>14534.889658646376</v>
      </c>
      <c r="K26" s="1130">
        <v>1</v>
      </c>
    </row>
    <row r="27" spans="1:11" x14ac:dyDescent="0.3">
      <c r="A27" s="1128">
        <v>1996</v>
      </c>
      <c r="B27" s="1129">
        <v>68718.375223337498</v>
      </c>
      <c r="C27" s="1130">
        <v>0.96927055684376706</v>
      </c>
      <c r="D27" s="1129">
        <v>2141.4107452315602</v>
      </c>
      <c r="E27" s="1130">
        <v>3.020453232073686E-2</v>
      </c>
      <c r="F27" s="1129">
        <v>37.214603804611905</v>
      </c>
      <c r="G27" s="1130">
        <v>5.2491083549609664E-4</v>
      </c>
      <c r="H27" s="1129"/>
      <c r="I27" s="1130">
        <v>0</v>
      </c>
      <c r="J27" s="1129">
        <v>70897.000572373669</v>
      </c>
      <c r="K27" s="1130">
        <v>1</v>
      </c>
    </row>
    <row r="28" spans="1:11" x14ac:dyDescent="0.3">
      <c r="A28" s="1128">
        <v>1997</v>
      </c>
      <c r="B28" s="1129">
        <v>99782.301103107049</v>
      </c>
      <c r="C28" s="1130">
        <v>0.94238598196239531</v>
      </c>
      <c r="D28" s="1129">
        <v>3272.0135511630515</v>
      </c>
      <c r="E28" s="1130">
        <v>3.0902270937015319E-2</v>
      </c>
      <c r="F28" s="1129">
        <v>1042.0089065291334</v>
      </c>
      <c r="G28" s="1130">
        <v>9.8411699844276508E-3</v>
      </c>
      <c r="H28" s="1129">
        <v>1786.3009826213715</v>
      </c>
      <c r="I28" s="1130">
        <v>1.6870577116161689E-2</v>
      </c>
      <c r="J28" s="1129">
        <v>105882.62454342061</v>
      </c>
      <c r="K28" s="1130">
        <v>1</v>
      </c>
    </row>
    <row r="29" spans="1:11" x14ac:dyDescent="0.3">
      <c r="A29" s="1128">
        <v>1998</v>
      </c>
      <c r="B29" s="1129">
        <v>10278.26632286793</v>
      </c>
      <c r="C29" s="1130">
        <v>0.76984445858956807</v>
      </c>
      <c r="D29" s="1129">
        <v>467.80617831427406</v>
      </c>
      <c r="E29" s="1130">
        <v>3.5038787939162722E-2</v>
      </c>
      <c r="F29" s="1129">
        <v>2605.0222663228333</v>
      </c>
      <c r="G29" s="1130">
        <v>0.19511675347126925</v>
      </c>
      <c r="H29" s="1129"/>
      <c r="I29" s="1130">
        <v>0</v>
      </c>
      <c r="J29" s="1129">
        <v>13351.094767505037</v>
      </c>
      <c r="K29" s="1130">
        <v>1</v>
      </c>
    </row>
    <row r="30" spans="1:11" x14ac:dyDescent="0.3">
      <c r="A30" s="1128">
        <v>1999</v>
      </c>
      <c r="B30" s="1129">
        <v>18496.831784071186</v>
      </c>
      <c r="C30" s="1130">
        <v>0.74343567309839464</v>
      </c>
      <c r="D30" s="1129">
        <v>4500.8032080121093</v>
      </c>
      <c r="E30" s="1130">
        <v>0.1808989615893789</v>
      </c>
      <c r="F30" s="1129">
        <v>1882.5697833783065</v>
      </c>
      <c r="G30" s="1130">
        <v>7.566536531222659E-2</v>
      </c>
      <c r="H30" s="1129"/>
      <c r="I30" s="1130">
        <v>0</v>
      </c>
      <c r="J30" s="1129">
        <v>24880.2047754616</v>
      </c>
      <c r="K30" s="1130">
        <v>1</v>
      </c>
    </row>
    <row r="31" spans="1:11" x14ac:dyDescent="0.3">
      <c r="A31" s="1128">
        <v>2000</v>
      </c>
      <c r="B31" s="1129">
        <v>110554.48583551342</v>
      </c>
      <c r="C31" s="1130">
        <v>0.98559244019059888</v>
      </c>
      <c r="D31" s="1129">
        <v>1616.1044889556247</v>
      </c>
      <c r="E31" s="1130">
        <v>1.4407559809401177E-2</v>
      </c>
      <c r="F31" s="1129"/>
      <c r="G31" s="1130">
        <v>0</v>
      </c>
      <c r="H31" s="1129"/>
      <c r="I31" s="1130">
        <v>0</v>
      </c>
      <c r="J31" s="1129">
        <v>112170.59032446904</v>
      </c>
      <c r="K31" s="1130">
        <v>1</v>
      </c>
    </row>
    <row r="32" spans="1:11" x14ac:dyDescent="0.3">
      <c r="A32" s="1128">
        <v>2001</v>
      </c>
      <c r="B32" s="1129">
        <v>67212.656991006137</v>
      </c>
      <c r="C32" s="1130">
        <v>0.97529577507157084</v>
      </c>
      <c r="D32" s="1129">
        <v>1702.4954262939573</v>
      </c>
      <c r="E32" s="1130">
        <v>2.4704224928429119E-2</v>
      </c>
      <c r="F32" s="1129"/>
      <c r="G32" s="1130">
        <v>0</v>
      </c>
      <c r="H32" s="1129"/>
      <c r="I32" s="1130">
        <v>0</v>
      </c>
      <c r="J32" s="1129">
        <v>68915.152417300094</v>
      </c>
      <c r="K32" s="1130">
        <v>1</v>
      </c>
    </row>
    <row r="33" spans="1:11" x14ac:dyDescent="0.3">
      <c r="A33" s="1128">
        <v>2002</v>
      </c>
      <c r="B33" s="1129">
        <v>27870.016179626902</v>
      </c>
      <c r="C33" s="1130">
        <v>0.99012795676525223</v>
      </c>
      <c r="D33" s="1129">
        <v>277.87722061425347</v>
      </c>
      <c r="E33" s="1130">
        <v>9.8720432347478189E-3</v>
      </c>
      <c r="F33" s="1129"/>
      <c r="G33" s="1130">
        <v>0</v>
      </c>
      <c r="H33" s="1129"/>
      <c r="I33" s="1130">
        <v>0</v>
      </c>
      <c r="J33" s="1129">
        <v>28147.893400241155</v>
      </c>
      <c r="K33" s="1130">
        <v>1</v>
      </c>
    </row>
    <row r="34" spans="1:11" x14ac:dyDescent="0.3">
      <c r="A34" s="1128">
        <v>2003</v>
      </c>
      <c r="B34" s="1129">
        <v>15620.567257520952</v>
      </c>
      <c r="C34" s="1130">
        <v>0.86272160620743676</v>
      </c>
      <c r="D34" s="1129">
        <v>2485.583260940818</v>
      </c>
      <c r="E34" s="1130">
        <v>0.13727839379256324</v>
      </c>
      <c r="F34" s="1129"/>
      <c r="G34" s="1130">
        <v>0</v>
      </c>
      <c r="H34" s="1129"/>
      <c r="I34" s="1130">
        <v>0</v>
      </c>
      <c r="J34" s="1129">
        <v>18106.150518461771</v>
      </c>
      <c r="K34" s="1130">
        <v>1</v>
      </c>
    </row>
    <row r="35" spans="1:11" x14ac:dyDescent="0.3">
      <c r="A35" s="1128">
        <v>2004</v>
      </c>
      <c r="B35" s="1129">
        <v>206294.65042819289</v>
      </c>
      <c r="C35" s="1130">
        <v>0.97416912365014885</v>
      </c>
      <c r="D35" s="1129">
        <v>5470.0682637937016</v>
      </c>
      <c r="E35" s="1130">
        <v>2.5830876349851071E-2</v>
      </c>
      <c r="F35" s="1129"/>
      <c r="G35" s="1130">
        <v>0</v>
      </c>
      <c r="H35" s="1129"/>
      <c r="I35" s="1130">
        <v>0</v>
      </c>
      <c r="J35" s="1129">
        <v>211764.71869198661</v>
      </c>
      <c r="K35" s="1130">
        <v>1</v>
      </c>
    </row>
    <row r="36" spans="1:11" x14ac:dyDescent="0.3">
      <c r="A36" s="1128">
        <v>2005</v>
      </c>
      <c r="B36" s="1129">
        <v>182776.69487968512</v>
      </c>
      <c r="C36" s="1130">
        <v>0.9879765694684437</v>
      </c>
      <c r="D36" s="1129">
        <v>2224.3471774393779</v>
      </c>
      <c r="E36" s="1130">
        <v>1.2023430531556387E-2</v>
      </c>
      <c r="F36" s="1129"/>
      <c r="G36" s="1130">
        <v>0</v>
      </c>
      <c r="H36" s="1129"/>
      <c r="I36" s="1130">
        <v>0</v>
      </c>
      <c r="J36" s="1129">
        <v>185001.04205712449</v>
      </c>
      <c r="K36" s="1130">
        <v>1</v>
      </c>
    </row>
    <row r="37" spans="1:11" x14ac:dyDescent="0.3">
      <c r="A37" s="1128">
        <v>2006</v>
      </c>
      <c r="B37" s="1129">
        <v>348049.28810650436</v>
      </c>
      <c r="C37" s="1130">
        <v>0.96561928122470819</v>
      </c>
      <c r="D37" s="1129">
        <v>12392.238770494896</v>
      </c>
      <c r="E37" s="1130">
        <v>3.4380718775291814E-2</v>
      </c>
      <c r="F37" s="1129"/>
      <c r="G37" s="1130">
        <v>0</v>
      </c>
      <c r="H37" s="1129"/>
      <c r="I37" s="1130">
        <v>0</v>
      </c>
      <c r="J37" s="1129">
        <v>360441.52687699924</v>
      </c>
      <c r="K37" s="1130">
        <v>1</v>
      </c>
    </row>
    <row r="38" spans="1:11" x14ac:dyDescent="0.3">
      <c r="A38" s="1128">
        <v>2007</v>
      </c>
      <c r="B38" s="1129">
        <v>107382.59809026493</v>
      </c>
      <c r="C38" s="1130">
        <v>0.90155925785397617</v>
      </c>
      <c r="D38" s="1129">
        <v>11725.044757164498</v>
      </c>
      <c r="E38" s="1130">
        <v>9.8440742146023802E-2</v>
      </c>
      <c r="F38" s="1129"/>
      <c r="G38" s="1130">
        <v>0</v>
      </c>
      <c r="H38" s="1129"/>
      <c r="I38" s="1130">
        <v>0</v>
      </c>
      <c r="J38" s="1129">
        <v>119107.64284742944</v>
      </c>
      <c r="K38" s="1130">
        <v>1</v>
      </c>
    </row>
    <row r="39" spans="1:11" x14ac:dyDescent="0.3">
      <c r="A39" s="1128">
        <v>2008</v>
      </c>
      <c r="B39" s="1129">
        <v>460159.93262415053</v>
      </c>
      <c r="C39" s="1130">
        <v>0.97600480531060452</v>
      </c>
      <c r="D39" s="1129">
        <v>11313.086894138456</v>
      </c>
      <c r="E39" s="1130">
        <v>2.3995194689395385E-2</v>
      </c>
      <c r="F39" s="1129"/>
      <c r="G39" s="1130">
        <v>0</v>
      </c>
      <c r="H39" s="1129"/>
      <c r="I39" s="1130">
        <v>0</v>
      </c>
      <c r="J39" s="1129">
        <v>471473.01951828902</v>
      </c>
      <c r="K39" s="1130">
        <v>1</v>
      </c>
    </row>
    <row r="40" spans="1:11" x14ac:dyDescent="0.3">
      <c r="A40" s="1128">
        <v>2009</v>
      </c>
      <c r="B40" s="1129">
        <v>124234.6186886669</v>
      </c>
      <c r="C40" s="1130">
        <v>0.98126188378438084</v>
      </c>
      <c r="D40" s="1129">
        <v>2372.3765912657295</v>
      </c>
      <c r="E40" s="1130">
        <v>1.8738116215619202E-2</v>
      </c>
      <c r="F40" s="1129"/>
      <c r="G40" s="1130">
        <v>0</v>
      </c>
      <c r="H40" s="1129"/>
      <c r="I40" s="1130">
        <v>0</v>
      </c>
      <c r="J40" s="1129">
        <v>126606.99527993263</v>
      </c>
      <c r="K40" s="1130">
        <v>1</v>
      </c>
    </row>
    <row r="41" spans="1:11" x14ac:dyDescent="0.3">
      <c r="A41" s="1128">
        <v>2010</v>
      </c>
      <c r="B41" s="1129">
        <v>563584.3809741739</v>
      </c>
      <c r="C41" s="1130">
        <v>0.98785174886237404</v>
      </c>
      <c r="D41" s="1129">
        <v>6930.7612252570989</v>
      </c>
      <c r="E41" s="1130">
        <v>1.2148251137626005E-2</v>
      </c>
      <c r="F41" s="1129"/>
      <c r="G41" s="1130">
        <v>0</v>
      </c>
      <c r="H41" s="1129"/>
      <c r="I41" s="1130">
        <v>0</v>
      </c>
      <c r="J41" s="1129">
        <v>570515.14219943096</v>
      </c>
      <c r="K41" s="1130">
        <v>1</v>
      </c>
    </row>
    <row r="42" spans="1:11" x14ac:dyDescent="0.3">
      <c r="A42" s="1128">
        <v>2011</v>
      </c>
      <c r="B42" s="1129">
        <v>362821.17288814828</v>
      </c>
      <c r="C42" s="1130">
        <v>0.99620536120412884</v>
      </c>
      <c r="D42" s="1129">
        <v>1382.0195636577657</v>
      </c>
      <c r="E42" s="1130">
        <v>3.7946387958711931E-3</v>
      </c>
      <c r="F42" s="1129"/>
      <c r="G42" s="1130">
        <v>0</v>
      </c>
      <c r="H42" s="1129"/>
      <c r="I42" s="1130">
        <v>0</v>
      </c>
      <c r="J42" s="1129">
        <v>364203.19245180604</v>
      </c>
      <c r="K42" s="1130">
        <v>1</v>
      </c>
    </row>
    <row r="43" spans="1:11" x14ac:dyDescent="0.3">
      <c r="A43" s="1128">
        <v>2012</v>
      </c>
      <c r="B43" s="1129">
        <v>274835.01445310091</v>
      </c>
      <c r="C43" s="1130">
        <v>0.99559498975157001</v>
      </c>
      <c r="D43" s="1129">
        <v>1216.0075811504371</v>
      </c>
      <c r="E43" s="1130">
        <v>4.4050102484299424E-3</v>
      </c>
      <c r="F43" s="1129"/>
      <c r="G43" s="1130">
        <v>0</v>
      </c>
      <c r="H43" s="1129"/>
      <c r="I43" s="1130">
        <v>0</v>
      </c>
      <c r="J43" s="1129">
        <v>276051.02203425136</v>
      </c>
      <c r="K43" s="1130">
        <v>1</v>
      </c>
    </row>
    <row r="44" spans="1:11" x14ac:dyDescent="0.3">
      <c r="A44" s="1128">
        <v>2013</v>
      </c>
      <c r="B44" s="1129">
        <v>49001.565047206692</v>
      </c>
      <c r="C44" s="1130">
        <v>0.97297678140976951</v>
      </c>
      <c r="D44" s="1129">
        <v>1360.957454313997</v>
      </c>
      <c r="E44" s="1130">
        <v>2.7023218590230526E-2</v>
      </c>
      <c r="F44" s="1129"/>
      <c r="G44" s="1130">
        <v>0</v>
      </c>
      <c r="H44" s="1129"/>
      <c r="I44" s="1130">
        <v>0</v>
      </c>
      <c r="J44" s="1129">
        <v>50362.522501520689</v>
      </c>
      <c r="K44" s="1130">
        <v>1</v>
      </c>
    </row>
    <row r="45" spans="1:11" x14ac:dyDescent="0.3">
      <c r="A45" s="1128">
        <v>2014</v>
      </c>
      <c r="B45" s="1129">
        <v>217098.13536936534</v>
      </c>
      <c r="C45" s="1130">
        <v>0.99643856073260939</v>
      </c>
      <c r="D45" s="1129">
        <v>775.94530626481708</v>
      </c>
      <c r="E45" s="1130">
        <v>3.5614392673906014E-3</v>
      </c>
      <c r="F45" s="1129"/>
      <c r="G45" s="1130">
        <v>0</v>
      </c>
      <c r="H45" s="1129"/>
      <c r="I45" s="1130">
        <v>0</v>
      </c>
      <c r="J45" s="1129">
        <v>217874.08067563016</v>
      </c>
      <c r="K45" s="1130">
        <v>1</v>
      </c>
    </row>
    <row r="46" spans="1:11" x14ac:dyDescent="0.3">
      <c r="A46" s="1128">
        <v>2015</v>
      </c>
      <c r="B46" s="1129">
        <v>34166.010646392184</v>
      </c>
      <c r="C46" s="1130">
        <v>0.97947282629467469</v>
      </c>
      <c r="D46" s="1129">
        <v>716.02970141561968</v>
      </c>
      <c r="E46" s="1130">
        <v>2.0527173705325391E-2</v>
      </c>
      <c r="F46" s="1129"/>
      <c r="G46" s="1130">
        <v>0</v>
      </c>
      <c r="H46" s="1129"/>
      <c r="I46" s="1130">
        <v>0</v>
      </c>
      <c r="J46" s="1129">
        <v>34882.040347807801</v>
      </c>
      <c r="K46" s="1130">
        <v>1</v>
      </c>
    </row>
    <row r="47" spans="1:11" x14ac:dyDescent="0.3">
      <c r="A47" s="1128">
        <v>2016</v>
      </c>
      <c r="B47" s="1129">
        <v>316809.64667745848</v>
      </c>
      <c r="C47" s="1130">
        <v>0.99732031715654279</v>
      </c>
      <c r="D47" s="1129">
        <v>851.23040234833843</v>
      </c>
      <c r="E47" s="1130">
        <v>2.6796828434572429E-3</v>
      </c>
      <c r="F47" s="1129"/>
      <c r="G47" s="1130">
        <v>0</v>
      </c>
      <c r="H47" s="1129"/>
      <c r="I47" s="1130">
        <v>0</v>
      </c>
      <c r="J47" s="1129">
        <v>317660.87707980681</v>
      </c>
      <c r="K47" s="1130">
        <v>1</v>
      </c>
    </row>
    <row r="48" spans="1:11" x14ac:dyDescent="0.3">
      <c r="A48" s="1128">
        <v>2017</v>
      </c>
      <c r="B48" s="1129">
        <v>81310.648875519051</v>
      </c>
      <c r="C48" s="1130">
        <v>0.93692171832504989</v>
      </c>
      <c r="D48" s="1129">
        <v>5474.2417777570918</v>
      </c>
      <c r="E48" s="1130">
        <v>6.307828167495004E-2</v>
      </c>
      <c r="F48" s="1129"/>
      <c r="G48" s="1130">
        <v>0</v>
      </c>
      <c r="H48" s="1129"/>
      <c r="I48" s="1130">
        <v>0</v>
      </c>
      <c r="J48" s="1129">
        <v>86784.890653276147</v>
      </c>
      <c r="K48" s="1130">
        <v>1</v>
      </c>
    </row>
    <row r="49" spans="1:11" x14ac:dyDescent="0.3">
      <c r="A49" s="1128">
        <v>2018</v>
      </c>
      <c r="B49" s="1129">
        <v>535251.09709238063</v>
      </c>
      <c r="C49" s="1130">
        <v>0.99203337453070839</v>
      </c>
      <c r="D49" s="1129">
        <v>4298.3886752596673</v>
      </c>
      <c r="E49" s="1130">
        <v>7.9666254692915967E-3</v>
      </c>
      <c r="F49" s="1129"/>
      <c r="G49" s="1130">
        <v>0</v>
      </c>
      <c r="H49" s="1129"/>
      <c r="I49" s="1130">
        <v>0</v>
      </c>
      <c r="J49" s="1129">
        <v>539549.48576764029</v>
      </c>
      <c r="K49" s="1130">
        <v>1</v>
      </c>
    </row>
    <row r="50" spans="1:11" x14ac:dyDescent="0.3">
      <c r="A50" s="1128">
        <v>2019</v>
      </c>
      <c r="B50" s="1129">
        <v>10745.971688149169</v>
      </c>
      <c r="C50" s="1130">
        <v>1</v>
      </c>
      <c r="D50" s="1129"/>
      <c r="E50" s="1130">
        <v>0</v>
      </c>
      <c r="F50" s="1129"/>
      <c r="G50" s="1130">
        <v>0</v>
      </c>
      <c r="H50" s="1129"/>
      <c r="I50" s="1130">
        <v>0</v>
      </c>
      <c r="J50" s="1129">
        <v>10745.971688149169</v>
      </c>
      <c r="K50" s="1130">
        <v>1</v>
      </c>
    </row>
    <row r="51" spans="1:11" x14ac:dyDescent="0.3">
      <c r="A51" s="1128" t="s">
        <v>514</v>
      </c>
      <c r="B51" s="1129">
        <v>5170172.9261186747</v>
      </c>
      <c r="C51" s="1130">
        <v>0.97569926697987186</v>
      </c>
      <c r="D51" s="1129">
        <v>121415.03589677335</v>
      </c>
      <c r="E51" s="1130">
        <v>2.2913075291226222E-2</v>
      </c>
      <c r="F51" s="1129">
        <v>5566.8155600348855</v>
      </c>
      <c r="G51" s="1130">
        <v>1.0505524551991567E-3</v>
      </c>
      <c r="H51" s="1129">
        <v>1786.3009826213715</v>
      </c>
      <c r="I51" s="1130">
        <v>3.3710527370261719E-4</v>
      </c>
      <c r="J51" s="1129">
        <v>5298941.078558105</v>
      </c>
      <c r="K51" s="1130">
        <v>1</v>
      </c>
    </row>
  </sheetData>
  <conditionalFormatting pivot="1" sqref="J6:J50">
    <cfRule type="dataBar" priority="5">
      <dataBar>
        <cfvo type="min"/>
        <cfvo type="max"/>
        <color rgb="FF638EC6"/>
      </dataBar>
      <extLst>
        <ext xmlns:x14="http://schemas.microsoft.com/office/spreadsheetml/2009/9/main" uri="{B025F937-C7B1-47D3-B67F-A62EFF666E3E}">
          <x14:id>{DEFD698D-1CC0-48A4-8EA1-B31BD9EA81BD}</x14:id>
        </ext>
      </extLst>
    </cfRule>
  </conditionalFormatting>
  <conditionalFormatting pivot="1" sqref="C6:C51">
    <cfRule type="colorScale" priority="4">
      <colorScale>
        <cfvo type="min"/>
        <cfvo type="max"/>
        <color rgb="FFFFEF9C"/>
        <color rgb="FF63BE7B"/>
      </colorScale>
    </cfRule>
  </conditionalFormatting>
  <conditionalFormatting pivot="1" sqref="E6:E51">
    <cfRule type="colorScale" priority="3">
      <colorScale>
        <cfvo type="min"/>
        <cfvo type="max"/>
        <color rgb="FFFCFCFF"/>
        <color rgb="FFF8696B"/>
      </colorScale>
    </cfRule>
  </conditionalFormatting>
  <conditionalFormatting pivot="1" sqref="G6:G51">
    <cfRule type="colorScale" priority="2">
      <colorScale>
        <cfvo type="min"/>
        <cfvo type="max"/>
        <color rgb="FFFCFCFF"/>
        <color rgb="FFF8696B"/>
      </colorScale>
    </cfRule>
  </conditionalFormatting>
  <conditionalFormatting pivot="1" sqref="I6:I51">
    <cfRule type="colorScale" priority="1">
      <colorScale>
        <cfvo type="min"/>
        <cfvo type="max"/>
        <color rgb="FFFCFCFF"/>
        <color rgb="FFF8696B"/>
      </colorScale>
    </cfRule>
  </conditionalFormatting>
  <pageMargins left="0.7" right="0.7" top="0.75" bottom="0.75" header="0.3" footer="0.3"/>
  <pageSetup orientation="portrait" horizontalDpi="0" verticalDpi="0" r:id="rId2"/>
  <extLst>
    <ext xmlns:x14="http://schemas.microsoft.com/office/spreadsheetml/2009/9/main" uri="{78C0D931-6437-407d-A8EE-F0AAD7539E65}">
      <x14:conditionalFormattings>
        <x14:conditionalFormatting xmlns:xm="http://schemas.microsoft.com/office/excel/2006/main" pivot="1">
          <x14:cfRule type="dataBar" id="{DEFD698D-1CC0-48A4-8EA1-B31BD9EA81BD}">
            <x14:dataBar minLength="0" maxLength="100" border="1" negativeBarBorderColorSameAsPositive="0">
              <x14:cfvo type="autoMin"/>
              <x14:cfvo type="autoMax"/>
              <x14:borderColor rgb="FF638EC6"/>
              <x14:negativeFillColor rgb="FFFF0000"/>
              <x14:negativeBorderColor rgb="FFFF0000"/>
              <x14:axisColor rgb="FF000000"/>
            </x14:dataBar>
          </x14:cfRule>
          <xm:sqref>J6:J50</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52882-6659-4AE9-B86D-CB3374050AD6}">
  <sheetPr codeName="Sheet15"/>
  <dimension ref="A1:D27"/>
  <sheetViews>
    <sheetView zoomScaleNormal="100" workbookViewId="0">
      <pane ySplit="1" topLeftCell="A2" activePane="bottomLeft" state="frozen"/>
      <selection pane="bottomLeft" activeCell="C2" sqref="C2"/>
    </sheetView>
  </sheetViews>
  <sheetFormatPr defaultRowHeight="14.4" x14ac:dyDescent="0.3"/>
  <cols>
    <col min="1" max="1" width="11.44140625" bestFit="1" customWidth="1"/>
    <col min="2" max="2" width="14.44140625" bestFit="1" customWidth="1"/>
    <col min="3" max="3" width="9.109375" bestFit="1" customWidth="1"/>
    <col min="4" max="4" width="5.21875" bestFit="1" customWidth="1"/>
  </cols>
  <sheetData>
    <row r="1" spans="1:4" ht="16.2" thickBot="1" x14ac:dyDescent="0.35">
      <c r="A1" s="568" t="s">
        <v>283</v>
      </c>
      <c r="B1" s="568" t="s">
        <v>284</v>
      </c>
      <c r="C1" s="568" t="s">
        <v>285</v>
      </c>
      <c r="D1" s="568" t="s">
        <v>286</v>
      </c>
    </row>
    <row r="2" spans="1:4" ht="17.399999999999999" x14ac:dyDescent="0.3">
      <c r="A2" s="569">
        <v>1985</v>
      </c>
      <c r="B2" s="570">
        <v>3048</v>
      </c>
      <c r="C2" s="571">
        <v>110.9</v>
      </c>
      <c r="D2" s="572">
        <v>3.6</v>
      </c>
    </row>
    <row r="3" spans="1:4" ht="17.399999999999999" x14ac:dyDescent="0.3">
      <c r="A3" s="573">
        <v>1986</v>
      </c>
      <c r="B3" s="574">
        <v>2982</v>
      </c>
      <c r="C3" s="575">
        <v>100.1</v>
      </c>
      <c r="D3" s="576">
        <v>3.4</v>
      </c>
    </row>
    <row r="4" spans="1:4" ht="17.399999999999999" x14ac:dyDescent="0.3">
      <c r="A4" s="573">
        <v>1987</v>
      </c>
      <c r="B4" s="574">
        <v>1958</v>
      </c>
      <c r="C4" s="575">
        <v>48.4</v>
      </c>
      <c r="D4" s="576">
        <v>2.5</v>
      </c>
    </row>
    <row r="5" spans="1:4" ht="17.399999999999999" x14ac:dyDescent="0.3">
      <c r="A5" s="573">
        <v>1988</v>
      </c>
      <c r="B5" s="574">
        <v>713</v>
      </c>
      <c r="C5" s="575">
        <v>35.1</v>
      </c>
      <c r="D5" s="576">
        <v>4.9000000000000004</v>
      </c>
    </row>
    <row r="6" spans="1:4" ht="17.399999999999999" x14ac:dyDescent="0.3">
      <c r="A6" s="573">
        <v>1989</v>
      </c>
      <c r="B6" s="574">
        <v>2177</v>
      </c>
      <c r="C6" s="575">
        <v>92.9</v>
      </c>
      <c r="D6" s="576">
        <v>4.3</v>
      </c>
    </row>
    <row r="7" spans="1:4" ht="17.399999999999999" x14ac:dyDescent="0.3">
      <c r="A7" s="573">
        <v>1990</v>
      </c>
      <c r="B7" s="574">
        <v>834</v>
      </c>
      <c r="C7" s="575">
        <v>76.900000000000006</v>
      </c>
      <c r="D7" s="576">
        <v>9.1999999999999993</v>
      </c>
    </row>
    <row r="8" spans="1:4" ht="17.399999999999999" x14ac:dyDescent="0.3">
      <c r="A8" s="573">
        <v>1991</v>
      </c>
      <c r="B8" s="574">
        <v>1323</v>
      </c>
      <c r="C8" s="575">
        <v>88</v>
      </c>
      <c r="D8" s="576">
        <v>6.6</v>
      </c>
    </row>
    <row r="9" spans="1:4" ht="17.399999999999999" x14ac:dyDescent="0.3">
      <c r="A9" s="573">
        <v>1992</v>
      </c>
      <c r="B9" s="574">
        <v>313</v>
      </c>
      <c r="C9" s="575">
        <v>3.7</v>
      </c>
      <c r="D9" s="576">
        <v>1.2</v>
      </c>
    </row>
    <row r="10" spans="1:4" ht="17.399999999999999" x14ac:dyDescent="0.3">
      <c r="A10" s="573">
        <v>1993</v>
      </c>
      <c r="B10" s="574">
        <v>2854</v>
      </c>
      <c r="C10" s="575">
        <v>6.7</v>
      </c>
      <c r="D10" s="576">
        <v>0.2</v>
      </c>
    </row>
    <row r="11" spans="1:4" ht="17.399999999999999" x14ac:dyDescent="0.3">
      <c r="A11" s="573">
        <v>1994</v>
      </c>
      <c r="B11" s="574">
        <v>1956</v>
      </c>
      <c r="C11" s="575">
        <v>34.4</v>
      </c>
      <c r="D11" s="576">
        <v>1.8</v>
      </c>
    </row>
    <row r="12" spans="1:4" ht="17.399999999999999" x14ac:dyDescent="0.3">
      <c r="A12" s="573">
        <v>1995</v>
      </c>
      <c r="B12" s="574">
        <v>2844</v>
      </c>
      <c r="C12" s="575">
        <v>51.8</v>
      </c>
      <c r="D12" s="576">
        <v>1.8</v>
      </c>
    </row>
    <row r="13" spans="1:4" ht="17.399999999999999" x14ac:dyDescent="0.3">
      <c r="A13" s="573">
        <v>1996</v>
      </c>
      <c r="B13" s="574">
        <v>551</v>
      </c>
      <c r="C13" s="575">
        <v>3.4</v>
      </c>
      <c r="D13" s="576">
        <v>0.6</v>
      </c>
    </row>
    <row r="14" spans="1:4" ht="17.399999999999999" x14ac:dyDescent="0.3">
      <c r="A14" s="573">
        <v>1997</v>
      </c>
      <c r="B14" s="574">
        <v>423</v>
      </c>
      <c r="C14" s="575">
        <v>18.7</v>
      </c>
      <c r="D14" s="576">
        <v>4.4000000000000004</v>
      </c>
    </row>
    <row r="15" spans="1:4" ht="17.399999999999999" x14ac:dyDescent="0.3">
      <c r="A15" s="573">
        <v>1998</v>
      </c>
      <c r="B15" s="574">
        <v>2166</v>
      </c>
      <c r="C15" s="575">
        <v>103.2</v>
      </c>
      <c r="D15" s="576">
        <v>4.8</v>
      </c>
    </row>
    <row r="16" spans="1:4" ht="17.399999999999999" x14ac:dyDescent="0.3">
      <c r="A16" s="573">
        <v>1999</v>
      </c>
      <c r="B16" s="574">
        <v>2754</v>
      </c>
      <c r="C16" s="575">
        <v>112.5</v>
      </c>
      <c r="D16" s="576">
        <v>4.0999999999999996</v>
      </c>
    </row>
    <row r="17" spans="1:4" ht="17.399999999999999" x14ac:dyDescent="0.3">
      <c r="A17" s="573">
        <v>2000</v>
      </c>
      <c r="B17" s="574">
        <v>696</v>
      </c>
      <c r="C17" s="575">
        <v>49.3</v>
      </c>
      <c r="D17" s="576">
        <v>7.1</v>
      </c>
    </row>
    <row r="18" spans="1:4" ht="17.399999999999999" x14ac:dyDescent="0.3">
      <c r="A18" s="573">
        <v>2001</v>
      </c>
      <c r="B18" s="574">
        <v>1074</v>
      </c>
      <c r="C18" s="575">
        <v>15.1</v>
      </c>
      <c r="D18" s="576">
        <v>1.4</v>
      </c>
    </row>
    <row r="19" spans="1:4" ht="17.399999999999999" x14ac:dyDescent="0.3">
      <c r="A19" s="573">
        <v>2002</v>
      </c>
      <c r="B19" s="574">
        <v>2874</v>
      </c>
      <c r="C19" s="575">
        <v>145.69999999999999</v>
      </c>
      <c r="D19" s="576">
        <v>5.0999999999999996</v>
      </c>
    </row>
    <row r="20" spans="1:4" ht="17.399999999999999" x14ac:dyDescent="0.3">
      <c r="A20" s="573">
        <v>2003</v>
      </c>
      <c r="B20" s="574">
        <v>4735</v>
      </c>
      <c r="C20" s="575">
        <v>73.900000000000006</v>
      </c>
      <c r="D20" s="576">
        <v>1.6</v>
      </c>
    </row>
    <row r="21" spans="1:4" ht="17.399999999999999" x14ac:dyDescent="0.3">
      <c r="A21" s="573">
        <v>2004</v>
      </c>
      <c r="B21" s="574">
        <v>1922</v>
      </c>
      <c r="C21" s="575">
        <v>33.9</v>
      </c>
      <c r="D21" s="576">
        <v>1.8</v>
      </c>
    </row>
    <row r="22" spans="1:4" ht="17.399999999999999" x14ac:dyDescent="0.3">
      <c r="A22" s="573">
        <v>2005</v>
      </c>
      <c r="B22" s="574">
        <v>509</v>
      </c>
      <c r="C22" s="575">
        <v>12.5</v>
      </c>
      <c r="D22" s="576">
        <v>2.5</v>
      </c>
    </row>
    <row r="23" spans="1:4" ht="17.399999999999999" x14ac:dyDescent="0.3">
      <c r="A23" s="573">
        <v>2006</v>
      </c>
      <c r="B23" s="574">
        <v>2642</v>
      </c>
      <c r="C23" s="575">
        <v>214</v>
      </c>
      <c r="D23" s="576">
        <v>8.1</v>
      </c>
    </row>
    <row r="24" spans="1:4" ht="17.399999999999999" x14ac:dyDescent="0.3">
      <c r="A24" s="573">
        <v>2007</v>
      </c>
      <c r="B24" s="574">
        <v>2641</v>
      </c>
      <c r="C24" s="575">
        <v>172</v>
      </c>
      <c r="D24" s="576">
        <v>6.5</v>
      </c>
    </row>
    <row r="25" spans="1:4" ht="17.399999999999999" x14ac:dyDescent="0.3">
      <c r="A25" s="573">
        <v>2008</v>
      </c>
      <c r="B25" s="574">
        <v>1734</v>
      </c>
      <c r="C25" s="575">
        <v>407</v>
      </c>
      <c r="D25" s="577">
        <v>23.5</v>
      </c>
    </row>
    <row r="26" spans="1:4" ht="17.399999999999999" x14ac:dyDescent="0.3">
      <c r="A26" s="573">
        <v>2009</v>
      </c>
      <c r="B26" s="574">
        <v>761</v>
      </c>
      <c r="C26" s="575">
        <v>142.4</v>
      </c>
      <c r="D26" s="577">
        <v>18.7</v>
      </c>
    </row>
    <row r="27" spans="1:4" ht="18" thickBot="1" x14ac:dyDescent="0.35">
      <c r="A27" s="578">
        <v>2010</v>
      </c>
      <c r="B27" s="579">
        <v>8984</v>
      </c>
      <c r="C27" s="580">
        <v>560.4</v>
      </c>
      <c r="D27" s="581">
        <v>6.2</v>
      </c>
    </row>
  </sheetData>
  <conditionalFormatting sqref="D2:D2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5"/>
  <sheetViews>
    <sheetView workbookViewId="0">
      <selection activeCell="B12" sqref="B12"/>
    </sheetView>
  </sheetViews>
  <sheetFormatPr defaultRowHeight="14.4" x14ac:dyDescent="0.3"/>
  <cols>
    <col min="1" max="1" width="3.33203125" bestFit="1" customWidth="1"/>
    <col min="2" max="2" width="23.6640625" bestFit="1" customWidth="1"/>
  </cols>
  <sheetData>
    <row r="1" spans="1:2" x14ac:dyDescent="0.3">
      <c r="A1" s="1125" t="s">
        <v>144</v>
      </c>
      <c r="B1" s="1126"/>
    </row>
    <row r="2" spans="1:2" x14ac:dyDescent="0.3">
      <c r="A2" s="291" t="s">
        <v>145</v>
      </c>
      <c r="B2" s="292" t="s">
        <v>146</v>
      </c>
    </row>
    <row r="3" spans="1:2" x14ac:dyDescent="0.3">
      <c r="A3" s="291" t="s">
        <v>70</v>
      </c>
      <c r="B3" s="292" t="s">
        <v>147</v>
      </c>
    </row>
    <row r="4" spans="1:2" x14ac:dyDescent="0.3">
      <c r="A4" s="291" t="s">
        <v>143</v>
      </c>
      <c r="B4" s="292" t="s">
        <v>148</v>
      </c>
    </row>
    <row r="5" spans="1:2" ht="15" thickBot="1" x14ac:dyDescent="0.35">
      <c r="A5" s="293" t="s">
        <v>149</v>
      </c>
      <c r="B5" s="294" t="s">
        <v>150</v>
      </c>
    </row>
  </sheetData>
  <mergeCells count="1">
    <mergeCell ref="A1:B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theme="4" tint="0.59999389629810485"/>
  </sheetPr>
  <dimension ref="A1:BK58"/>
  <sheetViews>
    <sheetView zoomScaleNormal="100" workbookViewId="0">
      <pane xSplit="2" ySplit="3" topLeftCell="C8" activePane="bottomRight" state="frozen"/>
      <selection activeCell="G42" sqref="G42"/>
      <selection pane="topRight" activeCell="G42" sqref="G42"/>
      <selection pane="bottomLeft" activeCell="G42" sqref="G42"/>
      <selection pane="bottomRight" activeCell="AB22" sqref="AB22"/>
    </sheetView>
  </sheetViews>
  <sheetFormatPr defaultRowHeight="14.4" x14ac:dyDescent="0.3"/>
  <cols>
    <col min="1" max="1" width="19.77734375" customWidth="1"/>
    <col min="2" max="2" width="10.109375" customWidth="1"/>
    <col min="3" max="3" width="9.109375" bestFit="1" customWidth="1"/>
    <col min="4" max="4" width="7.5546875" bestFit="1" customWidth="1"/>
    <col min="5" max="5" width="6.5546875" bestFit="1" customWidth="1"/>
    <col min="6" max="6" width="10.109375" bestFit="1" customWidth="1"/>
    <col min="7" max="7" width="21.6640625" customWidth="1"/>
    <col min="8" max="8" width="5.44140625" bestFit="1" customWidth="1"/>
    <col min="9" max="10" width="4" customWidth="1"/>
    <col min="11" max="11" width="4.44140625" bestFit="1" customWidth="1"/>
    <col min="12" max="12" width="5.5546875" bestFit="1" customWidth="1"/>
    <col min="13" max="13" width="4.33203125" customWidth="1"/>
    <col min="14" max="14" width="4.44140625" bestFit="1" customWidth="1"/>
    <col min="15" max="15" width="5.5546875" bestFit="1" customWidth="1"/>
    <col min="16" max="16" width="4.33203125" customWidth="1"/>
    <col min="17" max="17" width="7.6640625" customWidth="1"/>
    <col min="18" max="18" width="6.5546875" bestFit="1" customWidth="1"/>
    <col min="19" max="19" width="8.5546875" customWidth="1"/>
    <col min="20" max="20" width="8.88671875" customWidth="1"/>
    <col min="21" max="21" width="22.33203125" customWidth="1"/>
    <col min="22" max="22" width="9.33203125" bestFit="1" customWidth="1"/>
    <col min="23" max="23" width="15.88671875" bestFit="1" customWidth="1"/>
    <col min="24" max="24" width="26.21875" bestFit="1" customWidth="1"/>
    <col min="25" max="25" width="15.88671875" bestFit="1" customWidth="1"/>
    <col min="26" max="26" width="8.5546875" bestFit="1" customWidth="1"/>
    <col min="27" max="27" width="21.6640625" customWidth="1"/>
    <col min="28" max="28" width="11.109375" customWidth="1"/>
    <col min="29" max="29" width="9.88671875" customWidth="1"/>
    <col min="30" max="30" width="6.77734375" bestFit="1" customWidth="1"/>
    <col min="31" max="31" width="6.88671875" customWidth="1"/>
    <col min="32" max="33" width="7.5546875" customWidth="1"/>
    <col min="34" max="34" width="71" customWidth="1"/>
    <col min="35" max="35" width="13.5546875" customWidth="1"/>
    <col min="36" max="36" width="27.33203125" customWidth="1"/>
  </cols>
  <sheetData>
    <row r="1" spans="1:63" s="2" customFormat="1" ht="26.4" customHeight="1" x14ac:dyDescent="0.3">
      <c r="A1" s="950" t="s">
        <v>187</v>
      </c>
      <c r="B1" s="953" t="s">
        <v>0</v>
      </c>
      <c r="C1" s="960" t="s">
        <v>196</v>
      </c>
      <c r="D1" s="961"/>
      <c r="E1" s="962"/>
      <c r="F1" s="962"/>
      <c r="G1" s="963"/>
      <c r="H1" s="994" t="s">
        <v>197</v>
      </c>
      <c r="I1" s="995"/>
      <c r="J1" s="995"/>
      <c r="K1" s="995"/>
      <c r="L1" s="995"/>
      <c r="M1" s="995"/>
      <c r="N1" s="995"/>
      <c r="O1" s="995"/>
      <c r="P1" s="995"/>
      <c r="Q1" s="995"/>
      <c r="R1" s="995"/>
      <c r="S1" s="995"/>
      <c r="T1" s="995"/>
      <c r="U1" s="996"/>
      <c r="V1" s="984" t="s">
        <v>198</v>
      </c>
      <c r="W1" s="985"/>
      <c r="X1" s="985"/>
      <c r="Y1" s="985"/>
      <c r="Z1" s="986"/>
      <c r="AA1" s="987"/>
      <c r="AB1" s="956" t="s">
        <v>36</v>
      </c>
      <c r="AC1" s="956"/>
      <c r="AD1" s="956"/>
      <c r="AE1" s="957"/>
      <c r="AF1" s="957"/>
      <c r="AG1" s="958"/>
      <c r="AH1" s="959"/>
      <c r="AI1" s="988" t="s">
        <v>118</v>
      </c>
      <c r="AJ1" s="991" t="s">
        <v>9</v>
      </c>
      <c r="AK1" s="981" t="s">
        <v>19</v>
      </c>
      <c r="AL1"/>
      <c r="AT1"/>
      <c r="AU1"/>
      <c r="AV1"/>
      <c r="AW1"/>
      <c r="AX1"/>
      <c r="AY1"/>
      <c r="AZ1"/>
      <c r="BA1"/>
      <c r="BB1"/>
      <c r="BC1"/>
      <c r="BD1"/>
      <c r="BE1"/>
      <c r="BF1"/>
      <c r="BG1"/>
      <c r="BH1"/>
      <c r="BI1"/>
      <c r="BJ1"/>
      <c r="BK1"/>
    </row>
    <row r="2" spans="1:63" s="2" customFormat="1" ht="26.4" customHeight="1" x14ac:dyDescent="0.3">
      <c r="A2" s="951"/>
      <c r="B2" s="954"/>
      <c r="C2" s="968" t="s">
        <v>1</v>
      </c>
      <c r="D2" s="970" t="s">
        <v>2</v>
      </c>
      <c r="E2" s="970" t="s">
        <v>231</v>
      </c>
      <c r="F2" s="972" t="s">
        <v>3</v>
      </c>
      <c r="G2" s="974" t="s">
        <v>89</v>
      </c>
      <c r="H2" s="997" t="s">
        <v>1</v>
      </c>
      <c r="I2" s="998"/>
      <c r="J2" s="998"/>
      <c r="K2" s="998" t="s">
        <v>2</v>
      </c>
      <c r="L2" s="998"/>
      <c r="M2" s="998"/>
      <c r="N2" s="998" t="s">
        <v>231</v>
      </c>
      <c r="O2" s="998"/>
      <c r="P2" s="998"/>
      <c r="Q2" s="1007" t="s">
        <v>183</v>
      </c>
      <c r="R2" s="978" t="s">
        <v>90</v>
      </c>
      <c r="S2" s="978"/>
      <c r="T2" s="978"/>
      <c r="U2" s="999" t="s">
        <v>89</v>
      </c>
      <c r="V2" s="1005" t="s">
        <v>4</v>
      </c>
      <c r="W2" s="1001" t="s">
        <v>251</v>
      </c>
      <c r="X2" s="1001" t="s">
        <v>21</v>
      </c>
      <c r="Y2" s="1001" t="s">
        <v>252</v>
      </c>
      <c r="Z2" s="1001" t="s">
        <v>8</v>
      </c>
      <c r="AA2" s="1003" t="s">
        <v>89</v>
      </c>
      <c r="AB2" s="964" t="s">
        <v>184</v>
      </c>
      <c r="AC2" s="979" t="s">
        <v>164</v>
      </c>
      <c r="AD2" s="976" t="s">
        <v>177</v>
      </c>
      <c r="AE2" s="977"/>
      <c r="AF2" s="977"/>
      <c r="AG2" s="977"/>
      <c r="AH2" s="966" t="s">
        <v>89</v>
      </c>
      <c r="AI2" s="989"/>
      <c r="AJ2" s="992"/>
      <c r="AK2" s="982"/>
      <c r="AL2"/>
      <c r="AT2"/>
      <c r="AU2"/>
      <c r="AV2"/>
      <c r="AW2"/>
      <c r="AX2"/>
      <c r="AY2"/>
      <c r="AZ2"/>
      <c r="BA2"/>
      <c r="BB2"/>
      <c r="BC2"/>
      <c r="BD2"/>
      <c r="BE2"/>
      <c r="BF2"/>
      <c r="BG2"/>
      <c r="BH2"/>
      <c r="BI2"/>
      <c r="BJ2"/>
      <c r="BK2"/>
    </row>
    <row r="3" spans="1:63" s="1" customFormat="1" ht="42" thickBot="1" x14ac:dyDescent="0.35">
      <c r="A3" s="952"/>
      <c r="B3" s="955"/>
      <c r="C3" s="969"/>
      <c r="D3" s="971"/>
      <c r="E3" s="971"/>
      <c r="F3" s="973"/>
      <c r="G3" s="975"/>
      <c r="H3" s="331" t="s">
        <v>72</v>
      </c>
      <c r="I3" s="332" t="s">
        <v>142</v>
      </c>
      <c r="J3" s="332" t="s">
        <v>71</v>
      </c>
      <c r="K3" s="332" t="s">
        <v>72</v>
      </c>
      <c r="L3" s="332" t="s">
        <v>142</v>
      </c>
      <c r="M3" s="332" t="s">
        <v>71</v>
      </c>
      <c r="N3" s="332" t="s">
        <v>72</v>
      </c>
      <c r="O3" s="332" t="s">
        <v>142</v>
      </c>
      <c r="P3" s="332" t="s">
        <v>71</v>
      </c>
      <c r="Q3" s="1008"/>
      <c r="R3" s="361" t="s">
        <v>74</v>
      </c>
      <c r="S3" s="362" t="s">
        <v>73</v>
      </c>
      <c r="T3" s="362" t="s">
        <v>75</v>
      </c>
      <c r="U3" s="1000"/>
      <c r="V3" s="1006"/>
      <c r="W3" s="1002"/>
      <c r="X3" s="1002"/>
      <c r="Y3" s="1002"/>
      <c r="Z3" s="1002"/>
      <c r="AA3" s="1004"/>
      <c r="AB3" s="965"/>
      <c r="AC3" s="980"/>
      <c r="AD3" s="355" t="s">
        <v>72</v>
      </c>
      <c r="AE3" s="355" t="s">
        <v>185</v>
      </c>
      <c r="AF3" s="355" t="s">
        <v>186</v>
      </c>
      <c r="AG3" s="869" t="s">
        <v>178</v>
      </c>
      <c r="AH3" s="967"/>
      <c r="AI3" s="990"/>
      <c r="AJ3" s="993"/>
      <c r="AK3" s="983" t="s">
        <v>19</v>
      </c>
      <c r="AL3"/>
      <c r="AT3"/>
      <c r="AU3"/>
      <c r="AV3"/>
      <c r="AW3"/>
      <c r="AX3"/>
      <c r="AY3"/>
      <c r="AZ3"/>
      <c r="BA3"/>
      <c r="BB3"/>
      <c r="BC3"/>
      <c r="BD3"/>
      <c r="BE3"/>
      <c r="BF3"/>
      <c r="BG3"/>
      <c r="BH3"/>
      <c r="BI3"/>
      <c r="BJ3"/>
      <c r="BK3"/>
    </row>
    <row r="4" spans="1:63" s="1" customFormat="1" x14ac:dyDescent="0.3">
      <c r="A4" s="244" t="s">
        <v>233</v>
      </c>
      <c r="B4" s="356">
        <v>1980</v>
      </c>
      <c r="C4" s="310"/>
      <c r="D4" s="311"/>
      <c r="E4" s="312"/>
      <c r="F4" s="313" t="str">
        <f>IF(C4,SUM(C4:E4),"")</f>
        <v/>
      </c>
      <c r="G4" s="368"/>
      <c r="H4" s="412"/>
      <c r="I4" s="413"/>
      <c r="J4" s="414"/>
      <c r="K4" s="415"/>
      <c r="L4" s="413"/>
      <c r="M4" s="414"/>
      <c r="N4" s="415"/>
      <c r="O4" s="413"/>
      <c r="P4" s="416"/>
      <c r="Q4" s="417"/>
      <c r="R4" s="363" t="str">
        <f>IF(0&lt;(SUM(H4,K4,N4)),SUM(H4,K4,N4),"")</f>
        <v/>
      </c>
      <c r="S4" s="279" t="str">
        <f>IF(ISNUMBER($R4),(IF(ISNUMBER($H4),$I4*H4)+IF(ISNUMBER($K4),$K4*L4)+IF(ISNUMBER($N4),$N4*O4))/$R4,"")</f>
        <v/>
      </c>
      <c r="T4" s="279" t="str">
        <f>IF(ISNUMBER($R4),(IF(ISNUMBER($H4),$H4*J4)+IF(ISNUMBER($K4),$K4*M4)+IF(ISNUMBER($N4),$N4*P4))/$R4,"")</f>
        <v/>
      </c>
      <c r="U4" s="276"/>
      <c r="V4" s="324"/>
      <c r="W4" s="325"/>
      <c r="X4" s="325"/>
      <c r="Y4" s="325"/>
      <c r="Z4" s="326"/>
      <c r="AA4" s="225"/>
      <c r="AB4" s="444"/>
      <c r="AC4" s="445"/>
      <c r="AD4" s="446"/>
      <c r="AE4" s="447"/>
      <c r="AF4" s="448"/>
      <c r="AG4" s="448"/>
      <c r="AH4" s="449"/>
      <c r="AI4" s="875"/>
      <c r="AJ4" s="57"/>
      <c r="AK4" s="327"/>
      <c r="AL4"/>
      <c r="AT4"/>
      <c r="AU4"/>
      <c r="AV4"/>
      <c r="AW4"/>
      <c r="AX4"/>
      <c r="AY4"/>
      <c r="AZ4"/>
      <c r="BA4"/>
      <c r="BB4"/>
      <c r="BC4"/>
      <c r="BD4"/>
      <c r="BE4"/>
      <c r="BF4"/>
      <c r="BG4"/>
      <c r="BH4"/>
      <c r="BI4"/>
      <c r="BJ4"/>
      <c r="BK4"/>
    </row>
    <row r="5" spans="1:63" s="1" customFormat="1" x14ac:dyDescent="0.3">
      <c r="A5" s="244" t="s">
        <v>233</v>
      </c>
      <c r="B5" s="357">
        <v>1981</v>
      </c>
      <c r="C5" s="310"/>
      <c r="D5" s="311"/>
      <c r="E5" s="312"/>
      <c r="F5" s="313" t="str">
        <f t="shared" ref="F5:F58" si="0">IF(C5,SUM(C5:E5),"")</f>
        <v/>
      </c>
      <c r="G5" s="368"/>
      <c r="H5" s="412"/>
      <c r="I5" s="413"/>
      <c r="J5" s="414"/>
      <c r="K5" s="415"/>
      <c r="L5" s="413"/>
      <c r="M5" s="414"/>
      <c r="N5" s="415"/>
      <c r="O5" s="413"/>
      <c r="P5" s="416"/>
      <c r="Q5" s="417"/>
      <c r="R5" s="364" t="str">
        <f t="shared" ref="R5:R58" si="1">IF(0&lt;(SUM(H5,K5,N5)),SUM(H5,K5,N5),"")</f>
        <v/>
      </c>
      <c r="S5" s="280" t="str">
        <f t="shared" ref="S5:S58" si="2">IF(ISNUMBER($R5),(IF(ISNUMBER($H5),$I5*H5)+IF(ISNUMBER($K5),$K5*L5)+IF(ISNUMBER($N5),$N5*O5))/$R5,"")</f>
        <v/>
      </c>
      <c r="T5" s="280" t="str">
        <f t="shared" ref="T5:T58" si="3">IF(ISNUMBER($R5),(IF(ISNUMBER($H5),$H5*J5)+IF(ISNUMBER($K5),$K5*M5)+IF(ISNUMBER($N5),$N5*P5))/$R5,"")</f>
        <v/>
      </c>
      <c r="U5" s="276"/>
      <c r="V5" s="324"/>
      <c r="W5" s="325"/>
      <c r="X5" s="325"/>
      <c r="Y5" s="325"/>
      <c r="Z5" s="326"/>
      <c r="AA5" s="225"/>
      <c r="AB5" s="444"/>
      <c r="AC5" s="450"/>
      <c r="AD5" s="451"/>
      <c r="AE5" s="452"/>
      <c r="AF5" s="453"/>
      <c r="AG5" s="453"/>
      <c r="AH5" s="454"/>
      <c r="AI5" s="875"/>
      <c r="AJ5" s="57"/>
      <c r="AK5" s="327"/>
      <c r="AL5"/>
      <c r="AT5"/>
      <c r="AU5"/>
      <c r="AV5"/>
      <c r="AW5"/>
      <c r="AX5"/>
      <c r="AY5"/>
      <c r="AZ5"/>
      <c r="BA5"/>
      <c r="BB5"/>
      <c r="BC5"/>
      <c r="BD5"/>
      <c r="BE5"/>
      <c r="BF5"/>
      <c r="BG5"/>
      <c r="BH5"/>
      <c r="BI5"/>
      <c r="BJ5"/>
      <c r="BK5"/>
    </row>
    <row r="6" spans="1:63" s="1" customFormat="1" x14ac:dyDescent="0.3">
      <c r="A6" s="244" t="s">
        <v>233</v>
      </c>
      <c r="B6" s="357">
        <v>1982</v>
      </c>
      <c r="C6" s="310"/>
      <c r="D6" s="311"/>
      <c r="E6" s="312"/>
      <c r="F6" s="313" t="str">
        <f t="shared" si="0"/>
        <v/>
      </c>
      <c r="G6" s="368"/>
      <c r="H6" s="412"/>
      <c r="I6" s="413"/>
      <c r="J6" s="414"/>
      <c r="K6" s="415"/>
      <c r="L6" s="413"/>
      <c r="M6" s="414"/>
      <c r="N6" s="415"/>
      <c r="O6" s="413"/>
      <c r="P6" s="416"/>
      <c r="Q6" s="417"/>
      <c r="R6" s="364" t="str">
        <f t="shared" si="1"/>
        <v/>
      </c>
      <c r="S6" s="280" t="str">
        <f t="shared" si="2"/>
        <v/>
      </c>
      <c r="T6" s="280" t="str">
        <f t="shared" si="3"/>
        <v/>
      </c>
      <c r="U6" s="276"/>
      <c r="V6" s="324"/>
      <c r="W6" s="325"/>
      <c r="X6" s="325"/>
      <c r="Y6" s="325"/>
      <c r="Z6" s="326"/>
      <c r="AA6" s="225"/>
      <c r="AB6" s="444"/>
      <c r="AC6" s="450"/>
      <c r="AD6" s="451"/>
      <c r="AE6" s="452"/>
      <c r="AF6" s="453"/>
      <c r="AG6" s="453"/>
      <c r="AH6" s="454"/>
      <c r="AI6" s="875"/>
      <c r="AJ6" s="57"/>
      <c r="AK6" s="327"/>
      <c r="AL6"/>
      <c r="AT6"/>
      <c r="AU6"/>
      <c r="AV6"/>
      <c r="AW6"/>
      <c r="AX6"/>
      <c r="AY6"/>
      <c r="AZ6"/>
      <c r="BA6"/>
      <c r="BB6"/>
      <c r="BC6"/>
      <c r="BD6"/>
      <c r="BE6"/>
      <c r="BF6"/>
      <c r="BG6"/>
      <c r="BH6"/>
      <c r="BI6"/>
      <c r="BJ6"/>
      <c r="BK6"/>
    </row>
    <row r="7" spans="1:63" s="1" customFormat="1" x14ac:dyDescent="0.3">
      <c r="A7" s="244" t="s">
        <v>233</v>
      </c>
      <c r="B7" s="357">
        <v>1983</v>
      </c>
      <c r="C7" s="310"/>
      <c r="D7" s="311"/>
      <c r="E7" s="312"/>
      <c r="F7" s="313" t="str">
        <f t="shared" si="0"/>
        <v/>
      </c>
      <c r="G7" s="368"/>
      <c r="H7" s="412"/>
      <c r="I7" s="413"/>
      <c r="J7" s="414"/>
      <c r="K7" s="415"/>
      <c r="L7" s="413"/>
      <c r="M7" s="414"/>
      <c r="N7" s="415"/>
      <c r="O7" s="414"/>
      <c r="P7" s="416"/>
      <c r="Q7" s="417"/>
      <c r="R7" s="364" t="str">
        <f t="shared" si="1"/>
        <v/>
      </c>
      <c r="S7" s="280" t="str">
        <f t="shared" si="2"/>
        <v/>
      </c>
      <c r="T7" s="280" t="str">
        <f t="shared" si="3"/>
        <v/>
      </c>
      <c r="U7" s="276"/>
      <c r="V7" s="324"/>
      <c r="W7" s="325"/>
      <c r="X7" s="325"/>
      <c r="Y7" s="325"/>
      <c r="Z7" s="326"/>
      <c r="AA7" s="225"/>
      <c r="AB7" s="444"/>
      <c r="AC7" s="450"/>
      <c r="AD7" s="451"/>
      <c r="AE7" s="452"/>
      <c r="AF7" s="453"/>
      <c r="AG7" s="453"/>
      <c r="AH7" s="454"/>
      <c r="AI7" s="875"/>
      <c r="AJ7" s="57"/>
      <c r="AK7" s="327"/>
      <c r="AL7"/>
      <c r="AT7"/>
      <c r="AU7"/>
      <c r="AV7"/>
      <c r="AW7"/>
      <c r="AX7"/>
      <c r="AY7"/>
      <c r="AZ7"/>
      <c r="BA7"/>
      <c r="BB7"/>
      <c r="BC7"/>
      <c r="BD7"/>
      <c r="BE7"/>
      <c r="BF7"/>
      <c r="BG7"/>
      <c r="BH7"/>
      <c r="BI7"/>
      <c r="BJ7"/>
      <c r="BK7"/>
    </row>
    <row r="8" spans="1:63" s="1" customFormat="1" x14ac:dyDescent="0.3">
      <c r="A8" s="244" t="s">
        <v>233</v>
      </c>
      <c r="B8" s="357">
        <v>1984</v>
      </c>
      <c r="C8" s="310"/>
      <c r="D8" s="311"/>
      <c r="E8" s="312"/>
      <c r="F8" s="313" t="str">
        <f t="shared" si="0"/>
        <v/>
      </c>
      <c r="G8" s="368"/>
      <c r="H8" s="412"/>
      <c r="I8" s="413"/>
      <c r="J8" s="414"/>
      <c r="K8" s="415"/>
      <c r="L8" s="413"/>
      <c r="M8" s="414"/>
      <c r="N8" s="415"/>
      <c r="O8" s="414"/>
      <c r="P8" s="416"/>
      <c r="Q8" s="417"/>
      <c r="R8" s="364" t="str">
        <f t="shared" si="1"/>
        <v/>
      </c>
      <c r="S8" s="280" t="str">
        <f t="shared" si="2"/>
        <v/>
      </c>
      <c r="T8" s="280" t="str">
        <f t="shared" si="3"/>
        <v/>
      </c>
      <c r="U8" s="276"/>
      <c r="V8" s="324"/>
      <c r="W8" s="325"/>
      <c r="X8" s="325"/>
      <c r="Y8" s="325"/>
      <c r="Z8" s="326"/>
      <c r="AA8" s="225"/>
      <c r="AB8" s="444"/>
      <c r="AC8" s="450"/>
      <c r="AD8" s="451"/>
      <c r="AE8" s="452"/>
      <c r="AF8" s="453"/>
      <c r="AG8" s="453"/>
      <c r="AH8" s="454"/>
      <c r="AI8" s="875"/>
      <c r="AJ8" s="57"/>
      <c r="AK8" s="327"/>
      <c r="AL8"/>
      <c r="AT8"/>
      <c r="AU8"/>
      <c r="AV8"/>
      <c r="AW8"/>
      <c r="AX8"/>
      <c r="AY8"/>
      <c r="AZ8"/>
      <c r="BA8"/>
      <c r="BB8"/>
      <c r="BC8"/>
      <c r="BD8"/>
      <c r="BE8"/>
      <c r="BF8"/>
      <c r="BG8"/>
      <c r="BH8"/>
      <c r="BI8"/>
      <c r="BJ8"/>
      <c r="BK8"/>
    </row>
    <row r="9" spans="1:63" s="1" customFormat="1" x14ac:dyDescent="0.3">
      <c r="A9" s="244" t="s">
        <v>233</v>
      </c>
      <c r="B9" s="357">
        <v>1985</v>
      </c>
      <c r="C9" s="582">
        <f>AB9</f>
        <v>1862581.902</v>
      </c>
      <c r="D9" s="311"/>
      <c r="E9" s="312"/>
      <c r="F9" s="313">
        <f t="shared" si="0"/>
        <v>1862581.902</v>
      </c>
      <c r="G9" s="368" t="s">
        <v>298</v>
      </c>
      <c r="H9" s="412" t="s">
        <v>46</v>
      </c>
      <c r="I9" s="413"/>
      <c r="J9" s="414"/>
      <c r="K9" s="415"/>
      <c r="L9" s="413"/>
      <c r="M9" s="414"/>
      <c r="N9" s="415"/>
      <c r="O9" s="414"/>
      <c r="P9" s="416"/>
      <c r="Q9" s="417"/>
      <c r="R9" s="364" t="str">
        <f t="shared" si="1"/>
        <v/>
      </c>
      <c r="S9" s="280" t="str">
        <f t="shared" si="2"/>
        <v/>
      </c>
      <c r="T9" s="280" t="str">
        <f t="shared" si="3"/>
        <v/>
      </c>
      <c r="U9" s="276"/>
      <c r="V9" s="324"/>
      <c r="W9" s="325"/>
      <c r="X9" s="325"/>
      <c r="Y9" s="325"/>
      <c r="Z9" s="326"/>
      <c r="AA9" s="583" t="s">
        <v>288</v>
      </c>
      <c r="AB9" s="873">
        <v>1862581.902</v>
      </c>
      <c r="AC9" s="603" t="s">
        <v>254</v>
      </c>
      <c r="AD9" s="604" t="s">
        <v>254</v>
      </c>
      <c r="AE9" s="452"/>
      <c r="AF9" s="453"/>
      <c r="AG9" s="453"/>
      <c r="AH9" s="454" t="s">
        <v>300</v>
      </c>
      <c r="AI9" s="875"/>
      <c r="AJ9" s="375"/>
      <c r="AK9" s="507" t="s">
        <v>244</v>
      </c>
      <c r="AL9"/>
      <c r="AT9"/>
      <c r="AU9"/>
      <c r="AV9"/>
      <c r="AW9"/>
      <c r="AX9"/>
      <c r="AY9"/>
      <c r="AZ9"/>
      <c r="BA9"/>
      <c r="BB9"/>
      <c r="BC9"/>
      <c r="BD9"/>
      <c r="BE9"/>
      <c r="BF9"/>
      <c r="BG9"/>
      <c r="BH9"/>
      <c r="BI9"/>
      <c r="BJ9"/>
      <c r="BK9"/>
    </row>
    <row r="10" spans="1:63" s="1" customFormat="1" x14ac:dyDescent="0.3">
      <c r="A10" s="244" t="s">
        <v>233</v>
      </c>
      <c r="B10" s="357">
        <v>1986</v>
      </c>
      <c r="C10" s="582">
        <f t="shared" ref="C10:C46" si="4">AB10</f>
        <v>2420214.3059999999</v>
      </c>
      <c r="D10" s="311"/>
      <c r="E10" s="312"/>
      <c r="F10" s="313">
        <f t="shared" si="0"/>
        <v>2420214.3059999999</v>
      </c>
      <c r="G10" s="368" t="s">
        <v>299</v>
      </c>
      <c r="H10" s="412" t="s">
        <v>46</v>
      </c>
      <c r="I10" s="413"/>
      <c r="J10" s="414"/>
      <c r="K10" s="415"/>
      <c r="L10" s="414"/>
      <c r="M10" s="414"/>
      <c r="N10" s="415"/>
      <c r="O10" s="414"/>
      <c r="P10" s="416"/>
      <c r="Q10" s="417"/>
      <c r="R10" s="364" t="str">
        <f t="shared" si="1"/>
        <v/>
      </c>
      <c r="S10" s="280" t="str">
        <f t="shared" si="2"/>
        <v/>
      </c>
      <c r="T10" s="280" t="str">
        <f t="shared" si="3"/>
        <v/>
      </c>
      <c r="U10" s="432"/>
      <c r="V10" s="434"/>
      <c r="W10" s="435"/>
      <c r="X10" s="435"/>
      <c r="Y10" s="435"/>
      <c r="Z10" s="436"/>
      <c r="AA10" s="437"/>
      <c r="AB10" s="873">
        <v>2420214.3059999999</v>
      </c>
      <c r="AC10" s="603" t="s">
        <v>254</v>
      </c>
      <c r="AD10" s="604" t="s">
        <v>254</v>
      </c>
      <c r="AE10" s="452"/>
      <c r="AF10" s="453"/>
      <c r="AG10" s="453"/>
      <c r="AH10" s="454"/>
      <c r="AI10" s="875"/>
      <c r="AJ10" s="375"/>
      <c r="AK10" s="507" t="s">
        <v>244</v>
      </c>
      <c r="AL10"/>
      <c r="AT10"/>
      <c r="AU10"/>
      <c r="AV10"/>
      <c r="AW10"/>
      <c r="AX10"/>
      <c r="AY10"/>
      <c r="AZ10"/>
      <c r="BA10"/>
      <c r="BB10"/>
      <c r="BC10"/>
      <c r="BD10"/>
      <c r="BE10"/>
      <c r="BF10"/>
      <c r="BG10"/>
      <c r="BH10"/>
      <c r="BI10"/>
      <c r="BJ10"/>
      <c r="BK10"/>
    </row>
    <row r="11" spans="1:63" x14ac:dyDescent="0.3">
      <c r="A11" s="244" t="s">
        <v>233</v>
      </c>
      <c r="B11" s="357">
        <v>1987</v>
      </c>
      <c r="C11" s="582">
        <f t="shared" si="4"/>
        <v>1310921.2320000001</v>
      </c>
      <c r="D11" s="311"/>
      <c r="E11" s="312"/>
      <c r="F11" s="313">
        <f t="shared" si="0"/>
        <v>1310921.2320000001</v>
      </c>
      <c r="G11" s="368" t="s">
        <v>299</v>
      </c>
      <c r="H11" s="412" t="s">
        <v>46</v>
      </c>
      <c r="I11" s="413"/>
      <c r="J11" s="414"/>
      <c r="K11" s="415"/>
      <c r="L11" s="414"/>
      <c r="M11" s="414"/>
      <c r="N11" s="418"/>
      <c r="O11" s="414"/>
      <c r="P11" s="416"/>
      <c r="Q11" s="417"/>
      <c r="R11" s="364" t="str">
        <f t="shared" si="1"/>
        <v/>
      </c>
      <c r="S11" s="280" t="str">
        <f t="shared" si="2"/>
        <v/>
      </c>
      <c r="T11" s="280" t="str">
        <f t="shared" si="3"/>
        <v/>
      </c>
      <c r="U11" s="432"/>
      <c r="V11" s="434"/>
      <c r="W11" s="435"/>
      <c r="X11" s="435"/>
      <c r="Y11" s="435"/>
      <c r="Z11" s="436"/>
      <c r="AA11" s="437"/>
      <c r="AB11" s="873">
        <v>1310921.2320000001</v>
      </c>
      <c r="AC11" s="603" t="s">
        <v>254</v>
      </c>
      <c r="AD11" s="604" t="s">
        <v>254</v>
      </c>
      <c r="AE11" s="452"/>
      <c r="AF11" s="453"/>
      <c r="AG11" s="453"/>
      <c r="AH11" s="454"/>
      <c r="AI11" s="875"/>
      <c r="AJ11" s="375"/>
      <c r="AK11" s="507" t="s">
        <v>244</v>
      </c>
    </row>
    <row r="12" spans="1:63" x14ac:dyDescent="0.3">
      <c r="A12" s="244" t="s">
        <v>233</v>
      </c>
      <c r="B12" s="357">
        <v>1988</v>
      </c>
      <c r="C12" s="582">
        <f t="shared" si="4"/>
        <v>530427.83799999999</v>
      </c>
      <c r="D12" s="311"/>
      <c r="E12" s="312"/>
      <c r="F12" s="313">
        <f t="shared" si="0"/>
        <v>530427.83799999999</v>
      </c>
      <c r="G12" s="368" t="s">
        <v>299</v>
      </c>
      <c r="H12" s="412" t="s">
        <v>46</v>
      </c>
      <c r="I12" s="413"/>
      <c r="J12" s="414"/>
      <c r="K12" s="415"/>
      <c r="L12" s="414"/>
      <c r="M12" s="414"/>
      <c r="N12" s="418"/>
      <c r="O12" s="414"/>
      <c r="P12" s="416"/>
      <c r="Q12" s="417"/>
      <c r="R12" s="364" t="str">
        <f t="shared" si="1"/>
        <v/>
      </c>
      <c r="S12" s="280" t="str">
        <f t="shared" si="2"/>
        <v/>
      </c>
      <c r="T12" s="280" t="str">
        <f t="shared" si="3"/>
        <v/>
      </c>
      <c r="U12" s="432"/>
      <c r="V12" s="434"/>
      <c r="W12" s="435"/>
      <c r="X12" s="435"/>
      <c r="Y12" s="435"/>
      <c r="Z12" s="436"/>
      <c r="AA12" s="437"/>
      <c r="AB12" s="873">
        <v>530427.83799999999</v>
      </c>
      <c r="AC12" s="603" t="s">
        <v>254</v>
      </c>
      <c r="AD12" s="604" t="s">
        <v>254</v>
      </c>
      <c r="AE12" s="452"/>
      <c r="AF12" s="453"/>
      <c r="AG12" s="453"/>
      <c r="AH12" s="454"/>
      <c r="AI12" s="876"/>
      <c r="AJ12" s="375"/>
      <c r="AK12" s="507" t="s">
        <v>244</v>
      </c>
    </row>
    <row r="13" spans="1:63" x14ac:dyDescent="0.3">
      <c r="A13" s="244" t="s">
        <v>233</v>
      </c>
      <c r="B13" s="357">
        <v>1989</v>
      </c>
      <c r="C13" s="582">
        <f t="shared" si="4"/>
        <v>731366.70200000005</v>
      </c>
      <c r="D13" s="311"/>
      <c r="E13" s="312"/>
      <c r="F13" s="313">
        <f t="shared" si="0"/>
        <v>731366.70200000005</v>
      </c>
      <c r="G13" s="368" t="s">
        <v>299</v>
      </c>
      <c r="H13" s="412" t="s">
        <v>46</v>
      </c>
      <c r="I13" s="413"/>
      <c r="J13" s="414"/>
      <c r="K13" s="415"/>
      <c r="L13" s="414"/>
      <c r="M13" s="414"/>
      <c r="N13" s="418"/>
      <c r="O13" s="419"/>
      <c r="P13" s="420"/>
      <c r="Q13" s="417"/>
      <c r="R13" s="364" t="str">
        <f t="shared" si="1"/>
        <v/>
      </c>
      <c r="S13" s="280" t="str">
        <f t="shared" si="2"/>
        <v/>
      </c>
      <c r="T13" s="280" t="str">
        <f t="shared" si="3"/>
        <v/>
      </c>
      <c r="U13" s="432"/>
      <c r="V13" s="434"/>
      <c r="W13" s="435"/>
      <c r="X13" s="435"/>
      <c r="Y13" s="435"/>
      <c r="Z13" s="436"/>
      <c r="AA13" s="437"/>
      <c r="AB13" s="873">
        <v>731366.70200000005</v>
      </c>
      <c r="AC13" s="603" t="s">
        <v>254</v>
      </c>
      <c r="AD13" s="604" t="s">
        <v>254</v>
      </c>
      <c r="AE13" s="452"/>
      <c r="AF13" s="453"/>
      <c r="AG13" s="453"/>
      <c r="AH13" s="454"/>
      <c r="AI13" s="875"/>
      <c r="AJ13" s="375"/>
      <c r="AK13" s="507" t="s">
        <v>244</v>
      </c>
    </row>
    <row r="14" spans="1:63" x14ac:dyDescent="0.3">
      <c r="A14" s="244" t="s">
        <v>233</v>
      </c>
      <c r="B14" s="357">
        <v>1990</v>
      </c>
      <c r="C14" s="582">
        <f t="shared" si="4"/>
        <v>315960.77400000003</v>
      </c>
      <c r="D14" s="311"/>
      <c r="E14" s="312"/>
      <c r="F14" s="313">
        <f t="shared" si="0"/>
        <v>315960.77400000003</v>
      </c>
      <c r="G14" s="368" t="s">
        <v>299</v>
      </c>
      <c r="H14" s="412" t="s">
        <v>46</v>
      </c>
      <c r="I14" s="413"/>
      <c r="J14" s="414"/>
      <c r="K14" s="415"/>
      <c r="L14" s="414"/>
      <c r="M14" s="414"/>
      <c r="N14" s="415"/>
      <c r="O14" s="414"/>
      <c r="P14" s="416"/>
      <c r="Q14" s="417"/>
      <c r="R14" s="364" t="str">
        <f t="shared" si="1"/>
        <v/>
      </c>
      <c r="S14" s="280" t="str">
        <f t="shared" si="2"/>
        <v/>
      </c>
      <c r="T14" s="280" t="str">
        <f t="shared" si="3"/>
        <v/>
      </c>
      <c r="U14" s="432"/>
      <c r="V14" s="434"/>
      <c r="W14" s="435"/>
      <c r="X14" s="435"/>
      <c r="Y14" s="435"/>
      <c r="Z14" s="436"/>
      <c r="AA14" s="437"/>
      <c r="AB14" s="873">
        <v>315960.77400000003</v>
      </c>
      <c r="AC14" s="603" t="s">
        <v>254</v>
      </c>
      <c r="AD14" s="604" t="s">
        <v>254</v>
      </c>
      <c r="AE14" s="452"/>
      <c r="AF14" s="453"/>
      <c r="AG14" s="453"/>
      <c r="AH14" s="454"/>
      <c r="AI14" s="875"/>
      <c r="AJ14" s="375"/>
      <c r="AK14" s="507" t="s">
        <v>244</v>
      </c>
    </row>
    <row r="15" spans="1:63" x14ac:dyDescent="0.3">
      <c r="A15" s="244" t="s">
        <v>233</v>
      </c>
      <c r="B15" s="357">
        <v>1991</v>
      </c>
      <c r="C15" s="582">
        <f t="shared" si="4"/>
        <v>485056.83199999999</v>
      </c>
      <c r="D15" s="311"/>
      <c r="E15" s="312"/>
      <c r="F15" s="313">
        <f t="shared" si="0"/>
        <v>485056.83199999999</v>
      </c>
      <c r="G15" s="368" t="s">
        <v>299</v>
      </c>
      <c r="H15" s="412" t="s">
        <v>46</v>
      </c>
      <c r="I15" s="413"/>
      <c r="J15" s="414"/>
      <c r="K15" s="415"/>
      <c r="L15" s="414"/>
      <c r="M15" s="414"/>
      <c r="N15" s="415"/>
      <c r="O15" s="414"/>
      <c r="P15" s="416"/>
      <c r="Q15" s="417"/>
      <c r="R15" s="364" t="str">
        <f t="shared" si="1"/>
        <v/>
      </c>
      <c r="S15" s="280" t="str">
        <f t="shared" si="2"/>
        <v/>
      </c>
      <c r="T15" s="280" t="str">
        <f t="shared" si="3"/>
        <v/>
      </c>
      <c r="U15" s="432"/>
      <c r="V15" s="434"/>
      <c r="W15" s="435"/>
      <c r="X15" s="435"/>
      <c r="Y15" s="435"/>
      <c r="Z15" s="436"/>
      <c r="AA15" s="437"/>
      <c r="AB15" s="873">
        <v>485056.83199999999</v>
      </c>
      <c r="AC15" s="603" t="s">
        <v>254</v>
      </c>
      <c r="AD15" s="604" t="s">
        <v>254</v>
      </c>
      <c r="AE15" s="452"/>
      <c r="AF15" s="453"/>
      <c r="AG15" s="453"/>
      <c r="AH15" s="456"/>
      <c r="AI15" s="875"/>
      <c r="AJ15" s="375"/>
      <c r="AK15" s="507" t="s">
        <v>244</v>
      </c>
    </row>
    <row r="16" spans="1:63" x14ac:dyDescent="0.3">
      <c r="A16" s="244" t="s">
        <v>233</v>
      </c>
      <c r="B16" s="357">
        <v>1992</v>
      </c>
      <c r="C16" s="582">
        <f t="shared" si="4"/>
        <v>177380.47</v>
      </c>
      <c r="D16" s="311"/>
      <c r="E16" s="312"/>
      <c r="F16" s="313">
        <f t="shared" si="0"/>
        <v>177380.47</v>
      </c>
      <c r="G16" s="368" t="s">
        <v>299</v>
      </c>
      <c r="H16" s="412" t="s">
        <v>46</v>
      </c>
      <c r="I16" s="413"/>
      <c r="J16" s="414"/>
      <c r="K16" s="415"/>
      <c r="L16" s="414"/>
      <c r="M16" s="414"/>
      <c r="N16" s="418"/>
      <c r="O16" s="414"/>
      <c r="P16" s="416"/>
      <c r="Q16" s="417"/>
      <c r="R16" s="364" t="str">
        <f t="shared" si="1"/>
        <v/>
      </c>
      <c r="S16" s="280" t="str">
        <f t="shared" si="2"/>
        <v/>
      </c>
      <c r="T16" s="280" t="str">
        <f t="shared" si="3"/>
        <v/>
      </c>
      <c r="U16" s="432"/>
      <c r="V16" s="434"/>
      <c r="W16" s="435"/>
      <c r="X16" s="435"/>
      <c r="Y16" s="435"/>
      <c r="Z16" s="436"/>
      <c r="AA16" s="437"/>
      <c r="AB16" s="873">
        <v>177380.47</v>
      </c>
      <c r="AC16" s="603" t="s">
        <v>254</v>
      </c>
      <c r="AD16" s="604" t="s">
        <v>254</v>
      </c>
      <c r="AE16" s="452"/>
      <c r="AF16" s="453"/>
      <c r="AG16" s="453"/>
      <c r="AH16" s="454"/>
      <c r="AI16" s="875"/>
      <c r="AJ16" s="375"/>
      <c r="AK16" s="507" t="s">
        <v>244</v>
      </c>
    </row>
    <row r="17" spans="1:37" x14ac:dyDescent="0.3">
      <c r="A17" s="244" t="s">
        <v>233</v>
      </c>
      <c r="B17" s="357">
        <v>1993</v>
      </c>
      <c r="C17" s="582">
        <f t="shared" si="4"/>
        <v>1479534.14</v>
      </c>
      <c r="D17" s="311"/>
      <c r="E17" s="312"/>
      <c r="F17" s="313">
        <f t="shared" si="0"/>
        <v>1479534.14</v>
      </c>
      <c r="G17" s="368" t="s">
        <v>299</v>
      </c>
      <c r="H17" s="412" t="s">
        <v>46</v>
      </c>
      <c r="I17" s="413"/>
      <c r="J17" s="414"/>
      <c r="K17" s="415"/>
      <c r="L17" s="414"/>
      <c r="M17" s="414"/>
      <c r="N17" s="415"/>
      <c r="O17" s="414"/>
      <c r="P17" s="416"/>
      <c r="Q17" s="417"/>
      <c r="R17" s="364" t="str">
        <f t="shared" si="1"/>
        <v/>
      </c>
      <c r="S17" s="280" t="str">
        <f t="shared" si="2"/>
        <v/>
      </c>
      <c r="T17" s="280" t="str">
        <f t="shared" si="3"/>
        <v/>
      </c>
      <c r="U17" s="432"/>
      <c r="V17" s="434"/>
      <c r="W17" s="435"/>
      <c r="X17" s="435"/>
      <c r="Y17" s="435"/>
      <c r="Z17" s="436"/>
      <c r="AA17" s="437"/>
      <c r="AB17" s="873">
        <v>1479534.14</v>
      </c>
      <c r="AC17" s="603" t="s">
        <v>254</v>
      </c>
      <c r="AD17" s="604" t="s">
        <v>254</v>
      </c>
      <c r="AE17" s="452"/>
      <c r="AF17" s="453"/>
      <c r="AG17" s="453"/>
      <c r="AH17" s="454"/>
      <c r="AI17" s="875"/>
      <c r="AJ17" s="375"/>
      <c r="AK17" s="507" t="s">
        <v>244</v>
      </c>
    </row>
    <row r="18" spans="1:37" x14ac:dyDescent="0.3">
      <c r="A18" s="244" t="s">
        <v>233</v>
      </c>
      <c r="B18" s="357">
        <v>1994</v>
      </c>
      <c r="C18" s="582">
        <f t="shared" si="4"/>
        <v>694473.36800000002</v>
      </c>
      <c r="D18" s="311"/>
      <c r="E18" s="312"/>
      <c r="F18" s="313">
        <f t="shared" si="0"/>
        <v>694473.36800000002</v>
      </c>
      <c r="G18" s="368" t="s">
        <v>299</v>
      </c>
      <c r="H18" s="412" t="s">
        <v>46</v>
      </c>
      <c r="I18" s="413"/>
      <c r="J18" s="414"/>
      <c r="K18" s="415"/>
      <c r="L18" s="414"/>
      <c r="M18" s="414"/>
      <c r="N18" s="418"/>
      <c r="O18" s="419"/>
      <c r="P18" s="420"/>
      <c r="Q18" s="417"/>
      <c r="R18" s="364" t="str">
        <f t="shared" si="1"/>
        <v/>
      </c>
      <c r="S18" s="280" t="str">
        <f t="shared" si="2"/>
        <v/>
      </c>
      <c r="T18" s="280" t="str">
        <f t="shared" si="3"/>
        <v/>
      </c>
      <c r="U18" s="432"/>
      <c r="V18" s="434"/>
      <c r="W18" s="435"/>
      <c r="X18" s="435"/>
      <c r="Y18" s="435"/>
      <c r="Z18" s="436"/>
      <c r="AA18" s="437"/>
      <c r="AB18" s="873">
        <v>694473.36800000002</v>
      </c>
      <c r="AC18" s="603" t="s">
        <v>254</v>
      </c>
      <c r="AD18" s="604" t="s">
        <v>254</v>
      </c>
      <c r="AE18" s="452"/>
      <c r="AF18" s="453"/>
      <c r="AG18" s="453"/>
      <c r="AH18" s="454"/>
      <c r="AI18" s="875"/>
      <c r="AJ18" s="375"/>
      <c r="AK18" s="507" t="s">
        <v>244</v>
      </c>
    </row>
    <row r="19" spans="1:37" x14ac:dyDescent="0.3">
      <c r="A19" s="244" t="s">
        <v>233</v>
      </c>
      <c r="B19" s="357">
        <v>1995</v>
      </c>
      <c r="C19" s="582">
        <f t="shared" si="4"/>
        <v>979216.21</v>
      </c>
      <c r="D19" s="311"/>
      <c r="E19" s="312"/>
      <c r="F19" s="313">
        <f t="shared" si="0"/>
        <v>979216.21</v>
      </c>
      <c r="G19" s="368" t="s">
        <v>299</v>
      </c>
      <c r="H19" s="412" t="s">
        <v>46</v>
      </c>
      <c r="I19" s="413"/>
      <c r="J19" s="414"/>
      <c r="K19" s="415"/>
      <c r="L19" s="414"/>
      <c r="M19" s="414"/>
      <c r="N19" s="418"/>
      <c r="O19" s="414"/>
      <c r="P19" s="416"/>
      <c r="Q19" s="417"/>
      <c r="R19" s="364" t="str">
        <f t="shared" si="1"/>
        <v/>
      </c>
      <c r="S19" s="280" t="str">
        <f t="shared" si="2"/>
        <v/>
      </c>
      <c r="T19" s="280" t="str">
        <f t="shared" si="3"/>
        <v/>
      </c>
      <c r="U19" s="432"/>
      <c r="V19" s="434"/>
      <c r="W19" s="435"/>
      <c r="X19" s="435"/>
      <c r="Y19" s="435"/>
      <c r="Z19" s="436"/>
      <c r="AA19" s="437"/>
      <c r="AB19" s="873">
        <v>979216.21</v>
      </c>
      <c r="AC19" s="603" t="s">
        <v>254</v>
      </c>
      <c r="AD19" s="604" t="s">
        <v>254</v>
      </c>
      <c r="AE19" s="452"/>
      <c r="AF19" s="453"/>
      <c r="AG19" s="453"/>
      <c r="AH19" s="456"/>
      <c r="AI19" s="875"/>
      <c r="AJ19" s="375"/>
      <c r="AK19" s="507" t="s">
        <v>244</v>
      </c>
    </row>
    <row r="20" spans="1:37" x14ac:dyDescent="0.3">
      <c r="A20" s="244" t="s">
        <v>233</v>
      </c>
      <c r="B20" s="357">
        <v>1996</v>
      </c>
      <c r="C20" s="582">
        <f t="shared" si="4"/>
        <v>140210.13</v>
      </c>
      <c r="D20" s="311"/>
      <c r="E20" s="312"/>
      <c r="F20" s="313">
        <f t="shared" si="0"/>
        <v>140210.13</v>
      </c>
      <c r="G20" s="368" t="s">
        <v>299</v>
      </c>
      <c r="H20" s="412" t="s">
        <v>46</v>
      </c>
      <c r="I20" s="413"/>
      <c r="J20" s="414"/>
      <c r="K20" s="415"/>
      <c r="L20" s="414"/>
      <c r="M20" s="414"/>
      <c r="N20" s="415"/>
      <c r="O20" s="414"/>
      <c r="P20" s="416"/>
      <c r="Q20" s="417"/>
      <c r="R20" s="364" t="str">
        <f t="shared" si="1"/>
        <v/>
      </c>
      <c r="S20" s="280" t="str">
        <f t="shared" si="2"/>
        <v/>
      </c>
      <c r="T20" s="280" t="str">
        <f t="shared" si="3"/>
        <v/>
      </c>
      <c r="U20" s="432"/>
      <c r="V20" s="434"/>
      <c r="W20" s="435"/>
      <c r="X20" s="435"/>
      <c r="Y20" s="435"/>
      <c r="Z20" s="436"/>
      <c r="AA20" s="437"/>
      <c r="AB20" s="873">
        <v>140210.13</v>
      </c>
      <c r="AC20" s="603" t="s">
        <v>254</v>
      </c>
      <c r="AD20" s="604" t="s">
        <v>254</v>
      </c>
      <c r="AE20" s="452"/>
      <c r="AF20" s="453"/>
      <c r="AG20" s="453"/>
      <c r="AH20" s="454"/>
      <c r="AI20" s="875" t="s">
        <v>46</v>
      </c>
      <c r="AJ20" s="375"/>
      <c r="AK20" s="507" t="s">
        <v>244</v>
      </c>
    </row>
    <row r="21" spans="1:37" x14ac:dyDescent="0.3">
      <c r="A21" s="244" t="s">
        <v>233</v>
      </c>
      <c r="B21" s="357">
        <v>1997</v>
      </c>
      <c r="C21" s="582">
        <f t="shared" si="4"/>
        <v>379994.25400000002</v>
      </c>
      <c r="D21" s="311"/>
      <c r="E21" s="312"/>
      <c r="F21" s="313">
        <f t="shared" si="0"/>
        <v>379994.25400000002</v>
      </c>
      <c r="G21" s="368" t="s">
        <v>299</v>
      </c>
      <c r="H21" s="412" t="s">
        <v>46</v>
      </c>
      <c r="I21" s="413"/>
      <c r="J21" s="414"/>
      <c r="K21" s="415"/>
      <c r="L21" s="414"/>
      <c r="M21" s="414"/>
      <c r="N21" s="415"/>
      <c r="O21" s="414"/>
      <c r="P21" s="416"/>
      <c r="Q21" s="417"/>
      <c r="R21" s="364" t="str">
        <f t="shared" si="1"/>
        <v/>
      </c>
      <c r="S21" s="280" t="str">
        <f t="shared" si="2"/>
        <v/>
      </c>
      <c r="T21" s="280" t="str">
        <f t="shared" si="3"/>
        <v/>
      </c>
      <c r="U21" s="432"/>
      <c r="V21" s="434"/>
      <c r="W21" s="435"/>
      <c r="X21" s="435"/>
      <c r="Y21" s="435"/>
      <c r="Z21" s="436"/>
      <c r="AA21" s="437"/>
      <c r="AB21" s="873">
        <v>379994.25400000002</v>
      </c>
      <c r="AC21" s="603" t="s">
        <v>254</v>
      </c>
      <c r="AD21" s="604" t="s">
        <v>254</v>
      </c>
      <c r="AE21" s="452"/>
      <c r="AF21" s="453"/>
      <c r="AG21" s="453"/>
      <c r="AH21" s="454"/>
      <c r="AI21" s="875"/>
      <c r="AJ21" s="375"/>
      <c r="AK21" s="507" t="s">
        <v>244</v>
      </c>
    </row>
    <row r="22" spans="1:37" x14ac:dyDescent="0.3">
      <c r="A22" s="244" t="s">
        <v>233</v>
      </c>
      <c r="B22" s="357">
        <v>1998</v>
      </c>
      <c r="C22" s="310">
        <f t="shared" si="4"/>
        <v>1209167</v>
      </c>
      <c r="D22" s="311"/>
      <c r="E22" s="312"/>
      <c r="F22" s="313">
        <f t="shared" si="0"/>
        <v>1209167</v>
      </c>
      <c r="G22" s="368" t="s">
        <v>299</v>
      </c>
      <c r="H22" s="412" t="s">
        <v>46</v>
      </c>
      <c r="I22" s="413"/>
      <c r="J22" s="414"/>
      <c r="K22" s="415"/>
      <c r="L22" s="414"/>
      <c r="M22" s="414"/>
      <c r="N22" s="415"/>
      <c r="O22" s="414"/>
      <c r="P22" s="416"/>
      <c r="Q22" s="417"/>
      <c r="R22" s="364" t="str">
        <f t="shared" si="1"/>
        <v/>
      </c>
      <c r="S22" s="280" t="str">
        <f t="shared" si="2"/>
        <v/>
      </c>
      <c r="T22" s="280" t="str">
        <f t="shared" si="3"/>
        <v/>
      </c>
      <c r="U22" s="432"/>
      <c r="V22" s="434"/>
      <c r="W22" s="435"/>
      <c r="X22" s="435"/>
      <c r="Y22" s="435"/>
      <c r="Z22" s="436"/>
      <c r="AA22" s="437"/>
      <c r="AB22" s="874">
        <v>1209167</v>
      </c>
      <c r="AC22" s="885">
        <v>35737</v>
      </c>
      <c r="AD22" s="604" t="s">
        <v>254</v>
      </c>
      <c r="AE22" s="452">
        <v>68</v>
      </c>
      <c r="AF22" s="453">
        <v>3.45</v>
      </c>
      <c r="AG22" s="453" t="s">
        <v>70</v>
      </c>
      <c r="AH22" s="454" t="s">
        <v>467</v>
      </c>
      <c r="AI22" s="884" t="s">
        <v>492</v>
      </c>
      <c r="AJ22" s="375" t="s">
        <v>496</v>
      </c>
      <c r="AK22" s="507" t="s">
        <v>244</v>
      </c>
    </row>
    <row r="23" spans="1:37" x14ac:dyDescent="0.3">
      <c r="A23" s="244" t="s">
        <v>233</v>
      </c>
      <c r="B23" s="357">
        <v>1999</v>
      </c>
      <c r="C23" s="310">
        <f t="shared" si="4"/>
        <v>3099743</v>
      </c>
      <c r="D23" s="311"/>
      <c r="E23" s="312"/>
      <c r="F23" s="313">
        <f t="shared" si="0"/>
        <v>3099743</v>
      </c>
      <c r="G23" s="368" t="s">
        <v>299</v>
      </c>
      <c r="H23" s="412" t="s">
        <v>46</v>
      </c>
      <c r="I23" s="413"/>
      <c r="J23" s="414"/>
      <c r="K23" s="415"/>
      <c r="L23" s="414"/>
      <c r="M23" s="414"/>
      <c r="N23" s="415"/>
      <c r="O23" s="414"/>
      <c r="P23" s="416"/>
      <c r="Q23" s="417"/>
      <c r="R23" s="364" t="str">
        <f t="shared" si="1"/>
        <v/>
      </c>
      <c r="S23" s="280" t="str">
        <f t="shared" si="2"/>
        <v/>
      </c>
      <c r="T23" s="280" t="str">
        <f t="shared" si="3"/>
        <v/>
      </c>
      <c r="U23" s="432"/>
      <c r="V23" s="434"/>
      <c r="W23" s="435"/>
      <c r="X23" s="435"/>
      <c r="Y23" s="435"/>
      <c r="Z23" s="436"/>
      <c r="AA23" s="437"/>
      <c r="AB23" s="874">
        <v>3099743</v>
      </c>
      <c r="AC23" s="885">
        <v>36070</v>
      </c>
      <c r="AD23" s="451">
        <v>341</v>
      </c>
      <c r="AE23" s="452">
        <v>65</v>
      </c>
      <c r="AF23" s="453">
        <v>3.3</v>
      </c>
      <c r="AG23" s="453" t="s">
        <v>70</v>
      </c>
      <c r="AH23" s="454" t="s">
        <v>468</v>
      </c>
      <c r="AI23" s="875" t="s">
        <v>46</v>
      </c>
      <c r="AJ23" s="375" t="s">
        <v>496</v>
      </c>
      <c r="AK23" s="507" t="s">
        <v>244</v>
      </c>
    </row>
    <row r="24" spans="1:37" x14ac:dyDescent="0.3">
      <c r="A24" s="244" t="s">
        <v>233</v>
      </c>
      <c r="B24" s="357">
        <v>2000</v>
      </c>
      <c r="C24" s="310">
        <f t="shared" si="4"/>
        <v>281333</v>
      </c>
      <c r="D24" s="311"/>
      <c r="E24" s="312"/>
      <c r="F24" s="313">
        <f t="shared" si="0"/>
        <v>281333</v>
      </c>
      <c r="G24" s="368" t="s">
        <v>299</v>
      </c>
      <c r="H24" s="412" t="s">
        <v>46</v>
      </c>
      <c r="I24" s="413"/>
      <c r="J24" s="414"/>
      <c r="K24" s="415"/>
      <c r="L24" s="414"/>
      <c r="M24" s="414"/>
      <c r="N24" s="415"/>
      <c r="O24" s="414"/>
      <c r="P24" s="416"/>
      <c r="Q24" s="417"/>
      <c r="R24" s="364" t="str">
        <f t="shared" si="1"/>
        <v/>
      </c>
      <c r="S24" s="280" t="str">
        <f t="shared" si="2"/>
        <v/>
      </c>
      <c r="T24" s="280" t="str">
        <f t="shared" si="3"/>
        <v/>
      </c>
      <c r="U24" s="432"/>
      <c r="V24" s="434"/>
      <c r="W24" s="435"/>
      <c r="X24" s="435"/>
      <c r="Y24" s="435"/>
      <c r="Z24" s="436"/>
      <c r="AA24" s="437"/>
      <c r="AB24" s="874">
        <v>281333</v>
      </c>
      <c r="AC24" s="885">
        <v>36428</v>
      </c>
      <c r="AD24" s="604" t="s">
        <v>254</v>
      </c>
      <c r="AE24" s="452"/>
      <c r="AF24" s="453" t="s">
        <v>228</v>
      </c>
      <c r="AG24" s="453"/>
      <c r="AH24" s="454" t="s">
        <v>469</v>
      </c>
      <c r="AI24" s="875" t="s">
        <v>46</v>
      </c>
      <c r="AJ24" s="375" t="s">
        <v>496</v>
      </c>
      <c r="AK24" s="507" t="s">
        <v>244</v>
      </c>
    </row>
    <row r="25" spans="1:37" x14ac:dyDescent="0.3">
      <c r="A25" s="244" t="s">
        <v>233</v>
      </c>
      <c r="B25" s="357">
        <v>2001</v>
      </c>
      <c r="C25" s="310">
        <f t="shared" si="4"/>
        <v>1446600</v>
      </c>
      <c r="D25" s="311"/>
      <c r="E25" s="312"/>
      <c r="F25" s="313">
        <f t="shared" si="0"/>
        <v>1446600</v>
      </c>
      <c r="G25" s="368" t="s">
        <v>299</v>
      </c>
      <c r="H25" s="412" t="s">
        <v>46</v>
      </c>
      <c r="I25" s="413"/>
      <c r="J25" s="414"/>
      <c r="K25" s="415"/>
      <c r="L25" s="414"/>
      <c r="M25" s="414"/>
      <c r="N25" s="415"/>
      <c r="O25" s="414"/>
      <c r="P25" s="416"/>
      <c r="Q25" s="417"/>
      <c r="R25" s="364" t="str">
        <f t="shared" si="1"/>
        <v/>
      </c>
      <c r="S25" s="280" t="str">
        <f t="shared" si="2"/>
        <v/>
      </c>
      <c r="T25" s="280" t="str">
        <f t="shared" si="3"/>
        <v/>
      </c>
      <c r="U25" s="432"/>
      <c r="V25" s="434"/>
      <c r="W25" s="435"/>
      <c r="X25" s="435"/>
      <c r="Y25" s="435"/>
      <c r="Z25" s="436"/>
      <c r="AA25" s="437"/>
      <c r="AB25" s="874">
        <v>1446600</v>
      </c>
      <c r="AC25" s="885">
        <v>36796</v>
      </c>
      <c r="AD25" s="451">
        <v>91</v>
      </c>
      <c r="AE25" s="452">
        <v>79</v>
      </c>
      <c r="AF25" s="453">
        <v>5.5</v>
      </c>
      <c r="AG25" s="453" t="s">
        <v>70</v>
      </c>
      <c r="AH25" s="454" t="s">
        <v>470</v>
      </c>
      <c r="AI25" s="875" t="s">
        <v>46</v>
      </c>
      <c r="AJ25" s="375" t="s">
        <v>496</v>
      </c>
      <c r="AK25" s="507" t="s">
        <v>244</v>
      </c>
    </row>
    <row r="26" spans="1:37" x14ac:dyDescent="0.3">
      <c r="A26" s="244" t="s">
        <v>233</v>
      </c>
      <c r="B26" s="357">
        <v>2002</v>
      </c>
      <c r="C26" s="310">
        <f t="shared" si="4"/>
        <v>2927009</v>
      </c>
      <c r="D26" s="311"/>
      <c r="E26" s="312"/>
      <c r="F26" s="313">
        <f t="shared" si="0"/>
        <v>2927009</v>
      </c>
      <c r="G26" s="368" t="s">
        <v>299</v>
      </c>
      <c r="H26" s="412" t="s">
        <v>46</v>
      </c>
      <c r="I26" s="413"/>
      <c r="J26" s="414"/>
      <c r="K26" s="415"/>
      <c r="L26" s="414"/>
      <c r="M26" s="414"/>
      <c r="N26" s="415"/>
      <c r="O26" s="414"/>
      <c r="P26" s="416"/>
      <c r="Q26" s="417"/>
      <c r="R26" s="364" t="str">
        <f t="shared" si="1"/>
        <v/>
      </c>
      <c r="S26" s="280" t="str">
        <f t="shared" si="2"/>
        <v/>
      </c>
      <c r="T26" s="280" t="str">
        <f t="shared" si="3"/>
        <v/>
      </c>
      <c r="U26" s="432"/>
      <c r="V26" s="434"/>
      <c r="W26" s="435"/>
      <c r="X26" s="435"/>
      <c r="Y26" s="435"/>
      <c r="Z26" s="436"/>
      <c r="AA26" s="437"/>
      <c r="AB26" s="874">
        <v>2927009</v>
      </c>
      <c r="AC26" s="885">
        <v>37222</v>
      </c>
      <c r="AD26" s="451">
        <v>120</v>
      </c>
      <c r="AE26" s="452">
        <v>71.5</v>
      </c>
      <c r="AF26" s="453">
        <v>3.4</v>
      </c>
      <c r="AG26" s="453" t="s">
        <v>70</v>
      </c>
      <c r="AH26" s="454" t="s">
        <v>471</v>
      </c>
      <c r="AI26" s="875" t="s">
        <v>46</v>
      </c>
      <c r="AJ26" s="375" t="s">
        <v>496</v>
      </c>
      <c r="AK26" s="507" t="s">
        <v>244</v>
      </c>
    </row>
    <row r="27" spans="1:37" x14ac:dyDescent="0.3">
      <c r="A27" s="244" t="s">
        <v>233</v>
      </c>
      <c r="B27" s="357">
        <v>2003</v>
      </c>
      <c r="C27" s="310">
        <f t="shared" si="4"/>
        <v>2080978</v>
      </c>
      <c r="D27" s="311"/>
      <c r="E27" s="312"/>
      <c r="F27" s="313">
        <f t="shared" si="0"/>
        <v>2080978</v>
      </c>
      <c r="G27" s="368" t="s">
        <v>299</v>
      </c>
      <c r="H27" s="412" t="s">
        <v>46</v>
      </c>
      <c r="I27" s="413"/>
      <c r="J27" s="414"/>
      <c r="K27" s="415"/>
      <c r="L27" s="414"/>
      <c r="M27" s="414"/>
      <c r="N27" s="415"/>
      <c r="O27" s="414"/>
      <c r="P27" s="416"/>
      <c r="Q27" s="417"/>
      <c r="R27" s="364" t="str">
        <f t="shared" si="1"/>
        <v/>
      </c>
      <c r="S27" s="280" t="str">
        <f t="shared" si="2"/>
        <v/>
      </c>
      <c r="T27" s="280" t="str">
        <f t="shared" si="3"/>
        <v/>
      </c>
      <c r="U27" s="432"/>
      <c r="V27" s="434"/>
      <c r="W27" s="435"/>
      <c r="X27" s="435"/>
      <c r="Y27" s="435"/>
      <c r="Z27" s="436"/>
      <c r="AA27" s="437"/>
      <c r="AB27" s="874">
        <v>2080978</v>
      </c>
      <c r="AC27" s="885">
        <v>37585</v>
      </c>
      <c r="AD27" s="451">
        <v>375</v>
      </c>
      <c r="AE27" s="452">
        <v>72.599999999999994</v>
      </c>
      <c r="AF27" s="453">
        <v>3.45</v>
      </c>
      <c r="AG27" s="453" t="s">
        <v>70</v>
      </c>
      <c r="AH27" s="454" t="s">
        <v>472</v>
      </c>
      <c r="AI27" s="875" t="s">
        <v>46</v>
      </c>
      <c r="AJ27" s="375" t="s">
        <v>496</v>
      </c>
      <c r="AK27" s="507" t="s">
        <v>244</v>
      </c>
    </row>
    <row r="28" spans="1:37" x14ac:dyDescent="0.3">
      <c r="A28" s="244" t="s">
        <v>233</v>
      </c>
      <c r="B28" s="357">
        <v>2004</v>
      </c>
      <c r="C28" s="310">
        <f t="shared" si="4"/>
        <v>627855</v>
      </c>
      <c r="D28" s="311"/>
      <c r="E28" s="312"/>
      <c r="F28" s="313">
        <f t="shared" si="0"/>
        <v>627855</v>
      </c>
      <c r="G28" s="368" t="s">
        <v>299</v>
      </c>
      <c r="H28" s="412" t="s">
        <v>46</v>
      </c>
      <c r="I28" s="413"/>
      <c r="J28" s="414"/>
      <c r="K28" s="415"/>
      <c r="L28" s="414"/>
      <c r="M28" s="414"/>
      <c r="N28" s="415"/>
      <c r="O28" s="414"/>
      <c r="P28" s="416"/>
      <c r="Q28" s="417"/>
      <c r="R28" s="364" t="str">
        <f t="shared" si="1"/>
        <v/>
      </c>
      <c r="S28" s="280" t="str">
        <f t="shared" si="2"/>
        <v/>
      </c>
      <c r="T28" s="280" t="str">
        <f t="shared" si="3"/>
        <v/>
      </c>
      <c r="U28" s="432"/>
      <c r="V28" s="434"/>
      <c r="W28" s="435"/>
      <c r="X28" s="435"/>
      <c r="Y28" s="435"/>
      <c r="Z28" s="436"/>
      <c r="AA28" s="437"/>
      <c r="AB28" s="874">
        <v>627855</v>
      </c>
      <c r="AC28" s="886">
        <v>38048</v>
      </c>
      <c r="AD28" s="604" t="s">
        <v>254</v>
      </c>
      <c r="AE28" s="605">
        <v>46.6</v>
      </c>
      <c r="AF28" s="606">
        <v>1.44</v>
      </c>
      <c r="AG28" s="453" t="s">
        <v>70</v>
      </c>
      <c r="AH28" s="454" t="s">
        <v>453</v>
      </c>
      <c r="AI28" s="884" t="s">
        <v>451</v>
      </c>
      <c r="AJ28" s="375" t="s">
        <v>496</v>
      </c>
      <c r="AK28" s="507" t="s">
        <v>244</v>
      </c>
    </row>
    <row r="29" spans="1:37" x14ac:dyDescent="0.3">
      <c r="A29" s="244" t="s">
        <v>233</v>
      </c>
      <c r="B29" s="357">
        <v>2005</v>
      </c>
      <c r="C29" s="310">
        <f t="shared" si="4"/>
        <v>735805</v>
      </c>
      <c r="D29" s="311"/>
      <c r="E29" s="312"/>
      <c r="F29" s="313">
        <f t="shared" si="0"/>
        <v>735805</v>
      </c>
      <c r="G29" s="368" t="s">
        <v>299</v>
      </c>
      <c r="H29" s="412" t="s">
        <v>46</v>
      </c>
      <c r="I29" s="413"/>
      <c r="J29" s="414"/>
      <c r="K29" s="415"/>
      <c r="L29" s="414"/>
      <c r="M29" s="414"/>
      <c r="N29" s="415"/>
      <c r="O29" s="414"/>
      <c r="P29" s="416"/>
      <c r="Q29" s="417"/>
      <c r="R29" s="364" t="str">
        <f t="shared" si="1"/>
        <v/>
      </c>
      <c r="S29" s="280" t="str">
        <f t="shared" si="2"/>
        <v/>
      </c>
      <c r="T29" s="280" t="str">
        <f t="shared" si="3"/>
        <v/>
      </c>
      <c r="U29" s="432"/>
      <c r="V29" s="434"/>
      <c r="W29" s="435"/>
      <c r="X29" s="435"/>
      <c r="Y29" s="435"/>
      <c r="Z29" s="436"/>
      <c r="AA29" s="437"/>
      <c r="AB29" s="874">
        <v>735805</v>
      </c>
      <c r="AC29" s="886">
        <v>38402</v>
      </c>
      <c r="AD29" s="451">
        <v>82</v>
      </c>
      <c r="AE29" s="452">
        <v>72</v>
      </c>
      <c r="AF29" s="453">
        <v>4</v>
      </c>
      <c r="AG29" s="453" t="s">
        <v>70</v>
      </c>
      <c r="AH29" s="883" t="s">
        <v>454</v>
      </c>
      <c r="AI29" s="875" t="s">
        <v>46</v>
      </c>
      <c r="AJ29" s="375" t="s">
        <v>496</v>
      </c>
      <c r="AK29" s="507" t="s">
        <v>244</v>
      </c>
    </row>
    <row r="30" spans="1:37" x14ac:dyDescent="0.3">
      <c r="A30" s="244" t="s">
        <v>233</v>
      </c>
      <c r="B30" s="357">
        <v>2006</v>
      </c>
      <c r="C30" s="310">
        <f t="shared" si="4"/>
        <v>1783500</v>
      </c>
      <c r="D30" s="311"/>
      <c r="E30" s="312"/>
      <c r="F30" s="313">
        <f t="shared" si="0"/>
        <v>1783500</v>
      </c>
      <c r="G30" s="368" t="s">
        <v>299</v>
      </c>
      <c r="H30" s="412" t="s">
        <v>46</v>
      </c>
      <c r="I30" s="413"/>
      <c r="J30" s="414"/>
      <c r="K30" s="415"/>
      <c r="L30" s="414"/>
      <c r="M30" s="414"/>
      <c r="N30" s="415"/>
      <c r="O30" s="414"/>
      <c r="P30" s="416"/>
      <c r="Q30" s="417"/>
      <c r="R30" s="364" t="str">
        <f t="shared" si="1"/>
        <v/>
      </c>
      <c r="S30" s="280" t="str">
        <f t="shared" si="2"/>
        <v/>
      </c>
      <c r="T30" s="280" t="str">
        <f t="shared" si="3"/>
        <v/>
      </c>
      <c r="U30" s="432"/>
      <c r="V30" s="434"/>
      <c r="W30" s="435"/>
      <c r="X30" s="435"/>
      <c r="Y30" s="435"/>
      <c r="Z30" s="436"/>
      <c r="AA30" s="437"/>
      <c r="AB30" s="874">
        <v>1783500</v>
      </c>
      <c r="AC30" s="886">
        <v>38735</v>
      </c>
      <c r="AD30" s="451">
        <v>292</v>
      </c>
      <c r="AE30" s="452">
        <v>69.5</v>
      </c>
      <c r="AF30" s="453">
        <v>3.4602739726027396</v>
      </c>
      <c r="AG30" s="453" t="s">
        <v>70</v>
      </c>
      <c r="AH30" s="454" t="s">
        <v>455</v>
      </c>
      <c r="AI30" s="875" t="s">
        <v>46</v>
      </c>
      <c r="AJ30" s="375" t="s">
        <v>496</v>
      </c>
      <c r="AK30" s="507" t="s">
        <v>244</v>
      </c>
    </row>
    <row r="31" spans="1:37" x14ac:dyDescent="0.3">
      <c r="A31" s="244" t="s">
        <v>233</v>
      </c>
      <c r="B31" s="357">
        <v>2007</v>
      </c>
      <c r="C31" s="310">
        <f t="shared" si="4"/>
        <v>2026709</v>
      </c>
      <c r="D31" s="311"/>
      <c r="E31" s="312"/>
      <c r="F31" s="313">
        <f t="shared" si="0"/>
        <v>2026709</v>
      </c>
      <c r="G31" s="368" t="s">
        <v>299</v>
      </c>
      <c r="H31" s="412" t="s">
        <v>46</v>
      </c>
      <c r="I31" s="413"/>
      <c r="J31" s="414"/>
      <c r="K31" s="415"/>
      <c r="L31" s="414"/>
      <c r="M31" s="414"/>
      <c r="N31" s="418"/>
      <c r="O31" s="414"/>
      <c r="P31" s="416"/>
      <c r="Q31" s="417"/>
      <c r="R31" s="364" t="str">
        <f t="shared" si="1"/>
        <v/>
      </c>
      <c r="S31" s="280" t="str">
        <f t="shared" si="2"/>
        <v/>
      </c>
      <c r="T31" s="280" t="str">
        <f t="shared" si="3"/>
        <v/>
      </c>
      <c r="U31" s="432"/>
      <c r="V31" s="434"/>
      <c r="W31" s="435"/>
      <c r="X31" s="435"/>
      <c r="Y31" s="435"/>
      <c r="Z31" s="436"/>
      <c r="AA31" s="437"/>
      <c r="AB31" s="874">
        <v>2026709</v>
      </c>
      <c r="AC31" s="886">
        <v>39155</v>
      </c>
      <c r="AD31" s="451">
        <v>827</v>
      </c>
      <c r="AE31" s="452">
        <v>70</v>
      </c>
      <c r="AF31" s="453">
        <v>3.6011366384522363</v>
      </c>
      <c r="AG31" s="453" t="s">
        <v>70</v>
      </c>
      <c r="AH31" s="454" t="s">
        <v>456</v>
      </c>
      <c r="AI31" s="875" t="s">
        <v>46</v>
      </c>
      <c r="AJ31" s="375" t="s">
        <v>496</v>
      </c>
      <c r="AK31" s="507" t="s">
        <v>244</v>
      </c>
    </row>
    <row r="32" spans="1:37" x14ac:dyDescent="0.3">
      <c r="A32" s="244" t="s">
        <v>233</v>
      </c>
      <c r="B32" s="357">
        <v>2008</v>
      </c>
      <c r="C32" s="310">
        <f t="shared" si="4"/>
        <v>2133694</v>
      </c>
      <c r="D32" s="311"/>
      <c r="E32" s="312"/>
      <c r="F32" s="313">
        <f t="shared" si="0"/>
        <v>2133694</v>
      </c>
      <c r="G32" s="368" t="s">
        <v>299</v>
      </c>
      <c r="H32" s="412" t="s">
        <v>46</v>
      </c>
      <c r="I32" s="413"/>
      <c r="J32" s="414"/>
      <c r="K32" s="415"/>
      <c r="L32" s="414"/>
      <c r="M32" s="414"/>
      <c r="N32" s="415"/>
      <c r="O32" s="414"/>
      <c r="P32" s="416"/>
      <c r="Q32" s="417"/>
      <c r="R32" s="364" t="str">
        <f t="shared" si="1"/>
        <v/>
      </c>
      <c r="S32" s="280" t="str">
        <f t="shared" si="2"/>
        <v/>
      </c>
      <c r="T32" s="280" t="str">
        <f t="shared" si="3"/>
        <v/>
      </c>
      <c r="U32" s="432"/>
      <c r="V32" s="434"/>
      <c r="W32" s="435"/>
      <c r="X32" s="435"/>
      <c r="Y32" s="435"/>
      <c r="Z32" s="436"/>
      <c r="AA32" s="437"/>
      <c r="AB32" s="874">
        <v>2133694</v>
      </c>
      <c r="AC32" s="886">
        <v>39462</v>
      </c>
      <c r="AD32" s="451">
        <v>947</v>
      </c>
      <c r="AE32" s="452">
        <v>69</v>
      </c>
      <c r="AF32" s="453">
        <v>3.17</v>
      </c>
      <c r="AG32" s="453" t="s">
        <v>70</v>
      </c>
      <c r="AH32" s="454" t="s">
        <v>457</v>
      </c>
      <c r="AI32" s="875" t="s">
        <v>46</v>
      </c>
      <c r="AJ32" s="375" t="s">
        <v>496</v>
      </c>
      <c r="AK32" s="507" t="s">
        <v>244</v>
      </c>
    </row>
    <row r="33" spans="1:37" x14ac:dyDescent="0.3">
      <c r="A33" s="244" t="s">
        <v>233</v>
      </c>
      <c r="B33" s="357">
        <v>2009</v>
      </c>
      <c r="C33" s="310">
        <f t="shared" si="4"/>
        <v>875327</v>
      </c>
      <c r="D33" s="311"/>
      <c r="E33" s="312"/>
      <c r="F33" s="313">
        <f t="shared" si="0"/>
        <v>875327</v>
      </c>
      <c r="G33" s="368" t="s">
        <v>299</v>
      </c>
      <c r="H33" s="412" t="s">
        <v>46</v>
      </c>
      <c r="I33" s="413"/>
      <c r="J33" s="414"/>
      <c r="K33" s="415"/>
      <c r="L33" s="414"/>
      <c r="M33" s="414"/>
      <c r="N33" s="418"/>
      <c r="O33" s="414"/>
      <c r="P33" s="416"/>
      <c r="Q33" s="417"/>
      <c r="R33" s="364" t="str">
        <f t="shared" si="1"/>
        <v/>
      </c>
      <c r="S33" s="280" t="str">
        <f t="shared" si="2"/>
        <v/>
      </c>
      <c r="T33" s="280" t="str">
        <f t="shared" si="3"/>
        <v/>
      </c>
      <c r="U33" s="432"/>
      <c r="V33" s="434"/>
      <c r="W33" s="435"/>
      <c r="X33" s="435"/>
      <c r="Y33" s="435"/>
      <c r="Z33" s="436"/>
      <c r="AA33" s="437"/>
      <c r="AB33" s="874">
        <v>875327</v>
      </c>
      <c r="AC33" s="885">
        <v>39757</v>
      </c>
      <c r="AD33" s="451">
        <v>438</v>
      </c>
      <c r="AE33" s="452">
        <v>77</v>
      </c>
      <c r="AF33" s="453">
        <v>5.6</v>
      </c>
      <c r="AG33" s="453" t="s">
        <v>70</v>
      </c>
      <c r="AH33" s="454" t="s">
        <v>473</v>
      </c>
      <c r="AI33" s="875" t="s">
        <v>46</v>
      </c>
      <c r="AJ33" s="375" t="s">
        <v>496</v>
      </c>
      <c r="AK33" s="507" t="s">
        <v>244</v>
      </c>
    </row>
    <row r="34" spans="1:37" x14ac:dyDescent="0.3">
      <c r="A34" s="244" t="s">
        <v>233</v>
      </c>
      <c r="B34" s="357">
        <v>2010</v>
      </c>
      <c r="C34" s="310">
        <f t="shared" si="4"/>
        <v>7488306</v>
      </c>
      <c r="D34" s="311"/>
      <c r="E34" s="312"/>
      <c r="F34" s="313">
        <f t="shared" si="0"/>
        <v>7488306</v>
      </c>
      <c r="G34" s="368" t="s">
        <v>299</v>
      </c>
      <c r="H34" s="412" t="s">
        <v>46</v>
      </c>
      <c r="I34" s="413"/>
      <c r="J34" s="414"/>
      <c r="K34" s="415"/>
      <c r="L34" s="414"/>
      <c r="M34" s="414"/>
      <c r="N34" s="418"/>
      <c r="O34" s="414"/>
      <c r="P34" s="416"/>
      <c r="Q34" s="417"/>
      <c r="R34" s="364" t="str">
        <f t="shared" si="1"/>
        <v/>
      </c>
      <c r="S34" s="280" t="str">
        <f t="shared" si="2"/>
        <v/>
      </c>
      <c r="T34" s="280" t="str">
        <f t="shared" si="3"/>
        <v/>
      </c>
      <c r="U34" s="432"/>
      <c r="V34" s="434"/>
      <c r="W34" s="435"/>
      <c r="X34" s="435"/>
      <c r="Y34" s="435"/>
      <c r="Z34" s="436"/>
      <c r="AA34" s="437"/>
      <c r="AB34" s="874">
        <v>7488306</v>
      </c>
      <c r="AC34" s="886">
        <v>40219</v>
      </c>
      <c r="AD34" s="451">
        <v>791</v>
      </c>
      <c r="AE34" s="452">
        <v>71</v>
      </c>
      <c r="AF34" s="453">
        <v>3.3615676359039193</v>
      </c>
      <c r="AG34" s="453" t="s">
        <v>70</v>
      </c>
      <c r="AH34" s="454" t="s">
        <v>458</v>
      </c>
      <c r="AI34" s="875" t="s">
        <v>46</v>
      </c>
      <c r="AJ34" s="375" t="s">
        <v>496</v>
      </c>
      <c r="AK34" s="507" t="s">
        <v>244</v>
      </c>
    </row>
    <row r="35" spans="1:37" x14ac:dyDescent="0.3">
      <c r="A35" s="244" t="s">
        <v>233</v>
      </c>
      <c r="B35" s="357">
        <v>2011</v>
      </c>
      <c r="C35" s="310">
        <f t="shared" si="4"/>
        <v>929531</v>
      </c>
      <c r="D35" s="311"/>
      <c r="E35" s="312"/>
      <c r="F35" s="313">
        <f t="shared" si="0"/>
        <v>929531</v>
      </c>
      <c r="G35" s="368" t="s">
        <v>299</v>
      </c>
      <c r="H35" s="412" t="s">
        <v>46</v>
      </c>
      <c r="I35" s="413"/>
      <c r="J35" s="414"/>
      <c r="K35" s="415"/>
      <c r="L35" s="414"/>
      <c r="M35" s="414"/>
      <c r="N35" s="418"/>
      <c r="O35" s="414"/>
      <c r="P35" s="416"/>
      <c r="Q35" s="417"/>
      <c r="R35" s="364" t="str">
        <f t="shared" si="1"/>
        <v/>
      </c>
      <c r="S35" s="280" t="str">
        <f t="shared" si="2"/>
        <v/>
      </c>
      <c r="T35" s="280" t="str">
        <f t="shared" si="3"/>
        <v/>
      </c>
      <c r="U35" s="432"/>
      <c r="V35" s="434"/>
      <c r="W35" s="435"/>
      <c r="X35" s="435"/>
      <c r="Y35" s="435"/>
      <c r="Z35" s="436"/>
      <c r="AA35" s="437"/>
      <c r="AB35" s="874">
        <v>929531</v>
      </c>
      <c r="AC35" s="886">
        <v>40612</v>
      </c>
      <c r="AD35" s="451">
        <v>461</v>
      </c>
      <c r="AE35" s="452">
        <v>76.989999999999995</v>
      </c>
      <c r="AF35" s="453">
        <v>4.8154013015184383</v>
      </c>
      <c r="AG35" s="453" t="s">
        <v>70</v>
      </c>
      <c r="AH35" s="454" t="s">
        <v>497</v>
      </c>
      <c r="AI35" s="884" t="s">
        <v>460</v>
      </c>
      <c r="AJ35" s="375" t="s">
        <v>496</v>
      </c>
      <c r="AK35" s="507" t="s">
        <v>244</v>
      </c>
    </row>
    <row r="36" spans="1:37" x14ac:dyDescent="0.3">
      <c r="A36" s="244" t="s">
        <v>233</v>
      </c>
      <c r="B36" s="357">
        <v>2012</v>
      </c>
      <c r="C36" s="310">
        <f t="shared" si="4"/>
        <v>4435800</v>
      </c>
      <c r="D36" s="311"/>
      <c r="E36" s="312"/>
      <c r="F36" s="313">
        <f t="shared" si="0"/>
        <v>4435800</v>
      </c>
      <c r="G36" s="368" t="s">
        <v>299</v>
      </c>
      <c r="H36" s="412" t="s">
        <v>46</v>
      </c>
      <c r="I36" s="413"/>
      <c r="J36" s="414"/>
      <c r="K36" s="418"/>
      <c r="L36" s="414"/>
      <c r="M36" s="414"/>
      <c r="N36" s="418"/>
      <c r="O36" s="419"/>
      <c r="P36" s="420"/>
      <c r="Q36" s="417"/>
      <c r="R36" s="364" t="str">
        <f t="shared" si="1"/>
        <v/>
      </c>
      <c r="S36" s="280" t="str">
        <f t="shared" si="2"/>
        <v/>
      </c>
      <c r="T36" s="280" t="str">
        <f t="shared" si="3"/>
        <v/>
      </c>
      <c r="U36" s="433"/>
      <c r="V36" s="438"/>
      <c r="W36" s="439"/>
      <c r="X36" s="439"/>
      <c r="Y36" s="439"/>
      <c r="Z36" s="440"/>
      <c r="AA36" s="441"/>
      <c r="AB36" s="874">
        <v>4435800</v>
      </c>
      <c r="AC36" s="886">
        <v>40987</v>
      </c>
      <c r="AD36" s="451">
        <v>1341</v>
      </c>
      <c r="AE36" s="452">
        <v>73</v>
      </c>
      <c r="AF36" s="453">
        <v>3.9872483221476509</v>
      </c>
      <c r="AG36" s="453" t="s">
        <v>70</v>
      </c>
      <c r="AH36" s="454" t="s">
        <v>459</v>
      </c>
      <c r="AI36" s="875" t="s">
        <v>46</v>
      </c>
      <c r="AJ36" s="375" t="s">
        <v>496</v>
      </c>
      <c r="AK36" s="507" t="s">
        <v>244</v>
      </c>
    </row>
    <row r="37" spans="1:37" x14ac:dyDescent="0.3">
      <c r="A37" s="244" t="s">
        <v>233</v>
      </c>
      <c r="B37" s="357">
        <v>2013</v>
      </c>
      <c r="C37" s="310">
        <f t="shared" si="4"/>
        <v>2898435</v>
      </c>
      <c r="D37" s="311"/>
      <c r="E37" s="312"/>
      <c r="F37" s="313">
        <f t="shared" si="0"/>
        <v>2898435</v>
      </c>
      <c r="G37" s="368" t="s">
        <v>299</v>
      </c>
      <c r="H37" s="412" t="s">
        <v>46</v>
      </c>
      <c r="I37" s="413"/>
      <c r="J37" s="414"/>
      <c r="K37" s="418"/>
      <c r="L37" s="419"/>
      <c r="M37" s="419"/>
      <c r="N37" s="418"/>
      <c r="O37" s="419"/>
      <c r="P37" s="420"/>
      <c r="Q37" s="417"/>
      <c r="R37" s="364" t="str">
        <f t="shared" si="1"/>
        <v/>
      </c>
      <c r="S37" s="280" t="str">
        <f t="shared" si="2"/>
        <v/>
      </c>
      <c r="T37" s="280" t="str">
        <f t="shared" si="3"/>
        <v/>
      </c>
      <c r="U37" s="433"/>
      <c r="V37" s="442"/>
      <c r="W37" s="325">
        <f>DATE($B37,5,15)</f>
        <v>41409</v>
      </c>
      <c r="X37" s="325">
        <f>DATE($B37,5,24)</f>
        <v>41418</v>
      </c>
      <c r="Y37" s="325">
        <f>DATE($B37,6,2)</f>
        <v>41427</v>
      </c>
      <c r="Z37" s="440"/>
      <c r="AA37" s="441" t="s">
        <v>253</v>
      </c>
      <c r="AB37" s="874">
        <v>2898435</v>
      </c>
      <c r="AC37" s="886">
        <v>41320</v>
      </c>
      <c r="AD37" s="451">
        <v>1088</v>
      </c>
      <c r="AE37" s="452">
        <v>70.999999999999986</v>
      </c>
      <c r="AF37" s="453">
        <v>3.549448529411765</v>
      </c>
      <c r="AG37" s="453" t="s">
        <v>70</v>
      </c>
      <c r="AH37" s="454" t="s">
        <v>499</v>
      </c>
      <c r="AI37" s="875" t="s">
        <v>46</v>
      </c>
      <c r="AJ37" s="375" t="s">
        <v>496</v>
      </c>
      <c r="AK37" s="507" t="s">
        <v>244</v>
      </c>
    </row>
    <row r="38" spans="1:37" x14ac:dyDescent="0.3">
      <c r="A38" s="244" t="s">
        <v>233</v>
      </c>
      <c r="B38" s="357">
        <v>2014</v>
      </c>
      <c r="C38" s="310">
        <f t="shared" si="4"/>
        <v>5002124</v>
      </c>
      <c r="D38" s="311"/>
      <c r="E38" s="312"/>
      <c r="F38" s="313">
        <f t="shared" si="0"/>
        <v>5002124</v>
      </c>
      <c r="G38" s="368" t="s">
        <v>299</v>
      </c>
      <c r="H38" s="412" t="s">
        <v>46</v>
      </c>
      <c r="I38" s="413"/>
      <c r="J38" s="414"/>
      <c r="K38" s="418"/>
      <c r="L38" s="419"/>
      <c r="M38" s="419"/>
      <c r="N38" s="418"/>
      <c r="O38" s="419"/>
      <c r="P38" s="420"/>
      <c r="Q38" s="417"/>
      <c r="R38" s="364" t="str">
        <f t="shared" si="1"/>
        <v/>
      </c>
      <c r="S38" s="280" t="str">
        <f t="shared" si="2"/>
        <v/>
      </c>
      <c r="T38" s="280" t="str">
        <f t="shared" si="3"/>
        <v/>
      </c>
      <c r="U38" s="433"/>
      <c r="V38" s="515"/>
      <c r="W38" s="325">
        <f>DATE($B38,5,16)</f>
        <v>41775</v>
      </c>
      <c r="X38" s="325">
        <f>DATE($B38,5,21)</f>
        <v>41780</v>
      </c>
      <c r="Y38" s="325">
        <f>DATE($B38,5,28)</f>
        <v>41787</v>
      </c>
      <c r="Z38" s="440"/>
      <c r="AA38" s="441" t="s">
        <v>253</v>
      </c>
      <c r="AB38" s="874">
        <v>5002124</v>
      </c>
      <c r="AC38" s="886">
        <v>41716</v>
      </c>
      <c r="AD38" s="451">
        <v>1171</v>
      </c>
      <c r="AE38" s="452">
        <v>66.333333333333329</v>
      </c>
      <c r="AF38" s="453">
        <v>3.0657557643040136</v>
      </c>
      <c r="AG38" s="453" t="s">
        <v>70</v>
      </c>
      <c r="AH38" s="454" t="s">
        <v>498</v>
      </c>
      <c r="AI38" s="875" t="s">
        <v>46</v>
      </c>
      <c r="AJ38" s="375" t="s">
        <v>496</v>
      </c>
      <c r="AK38" s="507" t="s">
        <v>244</v>
      </c>
    </row>
    <row r="39" spans="1:37" x14ac:dyDescent="0.3">
      <c r="A39" s="244" t="s">
        <v>233</v>
      </c>
      <c r="B39" s="357">
        <v>2015</v>
      </c>
      <c r="C39" s="310">
        <f t="shared" si="4"/>
        <v>2209546</v>
      </c>
      <c r="D39" s="311"/>
      <c r="E39" s="312"/>
      <c r="F39" s="313">
        <f t="shared" si="0"/>
        <v>2209546</v>
      </c>
      <c r="G39" s="368" t="s">
        <v>299</v>
      </c>
      <c r="H39" s="412" t="s">
        <v>46</v>
      </c>
      <c r="I39" s="413"/>
      <c r="J39" s="414"/>
      <c r="K39" s="415"/>
      <c r="L39" s="414"/>
      <c r="M39" s="414"/>
      <c r="N39" s="418"/>
      <c r="O39" s="414"/>
      <c r="P39" s="416"/>
      <c r="Q39" s="417"/>
      <c r="R39" s="364" t="str">
        <f t="shared" si="1"/>
        <v/>
      </c>
      <c r="S39" s="280" t="str">
        <f t="shared" si="2"/>
        <v/>
      </c>
      <c r="T39" s="280" t="str">
        <f t="shared" si="3"/>
        <v/>
      </c>
      <c r="U39" s="432"/>
      <c r="V39" s="515"/>
      <c r="W39" s="325">
        <f>DATE($B39,5,17)</f>
        <v>42141</v>
      </c>
      <c r="X39" s="325">
        <f>DATE($B39,5,21)</f>
        <v>42145</v>
      </c>
      <c r="Y39" s="325">
        <f>DATE($B39,5,27)</f>
        <v>42151</v>
      </c>
      <c r="Z39" s="439"/>
      <c r="AA39" s="441" t="s">
        <v>253</v>
      </c>
      <c r="AB39" s="874">
        <v>2209546</v>
      </c>
      <c r="AC39" s="886">
        <v>42062</v>
      </c>
      <c r="AD39" s="451">
        <v>601</v>
      </c>
      <c r="AE39" s="452">
        <v>71.5</v>
      </c>
      <c r="AF39" s="453">
        <v>3.9257903494176376</v>
      </c>
      <c r="AG39" s="453" t="s">
        <v>70</v>
      </c>
      <c r="AH39" s="454" t="s">
        <v>462</v>
      </c>
      <c r="AI39" s="875" t="s">
        <v>46</v>
      </c>
      <c r="AJ39" s="375" t="s">
        <v>496</v>
      </c>
      <c r="AK39" s="507" t="s">
        <v>244</v>
      </c>
    </row>
    <row r="40" spans="1:37" x14ac:dyDescent="0.3">
      <c r="A40" s="244" t="s">
        <v>233</v>
      </c>
      <c r="B40" s="357">
        <v>2016</v>
      </c>
      <c r="C40" s="310">
        <f t="shared" si="4"/>
        <v>7383151</v>
      </c>
      <c r="D40" s="311"/>
      <c r="E40" s="312"/>
      <c r="F40" s="313">
        <f t="shared" si="0"/>
        <v>7383151</v>
      </c>
      <c r="G40" s="368" t="s">
        <v>299</v>
      </c>
      <c r="H40" s="412" t="s">
        <v>46</v>
      </c>
      <c r="I40" s="413"/>
      <c r="J40" s="414"/>
      <c r="K40" s="418"/>
      <c r="L40" s="414"/>
      <c r="M40" s="414"/>
      <c r="N40" s="418"/>
      <c r="O40" s="414"/>
      <c r="P40" s="416"/>
      <c r="Q40" s="417"/>
      <c r="R40" s="364" t="str">
        <f t="shared" si="1"/>
        <v/>
      </c>
      <c r="S40" s="280" t="str">
        <f t="shared" si="2"/>
        <v/>
      </c>
      <c r="T40" s="280" t="str">
        <f t="shared" si="3"/>
        <v/>
      </c>
      <c r="U40" s="433"/>
      <c r="V40" s="516"/>
      <c r="W40" s="325">
        <f>DATE($B40,5,1)</f>
        <v>42491</v>
      </c>
      <c r="X40" s="325">
        <f>DATE($B40,5,12)</f>
        <v>42502</v>
      </c>
      <c r="Y40" s="325">
        <f>DATE($B40,5,20)</f>
        <v>42510</v>
      </c>
      <c r="Z40" s="436"/>
      <c r="AA40" s="441" t="s">
        <v>253</v>
      </c>
      <c r="AB40" s="874">
        <v>7383151</v>
      </c>
      <c r="AC40" s="886">
        <v>42432</v>
      </c>
      <c r="AD40" s="451">
        <v>999</v>
      </c>
      <c r="AE40" s="605">
        <v>63</v>
      </c>
      <c r="AF40" s="606">
        <v>2.5393393393393393</v>
      </c>
      <c r="AG40" s="453" t="s">
        <v>70</v>
      </c>
      <c r="AH40" s="456" t="s">
        <v>463</v>
      </c>
      <c r="AI40" s="884" t="s">
        <v>464</v>
      </c>
      <c r="AJ40" s="375" t="s">
        <v>496</v>
      </c>
      <c r="AK40" s="507" t="s">
        <v>244</v>
      </c>
    </row>
    <row r="41" spans="1:37" x14ac:dyDescent="0.3">
      <c r="A41" s="244" t="s">
        <v>233</v>
      </c>
      <c r="B41" s="357">
        <v>2017</v>
      </c>
      <c r="C41" s="310">
        <f t="shared" si="4"/>
        <v>1885712</v>
      </c>
      <c r="D41" s="311"/>
      <c r="E41" s="312"/>
      <c r="F41" s="313">
        <f t="shared" si="0"/>
        <v>1885712</v>
      </c>
      <c r="G41" s="368" t="s">
        <v>299</v>
      </c>
      <c r="H41" s="412" t="s">
        <v>46</v>
      </c>
      <c r="I41" s="413"/>
      <c r="J41" s="414"/>
      <c r="K41" s="418"/>
      <c r="L41" s="414"/>
      <c r="M41" s="414"/>
      <c r="N41" s="418"/>
      <c r="O41" s="414"/>
      <c r="P41" s="416"/>
      <c r="Q41" s="417"/>
      <c r="R41" s="364" t="str">
        <f t="shared" si="1"/>
        <v/>
      </c>
      <c r="S41" s="280" t="str">
        <f t="shared" si="2"/>
        <v/>
      </c>
      <c r="T41" s="280" t="str">
        <f t="shared" si="3"/>
        <v/>
      </c>
      <c r="U41" s="433"/>
      <c r="V41" s="517"/>
      <c r="W41" s="325">
        <f>DATE($B41,5,14)</f>
        <v>42869</v>
      </c>
      <c r="X41" s="325">
        <f>DATE($B41,5,18)</f>
        <v>42873</v>
      </c>
      <c r="Y41" s="325">
        <f>DATE($B41,5,25)</f>
        <v>42880</v>
      </c>
      <c r="Z41" s="436"/>
      <c r="AA41" s="441" t="s">
        <v>253</v>
      </c>
      <c r="AB41" s="874">
        <v>1885712</v>
      </c>
      <c r="AC41" s="886">
        <v>42822</v>
      </c>
      <c r="AD41" s="451">
        <v>605</v>
      </c>
      <c r="AE41" s="452">
        <v>81</v>
      </c>
      <c r="AF41" s="453">
        <v>5.5925619834710742</v>
      </c>
      <c r="AG41" s="453" t="s">
        <v>70</v>
      </c>
      <c r="AH41" s="454" t="s">
        <v>465</v>
      </c>
      <c r="AI41" s="875" t="s">
        <v>46</v>
      </c>
      <c r="AJ41" s="375" t="s">
        <v>496</v>
      </c>
      <c r="AK41" s="507" t="s">
        <v>244</v>
      </c>
    </row>
    <row r="42" spans="1:37" x14ac:dyDescent="0.3">
      <c r="A42" s="244" t="s">
        <v>233</v>
      </c>
      <c r="B42" s="357">
        <v>2018</v>
      </c>
      <c r="C42" s="310">
        <f t="shared" si="4"/>
        <v>4122796</v>
      </c>
      <c r="D42" s="311"/>
      <c r="E42" s="312"/>
      <c r="F42" s="313">
        <f t="shared" si="0"/>
        <v>4122796</v>
      </c>
      <c r="G42" s="368" t="s">
        <v>299</v>
      </c>
      <c r="H42" s="412" t="s">
        <v>46</v>
      </c>
      <c r="I42" s="413"/>
      <c r="J42" s="414"/>
      <c r="K42" s="415"/>
      <c r="L42" s="414"/>
      <c r="M42" s="414"/>
      <c r="N42" s="415"/>
      <c r="O42" s="414"/>
      <c r="P42" s="416"/>
      <c r="Q42" s="417"/>
      <c r="R42" s="364" t="str">
        <f t="shared" si="1"/>
        <v/>
      </c>
      <c r="S42" s="280" t="str">
        <f t="shared" si="2"/>
        <v/>
      </c>
      <c r="T42" s="280" t="str">
        <f t="shared" si="3"/>
        <v/>
      </c>
      <c r="U42" s="432"/>
      <c r="V42" s="517"/>
      <c r="W42" s="325">
        <f>DATE($B42,5,10)</f>
        <v>43230</v>
      </c>
      <c r="X42" s="325">
        <f>DATE($B42,5,15)</f>
        <v>43235</v>
      </c>
      <c r="Y42" s="325">
        <f>DATE($B42,5,24)</f>
        <v>43244</v>
      </c>
      <c r="Z42" s="436"/>
      <c r="AA42" s="441" t="s">
        <v>253</v>
      </c>
      <c r="AB42" s="874">
        <v>4122796</v>
      </c>
      <c r="AC42" s="886">
        <v>43146</v>
      </c>
      <c r="AD42" s="451">
        <v>984</v>
      </c>
      <c r="AE42" s="452">
        <v>73.099999999999994</v>
      </c>
      <c r="AF42" s="453">
        <v>3.8644512195121949</v>
      </c>
      <c r="AG42" s="453" t="s">
        <v>70</v>
      </c>
      <c r="AH42" s="454" t="s">
        <v>461</v>
      </c>
      <c r="AI42" s="875" t="s">
        <v>46</v>
      </c>
      <c r="AJ42" s="375" t="s">
        <v>496</v>
      </c>
      <c r="AK42" s="507" t="s">
        <v>244</v>
      </c>
    </row>
    <row r="43" spans="1:37" x14ac:dyDescent="0.3">
      <c r="A43" s="244" t="s">
        <v>233</v>
      </c>
      <c r="B43" s="357">
        <v>2019</v>
      </c>
      <c r="C43" s="310">
        <f t="shared" si="4"/>
        <v>912588</v>
      </c>
      <c r="D43" s="311"/>
      <c r="E43" s="312"/>
      <c r="F43" s="313">
        <f t="shared" si="0"/>
        <v>912588</v>
      </c>
      <c r="G43" s="368" t="s">
        <v>299</v>
      </c>
      <c r="H43" s="412" t="s">
        <v>46</v>
      </c>
      <c r="I43" s="413"/>
      <c r="J43" s="414"/>
      <c r="K43" s="418"/>
      <c r="L43" s="414"/>
      <c r="M43" s="414"/>
      <c r="N43" s="418"/>
      <c r="O43" s="414"/>
      <c r="P43" s="416"/>
      <c r="Q43" s="417"/>
      <c r="R43" s="364" t="str">
        <f t="shared" si="1"/>
        <v/>
      </c>
      <c r="S43" s="280" t="str">
        <f t="shared" si="2"/>
        <v/>
      </c>
      <c r="T43" s="280" t="str">
        <f t="shared" si="3"/>
        <v/>
      </c>
      <c r="U43" s="433"/>
      <c r="V43" s="443"/>
      <c r="W43" s="325">
        <f>DATE($B43,5,22)</f>
        <v>43607</v>
      </c>
      <c r="X43" s="325">
        <f>DATE($B43,5,25)</f>
        <v>43610</v>
      </c>
      <c r="Y43" s="325">
        <f>DATE($B43,6,5)</f>
        <v>43621</v>
      </c>
      <c r="Z43" s="436"/>
      <c r="AA43" s="441" t="s">
        <v>253</v>
      </c>
      <c r="AB43" s="874">
        <v>912588</v>
      </c>
      <c r="AC43" s="885">
        <v>43388</v>
      </c>
      <c r="AD43" s="451">
        <v>300</v>
      </c>
      <c r="AE43" s="452">
        <v>78.3</v>
      </c>
      <c r="AF43" s="453">
        <v>5.28</v>
      </c>
      <c r="AG43" s="453" t="s">
        <v>70</v>
      </c>
      <c r="AH43" s="454" t="s">
        <v>474</v>
      </c>
      <c r="AI43" s="884" t="s">
        <v>466</v>
      </c>
      <c r="AJ43" s="375" t="s">
        <v>496</v>
      </c>
      <c r="AK43" s="507" t="s">
        <v>244</v>
      </c>
    </row>
    <row r="44" spans="1:37" x14ac:dyDescent="0.3">
      <c r="A44" s="244" t="s">
        <v>233</v>
      </c>
      <c r="B44" s="357">
        <v>2020</v>
      </c>
      <c r="C44" s="310">
        <f t="shared" si="4"/>
        <v>2540161</v>
      </c>
      <c r="D44" s="311"/>
      <c r="E44" s="312"/>
      <c r="F44" s="313">
        <f t="shared" si="0"/>
        <v>2540161</v>
      </c>
      <c r="G44" s="368" t="s">
        <v>299</v>
      </c>
      <c r="H44" s="412" t="s">
        <v>46</v>
      </c>
      <c r="I44" s="413"/>
      <c r="J44" s="414"/>
      <c r="K44" s="415"/>
      <c r="L44" s="414"/>
      <c r="M44" s="414"/>
      <c r="N44" s="418"/>
      <c r="O44" s="414"/>
      <c r="P44" s="416"/>
      <c r="Q44" s="417"/>
      <c r="R44" s="364" t="str">
        <f t="shared" si="1"/>
        <v/>
      </c>
      <c r="S44" s="280" t="str">
        <f t="shared" si="2"/>
        <v/>
      </c>
      <c r="T44" s="280" t="str">
        <f t="shared" si="3"/>
        <v/>
      </c>
      <c r="U44" s="432"/>
      <c r="V44" s="443"/>
      <c r="W44" s="325"/>
      <c r="X44" s="325"/>
      <c r="Y44" s="325"/>
      <c r="Z44" s="436"/>
      <c r="AA44" s="441" t="s">
        <v>254</v>
      </c>
      <c r="AB44" s="874">
        <v>2540161</v>
      </c>
      <c r="AC44" s="886">
        <v>43888</v>
      </c>
      <c r="AD44" s="451">
        <v>601</v>
      </c>
      <c r="AE44" s="452">
        <v>65.099999999999994</v>
      </c>
      <c r="AF44" s="453">
        <v>2.9243427620632279</v>
      </c>
      <c r="AG44" s="453" t="s">
        <v>70</v>
      </c>
      <c r="AH44" s="454" t="s">
        <v>458</v>
      </c>
      <c r="AI44" s="875" t="s">
        <v>46</v>
      </c>
      <c r="AJ44" s="375" t="s">
        <v>496</v>
      </c>
      <c r="AK44" s="507" t="s">
        <v>244</v>
      </c>
    </row>
    <row r="45" spans="1:37" x14ac:dyDescent="0.3">
      <c r="A45" s="244" t="s">
        <v>233</v>
      </c>
      <c r="B45" s="357">
        <v>2021</v>
      </c>
      <c r="C45" s="310">
        <f t="shared" si="4"/>
        <v>1464091</v>
      </c>
      <c r="D45" s="311"/>
      <c r="E45" s="312"/>
      <c r="F45" s="313">
        <f t="shared" si="0"/>
        <v>1464091</v>
      </c>
      <c r="G45" s="368" t="s">
        <v>299</v>
      </c>
      <c r="H45" s="412" t="s">
        <v>46</v>
      </c>
      <c r="I45" s="413"/>
      <c r="J45" s="414"/>
      <c r="K45" s="418"/>
      <c r="L45" s="421"/>
      <c r="M45" s="421"/>
      <c r="N45" s="418"/>
      <c r="O45" s="421"/>
      <c r="P45" s="422"/>
      <c r="Q45" s="417"/>
      <c r="R45" s="364" t="str">
        <f t="shared" si="1"/>
        <v/>
      </c>
      <c r="S45" s="280" t="str">
        <f t="shared" si="2"/>
        <v/>
      </c>
      <c r="T45" s="280" t="str">
        <f t="shared" si="3"/>
        <v/>
      </c>
      <c r="U45" s="433"/>
      <c r="V45" s="442"/>
      <c r="W45" s="325">
        <f>DATE($B45,5,20)</f>
        <v>44336</v>
      </c>
      <c r="X45" s="325">
        <f>DATE($B45,5,23)</f>
        <v>44339</v>
      </c>
      <c r="Y45" s="325">
        <f>DATE($B45,5,29)</f>
        <v>44345</v>
      </c>
      <c r="Z45" s="439"/>
      <c r="AA45" s="441" t="s">
        <v>253</v>
      </c>
      <c r="AB45" s="874">
        <v>1464091</v>
      </c>
      <c r="AC45" s="886">
        <v>44270</v>
      </c>
      <c r="AD45" s="451">
        <v>959</v>
      </c>
      <c r="AE45" s="452">
        <v>73.933333333333337</v>
      </c>
      <c r="AF45" s="453">
        <v>4.5243065693430662</v>
      </c>
      <c r="AG45" s="453" t="s">
        <v>70</v>
      </c>
      <c r="AH45" s="454" t="s">
        <v>459</v>
      </c>
      <c r="AI45" s="875" t="s">
        <v>46</v>
      </c>
      <c r="AJ45" s="375" t="s">
        <v>496</v>
      </c>
      <c r="AK45" s="507" t="s">
        <v>244</v>
      </c>
    </row>
    <row r="46" spans="1:37" x14ac:dyDescent="0.3">
      <c r="A46" s="81" t="s">
        <v>233</v>
      </c>
      <c r="B46" s="357">
        <v>2022</v>
      </c>
      <c r="C46" s="310">
        <f t="shared" si="4"/>
        <v>3673223</v>
      </c>
      <c r="D46" s="311"/>
      <c r="E46" s="312"/>
      <c r="F46" s="313">
        <f t="shared" si="0"/>
        <v>3673223</v>
      </c>
      <c r="G46" s="893" t="s">
        <v>495</v>
      </c>
      <c r="H46" s="412" t="s">
        <v>46</v>
      </c>
      <c r="I46" s="413"/>
      <c r="J46" s="414"/>
      <c r="K46" s="418"/>
      <c r="L46" s="421"/>
      <c r="M46" s="421"/>
      <c r="N46" s="418"/>
      <c r="O46" s="421"/>
      <c r="P46" s="422"/>
      <c r="Q46" s="417"/>
      <c r="R46" s="364" t="str">
        <f t="shared" si="1"/>
        <v/>
      </c>
      <c r="S46" s="280" t="str">
        <f t="shared" si="2"/>
        <v/>
      </c>
      <c r="T46" s="280" t="str">
        <f t="shared" si="3"/>
        <v/>
      </c>
      <c r="U46" s="433"/>
      <c r="V46" s="442"/>
      <c r="W46" s="325"/>
      <c r="X46" s="325"/>
      <c r="Y46" s="325"/>
      <c r="Z46" s="439"/>
      <c r="AA46" s="441"/>
      <c r="AB46" s="874">
        <v>3673223</v>
      </c>
      <c r="AC46" s="886"/>
      <c r="AD46" s="451"/>
      <c r="AE46" s="452"/>
      <c r="AF46" s="453"/>
      <c r="AG46" s="453"/>
      <c r="AH46" s="456" t="s">
        <v>475</v>
      </c>
      <c r="AI46" s="875"/>
      <c r="AJ46" s="375" t="s">
        <v>496</v>
      </c>
      <c r="AK46" s="507" t="s">
        <v>494</v>
      </c>
    </row>
    <row r="47" spans="1:37" x14ac:dyDescent="0.3">
      <c r="A47" s="81"/>
      <c r="B47" s="357"/>
      <c r="C47" s="310"/>
      <c r="D47" s="311"/>
      <c r="E47" s="312"/>
      <c r="F47" s="313" t="str">
        <f t="shared" si="0"/>
        <v/>
      </c>
      <c r="G47" s="411"/>
      <c r="H47" s="412" t="s">
        <v>46</v>
      </c>
      <c r="I47" s="413"/>
      <c r="J47" s="414"/>
      <c r="K47" s="418"/>
      <c r="L47" s="419"/>
      <c r="M47" s="419"/>
      <c r="N47" s="418"/>
      <c r="O47" s="419"/>
      <c r="P47" s="420"/>
      <c r="Q47" s="423"/>
      <c r="R47" s="431" t="s">
        <v>228</v>
      </c>
      <c r="S47" s="280" t="str">
        <f t="shared" si="2"/>
        <v/>
      </c>
      <c r="T47" s="280" t="str">
        <f t="shared" si="3"/>
        <v/>
      </c>
      <c r="U47" s="433"/>
      <c r="V47" s="443"/>
      <c r="W47" s="435"/>
      <c r="X47" s="435"/>
      <c r="Y47" s="435"/>
      <c r="Z47" s="436"/>
      <c r="AA47" s="441"/>
      <c r="AB47" s="455"/>
      <c r="AC47" s="450"/>
      <c r="AD47" s="451"/>
      <c r="AE47" s="452"/>
      <c r="AF47" s="453"/>
      <c r="AG47" s="453"/>
      <c r="AH47" s="454"/>
      <c r="AI47" s="875"/>
      <c r="AJ47" s="57"/>
      <c r="AK47" s="327"/>
    </row>
    <row r="48" spans="1:37" x14ac:dyDescent="0.3">
      <c r="A48" s="81"/>
      <c r="B48" s="357"/>
      <c r="C48" s="310"/>
      <c r="D48" s="311"/>
      <c r="E48" s="312"/>
      <c r="F48" s="313" t="str">
        <f t="shared" si="0"/>
        <v/>
      </c>
      <c r="G48" s="411"/>
      <c r="H48" s="412" t="s">
        <v>46</v>
      </c>
      <c r="I48" s="413"/>
      <c r="J48" s="414"/>
      <c r="K48" s="418"/>
      <c r="L48" s="414"/>
      <c r="M48" s="414"/>
      <c r="N48" s="418"/>
      <c r="O48" s="414"/>
      <c r="P48" s="416"/>
      <c r="Q48" s="417"/>
      <c r="R48" s="431" t="s">
        <v>228</v>
      </c>
      <c r="S48" s="280" t="str">
        <f t="shared" si="2"/>
        <v/>
      </c>
      <c r="T48" s="280" t="str">
        <f t="shared" si="3"/>
        <v/>
      </c>
      <c r="U48" s="433"/>
      <c r="V48" s="443"/>
      <c r="W48" s="435"/>
      <c r="X48" s="435"/>
      <c r="Y48" s="435"/>
      <c r="Z48" s="436"/>
      <c r="AA48" s="441"/>
      <c r="AB48" s="455"/>
      <c r="AC48" s="450"/>
      <c r="AD48" s="451"/>
      <c r="AE48" s="452"/>
      <c r="AF48" s="459"/>
      <c r="AG48" s="459"/>
      <c r="AH48" s="454"/>
      <c r="AI48" s="875"/>
      <c r="AJ48" s="57"/>
      <c r="AK48" s="327"/>
    </row>
    <row r="49" spans="1:37" x14ac:dyDescent="0.3">
      <c r="A49" s="81"/>
      <c r="B49" s="357"/>
      <c r="C49" s="310"/>
      <c r="D49" s="311"/>
      <c r="E49" s="312"/>
      <c r="F49" s="313" t="str">
        <f t="shared" si="0"/>
        <v/>
      </c>
      <c r="G49" s="411"/>
      <c r="H49" s="412" t="s">
        <v>46</v>
      </c>
      <c r="I49" s="413"/>
      <c r="J49" s="414"/>
      <c r="K49" s="418"/>
      <c r="L49" s="414"/>
      <c r="M49" s="414"/>
      <c r="N49" s="418"/>
      <c r="O49" s="414"/>
      <c r="P49" s="416"/>
      <c r="Q49" s="417"/>
      <c r="R49" s="431" t="s">
        <v>228</v>
      </c>
      <c r="S49" s="280" t="str">
        <f t="shared" si="2"/>
        <v/>
      </c>
      <c r="T49" s="280" t="str">
        <f t="shared" si="3"/>
        <v/>
      </c>
      <c r="U49" s="433"/>
      <c r="V49" s="443"/>
      <c r="W49" s="435"/>
      <c r="X49" s="435"/>
      <c r="Y49" s="435"/>
      <c r="Z49" s="436"/>
      <c r="AA49" s="437"/>
      <c r="AB49" s="455"/>
      <c r="AC49" s="450"/>
      <c r="AD49" s="451"/>
      <c r="AE49" s="452"/>
      <c r="AF49" s="453"/>
      <c r="AG49" s="453"/>
      <c r="AH49" s="454"/>
      <c r="AI49" s="875"/>
      <c r="AJ49" s="57"/>
      <c r="AK49" s="327"/>
    </row>
    <row r="50" spans="1:37" x14ac:dyDescent="0.3">
      <c r="A50" s="81"/>
      <c r="B50" s="357"/>
      <c r="C50" s="310"/>
      <c r="D50" s="311"/>
      <c r="E50" s="312"/>
      <c r="F50" s="314" t="str">
        <f t="shared" si="0"/>
        <v/>
      </c>
      <c r="G50" s="411"/>
      <c r="H50" s="412" t="s">
        <v>46</v>
      </c>
      <c r="I50" s="413"/>
      <c r="J50" s="414"/>
      <c r="K50" s="415"/>
      <c r="L50" s="419"/>
      <c r="M50" s="419"/>
      <c r="N50" s="415"/>
      <c r="O50" s="419"/>
      <c r="P50" s="420"/>
      <c r="Q50" s="424"/>
      <c r="R50" s="364" t="str">
        <f t="shared" si="1"/>
        <v/>
      </c>
      <c r="S50" s="280" t="str">
        <f t="shared" si="2"/>
        <v/>
      </c>
      <c r="T50" s="280" t="str">
        <f t="shared" si="3"/>
        <v/>
      </c>
      <c r="U50" s="282"/>
      <c r="V50" s="443"/>
      <c r="W50" s="435"/>
      <c r="X50" s="435"/>
      <c r="Y50" s="435"/>
      <c r="Z50" s="436"/>
      <c r="AA50" s="441"/>
      <c r="AB50" s="455"/>
      <c r="AC50" s="457"/>
      <c r="AD50" s="451"/>
      <c r="AE50" s="458"/>
      <c r="AF50" s="453"/>
      <c r="AG50" s="453"/>
      <c r="AH50" s="456"/>
      <c r="AI50" s="875"/>
      <c r="AJ50" s="57"/>
      <c r="AK50" s="327"/>
    </row>
    <row r="51" spans="1:37" x14ac:dyDescent="0.3">
      <c r="A51" s="81"/>
      <c r="B51" s="357"/>
      <c r="C51" s="310"/>
      <c r="D51" s="311"/>
      <c r="E51" s="312"/>
      <c r="F51" s="314" t="str">
        <f t="shared" si="0"/>
        <v/>
      </c>
      <c r="G51" s="410"/>
      <c r="H51" s="412" t="s">
        <v>46</v>
      </c>
      <c r="I51" s="413"/>
      <c r="J51" s="414"/>
      <c r="K51" s="415"/>
      <c r="L51" s="414"/>
      <c r="M51" s="414"/>
      <c r="N51" s="415"/>
      <c r="O51" s="414"/>
      <c r="P51" s="416"/>
      <c r="Q51" s="417"/>
      <c r="R51" s="364" t="str">
        <f t="shared" si="1"/>
        <v/>
      </c>
      <c r="S51" s="280" t="str">
        <f t="shared" si="2"/>
        <v/>
      </c>
      <c r="T51" s="280" t="str">
        <f t="shared" si="3"/>
        <v/>
      </c>
      <c r="U51" s="276"/>
      <c r="V51" s="443"/>
      <c r="W51" s="435"/>
      <c r="X51" s="435"/>
      <c r="Y51" s="435"/>
      <c r="Z51" s="436"/>
      <c r="AA51" s="437"/>
      <c r="AB51" s="455"/>
      <c r="AC51" s="450"/>
      <c r="AD51" s="451"/>
      <c r="AE51" s="452"/>
      <c r="AF51" s="453"/>
      <c r="AG51" s="453"/>
      <c r="AH51" s="410"/>
      <c r="AI51" s="875"/>
      <c r="AJ51" s="57"/>
      <c r="AK51" s="327"/>
    </row>
    <row r="52" spans="1:37" x14ac:dyDescent="0.3">
      <c r="A52" s="81"/>
      <c r="B52" s="357"/>
      <c r="C52" s="310"/>
      <c r="D52" s="311"/>
      <c r="E52" s="312"/>
      <c r="F52" s="314" t="str">
        <f t="shared" si="0"/>
        <v/>
      </c>
      <c r="G52" s="410"/>
      <c r="H52" s="412" t="s">
        <v>46</v>
      </c>
      <c r="I52" s="413"/>
      <c r="J52" s="414"/>
      <c r="K52" s="415"/>
      <c r="L52" s="414"/>
      <c r="M52" s="414"/>
      <c r="N52" s="415"/>
      <c r="O52" s="414"/>
      <c r="P52" s="416"/>
      <c r="Q52" s="424"/>
      <c r="R52" s="364" t="str">
        <f t="shared" si="1"/>
        <v/>
      </c>
      <c r="S52" s="280" t="str">
        <f t="shared" si="2"/>
        <v/>
      </c>
      <c r="T52" s="280" t="str">
        <f t="shared" si="3"/>
        <v/>
      </c>
      <c r="U52" s="276"/>
      <c r="V52" s="324"/>
      <c r="W52" s="325"/>
      <c r="X52" s="325"/>
      <c r="Y52" s="325"/>
      <c r="Z52" s="326"/>
      <c r="AA52" s="225"/>
      <c r="AB52" s="455"/>
      <c r="AC52" s="450"/>
      <c r="AD52" s="451"/>
      <c r="AE52" s="452"/>
      <c r="AF52" s="453"/>
      <c r="AG52" s="453"/>
      <c r="AH52" s="410"/>
      <c r="AI52" s="875"/>
      <c r="AJ52" s="57"/>
      <c r="AK52" s="327"/>
    </row>
    <row r="53" spans="1:37" x14ac:dyDescent="0.3">
      <c r="A53" s="81"/>
      <c r="B53" s="357"/>
      <c r="C53" s="310"/>
      <c r="D53" s="311"/>
      <c r="E53" s="312"/>
      <c r="F53" s="314" t="str">
        <f t="shared" si="0"/>
        <v/>
      </c>
      <c r="G53" s="368"/>
      <c r="H53" s="412" t="s">
        <v>46</v>
      </c>
      <c r="I53" s="413"/>
      <c r="J53" s="414"/>
      <c r="K53" s="415"/>
      <c r="L53" s="414"/>
      <c r="M53" s="414"/>
      <c r="N53" s="415"/>
      <c r="O53" s="414"/>
      <c r="P53" s="416"/>
      <c r="Q53" s="424"/>
      <c r="R53" s="364" t="str">
        <f t="shared" si="1"/>
        <v/>
      </c>
      <c r="S53" s="280" t="str">
        <f t="shared" si="2"/>
        <v/>
      </c>
      <c r="T53" s="280" t="str">
        <f t="shared" si="3"/>
        <v/>
      </c>
      <c r="U53" s="276"/>
      <c r="V53" s="324"/>
      <c r="W53" s="325"/>
      <c r="X53" s="325"/>
      <c r="Y53" s="325"/>
      <c r="Z53" s="326"/>
      <c r="AA53" s="225"/>
      <c r="AB53" s="455"/>
      <c r="AC53" s="450"/>
      <c r="AD53" s="451"/>
      <c r="AE53" s="452"/>
      <c r="AF53" s="460"/>
      <c r="AG53" s="460"/>
      <c r="AH53" s="454"/>
      <c r="AI53" s="875"/>
      <c r="AJ53" s="57"/>
      <c r="AK53" s="327"/>
    </row>
    <row r="54" spans="1:37" x14ac:dyDescent="0.3">
      <c r="A54" s="81"/>
      <c r="B54" s="357"/>
      <c r="C54" s="310"/>
      <c r="D54" s="311"/>
      <c r="E54" s="312"/>
      <c r="F54" s="314" t="str">
        <f t="shared" si="0"/>
        <v/>
      </c>
      <c r="G54" s="368"/>
      <c r="H54" s="412" t="s">
        <v>46</v>
      </c>
      <c r="I54" s="413"/>
      <c r="J54" s="414"/>
      <c r="K54" s="415"/>
      <c r="L54" s="414"/>
      <c r="M54" s="414"/>
      <c r="N54" s="415"/>
      <c r="O54" s="414"/>
      <c r="P54" s="416"/>
      <c r="Q54" s="424"/>
      <c r="R54" s="364" t="str">
        <f t="shared" si="1"/>
        <v/>
      </c>
      <c r="S54" s="280" t="str">
        <f t="shared" si="2"/>
        <v/>
      </c>
      <c r="T54" s="280" t="str">
        <f t="shared" si="3"/>
        <v/>
      </c>
      <c r="U54" s="276"/>
      <c r="V54" s="324"/>
      <c r="W54" s="325"/>
      <c r="X54" s="325"/>
      <c r="Y54" s="325"/>
      <c r="Z54" s="326"/>
      <c r="AA54" s="225"/>
      <c r="AB54" s="455"/>
      <c r="AC54" s="450"/>
      <c r="AD54" s="451"/>
      <c r="AE54" s="452"/>
      <c r="AF54" s="460"/>
      <c r="AG54" s="460"/>
      <c r="AH54" s="454"/>
      <c r="AI54" s="875"/>
      <c r="AJ54" s="57"/>
      <c r="AK54" s="327"/>
    </row>
    <row r="55" spans="1:37" x14ac:dyDescent="0.3">
      <c r="A55" s="81"/>
      <c r="B55" s="357"/>
      <c r="C55" s="310"/>
      <c r="D55" s="311"/>
      <c r="E55" s="312"/>
      <c r="F55" s="313" t="str">
        <f t="shared" si="0"/>
        <v/>
      </c>
      <c r="G55" s="368"/>
      <c r="H55" s="412" t="s">
        <v>46</v>
      </c>
      <c r="I55" s="413"/>
      <c r="J55" s="414"/>
      <c r="K55" s="415"/>
      <c r="L55" s="414"/>
      <c r="M55" s="414"/>
      <c r="N55" s="415"/>
      <c r="O55" s="414"/>
      <c r="P55" s="416"/>
      <c r="Q55" s="424"/>
      <c r="R55" s="364" t="str">
        <f t="shared" si="1"/>
        <v/>
      </c>
      <c r="S55" s="280" t="str">
        <f t="shared" si="2"/>
        <v/>
      </c>
      <c r="T55" s="280" t="str">
        <f t="shared" si="3"/>
        <v/>
      </c>
      <c r="U55" s="276"/>
      <c r="V55" s="324"/>
      <c r="W55" s="325"/>
      <c r="X55" s="325"/>
      <c r="Y55" s="325"/>
      <c r="Z55" s="326"/>
      <c r="AA55" s="225"/>
      <c r="AB55" s="455"/>
      <c r="AC55" s="450"/>
      <c r="AD55" s="451"/>
      <c r="AE55" s="452"/>
      <c r="AF55" s="460"/>
      <c r="AG55" s="460"/>
      <c r="AH55" s="454"/>
      <c r="AI55" s="875"/>
      <c r="AJ55" s="57"/>
      <c r="AK55" s="327"/>
    </row>
    <row r="56" spans="1:37" x14ac:dyDescent="0.3">
      <c r="A56" s="81"/>
      <c r="B56" s="357"/>
      <c r="C56" s="310"/>
      <c r="D56" s="311"/>
      <c r="E56" s="312"/>
      <c r="F56" s="313" t="str">
        <f t="shared" si="0"/>
        <v/>
      </c>
      <c r="G56" s="368"/>
      <c r="H56" s="412" t="s">
        <v>46</v>
      </c>
      <c r="I56" s="413"/>
      <c r="J56" s="414"/>
      <c r="K56" s="415"/>
      <c r="L56" s="414"/>
      <c r="M56" s="414"/>
      <c r="N56" s="415"/>
      <c r="O56" s="414"/>
      <c r="P56" s="416"/>
      <c r="Q56" s="424"/>
      <c r="R56" s="364" t="str">
        <f t="shared" si="1"/>
        <v/>
      </c>
      <c r="S56" s="280" t="str">
        <f t="shared" si="2"/>
        <v/>
      </c>
      <c r="T56" s="280" t="str">
        <f t="shared" si="3"/>
        <v/>
      </c>
      <c r="U56" s="276"/>
      <c r="V56" s="324"/>
      <c r="W56" s="325"/>
      <c r="X56" s="325"/>
      <c r="Y56" s="325"/>
      <c r="Z56" s="326"/>
      <c r="AA56" s="225"/>
      <c r="AB56" s="455"/>
      <c r="AC56" s="450"/>
      <c r="AD56" s="451"/>
      <c r="AE56" s="452"/>
      <c r="AF56" s="460"/>
      <c r="AG56" s="460"/>
      <c r="AH56" s="454"/>
      <c r="AI56" s="875"/>
      <c r="AJ56" s="57"/>
      <c r="AK56" s="327"/>
    </row>
    <row r="57" spans="1:37" x14ac:dyDescent="0.3">
      <c r="A57" s="81"/>
      <c r="B57" s="357"/>
      <c r="C57" s="310"/>
      <c r="D57" s="311"/>
      <c r="E57" s="312"/>
      <c r="F57" s="313" t="str">
        <f t="shared" si="0"/>
        <v/>
      </c>
      <c r="G57" s="368"/>
      <c r="H57" s="412" t="s">
        <v>46</v>
      </c>
      <c r="I57" s="413"/>
      <c r="J57" s="414"/>
      <c r="K57" s="415"/>
      <c r="L57" s="414"/>
      <c r="M57" s="414"/>
      <c r="N57" s="415"/>
      <c r="O57" s="414"/>
      <c r="P57" s="416"/>
      <c r="Q57" s="424"/>
      <c r="R57" s="364" t="str">
        <f t="shared" si="1"/>
        <v/>
      </c>
      <c r="S57" s="280" t="str">
        <f t="shared" si="2"/>
        <v/>
      </c>
      <c r="T57" s="280" t="str">
        <f t="shared" si="3"/>
        <v/>
      </c>
      <c r="U57" s="276"/>
      <c r="V57" s="324"/>
      <c r="W57" s="325"/>
      <c r="X57" s="325"/>
      <c r="Y57" s="325"/>
      <c r="Z57" s="326"/>
      <c r="AA57" s="225"/>
      <c r="AB57" s="455"/>
      <c r="AC57" s="450"/>
      <c r="AD57" s="451"/>
      <c r="AE57" s="452"/>
      <c r="AF57" s="460"/>
      <c r="AG57" s="460"/>
      <c r="AH57" s="454"/>
      <c r="AI57" s="875"/>
      <c r="AJ57" s="57"/>
      <c r="AK57" s="327"/>
    </row>
    <row r="58" spans="1:37" ht="15" thickBot="1" x14ac:dyDescent="0.35">
      <c r="A58" s="349"/>
      <c r="B58" s="358"/>
      <c r="C58" s="315"/>
      <c r="D58" s="316"/>
      <c r="E58" s="317"/>
      <c r="F58" s="318" t="str">
        <f t="shared" si="0"/>
        <v/>
      </c>
      <c r="G58" s="369"/>
      <c r="H58" s="425" t="s">
        <v>46</v>
      </c>
      <c r="I58" s="426"/>
      <c r="J58" s="427"/>
      <c r="K58" s="428"/>
      <c r="L58" s="427"/>
      <c r="M58" s="427"/>
      <c r="N58" s="428"/>
      <c r="O58" s="427"/>
      <c r="P58" s="429"/>
      <c r="Q58" s="430"/>
      <c r="R58" s="365" t="str">
        <f t="shared" si="1"/>
        <v/>
      </c>
      <c r="S58" s="288" t="str">
        <f t="shared" si="2"/>
        <v/>
      </c>
      <c r="T58" s="288" t="str">
        <f t="shared" si="3"/>
        <v/>
      </c>
      <c r="U58" s="309"/>
      <c r="V58" s="354"/>
      <c r="W58" s="350"/>
      <c r="X58" s="350"/>
      <c r="Y58" s="350"/>
      <c r="Z58" s="351"/>
      <c r="AA58" s="230"/>
      <c r="AB58" s="461"/>
      <c r="AC58" s="462"/>
      <c r="AD58" s="463"/>
      <c r="AE58" s="464"/>
      <c r="AF58" s="465"/>
      <c r="AG58" s="465"/>
      <c r="AH58" s="466"/>
      <c r="AI58" s="877"/>
      <c r="AJ58" s="59"/>
      <c r="AK58" s="353"/>
    </row>
  </sheetData>
  <sheetProtection sheet="1" formatCells="0" formatColumns="0" formatRows="0" sort="0" autoFilter="0" pivotTables="0"/>
  <mergeCells count="30">
    <mergeCell ref="AK1:AK3"/>
    <mergeCell ref="V1:AA1"/>
    <mergeCell ref="AI1:AI3"/>
    <mergeCell ref="AJ1:AJ3"/>
    <mergeCell ref="H1:U1"/>
    <mergeCell ref="H2:J2"/>
    <mergeCell ref="K2:M2"/>
    <mergeCell ref="N2:P2"/>
    <mergeCell ref="U2:U3"/>
    <mergeCell ref="X2:X3"/>
    <mergeCell ref="Z2:Z3"/>
    <mergeCell ref="AA2:AA3"/>
    <mergeCell ref="V2:V3"/>
    <mergeCell ref="Y2:Y3"/>
    <mergeCell ref="W2:W3"/>
    <mergeCell ref="Q2:Q3"/>
    <mergeCell ref="A1:A3"/>
    <mergeCell ref="B1:B3"/>
    <mergeCell ref="AB1:AH1"/>
    <mergeCell ref="C1:G1"/>
    <mergeCell ref="AB2:AB3"/>
    <mergeCell ref="AH2:AH3"/>
    <mergeCell ref="C2:C3"/>
    <mergeCell ref="D2:D3"/>
    <mergeCell ref="E2:E3"/>
    <mergeCell ref="F2:F3"/>
    <mergeCell ref="G2:G3"/>
    <mergeCell ref="AD2:AG2"/>
    <mergeCell ref="R2:T2"/>
    <mergeCell ref="AC2:AC3"/>
  </mergeCells>
  <conditionalFormatting sqref="S10:S58">
    <cfRule type="dataBar" priority="9">
      <dataBar>
        <cfvo type="min"/>
        <cfvo type="max"/>
        <color rgb="FFFFB628"/>
      </dataBar>
      <extLst>
        <ext xmlns:x14="http://schemas.microsoft.com/office/spreadsheetml/2009/9/main" uri="{B025F937-C7B1-47D3-B67F-A62EFF666E3E}">
          <x14:id>{098537B6-47CB-42D4-95ED-6BC2FB40CEB8}</x14:id>
        </ext>
      </extLst>
    </cfRule>
  </conditionalFormatting>
  <conditionalFormatting sqref="T10:T58">
    <cfRule type="dataBar" priority="8">
      <dataBar>
        <cfvo type="min"/>
        <cfvo type="max"/>
        <color rgb="FFFFB628"/>
      </dataBar>
      <extLst>
        <ext xmlns:x14="http://schemas.microsoft.com/office/spreadsheetml/2009/9/main" uri="{B025F937-C7B1-47D3-B67F-A62EFF666E3E}">
          <x14:id>{659487FB-B7D7-415A-BCCB-0B2635D01C35}</x14:id>
        </ext>
      </extLst>
    </cfRule>
  </conditionalFormatting>
  <conditionalFormatting sqref="F4:F58">
    <cfRule type="dataBar" priority="7">
      <dataBar>
        <cfvo type="min"/>
        <cfvo type="max"/>
        <color rgb="FF008AEF"/>
      </dataBar>
      <extLst>
        <ext xmlns:x14="http://schemas.microsoft.com/office/spreadsheetml/2009/9/main" uri="{B025F937-C7B1-47D3-B67F-A62EFF666E3E}">
          <x14:id>{FA99465F-AB9A-446E-A55A-EFBA891D3FEA}</x14:id>
        </ext>
      </extLst>
    </cfRule>
  </conditionalFormatting>
  <conditionalFormatting sqref="AE4:AE24 AE26:AE28 AE30:AE58">
    <cfRule type="dataBar" priority="6">
      <dataBar>
        <cfvo type="min"/>
        <cfvo type="max"/>
        <color rgb="FF63C384"/>
      </dataBar>
      <extLst>
        <ext xmlns:x14="http://schemas.microsoft.com/office/spreadsheetml/2009/9/main" uri="{B025F937-C7B1-47D3-B67F-A62EFF666E3E}">
          <x14:id>{CA921AB0-6303-40D9-A0BF-F27803715C15}</x14:id>
        </ext>
      </extLst>
    </cfRule>
  </conditionalFormatting>
  <conditionalFormatting sqref="AE25">
    <cfRule type="dataBar" priority="5">
      <dataBar>
        <cfvo type="min"/>
        <cfvo type="max"/>
        <color rgb="FF63C384"/>
      </dataBar>
      <extLst>
        <ext xmlns:x14="http://schemas.microsoft.com/office/spreadsheetml/2009/9/main" uri="{B025F937-C7B1-47D3-B67F-A62EFF666E3E}">
          <x14:id>{B1976B1A-52A3-4696-8D71-CBC6553EAEAD}</x14:id>
        </ext>
      </extLst>
    </cfRule>
  </conditionalFormatting>
  <conditionalFormatting sqref="AF22:AF28 AF30:AF45">
    <cfRule type="dataBar" priority="4">
      <dataBar>
        <cfvo type="min"/>
        <cfvo type="max"/>
        <color rgb="FF63C384"/>
      </dataBar>
      <extLst>
        <ext xmlns:x14="http://schemas.microsoft.com/office/spreadsheetml/2009/9/main" uri="{B025F937-C7B1-47D3-B67F-A62EFF666E3E}">
          <x14:id>{F12FB210-0FD9-404F-9850-ECA002442D57}</x14:id>
        </ext>
      </extLst>
    </cfRule>
  </conditionalFormatting>
  <conditionalFormatting sqref="AE29">
    <cfRule type="dataBar" priority="3">
      <dataBar>
        <cfvo type="min"/>
        <cfvo type="max"/>
        <color rgb="FF63C384"/>
      </dataBar>
      <extLst>
        <ext xmlns:x14="http://schemas.microsoft.com/office/spreadsheetml/2009/9/main" uri="{B025F937-C7B1-47D3-B67F-A62EFF666E3E}">
          <x14:id>{39E36769-6E74-46CC-8972-2151E9E7EF0F}</x14:id>
        </ext>
      </extLst>
    </cfRule>
  </conditionalFormatting>
  <conditionalFormatting sqref="AF29">
    <cfRule type="dataBar" priority="2">
      <dataBar>
        <cfvo type="min"/>
        <cfvo type="max"/>
        <color rgb="FF63C384"/>
      </dataBar>
      <extLst>
        <ext xmlns:x14="http://schemas.microsoft.com/office/spreadsheetml/2009/9/main" uri="{B025F937-C7B1-47D3-B67F-A62EFF666E3E}">
          <x14:id>{EED7C6F8-77B7-48D6-AC1C-87CEC8FDCEA2}</x14:id>
        </ext>
      </extLst>
    </cfRule>
  </conditionalFormatting>
  <conditionalFormatting sqref="AB9:AB53">
    <cfRule type="dataBar" priority="1">
      <dataBar>
        <cfvo type="min"/>
        <cfvo type="max"/>
        <color rgb="FFFFB628"/>
      </dataBar>
      <extLst>
        <ext xmlns:x14="http://schemas.microsoft.com/office/spreadsheetml/2009/9/main" uri="{B025F937-C7B1-47D3-B67F-A62EFF666E3E}">
          <x14:id>{895A9F9E-4C73-4663-81CA-ADD810D6D005}</x14:id>
        </ext>
      </extLst>
    </cfRule>
  </conditionalFormatting>
  <hyperlinks>
    <hyperlink ref="AK9" r:id="rId1" xr:uid="{257E6DB9-EB9B-4150-8E59-66ADE7F0E173}"/>
    <hyperlink ref="AK10" r:id="rId2" xr:uid="{99A90A3D-1DF1-45D5-A5F7-5FC075DBBB6B}"/>
    <hyperlink ref="AK11" r:id="rId3" xr:uid="{4BF222D7-72E4-427E-91F8-F4416E8B7866}"/>
    <hyperlink ref="AK12" r:id="rId4" xr:uid="{4B2504B3-DA41-432B-8AAB-E5BC51F59FC3}"/>
    <hyperlink ref="AK13" r:id="rId5" xr:uid="{068C9C09-ACCD-4F2A-8D5B-46732CCB0A8A}"/>
    <hyperlink ref="AK14" r:id="rId6" xr:uid="{E9452426-4F5A-4AE1-B855-35EBEABC4BD3}"/>
    <hyperlink ref="AK15" r:id="rId7" xr:uid="{72EC2EDB-F23A-48E8-AB3D-A1666B4646E4}"/>
    <hyperlink ref="AK16" r:id="rId8" xr:uid="{1E9BAEDF-C182-4E83-BBAB-BEB8C2940F44}"/>
    <hyperlink ref="AK17" r:id="rId9" xr:uid="{8AA3B7B0-7A09-407D-B362-C2F968D18FC1}"/>
    <hyperlink ref="AK18" r:id="rId10" xr:uid="{651EE4C3-1C47-4760-8AF8-98D90D405FBF}"/>
    <hyperlink ref="AK19" r:id="rId11" xr:uid="{1A0681D1-8EF6-401B-8DEA-3393DEDE5B2B}"/>
    <hyperlink ref="AK20" r:id="rId12" xr:uid="{1FF57FEE-9F0A-4D26-8421-E4F1F75D7329}"/>
    <hyperlink ref="AK46" r:id="rId13" xr:uid="{2575B211-D6FB-4518-B719-8918BC01246D}"/>
  </hyperlinks>
  <pageMargins left="0.7" right="0.7" top="0.75" bottom="0.75" header="0.3" footer="0.3"/>
  <pageSetup orientation="portrait" horizontalDpi="0" verticalDpi="0" r:id="rId14"/>
  <ignoredErrors>
    <ignoredError sqref="F4" formulaRange="1"/>
  </ignoredErrors>
  <legacyDrawing r:id="rId15"/>
  <extLst>
    <ext xmlns:x14="http://schemas.microsoft.com/office/spreadsheetml/2009/9/main" uri="{78C0D931-6437-407d-A8EE-F0AAD7539E65}">
      <x14:conditionalFormattings>
        <x14:conditionalFormatting xmlns:xm="http://schemas.microsoft.com/office/excel/2006/main">
          <x14:cfRule type="dataBar" id="{098537B6-47CB-42D4-95ED-6BC2FB40CEB8}">
            <x14:dataBar minLength="0" maxLength="100" border="1" negativeBarBorderColorSameAsPositive="0">
              <x14:cfvo type="autoMin"/>
              <x14:cfvo type="autoMax"/>
              <x14:borderColor rgb="FFFFB628"/>
              <x14:negativeFillColor rgb="FFFF0000"/>
              <x14:negativeBorderColor rgb="FFFF0000"/>
              <x14:axisColor rgb="FF000000"/>
            </x14:dataBar>
          </x14:cfRule>
          <xm:sqref>S10:S58</xm:sqref>
        </x14:conditionalFormatting>
        <x14:conditionalFormatting xmlns:xm="http://schemas.microsoft.com/office/excel/2006/main">
          <x14:cfRule type="dataBar" id="{659487FB-B7D7-415A-BCCB-0B2635D01C35}">
            <x14:dataBar minLength="0" maxLength="100" border="1" negativeBarBorderColorSameAsPositive="0">
              <x14:cfvo type="autoMin"/>
              <x14:cfvo type="autoMax"/>
              <x14:borderColor rgb="FFFFB628"/>
              <x14:negativeFillColor rgb="FFFF0000"/>
              <x14:negativeBorderColor rgb="FFFF0000"/>
              <x14:axisColor rgb="FF000000"/>
            </x14:dataBar>
          </x14:cfRule>
          <xm:sqref>T10:T58</xm:sqref>
        </x14:conditionalFormatting>
        <x14:conditionalFormatting xmlns:xm="http://schemas.microsoft.com/office/excel/2006/main">
          <x14:cfRule type="dataBar" id="{FA99465F-AB9A-446E-A55A-EFBA891D3FEA}">
            <x14:dataBar minLength="0" maxLength="100" border="1" negativeBarBorderColorSameAsPositive="0">
              <x14:cfvo type="autoMin"/>
              <x14:cfvo type="autoMax"/>
              <x14:borderColor rgb="FF008AEF"/>
              <x14:negativeFillColor rgb="FFFF0000"/>
              <x14:negativeBorderColor rgb="FFFF0000"/>
              <x14:axisColor rgb="FF000000"/>
            </x14:dataBar>
          </x14:cfRule>
          <xm:sqref>F4:F58</xm:sqref>
        </x14:conditionalFormatting>
        <x14:conditionalFormatting xmlns:xm="http://schemas.microsoft.com/office/excel/2006/main">
          <x14:cfRule type="dataBar" id="{CA921AB0-6303-40D9-A0BF-F27803715C15}">
            <x14:dataBar minLength="0" maxLength="100" border="1" negativeBarBorderColorSameAsPositive="0">
              <x14:cfvo type="autoMin"/>
              <x14:cfvo type="autoMax"/>
              <x14:borderColor rgb="FF63C384"/>
              <x14:negativeFillColor rgb="FFFF0000"/>
              <x14:negativeBorderColor rgb="FFFF0000"/>
              <x14:axisColor rgb="FF000000"/>
            </x14:dataBar>
          </x14:cfRule>
          <xm:sqref>AE4:AE24 AE26:AE28 AE30:AE58</xm:sqref>
        </x14:conditionalFormatting>
        <x14:conditionalFormatting xmlns:xm="http://schemas.microsoft.com/office/excel/2006/main">
          <x14:cfRule type="dataBar" id="{B1976B1A-52A3-4696-8D71-CBC6553EAEAD}">
            <x14:dataBar minLength="0" maxLength="100" border="1" negativeBarBorderColorSameAsPositive="0">
              <x14:cfvo type="autoMin"/>
              <x14:cfvo type="autoMax"/>
              <x14:borderColor rgb="FF63C384"/>
              <x14:negativeFillColor rgb="FFFF0000"/>
              <x14:negativeBorderColor rgb="FFFF0000"/>
              <x14:axisColor rgb="FF000000"/>
            </x14:dataBar>
          </x14:cfRule>
          <xm:sqref>AE25</xm:sqref>
        </x14:conditionalFormatting>
        <x14:conditionalFormatting xmlns:xm="http://schemas.microsoft.com/office/excel/2006/main">
          <x14:cfRule type="dataBar" id="{F12FB210-0FD9-404F-9850-ECA002442D57}">
            <x14:dataBar minLength="0" maxLength="100" border="1" negativeBarBorderColorSameAsPositive="0">
              <x14:cfvo type="autoMin"/>
              <x14:cfvo type="autoMax"/>
              <x14:borderColor rgb="FF63C384"/>
              <x14:negativeFillColor rgb="FFFF0000"/>
              <x14:negativeBorderColor rgb="FFFF0000"/>
              <x14:axisColor rgb="FF000000"/>
            </x14:dataBar>
          </x14:cfRule>
          <xm:sqref>AF22:AF28 AF30:AF45</xm:sqref>
        </x14:conditionalFormatting>
        <x14:conditionalFormatting xmlns:xm="http://schemas.microsoft.com/office/excel/2006/main">
          <x14:cfRule type="dataBar" id="{39E36769-6E74-46CC-8972-2151E9E7EF0F}">
            <x14:dataBar minLength="0" maxLength="100" border="1" negativeBarBorderColorSameAsPositive="0">
              <x14:cfvo type="autoMin"/>
              <x14:cfvo type="autoMax"/>
              <x14:borderColor rgb="FF63C384"/>
              <x14:negativeFillColor rgb="FFFF0000"/>
              <x14:negativeBorderColor rgb="FFFF0000"/>
              <x14:axisColor rgb="FF000000"/>
            </x14:dataBar>
          </x14:cfRule>
          <xm:sqref>AE29</xm:sqref>
        </x14:conditionalFormatting>
        <x14:conditionalFormatting xmlns:xm="http://schemas.microsoft.com/office/excel/2006/main">
          <x14:cfRule type="dataBar" id="{EED7C6F8-77B7-48D6-AC1C-87CEC8FDCEA2}">
            <x14:dataBar minLength="0" maxLength="100" border="1" negativeBarBorderColorSameAsPositive="0">
              <x14:cfvo type="autoMin"/>
              <x14:cfvo type="autoMax"/>
              <x14:borderColor rgb="FF63C384"/>
              <x14:negativeFillColor rgb="FFFF0000"/>
              <x14:negativeBorderColor rgb="FFFF0000"/>
              <x14:axisColor rgb="FF000000"/>
            </x14:dataBar>
          </x14:cfRule>
          <xm:sqref>AF29</xm:sqref>
        </x14:conditionalFormatting>
        <x14:conditionalFormatting xmlns:xm="http://schemas.microsoft.com/office/excel/2006/main">
          <x14:cfRule type="dataBar" id="{895A9F9E-4C73-4663-81CA-ADD810D6D005}">
            <x14:dataBar minLength="0" maxLength="100" border="1" negativeBarBorderColorSameAsPositive="0">
              <x14:cfvo type="autoMin"/>
              <x14:cfvo type="autoMax"/>
              <x14:borderColor rgb="FFFFB628"/>
              <x14:negativeFillColor rgb="FFFF0000"/>
              <x14:negativeBorderColor rgb="FFFF0000"/>
              <x14:axisColor rgb="FF000000"/>
            </x14:dataBar>
          </x14:cfRule>
          <xm:sqref>AB9:AB53</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Lookup!$A$2:$A$5</xm:f>
          </x14:formula1>
          <xm:sqref>Q52:Q58 Q47 Q50</xm:sqref>
        </x14:dataValidation>
        <x14:dataValidation type="list" errorStyle="information" allowBlank="1" showInputMessage="1" showErrorMessage="1" errorTitle="Length Type Error" error="Length Type must be TL or FL or SL or PO. See READ ME sheet for more information." xr:uid="{00000000-0002-0000-0100-000001000000}">
          <x14:formula1>
            <xm:f>Lookup!$A$2:$A$5</xm:f>
          </x14:formula1>
          <xm:sqref>Q4:Q46 Q48:Q49 Q51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4" tint="0.59999389629810485"/>
  </sheetPr>
  <dimension ref="A1:AG26"/>
  <sheetViews>
    <sheetView workbookViewId="0">
      <pane xSplit="3" ySplit="2" topLeftCell="D3" activePane="bottomRight" state="frozen"/>
      <selection pane="topRight" activeCell="D1" sqref="D1"/>
      <selection pane="bottomLeft" activeCell="A3" sqref="A3"/>
      <selection pane="bottomRight" activeCell="E3" sqref="E3"/>
    </sheetView>
  </sheetViews>
  <sheetFormatPr defaultRowHeight="14.4" x14ac:dyDescent="0.3"/>
  <cols>
    <col min="1" max="1" width="10.33203125" customWidth="1"/>
    <col min="2" max="2" width="9.109375" bestFit="1" customWidth="1"/>
    <col min="3" max="3" width="10.44140625" customWidth="1"/>
    <col min="4" max="4" width="10" bestFit="1" customWidth="1"/>
    <col min="5" max="5" width="6.44140625" bestFit="1" customWidth="1"/>
    <col min="6" max="6" width="7" customWidth="1"/>
    <col min="7" max="7" width="8.33203125" customWidth="1"/>
    <col min="8" max="8" width="6.44140625" bestFit="1" customWidth="1"/>
    <col min="9" max="9" width="8.88671875" bestFit="1" customWidth="1"/>
    <col min="10" max="10" width="8.6640625" customWidth="1"/>
    <col min="11" max="11" width="10.33203125" customWidth="1"/>
    <col min="12" max="12" width="10.33203125" hidden="1" customWidth="1"/>
    <col min="13" max="13" width="9.33203125" customWidth="1"/>
    <col min="14" max="16" width="4.33203125" customWidth="1"/>
    <col min="18" max="20" width="4.88671875" customWidth="1"/>
    <col min="22" max="22" width="4.6640625" customWidth="1"/>
    <col min="23" max="23" width="5.109375" bestFit="1" customWidth="1"/>
    <col min="24" max="24" width="4.6640625" customWidth="1"/>
    <col min="26" max="26" width="9.88671875" bestFit="1" customWidth="1"/>
    <col min="27" max="27" width="9.109375" hidden="1" customWidth="1"/>
    <col min="28" max="28" width="9.88671875" bestFit="1" customWidth="1"/>
    <col min="29" max="29" width="9.109375" hidden="1" customWidth="1"/>
    <col min="30" max="30" width="9.88671875" bestFit="1" customWidth="1"/>
    <col min="32" max="32" width="13.5546875" customWidth="1"/>
    <col min="33" max="33" width="13" customWidth="1"/>
  </cols>
  <sheetData>
    <row r="1" spans="1:33" s="2" customFormat="1" ht="26.4" customHeight="1" thickBot="1" x14ac:dyDescent="0.35">
      <c r="A1" s="950" t="s">
        <v>15</v>
      </c>
      <c r="B1" s="1017" t="s">
        <v>16</v>
      </c>
      <c r="C1" s="1019" t="s">
        <v>0</v>
      </c>
      <c r="D1" s="1029" t="s">
        <v>36</v>
      </c>
      <c r="E1" s="1030"/>
      <c r="F1" s="1030"/>
      <c r="G1" s="1031"/>
      <c r="H1" s="1013" t="s">
        <v>35</v>
      </c>
      <c r="I1" s="1013"/>
      <c r="J1" s="1014"/>
      <c r="K1" s="1014"/>
      <c r="L1" s="1015"/>
      <c r="M1" s="1016"/>
      <c r="N1" s="1021" t="s">
        <v>47</v>
      </c>
      <c r="O1" s="1022"/>
      <c r="P1" s="1023"/>
      <c r="Q1" s="1024"/>
      <c r="R1" s="1032" t="s">
        <v>48</v>
      </c>
      <c r="S1" s="1033"/>
      <c r="T1" s="1034"/>
      <c r="U1" s="1035"/>
      <c r="V1" s="1025" t="s">
        <v>49</v>
      </c>
      <c r="W1" s="1026"/>
      <c r="X1" s="1027"/>
      <c r="Y1" s="1028"/>
      <c r="Z1" s="984" t="s">
        <v>14</v>
      </c>
      <c r="AA1" s="985"/>
      <c r="AB1" s="985"/>
      <c r="AC1" s="985"/>
      <c r="AD1" s="986"/>
      <c r="AE1" s="987"/>
      <c r="AF1" s="1011" t="s">
        <v>84</v>
      </c>
      <c r="AG1" s="1009" t="s">
        <v>9</v>
      </c>
    </row>
    <row r="2" spans="1:33" s="1" customFormat="1" ht="43.2" customHeight="1" thickBot="1" x14ac:dyDescent="0.35">
      <c r="A2" s="952"/>
      <c r="B2" s="1018"/>
      <c r="C2" s="1020"/>
      <c r="D2" s="110" t="s">
        <v>37</v>
      </c>
      <c r="E2" s="111" t="s">
        <v>88</v>
      </c>
      <c r="F2" s="111" t="s">
        <v>38</v>
      </c>
      <c r="G2" s="112" t="s">
        <v>44</v>
      </c>
      <c r="H2" s="102" t="s">
        <v>34</v>
      </c>
      <c r="I2" s="98" t="s">
        <v>1</v>
      </c>
      <c r="J2" s="3" t="s">
        <v>2</v>
      </c>
      <c r="K2" s="92" t="s">
        <v>3</v>
      </c>
      <c r="L2" s="160" t="s">
        <v>55</v>
      </c>
      <c r="M2" s="4" t="s">
        <v>44</v>
      </c>
      <c r="N2" s="129" t="s">
        <v>34</v>
      </c>
      <c r="O2" s="125" t="s">
        <v>1</v>
      </c>
      <c r="P2" s="5" t="s">
        <v>2</v>
      </c>
      <c r="Q2" s="202" t="s">
        <v>87</v>
      </c>
      <c r="R2" s="135" t="s">
        <v>34</v>
      </c>
      <c r="S2" s="131" t="s">
        <v>1</v>
      </c>
      <c r="T2" s="77" t="s">
        <v>2</v>
      </c>
      <c r="U2" s="78" t="s">
        <v>44</v>
      </c>
      <c r="V2" s="139" t="s">
        <v>34</v>
      </c>
      <c r="W2" s="140" t="s">
        <v>1</v>
      </c>
      <c r="X2" s="141" t="s">
        <v>2</v>
      </c>
      <c r="Y2" s="142" t="s">
        <v>44</v>
      </c>
      <c r="Z2" s="76" t="s">
        <v>4</v>
      </c>
      <c r="AA2" s="7" t="s">
        <v>5</v>
      </c>
      <c r="AB2" s="90" t="s">
        <v>21</v>
      </c>
      <c r="AC2" s="7" t="s">
        <v>7</v>
      </c>
      <c r="AD2" s="8" t="s">
        <v>8</v>
      </c>
      <c r="AE2" s="9" t="s">
        <v>44</v>
      </c>
      <c r="AF2" s="1012"/>
      <c r="AG2" s="1010"/>
    </row>
    <row r="3" spans="1:33" x14ac:dyDescent="0.3">
      <c r="A3" s="81" t="s">
        <v>41</v>
      </c>
      <c r="B3" s="82" t="s">
        <v>42</v>
      </c>
      <c r="C3" s="103">
        <v>2001</v>
      </c>
      <c r="D3" s="122">
        <v>3611402.2094552899</v>
      </c>
      <c r="E3" s="123"/>
      <c r="F3" s="124"/>
      <c r="G3" s="164" t="s">
        <v>57</v>
      </c>
      <c r="H3" s="99">
        <v>0</v>
      </c>
      <c r="I3" s="99">
        <v>3218529</v>
      </c>
      <c r="J3" s="83">
        <v>297406</v>
      </c>
      <c r="K3" s="157">
        <f>IF(ISNUMBER(I3),SUM(H3:J3),"")</f>
        <v>3515935</v>
      </c>
      <c r="L3" s="161">
        <f>IF(ISNUMBER(I3),I3/K3,"")</f>
        <v>0.91541197433968491</v>
      </c>
      <c r="M3" s="26" t="str">
        <f ca="1">'Smolt to Adult Survival'!F11</f>
        <v xml:space="preserve">ABUND: Age comp missing: Best winter lake fry abundance copied from Pre-Smolt section into Age 1 column as an index of Smolt production. See General Comments. [hs 2022-10-31]; </v>
      </c>
      <c r="N3" s="130" t="s">
        <v>46</v>
      </c>
      <c r="O3" s="126">
        <v>68</v>
      </c>
      <c r="P3" s="51">
        <v>112</v>
      </c>
      <c r="Q3" s="74"/>
      <c r="R3" s="114" t="s">
        <v>46</v>
      </c>
      <c r="S3" s="132">
        <v>2.6644424131403333</v>
      </c>
      <c r="T3" s="115">
        <v>4.0181944325194747</v>
      </c>
      <c r="U3" s="116" t="s">
        <v>40</v>
      </c>
      <c r="V3" s="153" t="s">
        <v>46</v>
      </c>
      <c r="W3" s="152">
        <v>71</v>
      </c>
      <c r="X3" s="152">
        <v>15</v>
      </c>
      <c r="Y3" s="155" t="s">
        <v>52</v>
      </c>
      <c r="Z3" s="30">
        <v>37018</v>
      </c>
      <c r="AA3" s="31"/>
      <c r="AB3" s="32">
        <v>37028</v>
      </c>
      <c r="AC3" s="31"/>
      <c r="AD3" s="32">
        <v>37032</v>
      </c>
      <c r="AE3" s="33"/>
      <c r="AF3" s="34"/>
      <c r="AG3" s="35"/>
    </row>
    <row r="4" spans="1:33" x14ac:dyDescent="0.3">
      <c r="A4" s="81" t="s">
        <v>41</v>
      </c>
      <c r="B4" s="82" t="s">
        <v>42</v>
      </c>
      <c r="C4" s="104">
        <v>2002</v>
      </c>
      <c r="D4" s="113">
        <v>3600584.6755262143</v>
      </c>
      <c r="E4" s="107"/>
      <c r="F4" s="120"/>
      <c r="G4" s="167" t="s">
        <v>58</v>
      </c>
      <c r="H4" s="99">
        <v>0</v>
      </c>
      <c r="I4" s="99">
        <v>3441448</v>
      </c>
      <c r="J4" s="83">
        <v>61833</v>
      </c>
      <c r="K4" s="158">
        <f t="shared" ref="K4:K26" si="0">IF(ISNUMBER(I4),SUM(H4:J4),"")</f>
        <v>3503281</v>
      </c>
      <c r="L4" s="162">
        <f t="shared" ref="L4:L26" si="1">IF(ISNUMBER(I4),I4/K4,"")</f>
        <v>0.98234997420989068</v>
      </c>
      <c r="M4" s="27"/>
      <c r="N4" s="130" t="s">
        <v>46</v>
      </c>
      <c r="O4" s="127">
        <v>63</v>
      </c>
      <c r="P4" s="53">
        <v>114</v>
      </c>
      <c r="Q4" s="79"/>
      <c r="R4" s="114" t="s">
        <v>46</v>
      </c>
      <c r="S4" s="132">
        <v>2.0210574506644647</v>
      </c>
      <c r="T4" s="97">
        <v>8.213578421925444</v>
      </c>
      <c r="U4" s="116" t="s">
        <v>40</v>
      </c>
      <c r="V4" s="153" t="s">
        <v>46</v>
      </c>
      <c r="W4" s="152">
        <v>96</v>
      </c>
      <c r="X4" s="152">
        <v>10</v>
      </c>
      <c r="Y4" s="155" t="s">
        <v>52</v>
      </c>
      <c r="Z4" s="37">
        <v>37368</v>
      </c>
      <c r="AA4" s="38"/>
      <c r="AB4" s="39">
        <v>37374</v>
      </c>
      <c r="AC4" s="39"/>
      <c r="AD4" s="32">
        <v>37389</v>
      </c>
      <c r="AE4" s="41"/>
      <c r="AF4" s="42"/>
      <c r="AG4" s="43"/>
    </row>
    <row r="5" spans="1:33" x14ac:dyDescent="0.3">
      <c r="A5" s="81" t="s">
        <v>41</v>
      </c>
      <c r="B5" s="82" t="s">
        <v>42</v>
      </c>
      <c r="C5" s="103">
        <v>2003</v>
      </c>
      <c r="D5" s="113">
        <v>4022418.5256858142</v>
      </c>
      <c r="E5" s="107"/>
      <c r="F5" s="120"/>
      <c r="G5" s="165"/>
      <c r="H5" s="99">
        <v>0</v>
      </c>
      <c r="I5" s="99">
        <v>3872077</v>
      </c>
      <c r="J5" s="83">
        <v>54446</v>
      </c>
      <c r="K5" s="158">
        <f t="shared" si="0"/>
        <v>3926523</v>
      </c>
      <c r="L5" s="162">
        <f t="shared" si="1"/>
        <v>0.98613378808681373</v>
      </c>
      <c r="M5" s="27"/>
      <c r="N5" s="130" t="s">
        <v>46</v>
      </c>
      <c r="O5" s="127">
        <v>69</v>
      </c>
      <c r="P5" s="53">
        <v>95</v>
      </c>
      <c r="Q5" s="79"/>
      <c r="R5" s="114" t="s">
        <v>46</v>
      </c>
      <c r="S5" s="132">
        <v>2.47665013117054</v>
      </c>
      <c r="T5" s="97">
        <v>5.9140991047165974</v>
      </c>
      <c r="U5" s="116" t="s">
        <v>40</v>
      </c>
      <c r="V5" s="153" t="s">
        <v>46</v>
      </c>
      <c r="W5" s="152">
        <v>100</v>
      </c>
      <c r="X5" s="152">
        <v>24</v>
      </c>
      <c r="Y5" s="143"/>
      <c r="Z5" s="37">
        <v>37722</v>
      </c>
      <c r="AA5" s="39"/>
      <c r="AB5" s="39">
        <v>37730</v>
      </c>
      <c r="AC5" s="39"/>
      <c r="AD5" s="32">
        <v>37742</v>
      </c>
      <c r="AE5" s="41"/>
      <c r="AF5" s="42"/>
      <c r="AG5" s="43"/>
    </row>
    <row r="6" spans="1:33" x14ac:dyDescent="0.3">
      <c r="A6" s="81" t="s">
        <v>41</v>
      </c>
      <c r="B6" s="82" t="s">
        <v>42</v>
      </c>
      <c r="C6" s="104">
        <v>2004</v>
      </c>
      <c r="D6" s="113">
        <v>7675779.1744782664</v>
      </c>
      <c r="E6" s="107"/>
      <c r="F6" s="120"/>
      <c r="G6" s="167" t="s">
        <v>60</v>
      </c>
      <c r="H6" s="99">
        <v>0</v>
      </c>
      <c r="I6" s="99">
        <v>7517893</v>
      </c>
      <c r="J6" s="83">
        <v>61331</v>
      </c>
      <c r="K6" s="158">
        <f t="shared" si="0"/>
        <v>7579224</v>
      </c>
      <c r="L6" s="162">
        <f t="shared" si="1"/>
        <v>0.99190801063538958</v>
      </c>
      <c r="M6" s="29"/>
      <c r="N6" s="130" t="s">
        <v>46</v>
      </c>
      <c r="O6" s="127">
        <v>61</v>
      </c>
      <c r="P6" s="53">
        <v>109</v>
      </c>
      <c r="Q6" s="79"/>
      <c r="R6" s="114" t="s">
        <v>46</v>
      </c>
      <c r="S6" s="132">
        <v>4.9022240502519407</v>
      </c>
      <c r="T6" s="97">
        <v>7.3029962412861149</v>
      </c>
      <c r="U6" s="116" t="s">
        <v>40</v>
      </c>
      <c r="V6" s="153" t="s">
        <v>46</v>
      </c>
      <c r="W6" s="152">
        <v>85</v>
      </c>
      <c r="X6" s="152">
        <v>2</v>
      </c>
      <c r="Y6" s="143"/>
      <c r="Z6" s="37">
        <v>38102</v>
      </c>
      <c r="AA6" s="39"/>
      <c r="AB6" s="39">
        <v>38110</v>
      </c>
      <c r="AC6" s="39"/>
      <c r="AD6" s="32">
        <v>38121</v>
      </c>
      <c r="AE6" s="41"/>
      <c r="AF6" s="42"/>
      <c r="AG6" s="43"/>
    </row>
    <row r="7" spans="1:33" x14ac:dyDescent="0.3">
      <c r="A7" s="81" t="s">
        <v>41</v>
      </c>
      <c r="B7" s="82" t="s">
        <v>42</v>
      </c>
      <c r="C7" s="103">
        <v>2005</v>
      </c>
      <c r="D7" s="113">
        <v>4077431.9414814143</v>
      </c>
      <c r="E7" s="107"/>
      <c r="F7" s="120"/>
      <c r="G7" s="165"/>
      <c r="H7" s="99">
        <v>0</v>
      </c>
      <c r="I7" s="99">
        <v>3686007</v>
      </c>
      <c r="J7" s="83">
        <v>291972</v>
      </c>
      <c r="K7" s="158">
        <f t="shared" si="0"/>
        <v>3977979</v>
      </c>
      <c r="L7" s="162">
        <f t="shared" si="1"/>
        <v>0.92660293078470246</v>
      </c>
      <c r="M7" s="27"/>
      <c r="N7" s="130" t="s">
        <v>46</v>
      </c>
      <c r="O7" s="127">
        <v>64</v>
      </c>
      <c r="P7" s="53">
        <v>102</v>
      </c>
      <c r="Q7" s="79"/>
      <c r="R7" s="114" t="s">
        <v>46</v>
      </c>
      <c r="S7" s="132">
        <v>4.283227494878453</v>
      </c>
      <c r="T7" s="97">
        <v>5.1781060796668097</v>
      </c>
      <c r="U7" s="116" t="s">
        <v>40</v>
      </c>
      <c r="V7" s="153" t="s">
        <v>46</v>
      </c>
      <c r="W7" s="152">
        <v>103</v>
      </c>
      <c r="X7" s="152">
        <v>14</v>
      </c>
      <c r="Y7" s="143"/>
      <c r="Z7" s="37">
        <v>38455</v>
      </c>
      <c r="AA7" s="39"/>
      <c r="AB7" s="39">
        <v>38463</v>
      </c>
      <c r="AC7" s="39"/>
      <c r="AD7" s="32">
        <v>38476</v>
      </c>
      <c r="AE7" s="41"/>
      <c r="AF7" s="42"/>
      <c r="AG7" s="43"/>
    </row>
    <row r="8" spans="1:33" x14ac:dyDescent="0.3">
      <c r="A8" s="81" t="s">
        <v>41</v>
      </c>
      <c r="B8" s="82" t="s">
        <v>42</v>
      </c>
      <c r="C8" s="104">
        <v>2006</v>
      </c>
      <c r="D8" s="113">
        <v>9034863.3387074377</v>
      </c>
      <c r="E8" s="107"/>
      <c r="F8" s="120"/>
      <c r="G8" s="165"/>
      <c r="H8" s="99">
        <v>0</v>
      </c>
      <c r="I8" s="99">
        <v>8482954</v>
      </c>
      <c r="J8" s="83">
        <v>460738</v>
      </c>
      <c r="K8" s="158">
        <f t="shared" si="0"/>
        <v>8943692</v>
      </c>
      <c r="L8" s="162">
        <f t="shared" si="1"/>
        <v>0.94848458556041515</v>
      </c>
      <c r="M8" s="27"/>
      <c r="N8" s="130" t="s">
        <v>46</v>
      </c>
      <c r="O8" s="127">
        <v>65</v>
      </c>
      <c r="P8" s="53">
        <v>114</v>
      </c>
      <c r="Q8" s="79"/>
      <c r="R8" s="117" t="s">
        <v>46</v>
      </c>
      <c r="S8" s="133">
        <v>2.1051952765432578</v>
      </c>
      <c r="T8" s="118">
        <v>8.077833908025621</v>
      </c>
      <c r="U8" s="119" t="s">
        <v>45</v>
      </c>
      <c r="V8" s="153" t="s">
        <v>46</v>
      </c>
      <c r="W8" s="152">
        <v>89</v>
      </c>
      <c r="X8" s="152">
        <v>22</v>
      </c>
      <c r="Y8" s="156" t="s">
        <v>53</v>
      </c>
      <c r="Z8" s="37">
        <v>38845</v>
      </c>
      <c r="AA8" s="39"/>
      <c r="AB8" s="39">
        <v>38853</v>
      </c>
      <c r="AC8" s="39"/>
      <c r="AD8" s="32">
        <v>38860</v>
      </c>
      <c r="AE8" s="41"/>
      <c r="AF8" s="42"/>
      <c r="AG8" s="43"/>
    </row>
    <row r="9" spans="1:33" x14ac:dyDescent="0.3">
      <c r="A9" s="81" t="s">
        <v>41</v>
      </c>
      <c r="B9" s="82" t="s">
        <v>42</v>
      </c>
      <c r="C9" s="103">
        <v>2007</v>
      </c>
      <c r="D9" s="113">
        <v>1473411.4113702988</v>
      </c>
      <c r="E9" s="107"/>
      <c r="F9" s="120"/>
      <c r="G9" s="165"/>
      <c r="H9" s="99">
        <v>0</v>
      </c>
      <c r="I9" s="99">
        <v>1333988</v>
      </c>
      <c r="J9" s="83">
        <v>45429</v>
      </c>
      <c r="K9" s="158">
        <f t="shared" si="0"/>
        <v>1379417</v>
      </c>
      <c r="L9" s="162">
        <f t="shared" si="1"/>
        <v>0.96706652158121875</v>
      </c>
      <c r="M9" s="27"/>
      <c r="N9" s="130" t="s">
        <v>46</v>
      </c>
      <c r="O9" s="127">
        <v>60</v>
      </c>
      <c r="P9" s="53">
        <v>90</v>
      </c>
      <c r="Q9" s="79"/>
      <c r="R9" s="117" t="s">
        <v>46</v>
      </c>
      <c r="S9" s="133">
        <v>2.8036741598113757</v>
      </c>
      <c r="T9" s="118">
        <v>4.4315730501108703</v>
      </c>
      <c r="U9" s="119" t="s">
        <v>45</v>
      </c>
      <c r="V9" s="153" t="s">
        <v>46</v>
      </c>
      <c r="W9" s="152">
        <v>88</v>
      </c>
      <c r="X9" s="152">
        <v>6</v>
      </c>
      <c r="Y9" s="145"/>
      <c r="Z9" s="37">
        <v>39184</v>
      </c>
      <c r="AA9" s="39"/>
      <c r="AB9" s="39">
        <v>39191</v>
      </c>
      <c r="AC9" s="39"/>
      <c r="AD9" s="32">
        <v>39200</v>
      </c>
      <c r="AE9" s="41"/>
      <c r="AF9" s="42"/>
      <c r="AG9" s="43"/>
    </row>
    <row r="10" spans="1:33" x14ac:dyDescent="0.3">
      <c r="A10" s="81" t="s">
        <v>41</v>
      </c>
      <c r="B10" s="82" t="s">
        <v>42</v>
      </c>
      <c r="C10" s="104">
        <v>2008</v>
      </c>
      <c r="D10" s="113">
        <v>5222605.6595987929</v>
      </c>
      <c r="E10" s="107"/>
      <c r="F10" s="120"/>
      <c r="G10" s="167" t="s">
        <v>69</v>
      </c>
      <c r="H10" s="99">
        <v>0</v>
      </c>
      <c r="I10" s="99">
        <v>4900954</v>
      </c>
      <c r="J10" s="83">
        <v>227481</v>
      </c>
      <c r="K10" s="158">
        <f t="shared" si="0"/>
        <v>5128435</v>
      </c>
      <c r="L10" s="162">
        <f t="shared" si="1"/>
        <v>0.9556431932938606</v>
      </c>
      <c r="M10" s="27"/>
      <c r="N10" s="130" t="s">
        <v>46</v>
      </c>
      <c r="O10" s="127">
        <v>77</v>
      </c>
      <c r="P10" s="53">
        <v>102</v>
      </c>
      <c r="Q10" s="79"/>
      <c r="R10" s="117" t="s">
        <v>46</v>
      </c>
      <c r="S10" s="133">
        <v>3.0377385274817348</v>
      </c>
      <c r="T10" s="118">
        <v>6.9209817970889684</v>
      </c>
      <c r="U10" s="119" t="s">
        <v>43</v>
      </c>
      <c r="V10" s="153" t="s">
        <v>46</v>
      </c>
      <c r="W10" s="152">
        <v>96</v>
      </c>
      <c r="X10" s="152">
        <v>6</v>
      </c>
      <c r="Y10" s="145"/>
      <c r="Z10" s="37">
        <v>39551</v>
      </c>
      <c r="AA10" s="39"/>
      <c r="AB10" s="39">
        <v>39556</v>
      </c>
      <c r="AC10" s="39"/>
      <c r="AD10" s="32">
        <v>39572</v>
      </c>
      <c r="AE10" s="41"/>
      <c r="AF10" s="42"/>
      <c r="AG10" s="43"/>
    </row>
    <row r="11" spans="1:33" x14ac:dyDescent="0.3">
      <c r="A11" s="81" t="s">
        <v>41</v>
      </c>
      <c r="B11" s="82" t="s">
        <v>42</v>
      </c>
      <c r="C11" s="103">
        <v>2009</v>
      </c>
      <c r="D11" s="113">
        <v>3147128.3435023553</v>
      </c>
      <c r="E11" s="107"/>
      <c r="F11" s="120"/>
      <c r="G11" s="165"/>
      <c r="H11" s="99">
        <v>0</v>
      </c>
      <c r="I11" s="99">
        <v>2912448</v>
      </c>
      <c r="J11" s="83">
        <v>141443</v>
      </c>
      <c r="K11" s="158">
        <f t="shared" si="0"/>
        <v>3053891</v>
      </c>
      <c r="L11" s="162">
        <f t="shared" si="1"/>
        <v>0.95368433254494023</v>
      </c>
      <c r="M11" s="27"/>
      <c r="N11" s="130" t="s">
        <v>46</v>
      </c>
      <c r="O11" s="127">
        <v>61</v>
      </c>
      <c r="P11" s="53">
        <v>112</v>
      </c>
      <c r="Q11" s="79"/>
      <c r="R11" s="71" t="s">
        <v>46</v>
      </c>
      <c r="S11" s="134">
        <v>2.6856599894960027</v>
      </c>
      <c r="T11" s="72">
        <v>4.9938857510980368</v>
      </c>
      <c r="U11" s="36"/>
      <c r="V11" s="153" t="s">
        <v>46</v>
      </c>
      <c r="W11" s="152">
        <v>71</v>
      </c>
      <c r="X11" s="152">
        <v>1</v>
      </c>
      <c r="Y11" s="145"/>
      <c r="Z11" s="37">
        <v>39934</v>
      </c>
      <c r="AA11" s="39"/>
      <c r="AB11" s="39">
        <v>39939</v>
      </c>
      <c r="AC11" s="39"/>
      <c r="AD11" s="32">
        <v>39953</v>
      </c>
      <c r="AE11" s="41"/>
      <c r="AF11" s="42"/>
      <c r="AG11" s="43"/>
    </row>
    <row r="12" spans="1:33" x14ac:dyDescent="0.3">
      <c r="A12" s="81" t="s">
        <v>41</v>
      </c>
      <c r="B12" s="82" t="s">
        <v>42</v>
      </c>
      <c r="C12" s="104">
        <v>2010</v>
      </c>
      <c r="D12" s="113">
        <v>8434300.5534976274</v>
      </c>
      <c r="E12" s="107"/>
      <c r="F12" s="120"/>
      <c r="G12" s="165"/>
      <c r="H12" s="99">
        <v>0</v>
      </c>
      <c r="I12" s="99">
        <v>7949575</v>
      </c>
      <c r="J12" s="83">
        <v>384908</v>
      </c>
      <c r="K12" s="158">
        <f t="shared" si="0"/>
        <v>8334483</v>
      </c>
      <c r="L12" s="162">
        <f t="shared" si="1"/>
        <v>0.95381741134993014</v>
      </c>
      <c r="M12" s="27"/>
      <c r="N12" s="130" t="s">
        <v>46</v>
      </c>
      <c r="O12" s="127">
        <v>64</v>
      </c>
      <c r="P12" s="53">
        <v>109</v>
      </c>
      <c r="Q12" s="79"/>
      <c r="R12" s="71" t="s">
        <v>46</v>
      </c>
      <c r="S12" s="134">
        <v>3.8854404612442504</v>
      </c>
      <c r="T12" s="72">
        <v>4.2317551897592054</v>
      </c>
      <c r="U12" s="36"/>
      <c r="V12" s="153" t="s">
        <v>46</v>
      </c>
      <c r="W12" s="152">
        <v>100</v>
      </c>
      <c r="X12" s="152">
        <v>23</v>
      </c>
      <c r="Y12" s="145"/>
      <c r="Z12" s="37">
        <v>40300</v>
      </c>
      <c r="AA12" s="39"/>
      <c r="AB12" s="39">
        <v>40310</v>
      </c>
      <c r="AC12" s="39"/>
      <c r="AD12" s="32">
        <v>40317</v>
      </c>
      <c r="AE12" s="41"/>
      <c r="AF12" s="42"/>
      <c r="AG12" s="43"/>
    </row>
    <row r="13" spans="1:33" x14ac:dyDescent="0.3">
      <c r="A13" s="81" t="s">
        <v>41</v>
      </c>
      <c r="B13" s="82" t="s">
        <v>42</v>
      </c>
      <c r="C13" s="103">
        <v>2011</v>
      </c>
      <c r="D13" s="113">
        <v>7362136.6965480847</v>
      </c>
      <c r="E13" s="107"/>
      <c r="F13" s="120"/>
      <c r="G13" s="165"/>
      <c r="H13" s="99">
        <v>0</v>
      </c>
      <c r="I13" s="99">
        <v>7092985</v>
      </c>
      <c r="J13" s="83">
        <v>172093</v>
      </c>
      <c r="K13" s="158">
        <f t="shared" si="0"/>
        <v>7265078</v>
      </c>
      <c r="L13" s="162">
        <f t="shared" si="1"/>
        <v>0.97631229836761557</v>
      </c>
      <c r="M13" s="27"/>
      <c r="N13" s="130" t="s">
        <v>46</v>
      </c>
      <c r="O13" s="127">
        <v>61</v>
      </c>
      <c r="P13" s="53">
        <v>99</v>
      </c>
      <c r="Q13" s="79"/>
      <c r="R13" s="71" t="s">
        <v>46</v>
      </c>
      <c r="S13" s="134">
        <v>2.8616433523602849</v>
      </c>
      <c r="T13" s="72">
        <v>4.7888629415996675</v>
      </c>
      <c r="U13" s="36" t="s">
        <v>20</v>
      </c>
      <c r="V13" s="153" t="s">
        <v>46</v>
      </c>
      <c r="W13" s="152">
        <v>93</v>
      </c>
      <c r="X13" s="152">
        <v>14</v>
      </c>
      <c r="Y13" s="145"/>
      <c r="Z13" s="37"/>
      <c r="AA13" s="39"/>
      <c r="AB13" s="39">
        <v>40650</v>
      </c>
      <c r="AC13" s="39"/>
      <c r="AD13" s="32">
        <v>40662</v>
      </c>
      <c r="AE13" s="41"/>
      <c r="AF13" s="91" t="s">
        <v>51</v>
      </c>
      <c r="AG13" s="43"/>
    </row>
    <row r="14" spans="1:33" x14ac:dyDescent="0.3">
      <c r="A14" s="81" t="s">
        <v>41</v>
      </c>
      <c r="B14" s="82" t="s">
        <v>42</v>
      </c>
      <c r="C14" s="104">
        <v>2012</v>
      </c>
      <c r="D14" s="113">
        <v>2937454.8182201735</v>
      </c>
      <c r="E14" s="107"/>
      <c r="F14" s="120"/>
      <c r="G14" s="165"/>
      <c r="H14" s="99">
        <v>0</v>
      </c>
      <c r="I14" s="99">
        <v>2781765</v>
      </c>
      <c r="J14" s="83">
        <v>61916</v>
      </c>
      <c r="K14" s="158">
        <f t="shared" si="0"/>
        <v>2843681</v>
      </c>
      <c r="L14" s="162">
        <f t="shared" si="1"/>
        <v>0.97822681236045816</v>
      </c>
      <c r="M14" s="27"/>
      <c r="N14" s="130" t="s">
        <v>46</v>
      </c>
      <c r="O14" s="127">
        <v>73</v>
      </c>
      <c r="P14" s="53">
        <v>96</v>
      </c>
      <c r="Q14" s="79"/>
      <c r="R14" s="71" t="s">
        <v>46</v>
      </c>
      <c r="S14" s="134">
        <v>4.0316084208187339</v>
      </c>
      <c r="T14" s="72">
        <v>6.1232253604667646</v>
      </c>
      <c r="U14" s="36" t="s">
        <v>20</v>
      </c>
      <c r="V14" s="153" t="s">
        <v>46</v>
      </c>
      <c r="W14" s="152">
        <v>100</v>
      </c>
      <c r="X14" s="152">
        <v>2</v>
      </c>
      <c r="Y14" s="145"/>
      <c r="Z14" s="37">
        <v>41033</v>
      </c>
      <c r="AA14" s="39"/>
      <c r="AB14" s="39">
        <v>41038</v>
      </c>
      <c r="AC14" s="39"/>
      <c r="AD14" s="32">
        <v>41052</v>
      </c>
      <c r="AE14" s="41"/>
      <c r="AF14" s="42"/>
      <c r="AG14" s="43"/>
    </row>
    <row r="15" spans="1:33" x14ac:dyDescent="0.3">
      <c r="A15" s="81" t="s">
        <v>41</v>
      </c>
      <c r="B15" s="82" t="s">
        <v>42</v>
      </c>
      <c r="C15" s="103">
        <v>2013</v>
      </c>
      <c r="D15" s="168">
        <v>6268286.8692750772</v>
      </c>
      <c r="E15" s="107"/>
      <c r="F15" s="120"/>
      <c r="G15" s="169" t="s">
        <v>59</v>
      </c>
      <c r="H15" s="99">
        <v>0</v>
      </c>
      <c r="I15" s="99">
        <v>6073754</v>
      </c>
      <c r="J15" s="83">
        <v>102964</v>
      </c>
      <c r="K15" s="158">
        <f t="shared" si="0"/>
        <v>6176718</v>
      </c>
      <c r="L15" s="162">
        <f t="shared" si="1"/>
        <v>0.98333030583555858</v>
      </c>
      <c r="M15" s="27"/>
      <c r="N15" s="130" t="s">
        <v>46</v>
      </c>
      <c r="O15" s="127">
        <v>73</v>
      </c>
      <c r="P15" s="53">
        <v>109</v>
      </c>
      <c r="Q15" s="79"/>
      <c r="R15" s="71" t="s">
        <v>46</v>
      </c>
      <c r="S15" s="134">
        <v>2.5619880405160753</v>
      </c>
      <c r="T15" s="72">
        <v>7.7045683370993991</v>
      </c>
      <c r="U15" s="36" t="s">
        <v>20</v>
      </c>
      <c r="V15" s="153" t="s">
        <v>46</v>
      </c>
      <c r="W15" s="152">
        <v>97</v>
      </c>
      <c r="X15" s="152">
        <v>16</v>
      </c>
      <c r="Y15" s="145"/>
      <c r="Z15" s="37">
        <v>41376</v>
      </c>
      <c r="AA15" s="39">
        <f>(Z15+AB15)/2</f>
        <v>41380</v>
      </c>
      <c r="AB15" s="39">
        <v>41384</v>
      </c>
      <c r="AC15" s="39">
        <v>41389</v>
      </c>
      <c r="AD15" s="32">
        <v>41394</v>
      </c>
      <c r="AE15" s="41"/>
      <c r="AF15" s="42"/>
      <c r="AG15" s="43"/>
    </row>
    <row r="16" spans="1:33" x14ac:dyDescent="0.3">
      <c r="A16" s="81" t="s">
        <v>41</v>
      </c>
      <c r="B16" s="82" t="s">
        <v>42</v>
      </c>
      <c r="C16" s="104">
        <v>2014</v>
      </c>
      <c r="D16" s="113">
        <v>9982856.9626555499</v>
      </c>
      <c r="E16" s="107"/>
      <c r="F16" s="120"/>
      <c r="G16" s="165"/>
      <c r="H16" s="99">
        <v>0</v>
      </c>
      <c r="I16" s="99">
        <v>9591770</v>
      </c>
      <c r="J16" s="83">
        <v>297853</v>
      </c>
      <c r="K16" s="158">
        <f t="shared" si="0"/>
        <v>9889623</v>
      </c>
      <c r="L16" s="162">
        <f t="shared" si="1"/>
        <v>0.96988226952635104</v>
      </c>
      <c r="M16" s="27"/>
      <c r="N16" s="130" t="s">
        <v>46</v>
      </c>
      <c r="O16" s="127">
        <v>75</v>
      </c>
      <c r="P16" s="53">
        <v>91</v>
      </c>
      <c r="Q16" s="79"/>
      <c r="R16" s="71" t="s">
        <v>46</v>
      </c>
      <c r="S16" s="134">
        <v>4.3095081422924011</v>
      </c>
      <c r="T16" s="72">
        <v>6.5750191735835095</v>
      </c>
      <c r="U16" s="36"/>
      <c r="V16" s="153" t="s">
        <v>46</v>
      </c>
      <c r="W16" s="152">
        <v>65</v>
      </c>
      <c r="X16" s="152">
        <v>5</v>
      </c>
      <c r="Y16" s="145"/>
      <c r="Z16" s="37">
        <v>41776</v>
      </c>
      <c r="AA16" s="39"/>
      <c r="AB16" s="39">
        <v>41783</v>
      </c>
      <c r="AC16" s="39"/>
      <c r="AD16" s="32">
        <v>41792</v>
      </c>
      <c r="AE16" s="41"/>
      <c r="AF16" s="91" t="s">
        <v>22</v>
      </c>
      <c r="AG16" s="43"/>
    </row>
    <row r="17" spans="1:33" x14ac:dyDescent="0.3">
      <c r="A17" s="81" t="s">
        <v>41</v>
      </c>
      <c r="B17" s="82" t="s">
        <v>42</v>
      </c>
      <c r="C17" s="103">
        <v>2015</v>
      </c>
      <c r="D17" s="113">
        <v>8081653.7474214658</v>
      </c>
      <c r="E17" s="107"/>
      <c r="F17" s="120"/>
      <c r="G17" s="165"/>
      <c r="H17" s="99">
        <v>0</v>
      </c>
      <c r="I17" s="99">
        <v>7968151</v>
      </c>
      <c r="J17" s="96">
        <v>19873</v>
      </c>
      <c r="K17" s="158">
        <f t="shared" si="0"/>
        <v>7988024</v>
      </c>
      <c r="L17" s="162">
        <f t="shared" si="1"/>
        <v>0.99751215068958232</v>
      </c>
      <c r="M17" s="136" t="s">
        <v>31</v>
      </c>
      <c r="N17" s="130" t="s">
        <v>46</v>
      </c>
      <c r="O17" s="127">
        <v>68</v>
      </c>
      <c r="P17" s="94">
        <v>104</v>
      </c>
      <c r="Q17" s="95" t="s">
        <v>32</v>
      </c>
      <c r="R17" s="71" t="s">
        <v>46</v>
      </c>
      <c r="S17" s="134">
        <v>3.4385632659758656</v>
      </c>
      <c r="T17" s="97">
        <v>5.1885053966808599</v>
      </c>
      <c r="U17" s="36" t="s">
        <v>33</v>
      </c>
      <c r="V17" s="153" t="s">
        <v>46</v>
      </c>
      <c r="W17" s="152">
        <v>80</v>
      </c>
      <c r="X17" s="152">
        <v>17</v>
      </c>
      <c r="Y17" s="156" t="s">
        <v>54</v>
      </c>
      <c r="Z17" s="37">
        <v>42127</v>
      </c>
      <c r="AA17" s="39"/>
      <c r="AB17" s="39">
        <v>42132</v>
      </c>
      <c r="AC17" s="39"/>
      <c r="AD17" s="32">
        <v>42148</v>
      </c>
      <c r="AE17" s="41"/>
      <c r="AF17" s="91" t="s">
        <v>86</v>
      </c>
      <c r="AG17" s="43"/>
    </row>
    <row r="18" spans="1:33" x14ac:dyDescent="0.3">
      <c r="A18" s="81" t="s">
        <v>41</v>
      </c>
      <c r="B18" s="82" t="s">
        <v>42</v>
      </c>
      <c r="C18" s="104">
        <v>2016</v>
      </c>
      <c r="D18" s="113">
        <v>4021751.0822480735</v>
      </c>
      <c r="E18" s="107"/>
      <c r="F18" s="120"/>
      <c r="G18" s="165"/>
      <c r="H18" s="99">
        <v>0</v>
      </c>
      <c r="I18" s="99">
        <v>3703790</v>
      </c>
      <c r="J18" s="83">
        <v>221249</v>
      </c>
      <c r="K18" s="158">
        <f t="shared" si="0"/>
        <v>3925039</v>
      </c>
      <c r="L18" s="162">
        <f t="shared" si="1"/>
        <v>0.94363138812123903</v>
      </c>
      <c r="M18" s="27"/>
      <c r="N18" s="130" t="s">
        <v>46</v>
      </c>
      <c r="O18" s="127">
        <v>63</v>
      </c>
      <c r="P18" s="53">
        <v>101</v>
      </c>
      <c r="Q18" s="79"/>
      <c r="R18" s="71" t="s">
        <v>46</v>
      </c>
      <c r="S18" s="134">
        <v>2.0140092428621106</v>
      </c>
      <c r="T18" s="72">
        <v>8.0118753375886786</v>
      </c>
      <c r="U18" s="36"/>
      <c r="V18" s="153" t="s">
        <v>46</v>
      </c>
      <c r="W18" s="152">
        <v>81</v>
      </c>
      <c r="X18" s="152">
        <v>17</v>
      </c>
      <c r="Y18" s="156" t="s">
        <v>54</v>
      </c>
      <c r="Z18" s="37">
        <v>42498</v>
      </c>
      <c r="AA18" s="39"/>
      <c r="AB18" s="39">
        <v>42503</v>
      </c>
      <c r="AC18" s="39"/>
      <c r="AD18" s="32">
        <v>42516</v>
      </c>
      <c r="AE18" s="41"/>
      <c r="AF18" s="91" t="s">
        <v>85</v>
      </c>
      <c r="AG18" s="43"/>
    </row>
    <row r="19" spans="1:33" x14ac:dyDescent="0.3">
      <c r="A19" s="81" t="s">
        <v>41</v>
      </c>
      <c r="B19" s="82" t="s">
        <v>42</v>
      </c>
      <c r="C19" s="103">
        <v>2017</v>
      </c>
      <c r="D19" s="113">
        <v>7235967.7064183978</v>
      </c>
      <c r="E19" s="107"/>
      <c r="F19" s="120"/>
      <c r="G19" s="165"/>
      <c r="H19" s="99">
        <v>8885</v>
      </c>
      <c r="I19" s="99">
        <v>6575061</v>
      </c>
      <c r="J19" s="83">
        <v>552744</v>
      </c>
      <c r="K19" s="158">
        <f t="shared" si="0"/>
        <v>7136690</v>
      </c>
      <c r="L19" s="162">
        <f t="shared" si="1"/>
        <v>0.92130399386830586</v>
      </c>
      <c r="M19" s="27"/>
      <c r="N19" s="52">
        <v>48</v>
      </c>
      <c r="O19" s="127">
        <v>61</v>
      </c>
      <c r="P19" s="53">
        <v>101</v>
      </c>
      <c r="Q19" s="79" t="s">
        <v>20</v>
      </c>
      <c r="R19" s="71">
        <v>4.310149063547291</v>
      </c>
      <c r="S19" s="134">
        <v>4.310149063547291</v>
      </c>
      <c r="T19" s="72">
        <v>4.8060271413421773</v>
      </c>
      <c r="U19" s="36"/>
      <c r="V19" s="153">
        <v>3</v>
      </c>
      <c r="W19" s="152">
        <v>90</v>
      </c>
      <c r="X19" s="152">
        <v>6</v>
      </c>
      <c r="Y19" s="156" t="s">
        <v>54</v>
      </c>
      <c r="Z19" s="37">
        <v>42834</v>
      </c>
      <c r="AA19" s="39">
        <f>(Z19+AB19)/2</f>
        <v>42837</v>
      </c>
      <c r="AB19" s="39">
        <v>42840</v>
      </c>
      <c r="AC19" s="39">
        <v>42847</v>
      </c>
      <c r="AD19" s="32">
        <v>42854</v>
      </c>
      <c r="AE19" s="41"/>
      <c r="AF19" s="42"/>
      <c r="AG19" s="43"/>
    </row>
    <row r="20" spans="1:33" x14ac:dyDescent="0.3">
      <c r="A20" s="81" t="s">
        <v>41</v>
      </c>
      <c r="B20" s="82" t="s">
        <v>42</v>
      </c>
      <c r="C20" s="104">
        <v>2018</v>
      </c>
      <c r="D20" s="113">
        <v>8676550.9720086027</v>
      </c>
      <c r="E20" s="107"/>
      <c r="F20" s="120"/>
      <c r="G20" s="165"/>
      <c r="H20" s="99">
        <v>0</v>
      </c>
      <c r="I20" s="99">
        <v>8307691</v>
      </c>
      <c r="J20" s="83">
        <v>272849</v>
      </c>
      <c r="K20" s="158">
        <f t="shared" si="0"/>
        <v>8580540</v>
      </c>
      <c r="L20" s="162">
        <f t="shared" si="1"/>
        <v>0.96820141855873876</v>
      </c>
      <c r="M20" s="27"/>
      <c r="N20" s="130" t="s">
        <v>46</v>
      </c>
      <c r="O20" s="127">
        <v>60</v>
      </c>
      <c r="P20" s="53">
        <v>104</v>
      </c>
      <c r="Q20" s="79"/>
      <c r="R20" s="71" t="s">
        <v>46</v>
      </c>
      <c r="S20" s="134">
        <v>3.4722976487389672</v>
      </c>
      <c r="T20" s="72">
        <v>8.3477990772493378</v>
      </c>
      <c r="U20" s="36"/>
      <c r="V20" s="153" t="s">
        <v>46</v>
      </c>
      <c r="W20" s="152">
        <v>75</v>
      </c>
      <c r="X20" s="152">
        <v>21</v>
      </c>
      <c r="Y20" s="156" t="s">
        <v>54</v>
      </c>
      <c r="Z20" s="37">
        <v>43220</v>
      </c>
      <c r="AA20" s="39"/>
      <c r="AB20" s="39">
        <v>43227</v>
      </c>
      <c r="AC20" s="39"/>
      <c r="AD20" s="32">
        <v>43237</v>
      </c>
      <c r="AE20" s="41"/>
      <c r="AF20" s="42"/>
      <c r="AG20" s="43"/>
    </row>
    <row r="21" spans="1:33" x14ac:dyDescent="0.3">
      <c r="A21" s="81" t="s">
        <v>41</v>
      </c>
      <c r="B21" s="82" t="s">
        <v>42</v>
      </c>
      <c r="C21" s="103">
        <v>2019</v>
      </c>
      <c r="D21" s="113">
        <v>7940119.795161332</v>
      </c>
      <c r="E21" s="107"/>
      <c r="F21" s="120"/>
      <c r="G21" s="165"/>
      <c r="H21" s="99">
        <v>9985</v>
      </c>
      <c r="I21" s="99">
        <v>7063483</v>
      </c>
      <c r="J21" s="83">
        <v>768483</v>
      </c>
      <c r="K21" s="158">
        <f t="shared" si="0"/>
        <v>7841951</v>
      </c>
      <c r="L21" s="162">
        <f t="shared" si="1"/>
        <v>0.9007303157084251</v>
      </c>
      <c r="M21" s="27"/>
      <c r="N21" s="52">
        <v>64</v>
      </c>
      <c r="O21" s="127">
        <v>75</v>
      </c>
      <c r="P21" s="53">
        <v>103</v>
      </c>
      <c r="Q21" s="79" t="s">
        <v>20</v>
      </c>
      <c r="R21" s="72">
        <v>3.737359942623117</v>
      </c>
      <c r="S21" s="72">
        <v>3.737359942623117</v>
      </c>
      <c r="T21" s="72">
        <v>8.0177612443603721</v>
      </c>
      <c r="U21" s="36"/>
      <c r="V21" s="153">
        <v>15</v>
      </c>
      <c r="W21" s="152">
        <v>104</v>
      </c>
      <c r="X21" s="152">
        <v>15</v>
      </c>
      <c r="Y21" s="156" t="s">
        <v>54</v>
      </c>
      <c r="Z21" s="37">
        <v>43564</v>
      </c>
      <c r="AA21" s="39">
        <f>(Z21+AB21)/2</f>
        <v>43566.5</v>
      </c>
      <c r="AB21" s="39">
        <v>43569</v>
      </c>
      <c r="AC21" s="39">
        <v>43573.5</v>
      </c>
      <c r="AD21" s="32">
        <v>43578</v>
      </c>
      <c r="AE21" s="41"/>
      <c r="AF21" s="42"/>
      <c r="AG21" s="43"/>
    </row>
    <row r="22" spans="1:33" x14ac:dyDescent="0.3">
      <c r="A22" s="81" t="s">
        <v>41</v>
      </c>
      <c r="B22" s="82" t="s">
        <v>42</v>
      </c>
      <c r="C22" s="104">
        <v>2020</v>
      </c>
      <c r="D22" s="113">
        <v>2934200.7211355907</v>
      </c>
      <c r="E22" s="107"/>
      <c r="F22" s="120"/>
      <c r="G22" s="165"/>
      <c r="H22" s="99">
        <v>10910</v>
      </c>
      <c r="I22" s="99">
        <v>2619193</v>
      </c>
      <c r="J22" s="83">
        <v>207758</v>
      </c>
      <c r="K22" s="158">
        <f t="shared" si="0"/>
        <v>2837861</v>
      </c>
      <c r="L22" s="162">
        <f t="shared" si="1"/>
        <v>0.92294619081061402</v>
      </c>
      <c r="M22" s="27"/>
      <c r="N22" s="52">
        <v>60</v>
      </c>
      <c r="O22" s="127">
        <v>74</v>
      </c>
      <c r="P22" s="53">
        <v>104</v>
      </c>
      <c r="Q22" s="79" t="s">
        <v>20</v>
      </c>
      <c r="R22" s="72">
        <v>4.6121268404464875</v>
      </c>
      <c r="S22" s="72">
        <v>4.6121268404464875</v>
      </c>
      <c r="T22" s="72">
        <v>8.4353551822379771</v>
      </c>
      <c r="U22" s="36" t="s">
        <v>20</v>
      </c>
      <c r="V22" s="153">
        <v>4</v>
      </c>
      <c r="W22" s="152">
        <v>84</v>
      </c>
      <c r="X22" s="152">
        <v>16</v>
      </c>
      <c r="Y22" s="156" t="s">
        <v>54</v>
      </c>
      <c r="Z22" s="37"/>
      <c r="AA22" s="39">
        <f>(Z22+AB22)/2</f>
        <v>21969</v>
      </c>
      <c r="AB22" s="39">
        <v>43938</v>
      </c>
      <c r="AC22" s="39">
        <v>43944</v>
      </c>
      <c r="AD22" s="32"/>
      <c r="AE22" s="154" t="s">
        <v>50</v>
      </c>
      <c r="AF22" s="91" t="s">
        <v>46</v>
      </c>
      <c r="AG22" s="43"/>
    </row>
    <row r="23" spans="1:33" x14ac:dyDescent="0.3">
      <c r="A23" s="84"/>
      <c r="B23" s="85"/>
      <c r="C23" s="103">
        <v>2021</v>
      </c>
      <c r="D23" s="106"/>
      <c r="E23" s="107"/>
      <c r="F23" s="120"/>
      <c r="G23" s="165"/>
      <c r="H23" s="100"/>
      <c r="I23" s="100"/>
      <c r="J23" s="86"/>
      <c r="K23" s="158" t="str">
        <f t="shared" si="0"/>
        <v/>
      </c>
      <c r="L23" s="162" t="str">
        <f t="shared" si="1"/>
        <v/>
      </c>
      <c r="M23" s="27"/>
      <c r="N23" s="52" t="s">
        <v>46</v>
      </c>
      <c r="O23" s="127"/>
      <c r="P23" s="53"/>
      <c r="Q23" s="79"/>
      <c r="R23" s="71" t="s">
        <v>46</v>
      </c>
      <c r="S23" s="134"/>
      <c r="T23" s="72"/>
      <c r="U23" s="36"/>
      <c r="V23" s="146"/>
      <c r="W23" s="147"/>
      <c r="X23" s="144"/>
      <c r="Y23" s="145"/>
      <c r="Z23" s="37"/>
      <c r="AA23" s="39"/>
      <c r="AB23" s="39"/>
      <c r="AC23" s="39"/>
      <c r="AD23" s="40"/>
      <c r="AE23" s="41"/>
      <c r="AF23" s="42"/>
      <c r="AG23" s="43"/>
    </row>
    <row r="24" spans="1:33" x14ac:dyDescent="0.3">
      <c r="A24" s="84"/>
      <c r="B24" s="85"/>
      <c r="C24" s="104">
        <v>2022</v>
      </c>
      <c r="D24" s="106"/>
      <c r="E24" s="107"/>
      <c r="F24" s="120"/>
      <c r="G24" s="165"/>
      <c r="H24" s="100"/>
      <c r="I24" s="100"/>
      <c r="J24" s="86"/>
      <c r="K24" s="158" t="str">
        <f t="shared" si="0"/>
        <v/>
      </c>
      <c r="L24" s="162" t="str">
        <f t="shared" si="1"/>
        <v/>
      </c>
      <c r="M24" s="27"/>
      <c r="N24" s="52" t="s">
        <v>46</v>
      </c>
      <c r="O24" s="127"/>
      <c r="P24" s="53"/>
      <c r="Q24" s="79"/>
      <c r="R24" s="71" t="s">
        <v>46</v>
      </c>
      <c r="S24" s="134"/>
      <c r="T24" s="72"/>
      <c r="U24" s="36"/>
      <c r="V24" s="146"/>
      <c r="W24" s="147"/>
      <c r="X24" s="144"/>
      <c r="Y24" s="145"/>
      <c r="Z24" s="37"/>
      <c r="AA24" s="39"/>
      <c r="AB24" s="39"/>
      <c r="AC24" s="39"/>
      <c r="AD24" s="40"/>
      <c r="AE24" s="41"/>
      <c r="AF24" s="42"/>
      <c r="AG24" s="43"/>
    </row>
    <row r="25" spans="1:33" x14ac:dyDescent="0.3">
      <c r="A25" s="84"/>
      <c r="B25" s="85"/>
      <c r="C25" s="103">
        <v>2023</v>
      </c>
      <c r="D25" s="106"/>
      <c r="E25" s="107"/>
      <c r="F25" s="120"/>
      <c r="G25" s="165"/>
      <c r="H25" s="100"/>
      <c r="I25" s="100"/>
      <c r="J25" s="86"/>
      <c r="K25" s="158" t="str">
        <f t="shared" si="0"/>
        <v/>
      </c>
      <c r="L25" s="162" t="str">
        <f t="shared" si="1"/>
        <v/>
      </c>
      <c r="M25" s="27"/>
      <c r="N25" s="52" t="s">
        <v>46</v>
      </c>
      <c r="O25" s="127"/>
      <c r="P25" s="53"/>
      <c r="Q25" s="79"/>
      <c r="R25" s="71" t="s">
        <v>46</v>
      </c>
      <c r="S25" s="134"/>
      <c r="T25" s="72"/>
      <c r="U25" s="36"/>
      <c r="V25" s="146"/>
      <c r="W25" s="147"/>
      <c r="X25" s="144"/>
      <c r="Y25" s="145"/>
      <c r="Z25" s="37"/>
      <c r="AA25" s="39"/>
      <c r="AB25" s="39"/>
      <c r="AC25" s="39"/>
      <c r="AD25" s="40"/>
      <c r="AE25" s="41"/>
      <c r="AF25" s="42"/>
      <c r="AG25" s="43"/>
    </row>
    <row r="26" spans="1:33" ht="15" thickBot="1" x14ac:dyDescent="0.35">
      <c r="A26" s="87"/>
      <c r="B26" s="88"/>
      <c r="C26" s="105">
        <v>2024</v>
      </c>
      <c r="D26" s="108"/>
      <c r="E26" s="109"/>
      <c r="F26" s="121"/>
      <c r="G26" s="166"/>
      <c r="H26" s="101"/>
      <c r="I26" s="101"/>
      <c r="J26" s="89"/>
      <c r="K26" s="159" t="str">
        <f t="shared" si="0"/>
        <v/>
      </c>
      <c r="L26" s="163" t="str">
        <f t="shared" si="1"/>
        <v/>
      </c>
      <c r="M26" s="28"/>
      <c r="N26" s="54" t="s">
        <v>46</v>
      </c>
      <c r="O26" s="128"/>
      <c r="P26" s="55"/>
      <c r="Q26" s="80"/>
      <c r="R26" s="137" t="s">
        <v>46</v>
      </c>
      <c r="S26" s="138"/>
      <c r="T26" s="73"/>
      <c r="U26" s="44"/>
      <c r="V26" s="148"/>
      <c r="W26" s="149"/>
      <c r="X26" s="150"/>
      <c r="Y26" s="151"/>
      <c r="Z26" s="45"/>
      <c r="AA26" s="46"/>
      <c r="AB26" s="46"/>
      <c r="AC26" s="46"/>
      <c r="AD26" s="47"/>
      <c r="AE26" s="48"/>
      <c r="AF26" s="49"/>
      <c r="AG26" s="50"/>
    </row>
  </sheetData>
  <sheetProtection formatCells="0" insertColumns="0" insertRows="0" sort="0" autoFilter="0" pivotTables="0"/>
  <mergeCells count="11">
    <mergeCell ref="Z1:AE1"/>
    <mergeCell ref="AG1:AG2"/>
    <mergeCell ref="AF1:AF2"/>
    <mergeCell ref="H1:M1"/>
    <mergeCell ref="A1:A2"/>
    <mergeCell ref="B1:B2"/>
    <mergeCell ref="C1:C2"/>
    <mergeCell ref="N1:Q1"/>
    <mergeCell ref="V1:Y1"/>
    <mergeCell ref="D1:G1"/>
    <mergeCell ref="R1:U1"/>
  </mergeCells>
  <pageMargins left="0.7" right="0.7" top="0.75" bottom="0.75" header="0.3" footer="0.3"/>
  <pageSetup paperSize="0" orientation="portrait" horizontalDpi="0" verticalDpi="0" copies="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8" tint="0.39997558519241921"/>
  </sheetPr>
  <dimension ref="A1:AU27"/>
  <sheetViews>
    <sheetView zoomScaleNormal="100" workbookViewId="0">
      <pane xSplit="3" ySplit="2" topLeftCell="D3" activePane="bottomRight" state="frozen"/>
      <selection pane="topRight" activeCell="D1" sqref="D1"/>
      <selection pane="bottomLeft" activeCell="A3" sqref="A3"/>
      <selection pane="bottomRight" activeCell="E21" sqref="E21"/>
    </sheetView>
  </sheetViews>
  <sheetFormatPr defaultRowHeight="14.4" x14ac:dyDescent="0.3"/>
  <cols>
    <col min="1" max="1" width="10.33203125" customWidth="1"/>
    <col min="2" max="2" width="13.6640625" customWidth="1"/>
    <col min="3" max="3" width="9.109375" customWidth="1"/>
    <col min="4" max="4" width="6.44140625" bestFit="1" customWidth="1"/>
    <col min="5" max="5" width="9.33203125" customWidth="1"/>
    <col min="6" max="6" width="6.44140625" bestFit="1" customWidth="1"/>
    <col min="7" max="7" width="8.6640625" customWidth="1"/>
    <col min="8" max="8" width="7.44140625" bestFit="1" customWidth="1"/>
    <col min="9" max="9" width="6.44140625" bestFit="1" customWidth="1"/>
    <col min="10" max="10" width="3.5546875" bestFit="1" customWidth="1"/>
    <col min="11" max="11" width="9.88671875" bestFit="1" customWidth="1"/>
    <col min="12" max="12" width="8.33203125" bestFit="1" customWidth="1"/>
    <col min="13" max="19" width="4" bestFit="1" customWidth="1"/>
    <col min="20" max="20" width="8.6640625" bestFit="1" customWidth="1"/>
    <col min="21" max="21" width="9.33203125" customWidth="1"/>
    <col min="22" max="27" width="5.33203125" customWidth="1"/>
    <col min="28" max="28" width="4.6640625" bestFit="1" customWidth="1"/>
    <col min="29" max="30" width="9.6640625" customWidth="1"/>
    <col min="31" max="36" width="4.6640625" customWidth="1"/>
    <col min="37" max="37" width="3.5546875" bestFit="1" customWidth="1"/>
    <col min="38" max="38" width="5.33203125" bestFit="1" customWidth="1"/>
    <col min="39" max="39" width="8.33203125" bestFit="1" customWidth="1"/>
    <col min="40" max="41" width="9" bestFit="1" customWidth="1"/>
    <col min="42" max="43" width="8.44140625" bestFit="1" customWidth="1"/>
    <col min="44" max="44" width="9.33203125" bestFit="1" customWidth="1"/>
    <col min="46" max="46" width="13.5546875" customWidth="1"/>
    <col min="47" max="47" width="13" customWidth="1"/>
  </cols>
  <sheetData>
    <row r="1" spans="1:47" s="2" customFormat="1" ht="24" customHeight="1" x14ac:dyDescent="0.3">
      <c r="A1" s="1039" t="s">
        <v>15</v>
      </c>
      <c r="B1" s="991" t="s">
        <v>16</v>
      </c>
      <c r="C1" s="1037" t="s">
        <v>11</v>
      </c>
      <c r="D1" s="1041" t="s">
        <v>56</v>
      </c>
      <c r="E1" s="1014"/>
      <c r="F1" s="1014"/>
      <c r="G1" s="1015"/>
      <c r="H1" s="1015"/>
      <c r="I1" s="1015"/>
      <c r="J1" s="1015"/>
      <c r="K1" s="1015"/>
      <c r="L1" s="1016"/>
      <c r="M1" s="1021" t="s">
        <v>39</v>
      </c>
      <c r="N1" s="1022"/>
      <c r="O1" s="1022"/>
      <c r="P1" s="1022"/>
      <c r="Q1" s="1022"/>
      <c r="R1" s="1022"/>
      <c r="S1" s="1023"/>
      <c r="T1" s="1023"/>
      <c r="U1" s="1042"/>
      <c r="V1" s="1046" t="s">
        <v>67</v>
      </c>
      <c r="W1" s="1047"/>
      <c r="X1" s="1047"/>
      <c r="Y1" s="1047"/>
      <c r="Z1" s="1047"/>
      <c r="AA1" s="1047"/>
      <c r="AB1" s="1048"/>
      <c r="AC1" s="1048"/>
      <c r="AD1" s="1049"/>
      <c r="AE1" s="1043" t="s">
        <v>76</v>
      </c>
      <c r="AF1" s="1044"/>
      <c r="AG1" s="1044"/>
      <c r="AH1" s="1044"/>
      <c r="AI1" s="1044"/>
      <c r="AJ1" s="1044"/>
      <c r="AK1" s="1044"/>
      <c r="AL1" s="1044"/>
      <c r="AM1" s="1045"/>
      <c r="AN1" s="1036" t="s">
        <v>17</v>
      </c>
      <c r="AO1" s="985"/>
      <c r="AP1" s="985"/>
      <c r="AQ1" s="985"/>
      <c r="AR1" s="986"/>
      <c r="AS1" s="987"/>
      <c r="AT1" s="1011" t="s">
        <v>10</v>
      </c>
      <c r="AU1" s="1009" t="s">
        <v>9</v>
      </c>
    </row>
    <row r="2" spans="1:47" s="1" customFormat="1" ht="43.2" customHeight="1" thickBot="1" x14ac:dyDescent="0.4">
      <c r="A2" s="1040"/>
      <c r="B2" s="993"/>
      <c r="C2" s="1038"/>
      <c r="D2" s="93" t="s">
        <v>23</v>
      </c>
      <c r="E2" s="70" t="s">
        <v>24</v>
      </c>
      <c r="F2" s="70" t="s">
        <v>25</v>
      </c>
      <c r="G2" s="70" t="s">
        <v>26</v>
      </c>
      <c r="H2" s="70" t="s">
        <v>27</v>
      </c>
      <c r="I2" s="70" t="s">
        <v>28</v>
      </c>
      <c r="J2" s="205" t="s">
        <v>12</v>
      </c>
      <c r="K2" s="170" t="s">
        <v>3</v>
      </c>
      <c r="L2" s="4" t="s">
        <v>44</v>
      </c>
      <c r="M2" s="129" t="s">
        <v>61</v>
      </c>
      <c r="N2" s="174" t="s">
        <v>62</v>
      </c>
      <c r="O2" s="174" t="s">
        <v>63</v>
      </c>
      <c r="P2" s="174" t="s">
        <v>64</v>
      </c>
      <c r="Q2" s="174" t="s">
        <v>65</v>
      </c>
      <c r="R2" s="174" t="s">
        <v>66</v>
      </c>
      <c r="S2" s="204" t="s">
        <v>12</v>
      </c>
      <c r="T2" s="6" t="s">
        <v>13</v>
      </c>
      <c r="U2" s="75" t="s">
        <v>44</v>
      </c>
      <c r="V2" s="175" t="s">
        <v>23</v>
      </c>
      <c r="W2" s="176" t="s">
        <v>24</v>
      </c>
      <c r="X2" s="176" t="s">
        <v>25</v>
      </c>
      <c r="Y2" s="176" t="s">
        <v>26</v>
      </c>
      <c r="Z2" s="176" t="s">
        <v>27</v>
      </c>
      <c r="AA2" s="176" t="s">
        <v>28</v>
      </c>
      <c r="AB2" s="206" t="s">
        <v>12</v>
      </c>
      <c r="AC2" s="195" t="s">
        <v>13</v>
      </c>
      <c r="AD2" s="215" t="s">
        <v>44</v>
      </c>
      <c r="AE2" s="233" t="s">
        <v>77</v>
      </c>
      <c r="AF2" s="208" t="s">
        <v>78</v>
      </c>
      <c r="AG2" s="208" t="s">
        <v>79</v>
      </c>
      <c r="AH2" s="208" t="s">
        <v>80</v>
      </c>
      <c r="AI2" s="208" t="s">
        <v>81</v>
      </c>
      <c r="AJ2" s="208" t="s">
        <v>82</v>
      </c>
      <c r="AK2" s="207" t="s">
        <v>12</v>
      </c>
      <c r="AL2" s="208" t="s">
        <v>3</v>
      </c>
      <c r="AM2" s="209" t="s">
        <v>44</v>
      </c>
      <c r="AN2" s="76" t="s">
        <v>4</v>
      </c>
      <c r="AO2" s="7" t="s">
        <v>5</v>
      </c>
      <c r="AP2" s="7" t="s">
        <v>6</v>
      </c>
      <c r="AQ2" s="7" t="s">
        <v>7</v>
      </c>
      <c r="AR2" s="8" t="s">
        <v>8</v>
      </c>
      <c r="AS2" s="9" t="s">
        <v>44</v>
      </c>
      <c r="AT2" s="1012"/>
      <c r="AU2" s="1010"/>
    </row>
    <row r="3" spans="1:47" x14ac:dyDescent="0.3">
      <c r="A3" s="81" t="s">
        <v>41</v>
      </c>
      <c r="B3" s="82" t="s">
        <v>42</v>
      </c>
      <c r="C3" s="60">
        <v>2001</v>
      </c>
      <c r="D3" s="63">
        <v>3027</v>
      </c>
      <c r="E3" s="69">
        <v>178756</v>
      </c>
      <c r="F3" s="69"/>
      <c r="G3" s="69">
        <v>14253</v>
      </c>
      <c r="H3" s="69">
        <v>2722</v>
      </c>
      <c r="I3" s="69"/>
      <c r="J3" s="69"/>
      <c r="K3" s="171">
        <f>SUM(D3:J3)</f>
        <v>198758</v>
      </c>
      <c r="L3" s="26"/>
      <c r="M3" s="199">
        <v>380</v>
      </c>
      <c r="N3" s="199">
        <v>555</v>
      </c>
      <c r="O3" s="199">
        <v>398</v>
      </c>
      <c r="P3" s="199">
        <v>648</v>
      </c>
      <c r="Q3" s="199">
        <v>703</v>
      </c>
      <c r="R3" s="199">
        <v>718</v>
      </c>
      <c r="S3" s="177"/>
      <c r="T3" s="187">
        <f t="shared" ref="T3:T20" si="0">IF(ISNUMBER($K3),(IF(ISNUMBER(M3),M3*$D3)+IF(ISNUMBER(N3),N3*$E3)+IF(ISNUMBER(O3),O3*$F3)+IF(ISNUMBER(P3),P3*$G3)+IF(ISNUMBER(Q3),Q3*$H3)+IF(ISNUMBER(R3),R3*$I3)+IF(ISNUMBER(S3),S3*$J3))/$K3,"")</f>
        <v>561.03075096348323</v>
      </c>
      <c r="U3" s="74"/>
      <c r="V3" s="191">
        <v>1.9</v>
      </c>
      <c r="W3" s="184">
        <v>2.9</v>
      </c>
      <c r="X3" s="184">
        <v>1.4</v>
      </c>
      <c r="Y3" s="184">
        <v>3.6</v>
      </c>
      <c r="Z3" s="184">
        <v>3.7</v>
      </c>
      <c r="AA3" s="190">
        <v>3.9</v>
      </c>
      <c r="AB3" s="190"/>
      <c r="AC3" s="196">
        <f t="shared" ref="AC3:AC20" si="1">IF(ISNUMBER($K3),(IF(ISNUMBER(V3),V3*$D3)+IF(ISNUMBER(W3),W3*$E3)+IF(ISNUMBER(X3),X3*$F3)+IF(ISNUMBER(Y3),Y3*$G3)+IF(ISNUMBER(Z3),Z3*$H3)+IF(ISNUMBER(AA3),AA3*$I3)+IF(ISNUMBER(AB3),AB3*$J3))/$K3,"")</f>
        <v>2.9459236860906231</v>
      </c>
      <c r="AD3" s="216"/>
      <c r="AE3" s="210">
        <v>5</v>
      </c>
      <c r="AF3" s="231">
        <v>49</v>
      </c>
      <c r="AG3" s="231">
        <v>5</v>
      </c>
      <c r="AH3" s="231">
        <v>26</v>
      </c>
      <c r="AI3" s="231">
        <v>4</v>
      </c>
      <c r="AJ3" s="231">
        <v>0</v>
      </c>
      <c r="AK3" s="211"/>
      <c r="AL3" s="212">
        <f>IF(0&lt;SUM(AE3:AK3),SUM(AE3:AK3),"")</f>
        <v>89</v>
      </c>
      <c r="AM3" s="232"/>
      <c r="AN3" s="219">
        <v>37071</v>
      </c>
      <c r="AO3" s="19"/>
      <c r="AP3" s="20">
        <v>37085</v>
      </c>
      <c r="AQ3" s="19"/>
      <c r="AR3" s="20">
        <v>37109</v>
      </c>
      <c r="AS3" s="10"/>
      <c r="AT3" s="13"/>
      <c r="AU3" s="16"/>
    </row>
    <row r="4" spans="1:47" x14ac:dyDescent="0.3">
      <c r="A4" s="81" t="s">
        <v>41</v>
      </c>
      <c r="B4" s="82" t="s">
        <v>42</v>
      </c>
      <c r="C4" s="61">
        <v>2002</v>
      </c>
      <c r="D4" s="63">
        <v>1510</v>
      </c>
      <c r="E4" s="69">
        <v>177241</v>
      </c>
      <c r="F4" s="69"/>
      <c r="G4" s="69">
        <v>10824</v>
      </c>
      <c r="H4" s="69">
        <v>1836</v>
      </c>
      <c r="I4" s="69"/>
      <c r="J4" s="69"/>
      <c r="K4" s="171">
        <f t="shared" ref="K4:K20" si="2">SUM(D4:J4)</f>
        <v>191411</v>
      </c>
      <c r="L4" s="27"/>
      <c r="M4" s="199">
        <v>420</v>
      </c>
      <c r="N4" s="199">
        <v>690</v>
      </c>
      <c r="O4" s="199">
        <v>311</v>
      </c>
      <c r="P4" s="199">
        <v>665</v>
      </c>
      <c r="Q4" s="199">
        <v>622</v>
      </c>
      <c r="R4" s="199">
        <v>674</v>
      </c>
      <c r="S4" s="177"/>
      <c r="T4" s="187">
        <f t="shared" si="0"/>
        <v>685.80406559706603</v>
      </c>
      <c r="U4" s="79"/>
      <c r="V4" s="191">
        <v>1.8</v>
      </c>
      <c r="W4" s="184">
        <v>2.7</v>
      </c>
      <c r="X4" s="184">
        <v>1.3</v>
      </c>
      <c r="Y4" s="184">
        <v>2.2999999999999998</v>
      </c>
      <c r="Z4" s="184">
        <v>3.5</v>
      </c>
      <c r="AA4" s="189">
        <v>3.3</v>
      </c>
      <c r="AB4" s="189"/>
      <c r="AC4" s="197">
        <f t="shared" si="1"/>
        <v>2.6779542450538369</v>
      </c>
      <c r="AD4" s="217"/>
      <c r="AE4" s="224">
        <v>6</v>
      </c>
      <c r="AF4" s="222">
        <v>44</v>
      </c>
      <c r="AG4" s="222">
        <v>3</v>
      </c>
      <c r="AH4" s="222">
        <v>26</v>
      </c>
      <c r="AI4" s="222">
        <v>0</v>
      </c>
      <c r="AJ4" s="222">
        <v>3</v>
      </c>
      <c r="AK4" s="213"/>
      <c r="AL4" s="223">
        <f t="shared" ref="AL4:AL26" si="3">IF(0&lt;SUM(AE4:AK4),SUM(AE4:AK4),"")</f>
        <v>82</v>
      </c>
      <c r="AM4" s="225"/>
      <c r="AN4" s="219">
        <v>37445</v>
      </c>
      <c r="AO4" s="25"/>
      <c r="AP4" s="20">
        <v>37458</v>
      </c>
      <c r="AQ4" s="21"/>
      <c r="AR4" s="20">
        <v>37471</v>
      </c>
      <c r="AS4" s="11"/>
      <c r="AT4" s="14"/>
      <c r="AU4" s="17"/>
    </row>
    <row r="5" spans="1:47" x14ac:dyDescent="0.3">
      <c r="A5" s="81" t="s">
        <v>41</v>
      </c>
      <c r="B5" s="82" t="s">
        <v>42</v>
      </c>
      <c r="C5" s="61">
        <v>2003</v>
      </c>
      <c r="D5" s="63">
        <v>4526</v>
      </c>
      <c r="E5" s="69">
        <v>55257</v>
      </c>
      <c r="F5" s="69"/>
      <c r="G5" s="69">
        <v>7633</v>
      </c>
      <c r="H5" s="69">
        <v>469</v>
      </c>
      <c r="I5" s="69"/>
      <c r="J5" s="69"/>
      <c r="K5" s="171">
        <f t="shared" si="2"/>
        <v>67885</v>
      </c>
      <c r="L5" s="27"/>
      <c r="M5" s="199">
        <v>344</v>
      </c>
      <c r="N5" s="199">
        <v>658</v>
      </c>
      <c r="O5" s="199">
        <v>395</v>
      </c>
      <c r="P5" s="199">
        <v>728</v>
      </c>
      <c r="Q5" s="199">
        <v>651</v>
      </c>
      <c r="R5" s="199">
        <v>749</v>
      </c>
      <c r="S5" s="178"/>
      <c r="T5" s="187">
        <f t="shared" si="0"/>
        <v>644.88757457464828</v>
      </c>
      <c r="U5" s="79"/>
      <c r="V5" s="191">
        <v>1</v>
      </c>
      <c r="W5" s="184">
        <v>2.6</v>
      </c>
      <c r="X5" s="184">
        <v>2</v>
      </c>
      <c r="Y5" s="184">
        <v>2.8</v>
      </c>
      <c r="Z5" s="184">
        <v>2.7</v>
      </c>
      <c r="AA5" s="189">
        <v>4</v>
      </c>
      <c r="AB5" s="189"/>
      <c r="AC5" s="197">
        <f t="shared" si="1"/>
        <v>2.5165043824114308</v>
      </c>
      <c r="AD5" s="217"/>
      <c r="AE5" s="224">
        <v>15</v>
      </c>
      <c r="AF5" s="222">
        <v>42</v>
      </c>
      <c r="AG5" s="222">
        <v>1</v>
      </c>
      <c r="AH5" s="222">
        <v>22</v>
      </c>
      <c r="AI5" s="222">
        <v>9</v>
      </c>
      <c r="AJ5" s="222">
        <v>6</v>
      </c>
      <c r="AK5" s="213"/>
      <c r="AL5" s="223">
        <f t="shared" si="3"/>
        <v>95</v>
      </c>
      <c r="AM5" s="225"/>
      <c r="AN5" s="219">
        <v>37800</v>
      </c>
      <c r="AO5" s="21"/>
      <c r="AP5" s="20">
        <v>37814</v>
      </c>
      <c r="AQ5" s="21"/>
      <c r="AR5" s="20">
        <v>37823</v>
      </c>
      <c r="AS5" s="11"/>
      <c r="AT5" s="14"/>
      <c r="AU5" s="17"/>
    </row>
    <row r="6" spans="1:47" x14ac:dyDescent="0.3">
      <c r="A6" s="81" t="s">
        <v>41</v>
      </c>
      <c r="B6" s="82" t="s">
        <v>42</v>
      </c>
      <c r="C6" s="61">
        <v>2004</v>
      </c>
      <c r="D6" s="63">
        <v>373</v>
      </c>
      <c r="E6" s="69">
        <v>73590</v>
      </c>
      <c r="F6" s="69"/>
      <c r="G6" s="69">
        <v>6431</v>
      </c>
      <c r="H6" s="69">
        <v>1689</v>
      </c>
      <c r="I6" s="69"/>
      <c r="J6" s="69"/>
      <c r="K6" s="171">
        <f t="shared" si="2"/>
        <v>82083</v>
      </c>
      <c r="L6" s="27"/>
      <c r="M6" s="199">
        <v>445</v>
      </c>
      <c r="N6" s="199">
        <v>506</v>
      </c>
      <c r="O6" s="199">
        <v>433</v>
      </c>
      <c r="P6" s="199">
        <v>715</v>
      </c>
      <c r="Q6" s="199">
        <v>611</v>
      </c>
      <c r="R6" s="199">
        <v>640</v>
      </c>
      <c r="S6" s="180"/>
      <c r="T6" s="187">
        <f t="shared" si="0"/>
        <v>524.25799495632475</v>
      </c>
      <c r="U6" s="79"/>
      <c r="V6" s="191">
        <v>1.2</v>
      </c>
      <c r="W6" s="184">
        <v>3</v>
      </c>
      <c r="X6" s="184">
        <v>1.1000000000000001</v>
      </c>
      <c r="Y6" s="184">
        <v>3.1</v>
      </c>
      <c r="Z6" s="184">
        <v>3.9</v>
      </c>
      <c r="AA6" s="189">
        <v>3.4</v>
      </c>
      <c r="AB6" s="189"/>
      <c r="AC6" s="197">
        <f t="shared" si="1"/>
        <v>3.0181742870021808</v>
      </c>
      <c r="AD6" s="217"/>
      <c r="AE6" s="224">
        <v>7</v>
      </c>
      <c r="AF6" s="222">
        <v>50</v>
      </c>
      <c r="AG6" s="222">
        <v>1</v>
      </c>
      <c r="AH6" s="222">
        <v>21</v>
      </c>
      <c r="AI6" s="222">
        <v>5</v>
      </c>
      <c r="AJ6" s="222">
        <v>6</v>
      </c>
      <c r="AK6" s="213"/>
      <c r="AL6" s="223">
        <f t="shared" si="3"/>
        <v>90</v>
      </c>
      <c r="AM6" s="225"/>
      <c r="AN6" s="219">
        <v>38167</v>
      </c>
      <c r="AO6" s="21"/>
      <c r="AP6" s="20">
        <v>38181</v>
      </c>
      <c r="AQ6" s="21"/>
      <c r="AR6" s="20">
        <v>38198</v>
      </c>
      <c r="AS6" s="11"/>
      <c r="AT6" s="14"/>
      <c r="AU6" s="17"/>
    </row>
    <row r="7" spans="1:47" x14ac:dyDescent="0.3">
      <c r="A7" s="81" t="s">
        <v>41</v>
      </c>
      <c r="B7" s="82" t="s">
        <v>42</v>
      </c>
      <c r="C7" s="61">
        <v>2005</v>
      </c>
      <c r="D7" s="63">
        <v>1881</v>
      </c>
      <c r="E7" s="69">
        <v>161589</v>
      </c>
      <c r="F7" s="69"/>
      <c r="G7" s="69">
        <v>7807</v>
      </c>
      <c r="H7" s="69">
        <v>2376</v>
      </c>
      <c r="I7" s="69"/>
      <c r="J7" s="69"/>
      <c r="K7" s="171">
        <f t="shared" si="2"/>
        <v>173653</v>
      </c>
      <c r="L7" s="27"/>
      <c r="M7" s="199">
        <v>352</v>
      </c>
      <c r="N7" s="199">
        <v>608</v>
      </c>
      <c r="O7" s="199">
        <v>416</v>
      </c>
      <c r="P7" s="199">
        <v>615</v>
      </c>
      <c r="Q7" s="199">
        <v>729</v>
      </c>
      <c r="R7" s="199">
        <v>691</v>
      </c>
      <c r="S7" s="180"/>
      <c r="T7" s="187">
        <f t="shared" si="0"/>
        <v>607.19730151509043</v>
      </c>
      <c r="U7" s="79"/>
      <c r="V7" s="191">
        <v>1.4</v>
      </c>
      <c r="W7" s="184">
        <v>2.2999999999999998</v>
      </c>
      <c r="X7" s="184">
        <v>1.8</v>
      </c>
      <c r="Y7" s="184">
        <v>3</v>
      </c>
      <c r="Z7" s="184">
        <v>2.8</v>
      </c>
      <c r="AA7" s="189">
        <v>3.9</v>
      </c>
      <c r="AB7" s="189"/>
      <c r="AC7" s="197">
        <f t="shared" si="1"/>
        <v>2.3285627083897196</v>
      </c>
      <c r="AD7" s="217"/>
      <c r="AE7" s="224">
        <v>13</v>
      </c>
      <c r="AF7" s="222">
        <v>46</v>
      </c>
      <c r="AG7" s="222">
        <v>4</v>
      </c>
      <c r="AH7" s="222">
        <v>25</v>
      </c>
      <c r="AI7" s="222">
        <v>1</v>
      </c>
      <c r="AJ7" s="222">
        <v>3</v>
      </c>
      <c r="AK7" s="213"/>
      <c r="AL7" s="223">
        <f t="shared" si="3"/>
        <v>92</v>
      </c>
      <c r="AM7" s="225"/>
      <c r="AN7" s="219">
        <v>38542</v>
      </c>
      <c r="AO7" s="21"/>
      <c r="AP7" s="20">
        <v>38556</v>
      </c>
      <c r="AQ7" s="21"/>
      <c r="AR7" s="20">
        <v>38564</v>
      </c>
      <c r="AS7" s="11"/>
      <c r="AT7" s="14"/>
      <c r="AU7" s="17"/>
    </row>
    <row r="8" spans="1:47" x14ac:dyDescent="0.3">
      <c r="A8" s="81" t="s">
        <v>41</v>
      </c>
      <c r="B8" s="82" t="s">
        <v>42</v>
      </c>
      <c r="C8" s="61">
        <v>2006</v>
      </c>
      <c r="D8" s="63">
        <v>1322</v>
      </c>
      <c r="E8" s="69">
        <v>67311</v>
      </c>
      <c r="F8" s="69"/>
      <c r="G8" s="69">
        <v>12177</v>
      </c>
      <c r="H8" s="69">
        <v>3011</v>
      </c>
      <c r="I8" s="69"/>
      <c r="J8" s="69"/>
      <c r="K8" s="171">
        <f t="shared" si="2"/>
        <v>83821</v>
      </c>
      <c r="L8" s="27"/>
      <c r="M8" s="199">
        <v>494</v>
      </c>
      <c r="N8" s="199">
        <v>667</v>
      </c>
      <c r="O8" s="199">
        <v>353</v>
      </c>
      <c r="P8" s="199">
        <v>674</v>
      </c>
      <c r="Q8" s="199">
        <v>738</v>
      </c>
      <c r="R8" s="199">
        <v>641</v>
      </c>
      <c r="S8" s="180"/>
      <c r="T8" s="187">
        <f t="shared" si="0"/>
        <v>667.83885899714869</v>
      </c>
      <c r="U8" s="79"/>
      <c r="V8" s="191">
        <v>2</v>
      </c>
      <c r="W8" s="184">
        <v>2.6</v>
      </c>
      <c r="X8" s="184">
        <v>1.9</v>
      </c>
      <c r="Y8" s="184">
        <v>3.5</v>
      </c>
      <c r="Z8" s="184">
        <v>3.6</v>
      </c>
      <c r="AA8" s="189">
        <v>4.4000000000000004</v>
      </c>
      <c r="AB8" s="189"/>
      <c r="AC8" s="197">
        <f t="shared" si="1"/>
        <v>2.7572052349649852</v>
      </c>
      <c r="AD8" s="217"/>
      <c r="AE8" s="224">
        <v>8</v>
      </c>
      <c r="AF8" s="222">
        <v>44</v>
      </c>
      <c r="AG8" s="222">
        <v>4</v>
      </c>
      <c r="AH8" s="222">
        <v>27</v>
      </c>
      <c r="AI8" s="222">
        <v>6</v>
      </c>
      <c r="AJ8" s="222">
        <v>3</v>
      </c>
      <c r="AK8" s="213"/>
      <c r="AL8" s="223">
        <f t="shared" si="3"/>
        <v>92</v>
      </c>
      <c r="AM8" s="225"/>
      <c r="AN8" s="219">
        <v>38894</v>
      </c>
      <c r="AO8" s="21"/>
      <c r="AP8" s="20">
        <v>38904</v>
      </c>
      <c r="AQ8" s="21"/>
      <c r="AR8" s="20">
        <v>38927</v>
      </c>
      <c r="AS8" s="11"/>
      <c r="AT8" s="14"/>
      <c r="AU8" s="17"/>
    </row>
    <row r="9" spans="1:47" x14ac:dyDescent="0.3">
      <c r="A9" s="81" t="s">
        <v>41</v>
      </c>
      <c r="B9" s="82" t="s">
        <v>42</v>
      </c>
      <c r="C9" s="61">
        <v>2007</v>
      </c>
      <c r="D9" s="63">
        <v>1663</v>
      </c>
      <c r="E9" s="69">
        <v>51902</v>
      </c>
      <c r="F9" s="69"/>
      <c r="G9" s="69">
        <v>4067</v>
      </c>
      <c r="H9" s="69">
        <v>1233</v>
      </c>
      <c r="I9" s="69"/>
      <c r="J9" s="69"/>
      <c r="K9" s="171">
        <f t="shared" si="2"/>
        <v>58865</v>
      </c>
      <c r="L9" s="27"/>
      <c r="M9" s="199">
        <v>461</v>
      </c>
      <c r="N9" s="199">
        <v>664</v>
      </c>
      <c r="O9" s="199">
        <v>328</v>
      </c>
      <c r="P9" s="199">
        <v>649</v>
      </c>
      <c r="Q9" s="199">
        <v>727</v>
      </c>
      <c r="R9" s="199">
        <v>645</v>
      </c>
      <c r="S9" s="180">
        <v>650</v>
      </c>
      <c r="T9" s="187">
        <f t="shared" si="0"/>
        <v>658.54828845663803</v>
      </c>
      <c r="U9" s="79"/>
      <c r="V9" s="191">
        <v>1.1000000000000001</v>
      </c>
      <c r="W9" s="184">
        <v>2.6</v>
      </c>
      <c r="X9" s="184">
        <v>1.2</v>
      </c>
      <c r="Y9" s="184">
        <v>3.1</v>
      </c>
      <c r="Z9" s="184">
        <v>3.3</v>
      </c>
      <c r="AA9" s="189">
        <v>4.3</v>
      </c>
      <c r="AB9" s="189">
        <v>4.5</v>
      </c>
      <c r="AC9" s="197">
        <f t="shared" si="1"/>
        <v>2.6068308842266203</v>
      </c>
      <c r="AD9" s="217"/>
      <c r="AE9" s="224">
        <v>10</v>
      </c>
      <c r="AF9" s="222">
        <v>42</v>
      </c>
      <c r="AG9" s="222">
        <v>4</v>
      </c>
      <c r="AH9" s="222">
        <v>29</v>
      </c>
      <c r="AI9" s="222">
        <v>0</v>
      </c>
      <c r="AJ9" s="222">
        <v>1</v>
      </c>
      <c r="AK9" s="222">
        <v>1</v>
      </c>
      <c r="AL9" s="223">
        <f t="shared" si="3"/>
        <v>87</v>
      </c>
      <c r="AM9" s="226" t="s">
        <v>83</v>
      </c>
      <c r="AN9" s="219">
        <v>39259</v>
      </c>
      <c r="AO9" s="21"/>
      <c r="AP9" s="20">
        <v>39269</v>
      </c>
      <c r="AQ9" s="21"/>
      <c r="AR9" s="20">
        <v>39299</v>
      </c>
      <c r="AS9" s="11"/>
      <c r="AT9" s="14"/>
      <c r="AU9" s="17"/>
    </row>
    <row r="10" spans="1:47" x14ac:dyDescent="0.3">
      <c r="A10" s="81" t="s">
        <v>41</v>
      </c>
      <c r="B10" s="82" t="s">
        <v>42</v>
      </c>
      <c r="C10" s="61">
        <v>2008</v>
      </c>
      <c r="D10" s="63">
        <v>1457</v>
      </c>
      <c r="E10" s="69">
        <v>131100</v>
      </c>
      <c r="F10" s="69"/>
      <c r="G10" s="69">
        <v>12087</v>
      </c>
      <c r="H10" s="69">
        <v>2332</v>
      </c>
      <c r="I10" s="69"/>
      <c r="J10" s="69"/>
      <c r="K10" s="171">
        <f t="shared" si="2"/>
        <v>146976</v>
      </c>
      <c r="L10" s="27"/>
      <c r="M10" s="199">
        <v>412</v>
      </c>
      <c r="N10" s="199">
        <v>522</v>
      </c>
      <c r="O10" s="199">
        <v>335</v>
      </c>
      <c r="P10" s="199">
        <v>743</v>
      </c>
      <c r="Q10" s="199">
        <v>725</v>
      </c>
      <c r="R10" s="199">
        <v>660</v>
      </c>
      <c r="S10" s="180"/>
      <c r="T10" s="187">
        <f t="shared" si="0"/>
        <v>542.3050361963858</v>
      </c>
      <c r="U10" s="79"/>
      <c r="V10" s="191">
        <v>1.2</v>
      </c>
      <c r="W10" s="184">
        <v>2.1</v>
      </c>
      <c r="X10" s="184">
        <v>2</v>
      </c>
      <c r="Y10" s="184">
        <v>3.2</v>
      </c>
      <c r="Z10" s="184">
        <v>3.7</v>
      </c>
      <c r="AA10" s="189">
        <v>4.0999999999999996</v>
      </c>
      <c r="AB10" s="189"/>
      <c r="AC10" s="197">
        <f t="shared" si="1"/>
        <v>2.2069263008926634</v>
      </c>
      <c r="AD10" s="217"/>
      <c r="AE10" s="224">
        <v>14</v>
      </c>
      <c r="AF10" s="222">
        <v>45</v>
      </c>
      <c r="AG10" s="222">
        <v>2</v>
      </c>
      <c r="AH10" s="222">
        <v>23</v>
      </c>
      <c r="AI10" s="222">
        <v>8</v>
      </c>
      <c r="AJ10" s="222">
        <v>2</v>
      </c>
      <c r="AK10" s="213"/>
      <c r="AL10" s="223">
        <f t="shared" si="3"/>
        <v>94</v>
      </c>
      <c r="AM10" s="225"/>
      <c r="AN10" s="219">
        <v>39638</v>
      </c>
      <c r="AO10" s="21"/>
      <c r="AP10" s="20">
        <v>39653</v>
      </c>
      <c r="AQ10" s="21"/>
      <c r="AR10" s="20">
        <v>39675</v>
      </c>
      <c r="AS10" s="11"/>
      <c r="AT10" s="14"/>
      <c r="AU10" s="17"/>
    </row>
    <row r="11" spans="1:47" x14ac:dyDescent="0.3">
      <c r="A11" s="81" t="s">
        <v>41</v>
      </c>
      <c r="B11" s="82" t="s">
        <v>42</v>
      </c>
      <c r="C11" s="61">
        <v>2009</v>
      </c>
      <c r="D11" s="63">
        <v>398</v>
      </c>
      <c r="E11" s="69">
        <v>167609</v>
      </c>
      <c r="F11" s="69"/>
      <c r="G11" s="69">
        <v>871</v>
      </c>
      <c r="H11" s="69">
        <v>248</v>
      </c>
      <c r="I11" s="69"/>
      <c r="J11" s="69"/>
      <c r="K11" s="171">
        <f t="shared" si="2"/>
        <v>169126</v>
      </c>
      <c r="L11" s="27"/>
      <c r="M11" s="199">
        <v>475</v>
      </c>
      <c r="N11" s="199">
        <v>508</v>
      </c>
      <c r="O11" s="199">
        <v>304</v>
      </c>
      <c r="P11" s="199">
        <v>681</v>
      </c>
      <c r="Q11" s="199">
        <v>673</v>
      </c>
      <c r="R11" s="199">
        <v>685</v>
      </c>
      <c r="S11" s="180"/>
      <c r="T11" s="187">
        <f t="shared" si="0"/>
        <v>509.05524283670161</v>
      </c>
      <c r="U11" s="79"/>
      <c r="V11" s="191">
        <v>1.5</v>
      </c>
      <c r="W11" s="184">
        <v>2.2999999999999998</v>
      </c>
      <c r="X11" s="184">
        <v>1.1000000000000001</v>
      </c>
      <c r="Y11" s="184">
        <v>3</v>
      </c>
      <c r="Z11" s="184">
        <v>3.5</v>
      </c>
      <c r="AA11" s="189">
        <v>3.8</v>
      </c>
      <c r="AB11" s="189"/>
      <c r="AC11" s="197">
        <f t="shared" si="1"/>
        <v>2.3034820193228716</v>
      </c>
      <c r="AD11" s="217"/>
      <c r="AE11" s="224">
        <v>11</v>
      </c>
      <c r="AF11" s="222">
        <v>44</v>
      </c>
      <c r="AG11" s="222">
        <v>5</v>
      </c>
      <c r="AH11" s="222">
        <v>29</v>
      </c>
      <c r="AI11" s="222">
        <v>0</v>
      </c>
      <c r="AJ11" s="222">
        <v>4</v>
      </c>
      <c r="AK11" s="213"/>
      <c r="AL11" s="223">
        <f t="shared" si="3"/>
        <v>93</v>
      </c>
      <c r="AM11" s="225"/>
      <c r="AN11" s="219">
        <v>39992</v>
      </c>
      <c r="AO11" s="21"/>
      <c r="AP11" s="20">
        <v>40004</v>
      </c>
      <c r="AQ11" s="21"/>
      <c r="AR11" s="20">
        <v>40014</v>
      </c>
      <c r="AS11" s="11"/>
      <c r="AT11" s="14"/>
      <c r="AU11" s="17"/>
    </row>
    <row r="12" spans="1:47" x14ac:dyDescent="0.3">
      <c r="A12" s="81" t="s">
        <v>41</v>
      </c>
      <c r="B12" s="82" t="s">
        <v>42</v>
      </c>
      <c r="C12" s="61">
        <v>2010</v>
      </c>
      <c r="D12" s="63">
        <v>7729</v>
      </c>
      <c r="E12" s="69">
        <v>163745</v>
      </c>
      <c r="F12" s="69"/>
      <c r="G12" s="69">
        <v>11451</v>
      </c>
      <c r="H12" s="69">
        <v>3251</v>
      </c>
      <c r="I12" s="69"/>
      <c r="J12" s="69"/>
      <c r="K12" s="171">
        <f t="shared" si="2"/>
        <v>186176</v>
      </c>
      <c r="L12" s="27"/>
      <c r="M12" s="199">
        <v>379</v>
      </c>
      <c r="N12" s="199">
        <v>510</v>
      </c>
      <c r="O12" s="199">
        <v>393</v>
      </c>
      <c r="P12" s="199">
        <v>744</v>
      </c>
      <c r="Q12" s="199">
        <v>698</v>
      </c>
      <c r="R12" s="199">
        <v>677</v>
      </c>
      <c r="S12" s="180"/>
      <c r="T12" s="187">
        <f t="shared" si="0"/>
        <v>522.23693172052253</v>
      </c>
      <c r="U12" s="79"/>
      <c r="V12" s="191">
        <v>1.9</v>
      </c>
      <c r="W12" s="184">
        <v>2.4</v>
      </c>
      <c r="X12" s="184">
        <v>1.1000000000000001</v>
      </c>
      <c r="Y12" s="184">
        <v>2.8</v>
      </c>
      <c r="Z12" s="184">
        <v>2.7</v>
      </c>
      <c r="AA12" s="189">
        <v>3.7</v>
      </c>
      <c r="AB12" s="189"/>
      <c r="AC12" s="197">
        <f t="shared" si="1"/>
        <v>2.4090838776211756</v>
      </c>
      <c r="AD12" s="217"/>
      <c r="AE12" s="224">
        <v>12</v>
      </c>
      <c r="AF12" s="222">
        <v>44</v>
      </c>
      <c r="AG12" s="222">
        <v>3</v>
      </c>
      <c r="AH12" s="222">
        <v>26</v>
      </c>
      <c r="AI12" s="222">
        <v>4</v>
      </c>
      <c r="AJ12" s="222">
        <v>4</v>
      </c>
      <c r="AK12" s="213"/>
      <c r="AL12" s="223">
        <f t="shared" si="3"/>
        <v>93</v>
      </c>
      <c r="AM12" s="225"/>
      <c r="AN12" s="219">
        <v>40359</v>
      </c>
      <c r="AO12" s="21"/>
      <c r="AP12" s="20">
        <v>40369</v>
      </c>
      <c r="AQ12" s="21"/>
      <c r="AR12" s="20">
        <v>40398</v>
      </c>
      <c r="AS12" s="11"/>
      <c r="AT12" s="14"/>
      <c r="AU12" s="17"/>
    </row>
    <row r="13" spans="1:47" x14ac:dyDescent="0.3">
      <c r="A13" s="81" t="s">
        <v>41</v>
      </c>
      <c r="B13" s="82" t="s">
        <v>42</v>
      </c>
      <c r="C13" s="61">
        <v>2011</v>
      </c>
      <c r="D13" s="63">
        <v>4691</v>
      </c>
      <c r="E13" s="69">
        <v>87395</v>
      </c>
      <c r="F13" s="69"/>
      <c r="G13" s="69">
        <v>9538</v>
      </c>
      <c r="H13" s="69">
        <v>300</v>
      </c>
      <c r="I13" s="69"/>
      <c r="J13" s="69"/>
      <c r="K13" s="171">
        <f t="shared" si="2"/>
        <v>101924</v>
      </c>
      <c r="L13" s="27"/>
      <c r="M13" s="199">
        <v>393</v>
      </c>
      <c r="N13" s="199">
        <v>579</v>
      </c>
      <c r="O13" s="199">
        <v>442</v>
      </c>
      <c r="P13" s="199">
        <v>661</v>
      </c>
      <c r="Q13" s="199">
        <v>623</v>
      </c>
      <c r="R13" s="199">
        <v>724</v>
      </c>
      <c r="S13" s="180"/>
      <c r="T13" s="187">
        <f t="shared" si="0"/>
        <v>578.24247478513405</v>
      </c>
      <c r="U13" s="79"/>
      <c r="V13" s="191">
        <v>1.6</v>
      </c>
      <c r="W13" s="184">
        <v>2.8</v>
      </c>
      <c r="X13" s="184">
        <v>1.1000000000000001</v>
      </c>
      <c r="Y13" s="184">
        <v>3.1</v>
      </c>
      <c r="Z13" s="184">
        <v>2.5</v>
      </c>
      <c r="AA13" s="189">
        <v>3.6</v>
      </c>
      <c r="AB13" s="189"/>
      <c r="AC13" s="197">
        <f t="shared" si="1"/>
        <v>2.7719614614811032</v>
      </c>
      <c r="AD13" s="217"/>
      <c r="AE13" s="224">
        <v>5</v>
      </c>
      <c r="AF13" s="222">
        <v>46</v>
      </c>
      <c r="AG13" s="222">
        <v>1</v>
      </c>
      <c r="AH13" s="222">
        <v>23</v>
      </c>
      <c r="AI13" s="222">
        <v>9</v>
      </c>
      <c r="AJ13" s="222">
        <v>6</v>
      </c>
      <c r="AK13" s="213"/>
      <c r="AL13" s="223">
        <f t="shared" si="3"/>
        <v>90</v>
      </c>
      <c r="AM13" s="225"/>
      <c r="AN13" s="219">
        <v>40730</v>
      </c>
      <c r="AO13" s="21"/>
      <c r="AP13" s="20">
        <v>40743</v>
      </c>
      <c r="AQ13" s="21"/>
      <c r="AR13" s="20">
        <v>40760</v>
      </c>
      <c r="AS13" s="11"/>
      <c r="AT13" s="14"/>
      <c r="AU13" s="17"/>
    </row>
    <row r="14" spans="1:47" x14ac:dyDescent="0.3">
      <c r="A14" s="81" t="s">
        <v>41</v>
      </c>
      <c r="B14" s="82" t="s">
        <v>42</v>
      </c>
      <c r="C14" s="61">
        <v>2012</v>
      </c>
      <c r="D14" s="63">
        <v>630</v>
      </c>
      <c r="E14" s="69">
        <v>94561</v>
      </c>
      <c r="F14" s="69"/>
      <c r="G14" s="69">
        <v>827</v>
      </c>
      <c r="H14" s="69">
        <v>23</v>
      </c>
      <c r="I14" s="69"/>
      <c r="J14" s="69"/>
      <c r="K14" s="171">
        <f t="shared" si="2"/>
        <v>96041</v>
      </c>
      <c r="L14" s="27"/>
      <c r="M14" s="199">
        <v>481</v>
      </c>
      <c r="N14" s="199">
        <v>553</v>
      </c>
      <c r="O14" s="199">
        <v>376</v>
      </c>
      <c r="P14" s="199">
        <v>708</v>
      </c>
      <c r="Q14" s="199">
        <v>670</v>
      </c>
      <c r="R14" s="199">
        <v>646</v>
      </c>
      <c r="S14" s="180"/>
      <c r="T14" s="187">
        <f t="shared" si="0"/>
        <v>553.89041138680352</v>
      </c>
      <c r="U14" s="79"/>
      <c r="V14" s="191">
        <v>1.9</v>
      </c>
      <c r="W14" s="184">
        <v>2.1</v>
      </c>
      <c r="X14" s="184">
        <v>1.6</v>
      </c>
      <c r="Y14" s="184">
        <v>3.2</v>
      </c>
      <c r="Z14" s="184">
        <v>3.9</v>
      </c>
      <c r="AA14" s="189">
        <v>2.6</v>
      </c>
      <c r="AB14" s="189"/>
      <c r="AC14" s="197">
        <f t="shared" si="1"/>
        <v>2.1085911225414149</v>
      </c>
      <c r="AD14" s="217"/>
      <c r="AE14" s="224">
        <v>10</v>
      </c>
      <c r="AF14" s="222">
        <v>49</v>
      </c>
      <c r="AG14" s="222">
        <v>0</v>
      </c>
      <c r="AH14" s="222">
        <v>21</v>
      </c>
      <c r="AI14" s="222">
        <v>9</v>
      </c>
      <c r="AJ14" s="222">
        <v>1</v>
      </c>
      <c r="AK14" s="213"/>
      <c r="AL14" s="223">
        <f t="shared" si="3"/>
        <v>90</v>
      </c>
      <c r="AM14" s="225"/>
      <c r="AN14" s="219">
        <v>41088</v>
      </c>
      <c r="AO14" s="21"/>
      <c r="AP14" s="20">
        <v>41101</v>
      </c>
      <c r="AQ14" s="21"/>
      <c r="AR14" s="20">
        <v>41120</v>
      </c>
      <c r="AS14" s="11"/>
      <c r="AT14" s="14"/>
      <c r="AU14" s="17"/>
    </row>
    <row r="15" spans="1:47" x14ac:dyDescent="0.3">
      <c r="A15" s="81" t="s">
        <v>41</v>
      </c>
      <c r="B15" s="82" t="s">
        <v>42</v>
      </c>
      <c r="C15" s="61">
        <v>2013</v>
      </c>
      <c r="D15" s="63">
        <v>4729</v>
      </c>
      <c r="E15" s="69">
        <v>138395</v>
      </c>
      <c r="F15" s="69"/>
      <c r="G15" s="69">
        <v>15423</v>
      </c>
      <c r="H15" s="69">
        <v>495</v>
      </c>
      <c r="I15" s="69"/>
      <c r="J15" s="69"/>
      <c r="K15" s="171">
        <f t="shared" si="2"/>
        <v>159042</v>
      </c>
      <c r="L15" s="27"/>
      <c r="M15" s="199">
        <v>429</v>
      </c>
      <c r="N15" s="199">
        <v>576</v>
      </c>
      <c r="O15" s="199">
        <v>463</v>
      </c>
      <c r="P15" s="199">
        <v>739</v>
      </c>
      <c r="Q15" s="199">
        <v>646</v>
      </c>
      <c r="R15" s="199">
        <v>667</v>
      </c>
      <c r="S15" s="180"/>
      <c r="T15" s="187">
        <f t="shared" si="0"/>
        <v>587.65375183913682</v>
      </c>
      <c r="U15" s="79"/>
      <c r="V15" s="191">
        <v>1.1000000000000001</v>
      </c>
      <c r="W15" s="184">
        <v>2.5</v>
      </c>
      <c r="X15" s="184">
        <v>1.8</v>
      </c>
      <c r="Y15" s="184">
        <v>2.5</v>
      </c>
      <c r="Z15" s="184">
        <v>2.6</v>
      </c>
      <c r="AA15" s="189">
        <v>3.4</v>
      </c>
      <c r="AB15" s="189"/>
      <c r="AC15" s="197">
        <f t="shared" si="1"/>
        <v>2.4586832409049184</v>
      </c>
      <c r="AD15" s="217"/>
      <c r="AE15" s="224">
        <v>12</v>
      </c>
      <c r="AF15" s="222">
        <v>50</v>
      </c>
      <c r="AG15" s="222">
        <v>4</v>
      </c>
      <c r="AH15" s="222">
        <v>27</v>
      </c>
      <c r="AI15" s="222">
        <v>6</v>
      </c>
      <c r="AJ15" s="222">
        <v>5</v>
      </c>
      <c r="AK15" s="213"/>
      <c r="AL15" s="223">
        <f t="shared" si="3"/>
        <v>104</v>
      </c>
      <c r="AM15" s="225"/>
      <c r="AN15" s="219">
        <v>41454</v>
      </c>
      <c r="AO15" s="21"/>
      <c r="AP15" s="20">
        <v>41466</v>
      </c>
      <c r="AQ15" s="21"/>
      <c r="AR15" s="20">
        <v>41489</v>
      </c>
      <c r="AS15" s="11"/>
      <c r="AT15" s="14"/>
      <c r="AU15" s="17"/>
    </row>
    <row r="16" spans="1:47" x14ac:dyDescent="0.3">
      <c r="A16" s="81" t="s">
        <v>41</v>
      </c>
      <c r="B16" s="82" t="s">
        <v>42</v>
      </c>
      <c r="C16" s="61">
        <v>2014</v>
      </c>
      <c r="D16" s="63">
        <v>3231</v>
      </c>
      <c r="E16" s="69">
        <v>183342</v>
      </c>
      <c r="F16" s="69"/>
      <c r="G16" s="69">
        <v>9280</v>
      </c>
      <c r="H16" s="69">
        <v>284</v>
      </c>
      <c r="I16" s="69"/>
      <c r="J16" s="69"/>
      <c r="K16" s="171">
        <f t="shared" si="2"/>
        <v>196137</v>
      </c>
      <c r="L16" s="27"/>
      <c r="M16" s="200">
        <v>353</v>
      </c>
      <c r="N16" s="200">
        <v>611</v>
      </c>
      <c r="O16" s="200">
        <v>496</v>
      </c>
      <c r="P16" s="200">
        <v>667</v>
      </c>
      <c r="Q16" s="200">
        <v>634</v>
      </c>
      <c r="R16" s="200">
        <v>716</v>
      </c>
      <c r="S16" s="180"/>
      <c r="T16" s="187">
        <f t="shared" si="0"/>
        <v>609.43279952278249</v>
      </c>
      <c r="U16" s="203" t="s">
        <v>68</v>
      </c>
      <c r="V16" s="191">
        <v>1.5</v>
      </c>
      <c r="W16" s="184">
        <v>2.2000000000000002</v>
      </c>
      <c r="X16" s="184">
        <v>1.9</v>
      </c>
      <c r="Y16" s="184">
        <v>2.2000000000000002</v>
      </c>
      <c r="Z16" s="184">
        <v>3.1</v>
      </c>
      <c r="AA16" s="189">
        <v>3.8</v>
      </c>
      <c r="AB16" s="189"/>
      <c r="AC16" s="197">
        <f t="shared" si="1"/>
        <v>2.1897719451199928</v>
      </c>
      <c r="AD16" s="217"/>
      <c r="AE16" s="224">
        <v>6</v>
      </c>
      <c r="AF16" s="222">
        <v>46</v>
      </c>
      <c r="AG16" s="222">
        <v>0</v>
      </c>
      <c r="AH16" s="222">
        <v>20</v>
      </c>
      <c r="AI16" s="222">
        <v>8</v>
      </c>
      <c r="AJ16" s="222">
        <v>2</v>
      </c>
      <c r="AK16" s="213"/>
      <c r="AL16" s="223">
        <f t="shared" si="3"/>
        <v>82</v>
      </c>
      <c r="AM16" s="225"/>
      <c r="AN16" s="219">
        <v>41826</v>
      </c>
      <c r="AO16" s="21">
        <f>INT(AVERAGE(AN16,AP16))</f>
        <v>41833</v>
      </c>
      <c r="AP16" s="20">
        <v>41840</v>
      </c>
      <c r="AQ16" s="21">
        <f>INT(AVERAGE(AP16,AR16))</f>
        <v>41848</v>
      </c>
      <c r="AR16" s="20">
        <v>41857</v>
      </c>
      <c r="AS16" s="11"/>
      <c r="AT16" s="14"/>
      <c r="AU16" s="17"/>
    </row>
    <row r="17" spans="1:47" x14ac:dyDescent="0.3">
      <c r="A17" s="81" t="s">
        <v>41</v>
      </c>
      <c r="B17" s="82" t="s">
        <v>42</v>
      </c>
      <c r="C17" s="61">
        <v>2015</v>
      </c>
      <c r="D17" s="63">
        <v>1437</v>
      </c>
      <c r="E17" s="69">
        <v>111992</v>
      </c>
      <c r="F17" s="69"/>
      <c r="G17" s="69">
        <v>17412</v>
      </c>
      <c r="H17" s="69">
        <v>3133</v>
      </c>
      <c r="I17" s="69"/>
      <c r="J17" s="69"/>
      <c r="K17" s="171">
        <f t="shared" si="2"/>
        <v>133974</v>
      </c>
      <c r="L17" s="27"/>
      <c r="M17" s="199">
        <v>439</v>
      </c>
      <c r="N17" s="199">
        <v>567</v>
      </c>
      <c r="O17" s="199">
        <v>375</v>
      </c>
      <c r="P17" s="199">
        <v>638</v>
      </c>
      <c r="Q17" s="199">
        <v>672</v>
      </c>
      <c r="R17" s="199">
        <v>616</v>
      </c>
      <c r="S17" s="180"/>
      <c r="T17" s="187">
        <f t="shared" si="0"/>
        <v>577.31006762506161</v>
      </c>
      <c r="U17" s="79"/>
      <c r="V17" s="191">
        <v>1.3</v>
      </c>
      <c r="W17" s="184">
        <v>2.6</v>
      </c>
      <c r="X17" s="184">
        <v>1.5</v>
      </c>
      <c r="Y17" s="184">
        <v>3.5</v>
      </c>
      <c r="Z17" s="184">
        <v>2.6</v>
      </c>
      <c r="AA17" s="189">
        <v>3.9</v>
      </c>
      <c r="AB17" s="189"/>
      <c r="AC17" s="197">
        <f t="shared" si="1"/>
        <v>2.7030252138474626</v>
      </c>
      <c r="AD17" s="217"/>
      <c r="AE17" s="224">
        <v>9</v>
      </c>
      <c r="AF17" s="222">
        <v>48</v>
      </c>
      <c r="AG17" s="222">
        <v>2</v>
      </c>
      <c r="AH17" s="222">
        <v>20</v>
      </c>
      <c r="AI17" s="222">
        <v>6</v>
      </c>
      <c r="AJ17" s="222">
        <v>6</v>
      </c>
      <c r="AK17" s="213"/>
      <c r="AL17" s="223">
        <f t="shared" si="3"/>
        <v>91</v>
      </c>
      <c r="AM17" s="225"/>
      <c r="AN17" s="219">
        <v>42184</v>
      </c>
      <c r="AO17" s="21">
        <f t="shared" ref="AO17:AQ20" si="4">INT(AVERAGE(AN17,AP17))</f>
        <v>42189</v>
      </c>
      <c r="AP17" s="20">
        <v>42194</v>
      </c>
      <c r="AQ17" s="21">
        <f t="shared" si="4"/>
        <v>42208</v>
      </c>
      <c r="AR17" s="20">
        <v>42222</v>
      </c>
      <c r="AS17" s="11"/>
      <c r="AT17" s="14"/>
      <c r="AU17" s="17"/>
    </row>
    <row r="18" spans="1:47" x14ac:dyDescent="0.3">
      <c r="A18" s="81" t="s">
        <v>41</v>
      </c>
      <c r="B18" s="82" t="s">
        <v>42</v>
      </c>
      <c r="C18" s="61">
        <v>2016</v>
      </c>
      <c r="D18" s="63">
        <v>934</v>
      </c>
      <c r="E18" s="69">
        <v>107364</v>
      </c>
      <c r="F18" s="69"/>
      <c r="G18" s="69">
        <v>9136</v>
      </c>
      <c r="H18" s="69">
        <v>2178</v>
      </c>
      <c r="I18" s="69"/>
      <c r="J18" s="69"/>
      <c r="K18" s="171">
        <f t="shared" si="2"/>
        <v>119612</v>
      </c>
      <c r="L18" s="27"/>
      <c r="M18" s="199">
        <v>435</v>
      </c>
      <c r="N18" s="199">
        <v>664</v>
      </c>
      <c r="O18" s="199">
        <v>498</v>
      </c>
      <c r="P18" s="199">
        <v>643</v>
      </c>
      <c r="Q18" s="199">
        <v>678</v>
      </c>
      <c r="R18" s="199">
        <v>746</v>
      </c>
      <c r="S18" s="180"/>
      <c r="T18" s="187">
        <f t="shared" si="0"/>
        <v>660.86277296592311</v>
      </c>
      <c r="U18" s="79"/>
      <c r="V18" s="191">
        <v>1.2</v>
      </c>
      <c r="W18" s="184">
        <v>2.2999999999999998</v>
      </c>
      <c r="X18" s="184">
        <v>1.6</v>
      </c>
      <c r="Y18" s="184">
        <v>2.8</v>
      </c>
      <c r="Z18" s="184">
        <v>3.7</v>
      </c>
      <c r="AA18" s="189">
        <v>3.5</v>
      </c>
      <c r="AB18" s="189"/>
      <c r="AC18" s="197">
        <f t="shared" si="1"/>
        <v>2.3550931344681132</v>
      </c>
      <c r="AD18" s="217"/>
      <c r="AE18" s="224">
        <v>7</v>
      </c>
      <c r="AF18" s="222">
        <v>41</v>
      </c>
      <c r="AG18" s="222">
        <v>4</v>
      </c>
      <c r="AH18" s="222">
        <v>25</v>
      </c>
      <c r="AI18" s="222">
        <v>1</v>
      </c>
      <c r="AJ18" s="222">
        <v>6</v>
      </c>
      <c r="AK18" s="213"/>
      <c r="AL18" s="223">
        <f t="shared" si="3"/>
        <v>84</v>
      </c>
      <c r="AM18" s="225"/>
      <c r="AN18" s="219">
        <v>42543</v>
      </c>
      <c r="AO18" s="21">
        <f t="shared" si="4"/>
        <v>42548</v>
      </c>
      <c r="AP18" s="20">
        <v>42554</v>
      </c>
      <c r="AQ18" s="21">
        <f t="shared" si="4"/>
        <v>42564</v>
      </c>
      <c r="AR18" s="20">
        <v>42575</v>
      </c>
      <c r="AS18" s="11"/>
      <c r="AT18" s="14"/>
      <c r="AU18" s="17"/>
    </row>
    <row r="19" spans="1:47" x14ac:dyDescent="0.3">
      <c r="A19" s="81" t="s">
        <v>41</v>
      </c>
      <c r="B19" s="82" t="s">
        <v>42</v>
      </c>
      <c r="C19" s="61">
        <v>2017</v>
      </c>
      <c r="D19" s="63">
        <v>2886</v>
      </c>
      <c r="E19" s="69">
        <v>81601</v>
      </c>
      <c r="F19" s="69"/>
      <c r="G19" s="69">
        <v>6360</v>
      </c>
      <c r="H19" s="69">
        <v>1720</v>
      </c>
      <c r="I19" s="69"/>
      <c r="J19" s="69"/>
      <c r="K19" s="171">
        <f t="shared" si="2"/>
        <v>92567</v>
      </c>
      <c r="L19" s="27"/>
      <c r="M19" s="199">
        <v>398</v>
      </c>
      <c r="N19" s="199">
        <v>626</v>
      </c>
      <c r="O19" s="199">
        <v>411</v>
      </c>
      <c r="P19" s="199">
        <v>628</v>
      </c>
      <c r="Q19" s="199">
        <v>653</v>
      </c>
      <c r="R19" s="199">
        <v>689</v>
      </c>
      <c r="S19" s="180"/>
      <c r="T19" s="187">
        <f t="shared" si="0"/>
        <v>619.53065347261986</v>
      </c>
      <c r="U19" s="79"/>
      <c r="V19" s="191">
        <v>1.3</v>
      </c>
      <c r="W19" s="184">
        <v>2.4</v>
      </c>
      <c r="X19" s="184">
        <v>1.9</v>
      </c>
      <c r="Y19" s="184">
        <v>2.9</v>
      </c>
      <c r="Z19" s="184">
        <v>3.9</v>
      </c>
      <c r="AA19" s="189">
        <v>4.3</v>
      </c>
      <c r="AB19" s="189"/>
      <c r="AC19" s="197">
        <f t="shared" si="1"/>
        <v>2.4279300398630181</v>
      </c>
      <c r="AD19" s="217"/>
      <c r="AE19" s="224">
        <v>9</v>
      </c>
      <c r="AF19" s="222">
        <v>43</v>
      </c>
      <c r="AG19" s="222">
        <v>4</v>
      </c>
      <c r="AH19" s="222">
        <v>22</v>
      </c>
      <c r="AI19" s="222">
        <v>1</v>
      </c>
      <c r="AJ19" s="222">
        <v>1</v>
      </c>
      <c r="AK19" s="213"/>
      <c r="AL19" s="223">
        <f t="shared" si="3"/>
        <v>80</v>
      </c>
      <c r="AM19" s="225"/>
      <c r="AN19" s="219">
        <v>42922</v>
      </c>
      <c r="AO19" s="21">
        <f t="shared" si="4"/>
        <v>42928</v>
      </c>
      <c r="AP19" s="20">
        <v>42935</v>
      </c>
      <c r="AQ19" s="21">
        <f t="shared" si="4"/>
        <v>42942</v>
      </c>
      <c r="AR19" s="20">
        <v>42949</v>
      </c>
      <c r="AS19" s="11"/>
      <c r="AT19" s="14"/>
      <c r="AU19" s="17"/>
    </row>
    <row r="20" spans="1:47" x14ac:dyDescent="0.3">
      <c r="A20" s="81" t="s">
        <v>41</v>
      </c>
      <c r="B20" s="82" t="s">
        <v>42</v>
      </c>
      <c r="C20" s="61">
        <v>2018</v>
      </c>
      <c r="D20" s="63">
        <v>7640</v>
      </c>
      <c r="E20" s="69">
        <v>105745</v>
      </c>
      <c r="F20" s="69"/>
      <c r="G20" s="69">
        <v>11806</v>
      </c>
      <c r="H20" s="69">
        <v>3858</v>
      </c>
      <c r="I20" s="69"/>
      <c r="J20" s="69"/>
      <c r="K20" s="171">
        <f t="shared" si="2"/>
        <v>129049</v>
      </c>
      <c r="L20" s="27"/>
      <c r="M20" s="199">
        <v>327</v>
      </c>
      <c r="N20" s="199">
        <v>574</v>
      </c>
      <c r="O20" s="199">
        <v>386</v>
      </c>
      <c r="P20" s="199">
        <v>621</v>
      </c>
      <c r="Q20" s="199">
        <v>619</v>
      </c>
      <c r="R20" s="199">
        <v>685</v>
      </c>
      <c r="S20" s="180"/>
      <c r="T20" s="187">
        <f t="shared" si="0"/>
        <v>565.02210788150239</v>
      </c>
      <c r="U20" s="79"/>
      <c r="V20" s="191">
        <v>1.3</v>
      </c>
      <c r="W20" s="184">
        <v>2.7</v>
      </c>
      <c r="X20" s="184">
        <v>2</v>
      </c>
      <c r="Y20" s="184">
        <v>2.9</v>
      </c>
      <c r="Z20" s="184">
        <v>2.9</v>
      </c>
      <c r="AA20" s="189">
        <v>2.9</v>
      </c>
      <c r="AB20" s="189"/>
      <c r="AC20" s="197">
        <f t="shared" si="1"/>
        <v>2.6413928042836443</v>
      </c>
      <c r="AD20" s="217"/>
      <c r="AE20" s="224">
        <v>13</v>
      </c>
      <c r="AF20" s="222">
        <v>42</v>
      </c>
      <c r="AG20" s="222">
        <v>3</v>
      </c>
      <c r="AH20" s="222">
        <v>29</v>
      </c>
      <c r="AI20" s="222">
        <v>0</v>
      </c>
      <c r="AJ20" s="222">
        <v>5</v>
      </c>
      <c r="AK20" s="213"/>
      <c r="AL20" s="223">
        <f t="shared" si="3"/>
        <v>92</v>
      </c>
      <c r="AM20" s="225"/>
      <c r="AN20" s="219">
        <v>43276</v>
      </c>
      <c r="AO20" s="21">
        <f t="shared" si="4"/>
        <v>43283</v>
      </c>
      <c r="AP20" s="20">
        <v>43291</v>
      </c>
      <c r="AQ20" s="21">
        <f t="shared" si="4"/>
        <v>43296</v>
      </c>
      <c r="AR20" s="20">
        <v>43302</v>
      </c>
      <c r="AS20" s="11"/>
      <c r="AT20" s="14"/>
      <c r="AU20" s="17"/>
    </row>
    <row r="21" spans="1:47" x14ac:dyDescent="0.3">
      <c r="A21" s="81" t="s">
        <v>41</v>
      </c>
      <c r="B21" s="82" t="s">
        <v>42</v>
      </c>
      <c r="C21" s="61">
        <v>2019</v>
      </c>
      <c r="D21" s="64"/>
      <c r="E21" s="65">
        <v>200000</v>
      </c>
      <c r="F21" s="201" t="s">
        <v>46</v>
      </c>
      <c r="G21" s="65">
        <v>200000</v>
      </c>
      <c r="H21" s="65"/>
      <c r="I21" s="65"/>
      <c r="J21" s="65"/>
      <c r="K21" s="172">
        <f t="shared" ref="K21:K27" si="5">IF(OR(ISNUMBER(D21),ISNUMBER(E21),ISNUMBER(F21),ISNUMBER(G21),ISNUMBER(H21),ISNUMBER(I21),ISNUMBER(J21)),SUM(D21:J21),"")</f>
        <v>400000</v>
      </c>
      <c r="L21" s="27"/>
      <c r="M21" s="199"/>
      <c r="N21" s="199">
        <v>500</v>
      </c>
      <c r="O21" s="199"/>
      <c r="P21" s="199">
        <v>600</v>
      </c>
      <c r="Q21" s="199"/>
      <c r="R21" s="199"/>
      <c r="S21" s="180"/>
      <c r="T21" s="187">
        <f>IF(ISNUMBER($K21),(IF(ISNUMBER(M21),M21*$D21)+IF(ISNUMBER(N21),N21*$E21)+IF(ISNUMBER(O21),O21*$F21)+IF(ISNUMBER(P21),P21*$G21)+IF(ISNUMBER(Q21),Q21*$H21)+IF(ISNUMBER(R21),R21*$I21)+IF(ISNUMBER(S21),S21*$J21))/$K21,"")</f>
        <v>550</v>
      </c>
      <c r="U21" s="79"/>
      <c r="V21" s="191"/>
      <c r="W21" s="184">
        <v>2</v>
      </c>
      <c r="X21" s="184"/>
      <c r="Y21" s="184">
        <v>3</v>
      </c>
      <c r="Z21" s="184"/>
      <c r="AA21" s="189"/>
      <c r="AB21" s="189"/>
      <c r="AC21" s="197">
        <f>IF(ISNUMBER($K21),(IF(ISNUMBER(V21),V21*$D21)+IF(ISNUMBER(W21),W21*$E21)+IF(ISNUMBER(X21),X21*$F21)+IF(ISNUMBER(Y21),Y21*$G21)+IF(ISNUMBER(Z21),Z21*$H21)+IF(ISNUMBER(AA21),AA21*$I21)+IF(ISNUMBER(AB21),AB21*$J21))/$K21,"")</f>
        <v>2.5</v>
      </c>
      <c r="AD21" s="217"/>
      <c r="AE21" s="224">
        <v>0</v>
      </c>
      <c r="AF21" s="222">
        <v>40</v>
      </c>
      <c r="AG21" s="222">
        <v>0</v>
      </c>
      <c r="AH21" s="222">
        <v>40</v>
      </c>
      <c r="AI21" s="222"/>
      <c r="AJ21" s="222"/>
      <c r="AK21" s="213"/>
      <c r="AL21" s="223">
        <f t="shared" si="3"/>
        <v>80</v>
      </c>
      <c r="AM21" s="225"/>
      <c r="AN21" s="219">
        <v>39638</v>
      </c>
      <c r="AO21" s="21">
        <f t="shared" ref="AO21" si="6">INT(AVERAGE(AN21,AP21))</f>
        <v>39645</v>
      </c>
      <c r="AP21" s="20">
        <v>39653</v>
      </c>
      <c r="AQ21" s="21">
        <f t="shared" ref="AQ21" si="7">INT(AVERAGE(AP21,AR21))</f>
        <v>39664</v>
      </c>
      <c r="AR21" s="20">
        <v>39675</v>
      </c>
      <c r="AS21" s="11"/>
      <c r="AT21" s="14"/>
      <c r="AU21" s="17"/>
    </row>
    <row r="22" spans="1:47" x14ac:dyDescent="0.3">
      <c r="A22" s="81" t="s">
        <v>41</v>
      </c>
      <c r="B22" s="82" t="s">
        <v>42</v>
      </c>
      <c r="C22" s="61">
        <v>2020</v>
      </c>
      <c r="D22" s="64">
        <v>5000</v>
      </c>
      <c r="E22" s="65">
        <v>100000</v>
      </c>
      <c r="F22" s="65">
        <v>20000</v>
      </c>
      <c r="G22" s="65">
        <v>10000</v>
      </c>
      <c r="H22" s="65">
        <v>10000</v>
      </c>
      <c r="I22" s="65">
        <v>5000</v>
      </c>
      <c r="J22" s="65"/>
      <c r="K22" s="172">
        <f t="shared" si="5"/>
        <v>150000</v>
      </c>
      <c r="L22" s="27"/>
      <c r="M22" s="199">
        <v>494</v>
      </c>
      <c r="N22" s="199">
        <v>667</v>
      </c>
      <c r="O22" s="199">
        <v>353</v>
      </c>
      <c r="P22" s="199">
        <v>674</v>
      </c>
      <c r="Q22" s="199">
        <v>738</v>
      </c>
      <c r="R22" s="199">
        <v>641</v>
      </c>
      <c r="S22" s="180"/>
      <c r="T22" s="187">
        <f t="shared" ref="T22:T26" si="8">IF(ISNUMBER($K22),(IF(ISNUMBER(M22),M22*$D22)+IF(ISNUMBER(N22),N22*$E22)+IF(ISNUMBER(O22),O22*$F22)+IF(ISNUMBER(P22),P22*$G22)+IF(ISNUMBER(Q22),Q22*$H22)+IF(ISNUMBER(R22),R22*$I22)+IF(ISNUMBER(S22),S22*$J22))/$K22,"")</f>
        <v>623.70000000000005</v>
      </c>
      <c r="U22" s="79"/>
      <c r="V22" s="191">
        <v>2</v>
      </c>
      <c r="W22" s="184">
        <v>2.6</v>
      </c>
      <c r="X22" s="184">
        <v>1.9</v>
      </c>
      <c r="Y22" s="184">
        <v>3.5</v>
      </c>
      <c r="Z22" s="184">
        <v>3.6</v>
      </c>
      <c r="AA22" s="189">
        <v>4.4000000000000004</v>
      </c>
      <c r="AB22" s="189"/>
      <c r="AC22" s="197">
        <f t="shared" ref="AC22:AC25" si="9">IF(ISNUMBER($K22),(IF(ISNUMBER(V22),V22*$D22)+IF(ISNUMBER(W22),W22*$E22)+IF(ISNUMBER(X22),X22*$F22)+IF(ISNUMBER(Y22),Y22*$G22)+IF(ISNUMBER(Z22),Z22*$H22)+IF(ISNUMBER(AA22),AA22*$I22)+IF(ISNUMBER(AB22),AB22*$J22))/$K22,"")</f>
        <v>2.6733333333333333</v>
      </c>
      <c r="AD22" s="217"/>
      <c r="AE22" s="224">
        <v>5</v>
      </c>
      <c r="AF22" s="222">
        <v>47</v>
      </c>
      <c r="AG22" s="222">
        <v>0</v>
      </c>
      <c r="AH22" s="222">
        <v>21</v>
      </c>
      <c r="AI22" s="222">
        <v>4</v>
      </c>
      <c r="AJ22" s="222">
        <v>2</v>
      </c>
      <c r="AK22" s="213"/>
      <c r="AL22" s="223">
        <f t="shared" si="3"/>
        <v>79</v>
      </c>
      <c r="AM22" s="225"/>
      <c r="AN22" s="219">
        <v>39992</v>
      </c>
      <c r="AO22" s="21">
        <f t="shared" ref="AO22" si="10">INT(AVERAGE(AN22,AP22))</f>
        <v>39998</v>
      </c>
      <c r="AP22" s="20">
        <v>40004</v>
      </c>
      <c r="AQ22" s="21">
        <f t="shared" ref="AQ22" si="11">INT(AVERAGE(AP22,AR22))</f>
        <v>40009</v>
      </c>
      <c r="AR22" s="20">
        <v>40014</v>
      </c>
      <c r="AS22" s="11"/>
      <c r="AT22" s="14"/>
      <c r="AU22" s="17"/>
    </row>
    <row r="23" spans="1:47" x14ac:dyDescent="0.3">
      <c r="A23" s="56"/>
      <c r="B23" s="57"/>
      <c r="C23" s="61">
        <v>2021</v>
      </c>
      <c r="D23" s="64"/>
      <c r="E23" s="65"/>
      <c r="F23" s="65"/>
      <c r="G23" s="65"/>
      <c r="H23" s="65"/>
      <c r="I23" s="65"/>
      <c r="J23" s="65"/>
      <c r="K23" s="172" t="str">
        <f t="shared" si="5"/>
        <v/>
      </c>
      <c r="L23" s="27"/>
      <c r="M23" s="179"/>
      <c r="N23" s="178"/>
      <c r="O23" s="178"/>
      <c r="P23" s="178"/>
      <c r="Q23" s="178"/>
      <c r="R23" s="178"/>
      <c r="S23" s="180"/>
      <c r="T23" s="187" t="str">
        <f t="shared" si="8"/>
        <v/>
      </c>
      <c r="U23" s="79"/>
      <c r="V23" s="192"/>
      <c r="W23" s="185"/>
      <c r="X23" s="185"/>
      <c r="Y23" s="185"/>
      <c r="Z23" s="185"/>
      <c r="AA23" s="189"/>
      <c r="AB23" s="189"/>
      <c r="AC23" s="197" t="str">
        <f t="shared" si="9"/>
        <v/>
      </c>
      <c r="AD23" s="217"/>
      <c r="AE23" s="227"/>
      <c r="AF23" s="213"/>
      <c r="AG23" s="213"/>
      <c r="AH23" s="213"/>
      <c r="AI23" s="213"/>
      <c r="AJ23" s="213"/>
      <c r="AK23" s="213"/>
      <c r="AL23" s="223" t="str">
        <f t="shared" si="3"/>
        <v/>
      </c>
      <c r="AM23" s="225"/>
      <c r="AN23" s="220"/>
      <c r="AO23" s="21"/>
      <c r="AP23" s="21"/>
      <c r="AQ23" s="21"/>
      <c r="AR23" s="22"/>
      <c r="AS23" s="11"/>
      <c r="AT23" s="14"/>
      <c r="AU23" s="17"/>
    </row>
    <row r="24" spans="1:47" x14ac:dyDescent="0.3">
      <c r="A24" s="56"/>
      <c r="B24" s="57"/>
      <c r="C24" s="61">
        <v>2022</v>
      </c>
      <c r="D24" s="64"/>
      <c r="E24" s="65"/>
      <c r="F24" s="65"/>
      <c r="G24" s="65"/>
      <c r="H24" s="65"/>
      <c r="I24" s="65"/>
      <c r="J24" s="65"/>
      <c r="K24" s="172" t="str">
        <f t="shared" si="5"/>
        <v/>
      </c>
      <c r="L24" s="27"/>
      <c r="M24" s="179"/>
      <c r="N24" s="178"/>
      <c r="O24" s="178"/>
      <c r="P24" s="178"/>
      <c r="Q24" s="178"/>
      <c r="R24" s="178"/>
      <c r="S24" s="180"/>
      <c r="T24" s="187" t="str">
        <f t="shared" si="8"/>
        <v/>
      </c>
      <c r="U24" s="79"/>
      <c r="V24" s="192"/>
      <c r="W24" s="185"/>
      <c r="X24" s="185"/>
      <c r="Y24" s="185"/>
      <c r="Z24" s="185"/>
      <c r="AA24" s="189"/>
      <c r="AB24" s="189"/>
      <c r="AC24" s="197" t="str">
        <f t="shared" si="9"/>
        <v/>
      </c>
      <c r="AD24" s="217"/>
      <c r="AE24" s="227"/>
      <c r="AF24" s="213"/>
      <c r="AG24" s="213"/>
      <c r="AH24" s="213"/>
      <c r="AI24" s="213"/>
      <c r="AJ24" s="213"/>
      <c r="AK24" s="213"/>
      <c r="AL24" s="223" t="str">
        <f t="shared" si="3"/>
        <v/>
      </c>
      <c r="AM24" s="225"/>
      <c r="AN24" s="220"/>
      <c r="AO24" s="21"/>
      <c r="AP24" s="21"/>
      <c r="AQ24" s="21"/>
      <c r="AR24" s="22"/>
      <c r="AS24" s="11"/>
      <c r="AT24" s="14"/>
      <c r="AU24" s="17"/>
    </row>
    <row r="25" spans="1:47" x14ac:dyDescent="0.3">
      <c r="A25" s="56"/>
      <c r="B25" s="57"/>
      <c r="C25" s="61">
        <v>2023</v>
      </c>
      <c r="D25" s="64"/>
      <c r="E25" s="65"/>
      <c r="F25" s="65"/>
      <c r="G25" s="65"/>
      <c r="H25" s="65"/>
      <c r="I25" s="65"/>
      <c r="J25" s="65"/>
      <c r="K25" s="172" t="str">
        <f t="shared" si="5"/>
        <v/>
      </c>
      <c r="L25" s="27"/>
      <c r="M25" s="179"/>
      <c r="N25" s="178"/>
      <c r="O25" s="178"/>
      <c r="P25" s="178"/>
      <c r="Q25" s="178"/>
      <c r="R25" s="178"/>
      <c r="S25" s="180"/>
      <c r="T25" s="187" t="str">
        <f t="shared" si="8"/>
        <v/>
      </c>
      <c r="U25" s="79"/>
      <c r="V25" s="192"/>
      <c r="W25" s="185"/>
      <c r="X25" s="185"/>
      <c r="Y25" s="185"/>
      <c r="Z25" s="185"/>
      <c r="AA25" s="189"/>
      <c r="AB25" s="189"/>
      <c r="AC25" s="197" t="str">
        <f t="shared" si="9"/>
        <v/>
      </c>
      <c r="AD25" s="217"/>
      <c r="AE25" s="227"/>
      <c r="AF25" s="213"/>
      <c r="AG25" s="213"/>
      <c r="AH25" s="213"/>
      <c r="AI25" s="213"/>
      <c r="AJ25" s="213"/>
      <c r="AK25" s="213"/>
      <c r="AL25" s="223" t="str">
        <f t="shared" si="3"/>
        <v/>
      </c>
      <c r="AM25" s="225"/>
      <c r="AN25" s="220"/>
      <c r="AO25" s="21"/>
      <c r="AP25" s="21"/>
      <c r="AQ25" s="21"/>
      <c r="AR25" s="22"/>
      <c r="AS25" s="11"/>
      <c r="AT25" s="14"/>
      <c r="AU25" s="17"/>
    </row>
    <row r="26" spans="1:47" ht="15" thickBot="1" x14ac:dyDescent="0.35">
      <c r="A26" s="58"/>
      <c r="B26" s="59"/>
      <c r="C26" s="62">
        <v>2024</v>
      </c>
      <c r="D26" s="66"/>
      <c r="E26" s="67"/>
      <c r="F26" s="67"/>
      <c r="G26" s="68"/>
      <c r="H26" s="68"/>
      <c r="I26" s="68"/>
      <c r="J26" s="68"/>
      <c r="K26" s="173" t="str">
        <f t="shared" si="5"/>
        <v/>
      </c>
      <c r="L26" s="28"/>
      <c r="M26" s="181"/>
      <c r="N26" s="182"/>
      <c r="O26" s="182"/>
      <c r="P26" s="182"/>
      <c r="Q26" s="182"/>
      <c r="R26" s="182"/>
      <c r="S26" s="183"/>
      <c r="T26" s="188" t="str">
        <f t="shared" si="8"/>
        <v/>
      </c>
      <c r="U26" s="80"/>
      <c r="V26" s="193"/>
      <c r="W26" s="186"/>
      <c r="X26" s="186"/>
      <c r="Y26" s="186"/>
      <c r="Z26" s="186"/>
      <c r="AA26" s="194"/>
      <c r="AB26" s="194"/>
      <c r="AC26" s="198" t="str">
        <f t="shared" ref="AC26" si="12">IF(AND(ISNUMBER(B26),OR(ISNUMBER(V26),ISNUMBER(W26),ISNUMBER(X26),ISNUMBER(Y26),ISNUMBER(Z26),ISNUMBER(AA26),ISNUMBER(AB26))),SUM(#REF!*V26,#REF!*W26,#REF!*X26,#REF!*Y26,#REF!*Z26,#REF!*AA26,A26*AB26)/B26,"")</f>
        <v/>
      </c>
      <c r="AD26" s="218"/>
      <c r="AE26" s="228"/>
      <c r="AF26" s="214"/>
      <c r="AG26" s="214"/>
      <c r="AH26" s="214"/>
      <c r="AI26" s="214"/>
      <c r="AJ26" s="214"/>
      <c r="AK26" s="214"/>
      <c r="AL26" s="229" t="str">
        <f t="shared" si="3"/>
        <v/>
      </c>
      <c r="AM26" s="230"/>
      <c r="AN26" s="221"/>
      <c r="AO26" s="23"/>
      <c r="AP26" s="23"/>
      <c r="AQ26" s="23"/>
      <c r="AR26" s="24"/>
      <c r="AS26" s="12"/>
      <c r="AT26" s="15"/>
      <c r="AU26" s="18"/>
    </row>
    <row r="27" spans="1:47" x14ac:dyDescent="0.3">
      <c r="K27" t="str">
        <f t="shared" si="5"/>
        <v/>
      </c>
    </row>
  </sheetData>
  <sheetProtection sort="0" autoFilter="0" pivotTables="0"/>
  <mergeCells count="10">
    <mergeCell ref="AN1:AS1"/>
    <mergeCell ref="AT1:AT2"/>
    <mergeCell ref="AU1:AU2"/>
    <mergeCell ref="C1:C2"/>
    <mergeCell ref="A1:A2"/>
    <mergeCell ref="B1:B2"/>
    <mergeCell ref="D1:L1"/>
    <mergeCell ref="M1:U1"/>
    <mergeCell ref="AE1:AM1"/>
    <mergeCell ref="V1:AD1"/>
  </mergeCells>
  <pageMargins left="0.7" right="0.7" top="0.75" bottom="0.75" header="0.3" footer="0.3"/>
  <pageSetup paperSize="0" orientation="portrait" horizontalDpi="0" verticalDpi="0" copies="0" r:id="rId1"/>
  <ignoredErrors>
    <ignoredError sqref="K21:K26" formulaRange="1"/>
  </ignoredError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9999"/>
  </sheetPr>
  <dimension ref="A1:BF52"/>
  <sheetViews>
    <sheetView zoomScaleNormal="100" workbookViewId="0">
      <pane xSplit="2" ySplit="3" topLeftCell="C12" activePane="bottomRight" state="frozen"/>
      <selection activeCell="G42" sqref="G42"/>
      <selection pane="topRight" activeCell="G42" sqref="G42"/>
      <selection pane="bottomLeft" activeCell="G42" sqref="G42"/>
      <selection pane="bottomRight" activeCell="K42" sqref="K42"/>
    </sheetView>
  </sheetViews>
  <sheetFormatPr defaultRowHeight="14.4" x14ac:dyDescent="0.3"/>
  <cols>
    <col min="1" max="1" width="19.21875" customWidth="1"/>
    <col min="2" max="2" width="8.44140625" customWidth="1"/>
    <col min="3" max="3" width="7.88671875" style="319" bestFit="1" customWidth="1"/>
    <col min="4" max="4" width="9.109375" style="319" bestFit="1" customWidth="1"/>
    <col min="5" max="5" width="7.77734375" style="319" customWidth="1"/>
    <col min="6" max="6" width="8.44140625" style="319" bestFit="1" customWidth="1"/>
    <col min="7" max="7" width="7.5546875" style="319" bestFit="1" customWidth="1"/>
    <col min="8" max="8" width="6.6640625" style="319" customWidth="1"/>
    <col min="9" max="9" width="6.5546875" style="319" bestFit="1" customWidth="1"/>
    <col min="10" max="10" width="6.21875" style="319" bestFit="1" customWidth="1"/>
    <col min="11" max="11" width="9.88671875" style="319" bestFit="1" customWidth="1"/>
    <col min="12" max="12" width="17.109375" style="319" customWidth="1"/>
    <col min="13" max="13" width="4" bestFit="1" customWidth="1"/>
    <col min="14" max="14" width="5.5546875" bestFit="1" customWidth="1"/>
    <col min="15" max="15" width="4.6640625" customWidth="1"/>
    <col min="16" max="16" width="5" bestFit="1" customWidth="1"/>
    <col min="17" max="17" width="5.5546875" bestFit="1" customWidth="1"/>
    <col min="18" max="18" width="4.6640625" bestFit="1" customWidth="1"/>
    <col min="19" max="19" width="4" bestFit="1" customWidth="1"/>
    <col min="20" max="20" width="5.5546875" bestFit="1" customWidth="1"/>
    <col min="21" max="21" width="4.6640625" bestFit="1" customWidth="1"/>
    <col min="22" max="22" width="4" bestFit="1" customWidth="1"/>
    <col min="23" max="23" width="5.5546875" bestFit="1" customWidth="1"/>
    <col min="24" max="24" width="4.6640625" bestFit="1" customWidth="1"/>
    <col min="25" max="25" width="4" bestFit="1" customWidth="1"/>
    <col min="26" max="26" width="5.5546875" bestFit="1" customWidth="1"/>
    <col min="27" max="27" width="4.6640625" bestFit="1" customWidth="1"/>
    <col min="28" max="28" width="2.33203125" bestFit="1" customWidth="1"/>
    <col min="29" max="29" width="5.5546875" bestFit="1" customWidth="1"/>
    <col min="30" max="30" width="4.6640625" bestFit="1" customWidth="1"/>
    <col min="31" max="31" width="3" bestFit="1" customWidth="1"/>
    <col min="32" max="32" width="5.5546875" bestFit="1" customWidth="1"/>
    <col min="33" max="33" width="4.6640625" bestFit="1" customWidth="1"/>
    <col min="34" max="34" width="2.33203125" bestFit="1" customWidth="1"/>
    <col min="35" max="35" width="5.5546875" bestFit="1" customWidth="1"/>
    <col min="36" max="36" width="4.6640625" bestFit="1" customWidth="1"/>
    <col min="37" max="37" width="5.6640625" customWidth="1"/>
    <col min="38" max="38" width="9" customWidth="1"/>
    <col min="39" max="39" width="9.33203125" customWidth="1"/>
    <col min="40" max="40" width="7.6640625" customWidth="1"/>
    <col min="41" max="41" width="8.5546875" customWidth="1"/>
    <col min="42" max="42" width="9.33203125" bestFit="1" customWidth="1"/>
    <col min="43" max="43" width="11" hidden="1" customWidth="1"/>
    <col min="44" max="44" width="14.33203125" bestFit="1" customWidth="1"/>
    <col min="45" max="45" width="11.33203125" hidden="1" customWidth="1"/>
    <col min="46" max="46" width="9.5546875" bestFit="1" customWidth="1"/>
    <col min="48" max="48" width="28.77734375" customWidth="1"/>
    <col min="49" max="49" width="13" customWidth="1"/>
  </cols>
  <sheetData>
    <row r="1" spans="1:58" s="2" customFormat="1" ht="24" customHeight="1" x14ac:dyDescent="0.3">
      <c r="A1" s="1039" t="s">
        <v>187</v>
      </c>
      <c r="B1" s="1037" t="s">
        <v>11</v>
      </c>
      <c r="C1" s="1051" t="s">
        <v>192</v>
      </c>
      <c r="D1" s="1052"/>
      <c r="E1" s="1052"/>
      <c r="F1" s="1053"/>
      <c r="G1" s="1053"/>
      <c r="H1" s="1053"/>
      <c r="I1" s="1053"/>
      <c r="J1" s="1053"/>
      <c r="K1" s="1053"/>
      <c r="L1" s="1054"/>
      <c r="M1" s="1032" t="s">
        <v>193</v>
      </c>
      <c r="N1" s="1033"/>
      <c r="O1" s="1033"/>
      <c r="P1" s="1033"/>
      <c r="Q1" s="1033"/>
      <c r="R1" s="1033"/>
      <c r="S1" s="1033"/>
      <c r="T1" s="1033"/>
      <c r="U1" s="1033"/>
      <c r="V1" s="1033"/>
      <c r="W1" s="1033"/>
      <c r="X1" s="1033"/>
      <c r="Y1" s="1033"/>
      <c r="Z1" s="1033"/>
      <c r="AA1" s="1033"/>
      <c r="AB1" s="1033"/>
      <c r="AC1" s="1033"/>
      <c r="AD1" s="1033"/>
      <c r="AE1" s="1033"/>
      <c r="AF1" s="1033"/>
      <c r="AG1" s="1033"/>
      <c r="AH1" s="1033"/>
      <c r="AI1" s="1033"/>
      <c r="AJ1" s="1034"/>
      <c r="AK1" s="1034"/>
      <c r="AL1" s="1034"/>
      <c r="AM1" s="1055"/>
      <c r="AN1" s="1055"/>
      <c r="AO1" s="1055"/>
      <c r="AP1" s="984" t="s">
        <v>194</v>
      </c>
      <c r="AQ1" s="985"/>
      <c r="AR1" s="985"/>
      <c r="AS1" s="985"/>
      <c r="AT1" s="985"/>
      <c r="AU1" s="987"/>
      <c r="AV1" s="1011" t="s">
        <v>118</v>
      </c>
      <c r="AW1" s="1009" t="s">
        <v>9</v>
      </c>
      <c r="AX1" s="981" t="s">
        <v>19</v>
      </c>
    </row>
    <row r="2" spans="1:58" s="2" customFormat="1" ht="40.950000000000003" customHeight="1" x14ac:dyDescent="0.35">
      <c r="A2" s="951"/>
      <c r="B2" s="1050"/>
      <c r="C2" s="1062" t="s">
        <v>211</v>
      </c>
      <c r="D2" s="1063"/>
      <c r="E2" s="1063"/>
      <c r="F2" s="1063"/>
      <c r="G2" s="1063"/>
      <c r="H2" s="1063"/>
      <c r="I2" s="1063"/>
      <c r="J2" s="1064"/>
      <c r="K2" s="1065" t="s">
        <v>3</v>
      </c>
      <c r="L2" s="1067" t="s">
        <v>89</v>
      </c>
      <c r="M2" s="1071" t="s">
        <v>199</v>
      </c>
      <c r="N2" s="1059"/>
      <c r="O2" s="1059"/>
      <c r="P2" s="1059" t="s">
        <v>206</v>
      </c>
      <c r="Q2" s="1059"/>
      <c r="R2" s="1059"/>
      <c r="S2" s="1059" t="s">
        <v>207</v>
      </c>
      <c r="T2" s="1059"/>
      <c r="U2" s="1059"/>
      <c r="V2" s="1059" t="s">
        <v>202</v>
      </c>
      <c r="W2" s="1059"/>
      <c r="X2" s="1059"/>
      <c r="Y2" s="1059" t="s">
        <v>203</v>
      </c>
      <c r="Z2" s="1059"/>
      <c r="AA2" s="1059"/>
      <c r="AB2" s="1059" t="s">
        <v>208</v>
      </c>
      <c r="AC2" s="1059"/>
      <c r="AD2" s="1059"/>
      <c r="AE2" s="1059" t="s">
        <v>209</v>
      </c>
      <c r="AF2" s="1059"/>
      <c r="AG2" s="1059"/>
      <c r="AH2" s="1056">
        <f>OtherAge</f>
        <v>3.1</v>
      </c>
      <c r="AI2" s="1056"/>
      <c r="AJ2" s="1056"/>
      <c r="AK2" s="1057" t="s">
        <v>90</v>
      </c>
      <c r="AL2" s="1058"/>
      <c r="AM2" s="1058"/>
      <c r="AN2" s="1007" t="s">
        <v>179</v>
      </c>
      <c r="AO2" s="1060" t="s">
        <v>89</v>
      </c>
      <c r="AP2" s="1072" t="s">
        <v>4</v>
      </c>
      <c r="AQ2" s="1073" t="s">
        <v>216</v>
      </c>
      <c r="AR2" s="1073" t="s">
        <v>217</v>
      </c>
      <c r="AS2" s="1073" t="s">
        <v>215</v>
      </c>
      <c r="AT2" s="1073" t="s">
        <v>8</v>
      </c>
      <c r="AU2" s="1074" t="s">
        <v>89</v>
      </c>
      <c r="AV2" s="1069"/>
      <c r="AW2" s="1070"/>
      <c r="AX2" s="982"/>
    </row>
    <row r="3" spans="1:58" s="1" customFormat="1" ht="44.4" thickBot="1" x14ac:dyDescent="0.4">
      <c r="A3" s="1040"/>
      <c r="B3" s="1038"/>
      <c r="C3" s="389" t="s">
        <v>199</v>
      </c>
      <c r="D3" s="390" t="s">
        <v>200</v>
      </c>
      <c r="E3" s="390" t="s">
        <v>201</v>
      </c>
      <c r="F3" s="390" t="s">
        <v>202</v>
      </c>
      <c r="G3" s="390" t="s">
        <v>203</v>
      </c>
      <c r="H3" s="390" t="s">
        <v>204</v>
      </c>
      <c r="I3" s="390" t="s">
        <v>205</v>
      </c>
      <c r="J3" s="494">
        <v>3.1</v>
      </c>
      <c r="K3" s="1066"/>
      <c r="L3" s="1068"/>
      <c r="M3" s="331" t="s">
        <v>72</v>
      </c>
      <c r="N3" s="332" t="s">
        <v>142</v>
      </c>
      <c r="O3" s="332" t="s">
        <v>71</v>
      </c>
      <c r="P3" s="332" t="s">
        <v>72</v>
      </c>
      <c r="Q3" s="332" t="s">
        <v>142</v>
      </c>
      <c r="R3" s="332" t="s">
        <v>71</v>
      </c>
      <c r="S3" s="332" t="s">
        <v>72</v>
      </c>
      <c r="T3" s="332" t="s">
        <v>142</v>
      </c>
      <c r="U3" s="332" t="s">
        <v>71</v>
      </c>
      <c r="V3" s="332" t="s">
        <v>72</v>
      </c>
      <c r="W3" s="332" t="s">
        <v>142</v>
      </c>
      <c r="X3" s="332" t="s">
        <v>71</v>
      </c>
      <c r="Y3" s="332" t="s">
        <v>72</v>
      </c>
      <c r="Z3" s="332" t="s">
        <v>142</v>
      </c>
      <c r="AA3" s="332" t="s">
        <v>71</v>
      </c>
      <c r="AB3" s="332" t="s">
        <v>72</v>
      </c>
      <c r="AC3" s="332" t="s">
        <v>142</v>
      </c>
      <c r="AD3" s="332" t="s">
        <v>71</v>
      </c>
      <c r="AE3" s="332" t="s">
        <v>72</v>
      </c>
      <c r="AF3" s="332" t="s">
        <v>142</v>
      </c>
      <c r="AG3" s="332" t="s">
        <v>71</v>
      </c>
      <c r="AH3" s="332" t="s">
        <v>72</v>
      </c>
      <c r="AI3" s="332" t="s">
        <v>142</v>
      </c>
      <c r="AJ3" s="332" t="s">
        <v>71</v>
      </c>
      <c r="AK3" s="333" t="s">
        <v>74</v>
      </c>
      <c r="AL3" s="334" t="s">
        <v>73</v>
      </c>
      <c r="AM3" s="335" t="s">
        <v>75</v>
      </c>
      <c r="AN3" s="1008"/>
      <c r="AO3" s="1061"/>
      <c r="AP3" s="1006"/>
      <c r="AQ3" s="1002"/>
      <c r="AR3" s="1002"/>
      <c r="AS3" s="1002"/>
      <c r="AT3" s="1002"/>
      <c r="AU3" s="1004"/>
      <c r="AV3" s="1012"/>
      <c r="AW3" s="1010"/>
      <c r="AX3" s="983" t="s">
        <v>19</v>
      </c>
    </row>
    <row r="4" spans="1:58" x14ac:dyDescent="0.3">
      <c r="A4" s="467" t="s">
        <v>232</v>
      </c>
      <c r="B4" s="468">
        <v>1980</v>
      </c>
      <c r="C4" s="501">
        <v>1898.5552663938881</v>
      </c>
      <c r="D4" s="502">
        <v>30121.309514903034</v>
      </c>
      <c r="E4" s="502">
        <v>839.74559859729675</v>
      </c>
      <c r="F4" s="502">
        <v>3030.3862905902447</v>
      </c>
      <c r="G4" s="502">
        <v>584.17085119811952</v>
      </c>
      <c r="H4" s="502"/>
      <c r="I4" s="502"/>
      <c r="J4" s="503"/>
      <c r="K4" s="499">
        <f>SUM(C4:J4)</f>
        <v>36474.167521682582</v>
      </c>
      <c r="L4" s="527" t="s">
        <v>297</v>
      </c>
      <c r="M4" s="278"/>
      <c r="N4" s="543"/>
      <c r="O4" s="238"/>
      <c r="P4" s="237"/>
      <c r="Q4" s="543"/>
      <c r="R4" s="238"/>
      <c r="S4" s="237"/>
      <c r="T4" s="543"/>
      <c r="U4" s="238"/>
      <c r="V4" s="237"/>
      <c r="W4" s="543"/>
      <c r="X4" s="238"/>
      <c r="Y4" s="237"/>
      <c r="Z4" s="543"/>
      <c r="AA4" s="238"/>
      <c r="AB4" s="237"/>
      <c r="AC4" s="543"/>
      <c r="AD4" s="238"/>
      <c r="AE4" s="237"/>
      <c r="AF4" s="543"/>
      <c r="AG4" s="238"/>
      <c r="AH4" s="237"/>
      <c r="AI4" s="543"/>
      <c r="AJ4" s="238"/>
      <c r="AK4" s="240" t="str">
        <f t="shared" ref="AK4:AK46" si="0">IF(0&lt;(SUM(M4,P4,S4,V4,Y4,AB4,AE4,AH4)),SUM(M4,P4,S4,V4,Y4,AB4,AE4,AH4),"")</f>
        <v/>
      </c>
      <c r="AL4" s="547" t="str">
        <f t="shared" ref="AL4:AL46" si="1">IF(ISNUMBER($AK4),(IF(ISNUMBER($M4),$M4*N4)+IF(ISNUMBER($P4),$P4*Q4)+IF(ISNUMBER($S4),$S4*T4)+IF(ISNUMBER($V4),$V4*W4)+IF(ISNUMBER($Y4),$Y4*Z4)+IF(ISNUMBER($AE4),$AE4*AF4)+IF(ISNUMBER($AB4),$AB4*AC4)+IF(ISNUMBER($AH4),$AH4*AI4))/$AK4,"")</f>
        <v/>
      </c>
      <c r="AM4" s="279" t="str">
        <f t="shared" ref="AM4:AM46" si="2">IF(ISNUMBER($AK4),(IF(ISNUMBER($M4),$M4*O4)+IF(ISNUMBER($P4),$P4*R4)+IF(ISNUMBER($S4),$S4*U4)+IF(ISNUMBER($V4),$V4*X4)+IF(ISNUMBER($Y4),$Y4*AA4)+IF(ISNUMBER($AE4),$AE4*AG4)+IF(ISNUMBER($AB4),$AB4*AD4)+IF(ISNUMBER($AH4),$AH4*AJ4))/$AK4,"")</f>
        <v/>
      </c>
      <c r="AN4" s="304"/>
      <c r="AO4" s="290"/>
      <c r="AP4" s="479"/>
      <c r="AQ4" s="329"/>
      <c r="AR4" s="326"/>
      <c r="AS4" s="329"/>
      <c r="AT4" s="326"/>
      <c r="AU4" s="407"/>
      <c r="AV4" s="406"/>
      <c r="AW4" s="330" t="s">
        <v>262</v>
      </c>
      <c r="AX4" s="328"/>
      <c r="BA4" s="488"/>
      <c r="BD4" s="490"/>
      <c r="BE4" s="490"/>
      <c r="BF4" s="490"/>
    </row>
    <row r="5" spans="1:58" x14ac:dyDescent="0.3">
      <c r="A5" s="467" t="s">
        <v>232</v>
      </c>
      <c r="B5" s="471">
        <v>1981</v>
      </c>
      <c r="C5" s="469">
        <v>2109.5480606045776</v>
      </c>
      <c r="D5" s="470">
        <v>33468.791346130318</v>
      </c>
      <c r="E5" s="470">
        <v>933.06933449817848</v>
      </c>
      <c r="F5" s="470">
        <v>3367.1632505803836</v>
      </c>
      <c r="G5" s="470">
        <v>649.0917109552546</v>
      </c>
      <c r="H5" s="470"/>
      <c r="I5" s="470"/>
      <c r="J5" s="504"/>
      <c r="K5" s="499">
        <f t="shared" ref="K5:K45" si="3">SUM(C5:J5)</f>
        <v>40527.66370276871</v>
      </c>
      <c r="L5" s="527" t="s">
        <v>297</v>
      </c>
      <c r="M5" s="239" t="s">
        <v>46</v>
      </c>
      <c r="N5" s="544"/>
      <c r="O5" s="235"/>
      <c r="P5" s="234"/>
      <c r="Q5" s="544"/>
      <c r="R5" s="235"/>
      <c r="S5" s="234"/>
      <c r="T5" s="544"/>
      <c r="U5" s="235"/>
      <c r="V5" s="234"/>
      <c r="W5" s="544"/>
      <c r="X5" s="235"/>
      <c r="Y5" s="234"/>
      <c r="Z5" s="544"/>
      <c r="AA5" s="235"/>
      <c r="AB5" s="234"/>
      <c r="AC5" s="544"/>
      <c r="AD5" s="235"/>
      <c r="AE5" s="234"/>
      <c r="AF5" s="544"/>
      <c r="AG5" s="235"/>
      <c r="AH5" s="234"/>
      <c r="AI5" s="477"/>
      <c r="AJ5" s="235"/>
      <c r="AK5" s="241" t="str">
        <f t="shared" si="0"/>
        <v/>
      </c>
      <c r="AL5" s="548" t="str">
        <f t="shared" si="1"/>
        <v/>
      </c>
      <c r="AM5" s="280" t="str">
        <f t="shared" si="2"/>
        <v/>
      </c>
      <c r="AN5" s="305"/>
      <c r="AO5" s="281"/>
      <c r="AP5" s="479"/>
      <c r="AQ5" s="325"/>
      <c r="AR5" s="326"/>
      <c r="AS5" s="325"/>
      <c r="AT5" s="326"/>
      <c r="AU5" s="407"/>
      <c r="AV5" s="406"/>
      <c r="AW5" s="330" t="s">
        <v>262</v>
      </c>
      <c r="AX5" s="507" t="s">
        <v>249</v>
      </c>
      <c r="BA5" s="488"/>
      <c r="BD5" s="490"/>
      <c r="BE5" s="490"/>
      <c r="BF5" s="490"/>
    </row>
    <row r="6" spans="1:58" x14ac:dyDescent="0.3">
      <c r="A6" s="467" t="s">
        <v>232</v>
      </c>
      <c r="B6" s="471">
        <v>1982</v>
      </c>
      <c r="C6" s="469">
        <v>1440.5734515557187</v>
      </c>
      <c r="D6" s="470">
        <v>22855.251875643615</v>
      </c>
      <c r="E6" s="470">
        <v>637.17671895733713</v>
      </c>
      <c r="F6" s="470">
        <v>2299.3768553677819</v>
      </c>
      <c r="G6" s="470">
        <v>443.25336970945193</v>
      </c>
      <c r="H6" s="470"/>
      <c r="I6" s="470"/>
      <c r="J6" s="504"/>
      <c r="K6" s="499">
        <f t="shared" si="3"/>
        <v>27675.632271233906</v>
      </c>
      <c r="L6" s="527" t="s">
        <v>297</v>
      </c>
      <c r="M6" s="239" t="s">
        <v>46</v>
      </c>
      <c r="N6" s="544"/>
      <c r="O6" s="235"/>
      <c r="P6" s="234"/>
      <c r="Q6" s="544"/>
      <c r="R6" s="235"/>
      <c r="S6" s="234"/>
      <c r="T6" s="544"/>
      <c r="U6" s="235"/>
      <c r="V6" s="234"/>
      <c r="W6" s="544"/>
      <c r="X6" s="235"/>
      <c r="Y6" s="234"/>
      <c r="Z6" s="544"/>
      <c r="AA6" s="235"/>
      <c r="AB6" s="234"/>
      <c r="AC6" s="544"/>
      <c r="AD6" s="235"/>
      <c r="AE6" s="234"/>
      <c r="AF6" s="544"/>
      <c r="AG6" s="235"/>
      <c r="AH6" s="234"/>
      <c r="AI6" s="477"/>
      <c r="AJ6" s="235"/>
      <c r="AK6" s="241" t="str">
        <f t="shared" si="0"/>
        <v/>
      </c>
      <c r="AL6" s="548" t="str">
        <f t="shared" si="1"/>
        <v/>
      </c>
      <c r="AM6" s="280" t="str">
        <f t="shared" si="2"/>
        <v/>
      </c>
      <c r="AN6" s="305"/>
      <c r="AO6" s="281"/>
      <c r="AP6" s="479"/>
      <c r="AQ6" s="325"/>
      <c r="AR6" s="326"/>
      <c r="AS6" s="325"/>
      <c r="AT6" s="326"/>
      <c r="AU6" s="407"/>
      <c r="AV6" s="406"/>
      <c r="AW6" s="330" t="s">
        <v>262</v>
      </c>
      <c r="AX6" s="507" t="s">
        <v>249</v>
      </c>
      <c r="BA6" s="488"/>
      <c r="BD6" s="490"/>
      <c r="BE6" s="490"/>
      <c r="BF6" s="490"/>
    </row>
    <row r="7" spans="1:58" x14ac:dyDescent="0.3">
      <c r="A7" s="467" t="s">
        <v>232</v>
      </c>
      <c r="B7" s="471">
        <v>1983</v>
      </c>
      <c r="C7" s="469">
        <v>2062.9200489604314</v>
      </c>
      <c r="D7" s="470">
        <v>32729.020007545303</v>
      </c>
      <c r="E7" s="470">
        <v>912.44540627096001</v>
      </c>
      <c r="F7" s="470">
        <v>3292.7377704560731</v>
      </c>
      <c r="G7" s="470">
        <v>634.74463044936351</v>
      </c>
      <c r="H7" s="470"/>
      <c r="I7" s="470"/>
      <c r="J7" s="504"/>
      <c r="K7" s="499">
        <f t="shared" si="3"/>
        <v>39631.867863682135</v>
      </c>
      <c r="L7" s="527" t="s">
        <v>297</v>
      </c>
      <c r="M7" s="239" t="s">
        <v>46</v>
      </c>
      <c r="N7" s="544"/>
      <c r="O7" s="235"/>
      <c r="P7" s="234"/>
      <c r="Q7" s="544"/>
      <c r="R7" s="235"/>
      <c r="S7" s="234"/>
      <c r="T7" s="544"/>
      <c r="U7" s="235"/>
      <c r="V7" s="234"/>
      <c r="W7" s="544"/>
      <c r="X7" s="235"/>
      <c r="Y7" s="234"/>
      <c r="Z7" s="544"/>
      <c r="AA7" s="235"/>
      <c r="AB7" s="234"/>
      <c r="AC7" s="544"/>
      <c r="AD7" s="235"/>
      <c r="AE7" s="234"/>
      <c r="AF7" s="544"/>
      <c r="AG7" s="235"/>
      <c r="AH7" s="234"/>
      <c r="AI7" s="477"/>
      <c r="AJ7" s="235"/>
      <c r="AK7" s="241" t="str">
        <f t="shared" si="0"/>
        <v/>
      </c>
      <c r="AL7" s="548" t="str">
        <f t="shared" si="1"/>
        <v/>
      </c>
      <c r="AM7" s="280" t="str">
        <f t="shared" si="2"/>
        <v/>
      </c>
      <c r="AN7" s="306"/>
      <c r="AO7" s="487"/>
      <c r="AP7" s="479"/>
      <c r="AQ7" s="325"/>
      <c r="AR7" s="326"/>
      <c r="AS7" s="325"/>
      <c r="AT7" s="326"/>
      <c r="AU7" s="407"/>
      <c r="AV7" s="406"/>
      <c r="AW7" s="330" t="s">
        <v>262</v>
      </c>
      <c r="AX7" s="507" t="s">
        <v>249</v>
      </c>
      <c r="BA7" s="488"/>
      <c r="BC7" s="490"/>
      <c r="BD7" s="490"/>
      <c r="BE7" s="490"/>
      <c r="BF7" s="490"/>
    </row>
    <row r="8" spans="1:58" x14ac:dyDescent="0.3">
      <c r="A8" s="467" t="s">
        <v>232</v>
      </c>
      <c r="B8" s="471">
        <v>1984</v>
      </c>
      <c r="C8" s="469">
        <v>7476.0544211900378</v>
      </c>
      <c r="D8" s="470">
        <v>118610.47879772657</v>
      </c>
      <c r="E8" s="470">
        <v>3306.7163786032861</v>
      </c>
      <c r="F8" s="470">
        <v>11932.933018437947</v>
      </c>
      <c r="G8" s="470">
        <v>2300.3244372892427</v>
      </c>
      <c r="H8" s="470"/>
      <c r="I8" s="470"/>
      <c r="J8" s="504"/>
      <c r="K8" s="499">
        <f t="shared" si="3"/>
        <v>143626.50705324707</v>
      </c>
      <c r="L8" s="527" t="s">
        <v>297</v>
      </c>
      <c r="M8" s="239" t="s">
        <v>46</v>
      </c>
      <c r="N8" s="544"/>
      <c r="O8" s="235"/>
      <c r="P8" s="234"/>
      <c r="Q8" s="544"/>
      <c r="R8" s="235"/>
      <c r="S8" s="234"/>
      <c r="T8" s="544"/>
      <c r="U8" s="235"/>
      <c r="V8" s="234"/>
      <c r="W8" s="544"/>
      <c r="X8" s="235"/>
      <c r="Y8" s="234"/>
      <c r="Z8" s="544"/>
      <c r="AA8" s="235"/>
      <c r="AB8" s="234"/>
      <c r="AC8" s="544"/>
      <c r="AD8" s="235"/>
      <c r="AE8" s="234"/>
      <c r="AF8" s="544"/>
      <c r="AG8" s="235"/>
      <c r="AH8" s="234"/>
      <c r="AI8" s="477"/>
      <c r="AJ8" s="235"/>
      <c r="AK8" s="241" t="str">
        <f t="shared" si="0"/>
        <v/>
      </c>
      <c r="AL8" s="548" t="str">
        <f t="shared" si="1"/>
        <v/>
      </c>
      <c r="AM8" s="280" t="str">
        <f t="shared" si="2"/>
        <v/>
      </c>
      <c r="AN8" s="306"/>
      <c r="AO8" s="487"/>
      <c r="AP8" s="479"/>
      <c r="AQ8" s="325"/>
      <c r="AR8" s="326"/>
      <c r="AS8" s="325"/>
      <c r="AT8" s="326"/>
      <c r="AU8" s="407"/>
      <c r="AV8" s="406"/>
      <c r="AW8" s="330" t="s">
        <v>262</v>
      </c>
      <c r="AX8" s="507" t="s">
        <v>249</v>
      </c>
      <c r="BA8" s="488"/>
      <c r="BC8" s="490"/>
      <c r="BD8" s="490"/>
      <c r="BE8" s="490"/>
      <c r="BF8" s="490"/>
    </row>
    <row r="9" spans="1:58" x14ac:dyDescent="0.3">
      <c r="A9" s="467" t="s">
        <v>232</v>
      </c>
      <c r="B9" s="471">
        <v>1985</v>
      </c>
      <c r="C9" s="469">
        <v>8449.8857000311546</v>
      </c>
      <c r="D9" s="470">
        <v>107766.65820329588</v>
      </c>
      <c r="E9" s="470">
        <v>1347.0832275411985</v>
      </c>
      <c r="F9" s="470">
        <v>734.77266956792653</v>
      </c>
      <c r="G9" s="470">
        <v>4163.7117942182504</v>
      </c>
      <c r="H9" s="470"/>
      <c r="I9" s="470"/>
      <c r="J9" s="504"/>
      <c r="K9" s="499">
        <f t="shared" si="3"/>
        <v>122462.11159465442</v>
      </c>
      <c r="L9" s="527" t="s">
        <v>297</v>
      </c>
      <c r="M9" s="239" t="s">
        <v>46</v>
      </c>
      <c r="N9" s="544"/>
      <c r="O9" s="235"/>
      <c r="P9" s="234"/>
      <c r="Q9" s="544"/>
      <c r="R9" s="235"/>
      <c r="S9" s="234"/>
      <c r="T9" s="544"/>
      <c r="U9" s="235"/>
      <c r="V9" s="234"/>
      <c r="W9" s="544"/>
      <c r="X9" s="235"/>
      <c r="Y9" s="234"/>
      <c r="Z9" s="544"/>
      <c r="AA9" s="235"/>
      <c r="AB9" s="234"/>
      <c r="AC9" s="544"/>
      <c r="AD9" s="235"/>
      <c r="AE9" s="234"/>
      <c r="AF9" s="544"/>
      <c r="AG9" s="235"/>
      <c r="AH9" s="234"/>
      <c r="AI9" s="477"/>
      <c r="AJ9" s="235"/>
      <c r="AK9" s="241" t="str">
        <f t="shared" si="0"/>
        <v/>
      </c>
      <c r="AL9" s="548" t="str">
        <f t="shared" si="1"/>
        <v/>
      </c>
      <c r="AM9" s="280" t="str">
        <f t="shared" si="2"/>
        <v/>
      </c>
      <c r="AN9" s="306"/>
      <c r="AO9" s="487"/>
      <c r="AP9" s="479"/>
      <c r="AQ9" s="325"/>
      <c r="AR9" s="326"/>
      <c r="AS9" s="325"/>
      <c r="AT9" s="326"/>
      <c r="AU9" s="407"/>
      <c r="AV9" s="406"/>
      <c r="AW9" s="330" t="s">
        <v>262</v>
      </c>
      <c r="AX9" s="507" t="s">
        <v>249</v>
      </c>
      <c r="BA9" s="488"/>
      <c r="BC9" s="490"/>
      <c r="BD9" s="490"/>
      <c r="BE9" s="490"/>
      <c r="BF9" s="490"/>
    </row>
    <row r="10" spans="1:58" x14ac:dyDescent="0.3">
      <c r="A10" s="467" t="s">
        <v>232</v>
      </c>
      <c r="B10" s="471">
        <v>1986</v>
      </c>
      <c r="C10" s="469">
        <v>2696.520054190255</v>
      </c>
      <c r="D10" s="470">
        <v>42781.327782826156</v>
      </c>
      <c r="E10" s="470">
        <v>1192.6915624303051</v>
      </c>
      <c r="F10" s="470">
        <v>4304.0608557267533</v>
      </c>
      <c r="G10" s="470">
        <v>829.69847821238614</v>
      </c>
      <c r="H10" s="470"/>
      <c r="I10" s="470"/>
      <c r="J10" s="504"/>
      <c r="K10" s="499">
        <f t="shared" si="3"/>
        <v>51804.298733385855</v>
      </c>
      <c r="L10" s="527" t="s">
        <v>297</v>
      </c>
      <c r="M10" s="239" t="s">
        <v>46</v>
      </c>
      <c r="N10" s="544"/>
      <c r="O10" s="235"/>
      <c r="P10" s="234"/>
      <c r="Q10" s="544"/>
      <c r="R10" s="235"/>
      <c r="S10" s="234"/>
      <c r="T10" s="544"/>
      <c r="U10" s="235"/>
      <c r="V10" s="234"/>
      <c r="W10" s="544"/>
      <c r="X10" s="235"/>
      <c r="Y10" s="234"/>
      <c r="Z10" s="544"/>
      <c r="AA10" s="235"/>
      <c r="AB10" s="234"/>
      <c r="AC10" s="544"/>
      <c r="AD10" s="235"/>
      <c r="AE10" s="234"/>
      <c r="AF10" s="544"/>
      <c r="AG10" s="235"/>
      <c r="AH10" s="234"/>
      <c r="AI10" s="477"/>
      <c r="AJ10" s="235"/>
      <c r="AK10" s="241" t="str">
        <f t="shared" si="0"/>
        <v/>
      </c>
      <c r="AL10" s="548" t="str">
        <f t="shared" si="1"/>
        <v/>
      </c>
      <c r="AM10" s="280" t="str">
        <f t="shared" si="2"/>
        <v/>
      </c>
      <c r="AN10" s="306"/>
      <c r="AO10" s="487"/>
      <c r="AP10" s="479"/>
      <c r="AQ10" s="325"/>
      <c r="AR10" s="326"/>
      <c r="AS10" s="325"/>
      <c r="AT10" s="326"/>
      <c r="AU10" s="407"/>
      <c r="AV10" s="406"/>
      <c r="AW10" s="330" t="s">
        <v>250</v>
      </c>
      <c r="AX10" s="507" t="s">
        <v>249</v>
      </c>
      <c r="BA10" s="488"/>
      <c r="BC10" s="490"/>
      <c r="BD10" s="490"/>
      <c r="BE10" s="490"/>
      <c r="BF10" s="490"/>
    </row>
    <row r="11" spans="1:58" x14ac:dyDescent="0.3">
      <c r="A11" s="467" t="s">
        <v>232</v>
      </c>
      <c r="B11" s="471">
        <v>1987</v>
      </c>
      <c r="C11" s="469">
        <v>48891.6658076862</v>
      </c>
      <c r="D11" s="470">
        <v>45711.720064096859</v>
      </c>
      <c r="E11" s="470">
        <v>993.7330448716707</v>
      </c>
      <c r="F11" s="470">
        <v>2782.4525256406782</v>
      </c>
      <c r="G11" s="470">
        <v>993.7330448716707</v>
      </c>
      <c r="H11" s="470"/>
      <c r="I11" s="470"/>
      <c r="J11" s="504"/>
      <c r="K11" s="499">
        <f t="shared" si="3"/>
        <v>99373.304487167072</v>
      </c>
      <c r="L11" s="527" t="s">
        <v>297</v>
      </c>
      <c r="M11" s="239" t="s">
        <v>46</v>
      </c>
      <c r="N11" s="544"/>
      <c r="O11" s="235"/>
      <c r="P11" s="234"/>
      <c r="Q11" s="544"/>
      <c r="R11" s="235"/>
      <c r="S11" s="234"/>
      <c r="T11" s="544"/>
      <c r="U11" s="235"/>
      <c r="V11" s="234"/>
      <c r="W11" s="544"/>
      <c r="X11" s="235"/>
      <c r="Y11" s="234"/>
      <c r="Z11" s="544"/>
      <c r="AA11" s="235"/>
      <c r="AB11" s="234"/>
      <c r="AC11" s="544"/>
      <c r="AD11" s="235"/>
      <c r="AE11" s="234"/>
      <c r="AF11" s="544"/>
      <c r="AG11" s="235"/>
      <c r="AH11" s="234"/>
      <c r="AI11" s="477"/>
      <c r="AJ11" s="235"/>
      <c r="AK11" s="241" t="str">
        <f t="shared" si="0"/>
        <v/>
      </c>
      <c r="AL11" s="548" t="str">
        <f t="shared" si="1"/>
        <v/>
      </c>
      <c r="AM11" s="280" t="str">
        <f t="shared" si="2"/>
        <v/>
      </c>
      <c r="AN11" s="306"/>
      <c r="AO11" s="487"/>
      <c r="AP11" s="479"/>
      <c r="AQ11" s="325"/>
      <c r="AR11" s="326"/>
      <c r="AS11" s="325"/>
      <c r="AT11" s="326"/>
      <c r="AU11" s="407"/>
      <c r="AV11" s="406"/>
      <c r="AW11" s="330" t="s">
        <v>250</v>
      </c>
      <c r="AX11" s="507" t="s">
        <v>249</v>
      </c>
      <c r="BA11" s="488"/>
      <c r="BC11" s="490"/>
      <c r="BD11" s="490"/>
      <c r="BE11" s="490"/>
      <c r="BF11" s="490"/>
    </row>
    <row r="12" spans="1:58" x14ac:dyDescent="0.3">
      <c r="A12" s="467" t="s">
        <v>232</v>
      </c>
      <c r="B12" s="471">
        <v>1988</v>
      </c>
      <c r="C12" s="469">
        <v>164.81361319420949</v>
      </c>
      <c r="D12" s="470">
        <v>79852.195592594493</v>
      </c>
      <c r="E12" s="470">
        <v>824.06806597104753</v>
      </c>
      <c r="F12" s="470">
        <v>1071.2884857623617</v>
      </c>
      <c r="G12" s="470">
        <v>494.44083958262848</v>
      </c>
      <c r="H12" s="470"/>
      <c r="I12" s="470"/>
      <c r="J12" s="504"/>
      <c r="K12" s="499">
        <f t="shared" si="3"/>
        <v>82406.806597104747</v>
      </c>
      <c r="L12" s="527" t="s">
        <v>297</v>
      </c>
      <c r="M12" s="239" t="s">
        <v>46</v>
      </c>
      <c r="N12" s="544"/>
      <c r="O12" s="235"/>
      <c r="P12" s="234"/>
      <c r="Q12" s="544"/>
      <c r="R12" s="235"/>
      <c r="S12" s="234"/>
      <c r="T12" s="544"/>
      <c r="U12" s="235"/>
      <c r="V12" s="234"/>
      <c r="W12" s="544"/>
      <c r="X12" s="235"/>
      <c r="Y12" s="234"/>
      <c r="Z12" s="544"/>
      <c r="AA12" s="235"/>
      <c r="AB12" s="234"/>
      <c r="AC12" s="544"/>
      <c r="AD12" s="235"/>
      <c r="AE12" s="234"/>
      <c r="AF12" s="544"/>
      <c r="AG12" s="235"/>
      <c r="AH12" s="234"/>
      <c r="AI12" s="477"/>
      <c r="AJ12" s="235"/>
      <c r="AK12" s="241" t="str">
        <f t="shared" si="0"/>
        <v/>
      </c>
      <c r="AL12" s="548" t="str">
        <f t="shared" si="1"/>
        <v/>
      </c>
      <c r="AM12" s="280" t="str">
        <f t="shared" si="2"/>
        <v/>
      </c>
      <c r="AN12" s="306"/>
      <c r="AO12" s="487"/>
      <c r="AP12" s="479"/>
      <c r="AQ12" s="325"/>
      <c r="AR12" s="326"/>
      <c r="AS12" s="325"/>
      <c r="AT12" s="326"/>
      <c r="AU12" s="407"/>
      <c r="AV12" s="406"/>
      <c r="AW12" s="330" t="s">
        <v>250</v>
      </c>
      <c r="AX12" s="507" t="s">
        <v>249</v>
      </c>
      <c r="BA12" s="488"/>
      <c r="BC12" s="490"/>
      <c r="BD12" s="490"/>
      <c r="BE12" s="490"/>
      <c r="BF12" s="490"/>
    </row>
    <row r="13" spans="1:58" x14ac:dyDescent="0.3">
      <c r="A13" s="467" t="s">
        <v>232</v>
      </c>
      <c r="B13" s="471">
        <v>1989</v>
      </c>
      <c r="C13" s="469">
        <v>722.85631103441995</v>
      </c>
      <c r="D13" s="470">
        <v>22432.640852434834</v>
      </c>
      <c r="E13" s="470">
        <v>144.571262206884</v>
      </c>
      <c r="F13" s="470">
        <v>650.57067993097792</v>
      </c>
      <c r="G13" s="470">
        <v>120.47605183907</v>
      </c>
      <c r="H13" s="470"/>
      <c r="I13" s="470"/>
      <c r="J13" s="504"/>
      <c r="K13" s="499">
        <f t="shared" si="3"/>
        <v>24071.11515744618</v>
      </c>
      <c r="L13" s="527" t="s">
        <v>297</v>
      </c>
      <c r="M13" s="239" t="s">
        <v>46</v>
      </c>
      <c r="N13" s="544"/>
      <c r="O13" s="235"/>
      <c r="P13" s="234"/>
      <c r="Q13" s="544"/>
      <c r="R13" s="235"/>
      <c r="S13" s="234"/>
      <c r="T13" s="544"/>
      <c r="U13" s="235"/>
      <c r="V13" s="234"/>
      <c r="W13" s="544"/>
      <c r="X13" s="235"/>
      <c r="Y13" s="234"/>
      <c r="Z13" s="544"/>
      <c r="AA13" s="235"/>
      <c r="AB13" s="234"/>
      <c r="AC13" s="544"/>
      <c r="AD13" s="235"/>
      <c r="AE13" s="234"/>
      <c r="AF13" s="544"/>
      <c r="AG13" s="235"/>
      <c r="AH13" s="234"/>
      <c r="AI13" s="477"/>
      <c r="AJ13" s="235"/>
      <c r="AK13" s="241" t="str">
        <f t="shared" si="0"/>
        <v/>
      </c>
      <c r="AL13" s="548" t="str">
        <f t="shared" si="1"/>
        <v/>
      </c>
      <c r="AM13" s="280" t="str">
        <f t="shared" si="2"/>
        <v/>
      </c>
      <c r="AN13" s="306"/>
      <c r="AO13" s="487"/>
      <c r="AP13" s="479"/>
      <c r="AQ13" s="325"/>
      <c r="AR13" s="326"/>
      <c r="AS13" s="325"/>
      <c r="AT13" s="326"/>
      <c r="AU13" s="407"/>
      <c r="AV13" s="406"/>
      <c r="AW13" s="330" t="s">
        <v>250</v>
      </c>
      <c r="AX13" s="507" t="s">
        <v>249</v>
      </c>
      <c r="BA13" s="488"/>
      <c r="BC13" s="490"/>
      <c r="BD13" s="490"/>
      <c r="BE13" s="490"/>
      <c r="BF13" s="490"/>
    </row>
    <row r="14" spans="1:58" x14ac:dyDescent="0.3">
      <c r="A14" s="467" t="s">
        <v>232</v>
      </c>
      <c r="B14" s="471">
        <v>1990</v>
      </c>
      <c r="C14" s="469">
        <v>4804.1333502790212</v>
      </c>
      <c r="D14" s="470">
        <v>2784.6967649847425</v>
      </c>
      <c r="E14" s="470">
        <v>201.94365852942789</v>
      </c>
      <c r="F14" s="470">
        <v>2402.0666751395106</v>
      </c>
      <c r="G14" s="470">
        <v>372.00147623841985</v>
      </c>
      <c r="H14" s="470"/>
      <c r="I14" s="470">
        <v>63.771681640871968</v>
      </c>
      <c r="J14" s="504"/>
      <c r="K14" s="499">
        <f t="shared" si="3"/>
        <v>10628.613606811994</v>
      </c>
      <c r="L14" s="527" t="s">
        <v>297</v>
      </c>
      <c r="M14" s="480" t="s">
        <v>46</v>
      </c>
      <c r="N14" s="545"/>
      <c r="O14" s="482"/>
      <c r="P14" s="483"/>
      <c r="Q14" s="545"/>
      <c r="R14" s="482"/>
      <c r="S14" s="483"/>
      <c r="T14" s="545"/>
      <c r="U14" s="482"/>
      <c r="V14" s="483"/>
      <c r="W14" s="545"/>
      <c r="X14" s="482"/>
      <c r="Y14" s="483"/>
      <c r="Z14" s="545"/>
      <c r="AA14" s="482"/>
      <c r="AB14" s="483"/>
      <c r="AC14" s="545"/>
      <c r="AD14" s="482"/>
      <c r="AE14" s="483"/>
      <c r="AF14" s="545"/>
      <c r="AG14" s="482"/>
      <c r="AH14" s="483"/>
      <c r="AI14" s="481"/>
      <c r="AJ14" s="482"/>
      <c r="AK14" s="484" t="str">
        <f t="shared" si="0"/>
        <v/>
      </c>
      <c r="AL14" s="549" t="str">
        <f t="shared" si="1"/>
        <v/>
      </c>
      <c r="AM14" s="485" t="str">
        <f t="shared" si="2"/>
        <v/>
      </c>
      <c r="AN14" s="486"/>
      <c r="AO14" s="282"/>
      <c r="AP14" s="479"/>
      <c r="AQ14" s="325"/>
      <c r="AR14" s="326"/>
      <c r="AS14" s="325"/>
      <c r="AT14" s="326"/>
      <c r="AU14" s="407"/>
      <c r="AV14" s="406"/>
      <c r="AW14" s="330" t="s">
        <v>250</v>
      </c>
      <c r="AX14" s="507" t="s">
        <v>249</v>
      </c>
      <c r="BA14" s="488"/>
      <c r="BC14" s="490"/>
      <c r="BD14" s="490"/>
      <c r="BE14" s="490"/>
      <c r="BF14" s="490"/>
    </row>
    <row r="15" spans="1:58" x14ac:dyDescent="0.3">
      <c r="A15" s="467" t="s">
        <v>232</v>
      </c>
      <c r="B15" s="471">
        <v>1991</v>
      </c>
      <c r="C15" s="469">
        <v>6254.1954364518051</v>
      </c>
      <c r="D15" s="470">
        <v>30864.860595476443</v>
      </c>
      <c r="E15" s="470">
        <v>2720.9811314433182</v>
      </c>
      <c r="F15" s="470">
        <v>609.17488017387711</v>
      </c>
      <c r="G15" s="470">
        <v>40.611658678258479</v>
      </c>
      <c r="H15" s="470"/>
      <c r="I15" s="470">
        <v>121.83497603477544</v>
      </c>
      <c r="J15" s="504"/>
      <c r="K15" s="499">
        <f t="shared" si="3"/>
        <v>40611.658678258478</v>
      </c>
      <c r="L15" s="527" t="s">
        <v>297</v>
      </c>
      <c r="M15" s="239" t="s">
        <v>46</v>
      </c>
      <c r="N15" s="544"/>
      <c r="O15" s="235"/>
      <c r="P15" s="234"/>
      <c r="Q15" s="544"/>
      <c r="R15" s="235"/>
      <c r="S15" s="234"/>
      <c r="T15" s="544"/>
      <c r="U15" s="235"/>
      <c r="V15" s="234"/>
      <c r="W15" s="544"/>
      <c r="X15" s="235"/>
      <c r="Y15" s="234"/>
      <c r="Z15" s="544"/>
      <c r="AA15" s="235"/>
      <c r="AB15" s="234"/>
      <c r="AC15" s="544"/>
      <c r="AD15" s="235"/>
      <c r="AE15" s="234"/>
      <c r="AF15" s="544"/>
      <c r="AG15" s="235"/>
      <c r="AH15" s="234"/>
      <c r="AI15" s="477"/>
      <c r="AJ15" s="235"/>
      <c r="AK15" s="241" t="str">
        <f t="shared" si="0"/>
        <v/>
      </c>
      <c r="AL15" s="548" t="str">
        <f t="shared" si="1"/>
        <v/>
      </c>
      <c r="AM15" s="280" t="str">
        <f t="shared" si="2"/>
        <v/>
      </c>
      <c r="AN15" s="306"/>
      <c r="AO15" s="487"/>
      <c r="AP15" s="479"/>
      <c r="AQ15" s="325"/>
      <c r="AR15" s="326"/>
      <c r="AS15" s="325"/>
      <c r="AT15" s="326"/>
      <c r="AU15" s="407"/>
      <c r="AV15" s="406"/>
      <c r="AW15" s="330" t="s">
        <v>250</v>
      </c>
      <c r="AX15" s="507" t="s">
        <v>249</v>
      </c>
      <c r="BA15" s="488"/>
      <c r="BC15" s="490"/>
      <c r="BD15" s="490"/>
      <c r="BE15" s="490"/>
      <c r="BF15" s="490"/>
    </row>
    <row r="16" spans="1:58" x14ac:dyDescent="0.3">
      <c r="A16" s="467" t="s">
        <v>232</v>
      </c>
      <c r="B16" s="471">
        <v>1992</v>
      </c>
      <c r="C16" s="469">
        <v>10467.718346523669</v>
      </c>
      <c r="D16" s="470">
        <v>45401.405609478395</v>
      </c>
      <c r="E16" s="470">
        <v>4335.7413269624667</v>
      </c>
      <c r="F16" s="470">
        <v>867.14826539249327</v>
      </c>
      <c r="G16" s="470">
        <v>867.14826539249327</v>
      </c>
      <c r="H16" s="470"/>
      <c r="I16" s="470"/>
      <c r="J16" s="504"/>
      <c r="K16" s="499">
        <f t="shared" si="3"/>
        <v>61939.16181374951</v>
      </c>
      <c r="L16" s="527" t="s">
        <v>297</v>
      </c>
      <c r="M16" s="239" t="s">
        <v>46</v>
      </c>
      <c r="N16" s="544"/>
      <c r="O16" s="235"/>
      <c r="P16" s="234"/>
      <c r="Q16" s="544"/>
      <c r="R16" s="235"/>
      <c r="S16" s="234"/>
      <c r="T16" s="544"/>
      <c r="U16" s="235"/>
      <c r="V16" s="234"/>
      <c r="W16" s="544"/>
      <c r="X16" s="235"/>
      <c r="Y16" s="234"/>
      <c r="Z16" s="544"/>
      <c r="AA16" s="235"/>
      <c r="AB16" s="234"/>
      <c r="AC16" s="544"/>
      <c r="AD16" s="235"/>
      <c r="AE16" s="234"/>
      <c r="AF16" s="544"/>
      <c r="AG16" s="235"/>
      <c r="AH16" s="234"/>
      <c r="AI16" s="477"/>
      <c r="AJ16" s="235"/>
      <c r="AK16" s="241" t="str">
        <f t="shared" si="0"/>
        <v/>
      </c>
      <c r="AL16" s="548" t="str">
        <f t="shared" si="1"/>
        <v/>
      </c>
      <c r="AM16" s="280" t="str">
        <f t="shared" si="2"/>
        <v/>
      </c>
      <c r="AN16" s="306"/>
      <c r="AO16" s="487"/>
      <c r="AP16" s="479"/>
      <c r="AQ16" s="325"/>
      <c r="AR16" s="326"/>
      <c r="AS16" s="325"/>
      <c r="AT16" s="326"/>
      <c r="AU16" s="407"/>
      <c r="AV16" s="406"/>
      <c r="AW16" s="330" t="s">
        <v>250</v>
      </c>
      <c r="AX16" s="507" t="s">
        <v>249</v>
      </c>
      <c r="BA16" s="488"/>
      <c r="BC16" s="490"/>
      <c r="BD16" s="490"/>
      <c r="BE16" s="490"/>
      <c r="BF16" s="490"/>
    </row>
    <row r="17" spans="1:58" x14ac:dyDescent="0.3">
      <c r="A17" s="467" t="s">
        <v>232</v>
      </c>
      <c r="B17" s="471">
        <v>1993</v>
      </c>
      <c r="C17" s="469">
        <v>0</v>
      </c>
      <c r="D17" s="470">
        <v>38673.427223718209</v>
      </c>
      <c r="E17" s="470">
        <v>87.200512342092921</v>
      </c>
      <c r="F17" s="470">
        <v>2310.8135770654621</v>
      </c>
      <c r="G17" s="470">
        <v>2485.2146017496484</v>
      </c>
      <c r="H17" s="470"/>
      <c r="I17" s="470">
        <v>87.200512342092921</v>
      </c>
      <c r="J17" s="504"/>
      <c r="K17" s="499">
        <f t="shared" si="3"/>
        <v>43643.856427217499</v>
      </c>
      <c r="L17" s="527" t="s">
        <v>297</v>
      </c>
      <c r="M17" s="239" t="s">
        <v>46</v>
      </c>
      <c r="N17" s="546"/>
      <c r="O17" s="236"/>
      <c r="P17" s="234"/>
      <c r="Q17" s="544"/>
      <c r="R17" s="236"/>
      <c r="S17" s="234"/>
      <c r="T17" s="544"/>
      <c r="U17" s="236"/>
      <c r="V17" s="234"/>
      <c r="W17" s="544"/>
      <c r="X17" s="236"/>
      <c r="Y17" s="234"/>
      <c r="Z17" s="544"/>
      <c r="AA17" s="236"/>
      <c r="AB17" s="234"/>
      <c r="AC17" s="544"/>
      <c r="AD17" s="236"/>
      <c r="AE17" s="234"/>
      <c r="AF17" s="544"/>
      <c r="AG17" s="236"/>
      <c r="AH17" s="234"/>
      <c r="AI17" s="477"/>
      <c r="AJ17" s="235"/>
      <c r="AK17" s="241" t="str">
        <f t="shared" si="0"/>
        <v/>
      </c>
      <c r="AL17" s="548" t="str">
        <f t="shared" si="1"/>
        <v/>
      </c>
      <c r="AM17" s="280" t="str">
        <f t="shared" si="2"/>
        <v/>
      </c>
      <c r="AN17" s="306"/>
      <c r="AO17" s="487"/>
      <c r="AP17" s="479"/>
      <c r="AQ17" s="325"/>
      <c r="AR17" s="326"/>
      <c r="AS17" s="325"/>
      <c r="AT17" s="326"/>
      <c r="AU17" s="407"/>
      <c r="AV17" s="406"/>
      <c r="AW17" s="330" t="s">
        <v>250</v>
      </c>
      <c r="AX17" s="507" t="s">
        <v>249</v>
      </c>
      <c r="BA17" s="488"/>
      <c r="BC17" s="490"/>
      <c r="BD17" s="490"/>
      <c r="BE17" s="490"/>
      <c r="BF17" s="490"/>
    </row>
    <row r="18" spans="1:58" x14ac:dyDescent="0.3">
      <c r="A18" s="467" t="s">
        <v>232</v>
      </c>
      <c r="B18" s="471">
        <v>1994</v>
      </c>
      <c r="C18" s="469">
        <v>332.37293736211774</v>
      </c>
      <c r="D18" s="470">
        <v>292.86007068270516</v>
      </c>
      <c r="E18" s="470">
        <v>37.188580404153036</v>
      </c>
      <c r="F18" s="470">
        <v>1622.3518201311761</v>
      </c>
      <c r="G18" s="470">
        <v>39.512866679412603</v>
      </c>
      <c r="H18" s="470"/>
      <c r="I18" s="470"/>
      <c r="J18" s="504"/>
      <c r="K18" s="499">
        <f t="shared" si="3"/>
        <v>2324.2862752595647</v>
      </c>
      <c r="L18" s="527" t="s">
        <v>297</v>
      </c>
      <c r="M18" s="239" t="s">
        <v>46</v>
      </c>
      <c r="N18" s="544"/>
      <c r="O18" s="235"/>
      <c r="P18" s="234"/>
      <c r="Q18" s="544"/>
      <c r="R18" s="235"/>
      <c r="S18" s="234"/>
      <c r="T18" s="544"/>
      <c r="U18" s="235"/>
      <c r="V18" s="234"/>
      <c r="W18" s="544"/>
      <c r="X18" s="235"/>
      <c r="Y18" s="234"/>
      <c r="Z18" s="544"/>
      <c r="AA18" s="235"/>
      <c r="AB18" s="234"/>
      <c r="AC18" s="544"/>
      <c r="AD18" s="235"/>
      <c r="AE18" s="234"/>
      <c r="AF18" s="544"/>
      <c r="AG18" s="235"/>
      <c r="AH18" s="234"/>
      <c r="AI18" s="477"/>
      <c r="AJ18" s="235"/>
      <c r="AK18" s="241" t="str">
        <f t="shared" si="0"/>
        <v/>
      </c>
      <c r="AL18" s="548" t="str">
        <f t="shared" si="1"/>
        <v/>
      </c>
      <c r="AM18" s="280" t="str">
        <f t="shared" si="2"/>
        <v/>
      </c>
      <c r="AN18" s="306"/>
      <c r="AO18" s="487"/>
      <c r="AP18" s="479"/>
      <c r="AQ18" s="325"/>
      <c r="AR18" s="326"/>
      <c r="AS18" s="325"/>
      <c r="AT18" s="326"/>
      <c r="AU18" s="407"/>
      <c r="AV18" s="406"/>
      <c r="AW18" s="330" t="s">
        <v>250</v>
      </c>
      <c r="AX18" s="507" t="s">
        <v>249</v>
      </c>
      <c r="BA18" s="488"/>
      <c r="BC18" s="490"/>
      <c r="BD18" s="490"/>
      <c r="BE18" s="490"/>
      <c r="BF18" s="490"/>
    </row>
    <row r="19" spans="1:58" x14ac:dyDescent="0.3">
      <c r="A19" s="467" t="s">
        <v>232</v>
      </c>
      <c r="B19" s="471">
        <v>1995</v>
      </c>
      <c r="C19" s="469">
        <v>2662.6579745981844</v>
      </c>
      <c r="D19" s="470">
        <v>3313.8164623328498</v>
      </c>
      <c r="E19" s="470">
        <v>373.93259691693635</v>
      </c>
      <c r="F19" s="470">
        <v>83.81247861931331</v>
      </c>
      <c r="G19" s="470">
        <v>0</v>
      </c>
      <c r="H19" s="470"/>
      <c r="I19" s="470"/>
      <c r="J19" s="504"/>
      <c r="K19" s="499">
        <f t="shared" si="3"/>
        <v>6434.2195124672835</v>
      </c>
      <c r="L19" s="527" t="s">
        <v>297</v>
      </c>
      <c r="M19" s="239" t="s">
        <v>46</v>
      </c>
      <c r="N19" s="544"/>
      <c r="O19" s="235"/>
      <c r="P19" s="234"/>
      <c r="Q19" s="544"/>
      <c r="R19" s="235"/>
      <c r="S19" s="234"/>
      <c r="T19" s="544"/>
      <c r="U19" s="235"/>
      <c r="V19" s="234"/>
      <c r="W19" s="544"/>
      <c r="X19" s="235"/>
      <c r="Y19" s="234"/>
      <c r="Z19" s="544"/>
      <c r="AA19" s="235"/>
      <c r="AB19" s="234"/>
      <c r="AC19" s="544"/>
      <c r="AD19" s="235"/>
      <c r="AE19" s="234"/>
      <c r="AF19" s="544"/>
      <c r="AG19" s="235"/>
      <c r="AH19" s="234"/>
      <c r="AI19" s="477"/>
      <c r="AJ19" s="235"/>
      <c r="AK19" s="241" t="str">
        <f t="shared" si="0"/>
        <v/>
      </c>
      <c r="AL19" s="548" t="str">
        <f t="shared" si="1"/>
        <v/>
      </c>
      <c r="AM19" s="280" t="str">
        <f t="shared" si="2"/>
        <v/>
      </c>
      <c r="AN19" s="306"/>
      <c r="AO19" s="487"/>
      <c r="AP19" s="479"/>
      <c r="AQ19" s="325"/>
      <c r="AR19" s="326"/>
      <c r="AS19" s="325"/>
      <c r="AT19" s="326"/>
      <c r="AU19" s="407"/>
      <c r="AV19" s="406"/>
      <c r="AW19" s="330" t="s">
        <v>250</v>
      </c>
      <c r="AX19" s="507" t="s">
        <v>249</v>
      </c>
      <c r="BA19" s="488"/>
      <c r="BC19" s="490"/>
      <c r="BD19" s="490"/>
      <c r="BE19" s="490"/>
      <c r="BF19" s="490"/>
    </row>
    <row r="20" spans="1:58" x14ac:dyDescent="0.3">
      <c r="A20" s="467" t="s">
        <v>232</v>
      </c>
      <c r="B20" s="471">
        <v>1996</v>
      </c>
      <c r="C20" s="469">
        <v>1774.8507237171495</v>
      </c>
      <c r="D20" s="470">
        <v>20060.483837803047</v>
      </c>
      <c r="E20" s="470">
        <v>0</v>
      </c>
      <c r="F20" s="470">
        <v>887.42536185857477</v>
      </c>
      <c r="G20" s="470">
        <v>630.53907289951371</v>
      </c>
      <c r="H20" s="470"/>
      <c r="I20" s="470"/>
      <c r="J20" s="504"/>
      <c r="K20" s="499">
        <f t="shared" si="3"/>
        <v>23353.298996278289</v>
      </c>
      <c r="L20" s="527" t="s">
        <v>297</v>
      </c>
      <c r="M20" s="239" t="s">
        <v>46</v>
      </c>
      <c r="N20" s="544"/>
      <c r="O20" s="235"/>
      <c r="P20" s="234"/>
      <c r="Q20" s="544"/>
      <c r="R20" s="235"/>
      <c r="S20" s="234"/>
      <c r="T20" s="544"/>
      <c r="U20" s="235"/>
      <c r="V20" s="234"/>
      <c r="W20" s="544"/>
      <c r="X20" s="235"/>
      <c r="Y20" s="234"/>
      <c r="Z20" s="544"/>
      <c r="AA20" s="235"/>
      <c r="AB20" s="234"/>
      <c r="AC20" s="544"/>
      <c r="AD20" s="235"/>
      <c r="AE20" s="234"/>
      <c r="AF20" s="544"/>
      <c r="AG20" s="235"/>
      <c r="AH20" s="234"/>
      <c r="AI20" s="477"/>
      <c r="AJ20" s="235"/>
      <c r="AK20" s="241" t="str">
        <f t="shared" si="0"/>
        <v/>
      </c>
      <c r="AL20" s="548" t="str">
        <f t="shared" si="1"/>
        <v/>
      </c>
      <c r="AM20" s="280" t="str">
        <f t="shared" si="2"/>
        <v/>
      </c>
      <c r="AN20" s="306"/>
      <c r="AO20" s="487"/>
      <c r="AP20" s="479"/>
      <c r="AQ20" s="325"/>
      <c r="AR20" s="326"/>
      <c r="AS20" s="325"/>
      <c r="AT20" s="326"/>
      <c r="AU20" s="407"/>
      <c r="AV20" s="406"/>
      <c r="AW20" s="330" t="s">
        <v>250</v>
      </c>
      <c r="AX20" s="507" t="s">
        <v>249</v>
      </c>
      <c r="BA20" s="488"/>
      <c r="BC20" s="490"/>
      <c r="BD20" s="490"/>
      <c r="BE20" s="490"/>
      <c r="BF20" s="490"/>
    </row>
    <row r="21" spans="1:58" x14ac:dyDescent="0.3">
      <c r="A21" s="467" t="s">
        <v>232</v>
      </c>
      <c r="B21" s="471">
        <v>1997</v>
      </c>
      <c r="C21" s="469">
        <v>0</v>
      </c>
      <c r="D21" s="470">
        <v>34300.38192049729</v>
      </c>
      <c r="E21" s="470">
        <v>322.57412464417507</v>
      </c>
      <c r="F21" s="470">
        <v>1218.6133597668838</v>
      </c>
      <c r="G21" s="470">
        <v>0</v>
      </c>
      <c r="H21" s="470"/>
      <c r="I21" s="470"/>
      <c r="J21" s="504"/>
      <c r="K21" s="499">
        <f t="shared" si="3"/>
        <v>35841.569404908347</v>
      </c>
      <c r="L21" s="527" t="s">
        <v>297</v>
      </c>
      <c r="M21" s="239" t="s">
        <v>46</v>
      </c>
      <c r="N21" s="544"/>
      <c r="O21" s="235"/>
      <c r="P21" s="234"/>
      <c r="Q21" s="544"/>
      <c r="R21" s="235"/>
      <c r="S21" s="234"/>
      <c r="T21" s="544"/>
      <c r="U21" s="235"/>
      <c r="V21" s="234"/>
      <c r="W21" s="544"/>
      <c r="X21" s="235"/>
      <c r="Y21" s="234"/>
      <c r="Z21" s="544"/>
      <c r="AA21" s="235"/>
      <c r="AB21" s="234"/>
      <c r="AC21" s="544"/>
      <c r="AD21" s="235"/>
      <c r="AE21" s="234"/>
      <c r="AF21" s="544"/>
      <c r="AG21" s="235"/>
      <c r="AH21" s="234"/>
      <c r="AI21" s="477"/>
      <c r="AJ21" s="235"/>
      <c r="AK21" s="241" t="str">
        <f t="shared" si="0"/>
        <v/>
      </c>
      <c r="AL21" s="548" t="str">
        <f t="shared" si="1"/>
        <v/>
      </c>
      <c r="AM21" s="280" t="str">
        <f t="shared" si="2"/>
        <v/>
      </c>
      <c r="AN21" s="306"/>
      <c r="AO21" s="487"/>
      <c r="AP21" s="479"/>
      <c r="AQ21" s="325"/>
      <c r="AR21" s="326"/>
      <c r="AS21" s="325"/>
      <c r="AT21" s="326"/>
      <c r="AU21" s="407"/>
      <c r="AV21" s="406"/>
      <c r="AW21" s="330" t="s">
        <v>250</v>
      </c>
      <c r="AX21" s="507" t="s">
        <v>249</v>
      </c>
      <c r="BA21" s="488"/>
      <c r="BC21" s="490"/>
      <c r="BD21" s="490"/>
      <c r="BE21" s="490"/>
      <c r="BF21" s="490"/>
    </row>
    <row r="22" spans="1:58" x14ac:dyDescent="0.3">
      <c r="A22" s="467" t="s">
        <v>232</v>
      </c>
      <c r="B22" s="471">
        <v>1998</v>
      </c>
      <c r="C22" s="472">
        <v>347.05582072490824</v>
      </c>
      <c r="D22" s="473">
        <v>5166.5479726783515</v>
      </c>
      <c r="E22" s="509">
        <v>0</v>
      </c>
      <c r="F22" s="473">
        <v>1034.6192391421794</v>
      </c>
      <c r="G22" s="473">
        <v>0</v>
      </c>
      <c r="H22" s="470"/>
      <c r="I22" s="470"/>
      <c r="J22" s="504"/>
      <c r="K22" s="499">
        <f t="shared" si="3"/>
        <v>6548.2230325454384</v>
      </c>
      <c r="L22" s="527" t="s">
        <v>297</v>
      </c>
      <c r="M22" s="239" t="s">
        <v>46</v>
      </c>
      <c r="N22" s="544"/>
      <c r="O22" s="235"/>
      <c r="P22" s="234"/>
      <c r="Q22" s="544"/>
      <c r="R22" s="235"/>
      <c r="S22" s="234"/>
      <c r="T22" s="544"/>
      <c r="U22" s="235"/>
      <c r="V22" s="234"/>
      <c r="W22" s="544"/>
      <c r="X22" s="235"/>
      <c r="Y22" s="234"/>
      <c r="Z22" s="544"/>
      <c r="AA22" s="235"/>
      <c r="AB22" s="234"/>
      <c r="AC22" s="544"/>
      <c r="AD22" s="235"/>
      <c r="AE22" s="234"/>
      <c r="AF22" s="544"/>
      <c r="AG22" s="235"/>
      <c r="AH22" s="234"/>
      <c r="AI22" s="477"/>
      <c r="AJ22" s="235"/>
      <c r="AK22" s="241" t="str">
        <f t="shared" si="0"/>
        <v/>
      </c>
      <c r="AL22" s="548" t="str">
        <f t="shared" si="1"/>
        <v/>
      </c>
      <c r="AM22" s="280" t="str">
        <f t="shared" si="2"/>
        <v/>
      </c>
      <c r="AN22" s="306"/>
      <c r="AO22" s="487"/>
      <c r="AP22" s="479"/>
      <c r="AQ22" s="325"/>
      <c r="AR22" s="326"/>
      <c r="AS22" s="325"/>
      <c r="AT22" s="326"/>
      <c r="AU22" s="407"/>
      <c r="AV22" s="894" t="s">
        <v>492</v>
      </c>
      <c r="AW22" s="330" t="s">
        <v>250</v>
      </c>
      <c r="AX22" s="507" t="s">
        <v>249</v>
      </c>
      <c r="BA22" s="488"/>
      <c r="BC22" s="490"/>
      <c r="BD22" s="490"/>
      <c r="BE22" s="490"/>
      <c r="BF22" s="490"/>
    </row>
    <row r="23" spans="1:58" x14ac:dyDescent="0.3">
      <c r="A23" s="467" t="s">
        <v>232</v>
      </c>
      <c r="B23" s="471">
        <v>1999</v>
      </c>
      <c r="C23" s="472">
        <v>1624.412031529238</v>
      </c>
      <c r="D23" s="473">
        <v>12097.594866388798</v>
      </c>
      <c r="E23" s="473">
        <v>541.47067717641266</v>
      </c>
      <c r="F23" s="509">
        <v>0</v>
      </c>
      <c r="G23" s="509">
        <v>0</v>
      </c>
      <c r="H23" s="470"/>
      <c r="I23" s="470"/>
      <c r="J23" s="504"/>
      <c r="K23" s="499">
        <f t="shared" si="3"/>
        <v>14263.477575094448</v>
      </c>
      <c r="L23" s="527" t="s">
        <v>297</v>
      </c>
      <c r="M23" s="239" t="s">
        <v>46</v>
      </c>
      <c r="N23" s="544"/>
      <c r="O23" s="235"/>
      <c r="P23" s="234"/>
      <c r="Q23" s="544"/>
      <c r="R23" s="235"/>
      <c r="S23" s="234"/>
      <c r="T23" s="544"/>
      <c r="U23" s="235"/>
      <c r="V23" s="234"/>
      <c r="W23" s="544"/>
      <c r="X23" s="235"/>
      <c r="Y23" s="234"/>
      <c r="Z23" s="544"/>
      <c r="AA23" s="235"/>
      <c r="AB23" s="234"/>
      <c r="AC23" s="544"/>
      <c r="AD23" s="235"/>
      <c r="AE23" s="234"/>
      <c r="AF23" s="544"/>
      <c r="AG23" s="235"/>
      <c r="AH23" s="234"/>
      <c r="AI23" s="477"/>
      <c r="AJ23" s="235"/>
      <c r="AK23" s="241" t="str">
        <f t="shared" si="0"/>
        <v/>
      </c>
      <c r="AL23" s="548" t="str">
        <f t="shared" si="1"/>
        <v/>
      </c>
      <c r="AM23" s="280" t="str">
        <f t="shared" si="2"/>
        <v/>
      </c>
      <c r="AN23" s="306"/>
      <c r="AO23" s="487"/>
      <c r="AP23" s="479"/>
      <c r="AQ23" s="325"/>
      <c r="AR23" s="326"/>
      <c r="AS23" s="325"/>
      <c r="AT23" s="326"/>
      <c r="AU23" s="407"/>
      <c r="AV23" s="406" t="s">
        <v>46</v>
      </c>
      <c r="AW23" s="330" t="s">
        <v>250</v>
      </c>
      <c r="AX23" s="507" t="s">
        <v>249</v>
      </c>
      <c r="BA23" s="488"/>
      <c r="BC23" s="490"/>
      <c r="BD23" s="490"/>
      <c r="BE23" s="490"/>
      <c r="BF23" s="490"/>
    </row>
    <row r="24" spans="1:58" x14ac:dyDescent="0.3">
      <c r="A24" s="467" t="s">
        <v>232</v>
      </c>
      <c r="B24" s="471">
        <v>2000</v>
      </c>
      <c r="C24" s="472">
        <v>10066.993913315671</v>
      </c>
      <c r="D24" s="473">
        <v>65048.268362962786</v>
      </c>
      <c r="E24" s="473">
        <v>774.3841471781285</v>
      </c>
      <c r="F24" s="473">
        <v>774.3841471781285</v>
      </c>
      <c r="G24" s="473">
        <v>774.3841471781285</v>
      </c>
      <c r="H24" s="470"/>
      <c r="I24" s="470"/>
      <c r="J24" s="504"/>
      <c r="K24" s="499">
        <f t="shared" si="3"/>
        <v>77438.414717812862</v>
      </c>
      <c r="L24" s="527" t="s">
        <v>297</v>
      </c>
      <c r="M24" s="239" t="s">
        <v>46</v>
      </c>
      <c r="N24" s="544"/>
      <c r="O24" s="235"/>
      <c r="P24" s="234"/>
      <c r="Q24" s="544"/>
      <c r="R24" s="235"/>
      <c r="S24" s="234"/>
      <c r="T24" s="544"/>
      <c r="U24" s="235"/>
      <c r="V24" s="234"/>
      <c r="W24" s="544"/>
      <c r="X24" s="235"/>
      <c r="Y24" s="234"/>
      <c r="Z24" s="544"/>
      <c r="AA24" s="235"/>
      <c r="AB24" s="234"/>
      <c r="AC24" s="544"/>
      <c r="AD24" s="235"/>
      <c r="AE24" s="234"/>
      <c r="AF24" s="544"/>
      <c r="AG24" s="235"/>
      <c r="AH24" s="234"/>
      <c r="AI24" s="477"/>
      <c r="AJ24" s="235"/>
      <c r="AK24" s="241" t="str">
        <f t="shared" si="0"/>
        <v/>
      </c>
      <c r="AL24" s="548" t="str">
        <f t="shared" si="1"/>
        <v/>
      </c>
      <c r="AM24" s="280" t="str">
        <f t="shared" si="2"/>
        <v/>
      </c>
      <c r="AN24" s="306"/>
      <c r="AO24" s="487"/>
      <c r="AP24" s="479"/>
      <c r="AQ24" s="325"/>
      <c r="AR24" s="326"/>
      <c r="AS24" s="325"/>
      <c r="AT24" s="326"/>
      <c r="AU24" s="407"/>
      <c r="AV24" s="406" t="s">
        <v>46</v>
      </c>
      <c r="AW24" s="330" t="s">
        <v>250</v>
      </c>
      <c r="AX24" s="507" t="s">
        <v>249</v>
      </c>
      <c r="BA24" s="488"/>
      <c r="BC24" s="490"/>
      <c r="BD24" s="490"/>
      <c r="BE24" s="490"/>
      <c r="BF24" s="490"/>
    </row>
    <row r="25" spans="1:58" x14ac:dyDescent="0.3">
      <c r="A25" s="467" t="s">
        <v>232</v>
      </c>
      <c r="B25" s="471">
        <v>2001</v>
      </c>
      <c r="C25" s="472">
        <v>3068.5422432682035</v>
      </c>
      <c r="D25" s="473">
        <v>87778.905383187375</v>
      </c>
      <c r="E25" s="473">
        <v>45.56320300610362</v>
      </c>
      <c r="F25" s="473">
        <v>2045.6948288454687</v>
      </c>
      <c r="G25" s="473">
        <v>45.56320300610362</v>
      </c>
      <c r="H25" s="470"/>
      <c r="I25" s="470"/>
      <c r="J25" s="504"/>
      <c r="K25" s="499">
        <f t="shared" si="3"/>
        <v>92984.268861313278</v>
      </c>
      <c r="L25" s="527" t="s">
        <v>297</v>
      </c>
      <c r="M25" s="239" t="s">
        <v>46</v>
      </c>
      <c r="N25" s="544"/>
      <c r="O25" s="235"/>
      <c r="P25" s="234"/>
      <c r="Q25" s="544"/>
      <c r="R25" s="235"/>
      <c r="S25" s="234"/>
      <c r="T25" s="544"/>
      <c r="U25" s="235"/>
      <c r="V25" s="234"/>
      <c r="W25" s="544"/>
      <c r="X25" s="235"/>
      <c r="Y25" s="234"/>
      <c r="Z25" s="544"/>
      <c r="AA25" s="235"/>
      <c r="AB25" s="234"/>
      <c r="AC25" s="544"/>
      <c r="AD25" s="235"/>
      <c r="AE25" s="234"/>
      <c r="AF25" s="544"/>
      <c r="AG25" s="235"/>
      <c r="AH25" s="234"/>
      <c r="AI25" s="477"/>
      <c r="AJ25" s="235"/>
      <c r="AK25" s="241" t="str">
        <f t="shared" si="0"/>
        <v/>
      </c>
      <c r="AL25" s="548" t="str">
        <f t="shared" si="1"/>
        <v/>
      </c>
      <c r="AM25" s="280" t="str">
        <f t="shared" si="2"/>
        <v/>
      </c>
      <c r="AN25" s="306"/>
      <c r="AO25" s="487"/>
      <c r="AP25" s="479"/>
      <c r="AQ25" s="325"/>
      <c r="AR25" s="326"/>
      <c r="AS25" s="325"/>
      <c r="AT25" s="326"/>
      <c r="AU25" s="407"/>
      <c r="AV25" s="406" t="s">
        <v>46</v>
      </c>
      <c r="AW25" s="330" t="s">
        <v>250</v>
      </c>
      <c r="AX25" s="507" t="s">
        <v>249</v>
      </c>
      <c r="BA25" s="488"/>
      <c r="BC25" s="490"/>
      <c r="BD25" s="490"/>
      <c r="BE25" s="490"/>
      <c r="BF25" s="490"/>
    </row>
    <row r="26" spans="1:58" x14ac:dyDescent="0.3">
      <c r="A26" s="467" t="s">
        <v>232</v>
      </c>
      <c r="B26" s="471">
        <v>2002</v>
      </c>
      <c r="C26" s="539">
        <v>261.67591981135206</v>
      </c>
      <c r="D26" s="538">
        <v>6502.6466073120991</v>
      </c>
      <c r="E26" s="538">
        <v>170.08934787737883</v>
      </c>
      <c r="F26" s="538">
        <v>1936.4018066040053</v>
      </c>
      <c r="G26" s="538">
        <v>2891.5189139154404</v>
      </c>
      <c r="H26" s="540"/>
      <c r="I26" s="470">
        <v>1321.463395047328</v>
      </c>
      <c r="J26" s="541"/>
      <c r="K26" s="542">
        <f t="shared" si="3"/>
        <v>13083.795990567603</v>
      </c>
      <c r="L26" s="527" t="s">
        <v>297</v>
      </c>
      <c r="M26" s="239" t="s">
        <v>46</v>
      </c>
      <c r="N26" s="544"/>
      <c r="O26" s="235"/>
      <c r="P26" s="234"/>
      <c r="Q26" s="544"/>
      <c r="R26" s="235"/>
      <c r="S26" s="234"/>
      <c r="T26" s="544"/>
      <c r="U26" s="235"/>
      <c r="V26" s="234"/>
      <c r="W26" s="544"/>
      <c r="X26" s="235"/>
      <c r="Y26" s="234"/>
      <c r="Z26" s="544"/>
      <c r="AA26" s="235"/>
      <c r="AB26" s="234"/>
      <c r="AC26" s="544"/>
      <c r="AD26" s="235"/>
      <c r="AE26" s="234"/>
      <c r="AF26" s="544"/>
      <c r="AG26" s="235"/>
      <c r="AH26" s="234"/>
      <c r="AI26" s="477"/>
      <c r="AJ26" s="235"/>
      <c r="AK26" s="241" t="str">
        <f t="shared" si="0"/>
        <v/>
      </c>
      <c r="AL26" s="548" t="str">
        <f t="shared" si="1"/>
        <v/>
      </c>
      <c r="AM26" s="280" t="str">
        <f t="shared" si="2"/>
        <v/>
      </c>
      <c r="AN26" s="306"/>
      <c r="AO26" s="487"/>
      <c r="AP26" s="479"/>
      <c r="AQ26" s="325"/>
      <c r="AR26" s="326"/>
      <c r="AS26" s="325"/>
      <c r="AT26" s="326"/>
      <c r="AU26" s="407"/>
      <c r="AV26" s="406" t="s">
        <v>46</v>
      </c>
      <c r="AW26" s="330" t="s">
        <v>250</v>
      </c>
      <c r="AX26" s="507" t="s">
        <v>249</v>
      </c>
      <c r="BA26" s="488"/>
      <c r="BC26" s="490"/>
      <c r="BD26" s="490"/>
      <c r="BE26" s="490"/>
      <c r="BF26" s="490"/>
    </row>
    <row r="27" spans="1:58" x14ac:dyDescent="0.3">
      <c r="A27" s="467" t="s">
        <v>232</v>
      </c>
      <c r="B27" s="471">
        <v>2003</v>
      </c>
      <c r="C27" s="472">
        <v>10196.801442463664</v>
      </c>
      <c r="D27" s="473">
        <v>18235.155864259836</v>
      </c>
      <c r="E27" s="473">
        <v>1972.374001644431</v>
      </c>
      <c r="F27" s="473">
        <v>707.07747228762616</v>
      </c>
      <c r="G27" s="473">
        <v>297.71683043689524</v>
      </c>
      <c r="H27" s="470"/>
      <c r="I27" s="470">
        <v>334.93143424150713</v>
      </c>
      <c r="J27" s="541">
        <v>3684</v>
      </c>
      <c r="K27" s="542">
        <f t="shared" si="3"/>
        <v>35428.057045333961</v>
      </c>
      <c r="L27" s="527" t="s">
        <v>297</v>
      </c>
      <c r="M27" s="239" t="s">
        <v>46</v>
      </c>
      <c r="N27" s="544"/>
      <c r="O27" s="235"/>
      <c r="P27" s="234"/>
      <c r="Q27" s="544"/>
      <c r="R27" s="235"/>
      <c r="S27" s="234"/>
      <c r="T27" s="544"/>
      <c r="U27" s="235"/>
      <c r="V27" s="234"/>
      <c r="W27" s="544"/>
      <c r="X27" s="235"/>
      <c r="Y27" s="234"/>
      <c r="Z27" s="544"/>
      <c r="AA27" s="235"/>
      <c r="AB27" s="234"/>
      <c r="AC27" s="544"/>
      <c r="AD27" s="235"/>
      <c r="AE27" s="234"/>
      <c r="AF27" s="544"/>
      <c r="AG27" s="235"/>
      <c r="AH27" s="234"/>
      <c r="AI27" s="544"/>
      <c r="AJ27" s="235"/>
      <c r="AK27" s="241" t="str">
        <f t="shared" si="0"/>
        <v/>
      </c>
      <c r="AL27" s="548" t="str">
        <f t="shared" si="1"/>
        <v/>
      </c>
      <c r="AM27" s="280" t="str">
        <f t="shared" si="2"/>
        <v/>
      </c>
      <c r="AN27" s="306"/>
      <c r="AO27" s="487"/>
      <c r="AP27" s="479"/>
      <c r="AQ27" s="325"/>
      <c r="AR27" s="326"/>
      <c r="AS27" s="325"/>
      <c r="AT27" s="326"/>
      <c r="AU27" s="407"/>
      <c r="AV27" s="894" t="s">
        <v>451</v>
      </c>
      <c r="AW27" s="330" t="s">
        <v>250</v>
      </c>
      <c r="AX27" s="507" t="s">
        <v>249</v>
      </c>
      <c r="BA27" s="488"/>
      <c r="BC27" s="490"/>
      <c r="BD27" s="490"/>
      <c r="BE27" s="490"/>
      <c r="BF27" s="490"/>
    </row>
    <row r="28" spans="1:58" x14ac:dyDescent="0.3">
      <c r="A28" s="467" t="s">
        <v>232</v>
      </c>
      <c r="B28" s="471">
        <v>2004</v>
      </c>
      <c r="C28" s="472">
        <v>3242.2035158181948</v>
      </c>
      <c r="D28" s="473">
        <v>97684.454315296578</v>
      </c>
      <c r="E28" s="473">
        <v>313.76163056305109</v>
      </c>
      <c r="F28" s="509">
        <v>0</v>
      </c>
      <c r="G28" s="473">
        <v>1568.8081528152554</v>
      </c>
      <c r="H28" s="470"/>
      <c r="I28" s="470">
        <v>0</v>
      </c>
      <c r="J28" s="504">
        <v>1883</v>
      </c>
      <c r="K28" s="499">
        <f t="shared" si="3"/>
        <v>104692.22761449308</v>
      </c>
      <c r="L28" s="527" t="s">
        <v>297</v>
      </c>
      <c r="M28" s="239" t="s">
        <v>46</v>
      </c>
      <c r="N28" s="544"/>
      <c r="O28" s="235"/>
      <c r="P28" s="234"/>
      <c r="Q28" s="544"/>
      <c r="R28" s="235"/>
      <c r="S28" s="234"/>
      <c r="T28" s="544"/>
      <c r="U28" s="235"/>
      <c r="V28" s="234"/>
      <c r="W28" s="544"/>
      <c r="X28" s="235"/>
      <c r="Y28" s="234"/>
      <c r="Z28" s="544"/>
      <c r="AA28" s="235"/>
      <c r="AB28" s="234"/>
      <c r="AC28" s="544"/>
      <c r="AD28" s="235"/>
      <c r="AE28" s="234"/>
      <c r="AF28" s="544"/>
      <c r="AG28" s="235"/>
      <c r="AH28" s="234"/>
      <c r="AI28" s="544"/>
      <c r="AJ28" s="235"/>
      <c r="AK28" s="241" t="str">
        <f t="shared" si="0"/>
        <v/>
      </c>
      <c r="AL28" s="548" t="str">
        <f t="shared" si="1"/>
        <v/>
      </c>
      <c r="AM28" s="280" t="str">
        <f t="shared" si="2"/>
        <v/>
      </c>
      <c r="AN28" s="306"/>
      <c r="AO28" s="487"/>
      <c r="AP28" s="479"/>
      <c r="AQ28" s="325"/>
      <c r="AR28" s="326"/>
      <c r="AS28" s="325"/>
      <c r="AT28" s="326"/>
      <c r="AU28" s="407"/>
      <c r="AV28" s="406"/>
      <c r="AW28" s="330" t="s">
        <v>250</v>
      </c>
      <c r="AX28" s="507" t="s">
        <v>249</v>
      </c>
      <c r="BA28" s="488"/>
      <c r="BC28" s="490"/>
      <c r="BD28" s="490"/>
      <c r="BE28" s="490"/>
      <c r="BF28" s="490"/>
    </row>
    <row r="29" spans="1:58" x14ac:dyDescent="0.3">
      <c r="A29" s="467" t="s">
        <v>232</v>
      </c>
      <c r="B29" s="471">
        <v>2005</v>
      </c>
      <c r="C29" s="472">
        <v>1028.1654145204527</v>
      </c>
      <c r="D29" s="473">
        <v>61073.025622514899</v>
      </c>
      <c r="E29" s="473">
        <v>1576.5203022646942</v>
      </c>
      <c r="F29" s="473">
        <v>2673.2300777531773</v>
      </c>
      <c r="G29" s="473">
        <v>1302.3428583925736</v>
      </c>
      <c r="H29" s="470"/>
      <c r="I29" s="470">
        <v>959.62105355242261</v>
      </c>
      <c r="J29" s="504"/>
      <c r="K29" s="499">
        <f t="shared" si="3"/>
        <v>68612.905328998226</v>
      </c>
      <c r="L29" s="527" t="s">
        <v>297</v>
      </c>
      <c r="M29" s="239" t="s">
        <v>46</v>
      </c>
      <c r="N29" s="544"/>
      <c r="O29" s="235"/>
      <c r="P29" s="234"/>
      <c r="Q29" s="544"/>
      <c r="R29" s="235"/>
      <c r="S29" s="234"/>
      <c r="T29" s="544"/>
      <c r="U29" s="235"/>
      <c r="V29" s="234"/>
      <c r="W29" s="544"/>
      <c r="X29" s="235"/>
      <c r="Y29" s="234"/>
      <c r="Z29" s="544"/>
      <c r="AA29" s="235"/>
      <c r="AB29" s="234"/>
      <c r="AC29" s="544"/>
      <c r="AD29" s="235"/>
      <c r="AE29" s="234"/>
      <c r="AF29" s="544"/>
      <c r="AG29" s="235"/>
      <c r="AH29" s="234"/>
      <c r="AI29" s="477"/>
      <c r="AJ29" s="235"/>
      <c r="AK29" s="241" t="str">
        <f t="shared" si="0"/>
        <v/>
      </c>
      <c r="AL29" s="548" t="str">
        <f t="shared" si="1"/>
        <v/>
      </c>
      <c r="AM29" s="280" t="str">
        <f t="shared" si="2"/>
        <v/>
      </c>
      <c r="AN29" s="306"/>
      <c r="AO29" s="487"/>
      <c r="AP29" s="479"/>
      <c r="AQ29" s="325"/>
      <c r="AR29" s="326"/>
      <c r="AS29" s="325"/>
      <c r="AT29" s="326"/>
      <c r="AU29" s="407"/>
      <c r="AV29" s="406" t="s">
        <v>46</v>
      </c>
      <c r="AW29" s="330" t="s">
        <v>250</v>
      </c>
      <c r="AX29" s="507" t="s">
        <v>249</v>
      </c>
      <c r="BA29" s="488"/>
      <c r="BC29" s="490"/>
      <c r="BD29" s="490"/>
      <c r="BE29" s="490"/>
      <c r="BF29" s="490"/>
    </row>
    <row r="30" spans="1:58" x14ac:dyDescent="0.3">
      <c r="A30" s="467" t="s">
        <v>232</v>
      </c>
      <c r="B30" s="471">
        <v>2006</v>
      </c>
      <c r="C30" s="472">
        <v>62.987562014631493</v>
      </c>
      <c r="D30" s="473">
        <v>23368.38550742828</v>
      </c>
      <c r="E30" s="473">
        <v>0</v>
      </c>
      <c r="F30" s="473">
        <v>2897.4278526730482</v>
      </c>
      <c r="G30" s="473">
        <v>125.97512402926299</v>
      </c>
      <c r="H30" s="473"/>
      <c r="I30" s="470">
        <v>0</v>
      </c>
      <c r="J30" s="504"/>
      <c r="K30" s="499">
        <f t="shared" si="3"/>
        <v>26454.776046145224</v>
      </c>
      <c r="L30" s="527" t="s">
        <v>297</v>
      </c>
      <c r="M30" s="239" t="s">
        <v>46</v>
      </c>
      <c r="N30" s="544"/>
      <c r="O30" s="235"/>
      <c r="P30" s="234"/>
      <c r="Q30" s="544"/>
      <c r="R30" s="235"/>
      <c r="S30" s="234"/>
      <c r="T30" s="544"/>
      <c r="U30" s="235"/>
      <c r="V30" s="234"/>
      <c r="W30" s="544"/>
      <c r="X30" s="235"/>
      <c r="Y30" s="234"/>
      <c r="Z30" s="544"/>
      <c r="AA30" s="235"/>
      <c r="AB30" s="234"/>
      <c r="AC30" s="544"/>
      <c r="AD30" s="235"/>
      <c r="AE30" s="234"/>
      <c r="AF30" s="544"/>
      <c r="AG30" s="235"/>
      <c r="AH30" s="234"/>
      <c r="AI30" s="477"/>
      <c r="AJ30" s="235"/>
      <c r="AK30" s="241" t="str">
        <f t="shared" si="0"/>
        <v/>
      </c>
      <c r="AL30" s="548" t="str">
        <f t="shared" si="1"/>
        <v/>
      </c>
      <c r="AM30" s="280" t="str">
        <f t="shared" si="2"/>
        <v/>
      </c>
      <c r="AN30" s="306"/>
      <c r="AO30" s="487"/>
      <c r="AP30" s="479"/>
      <c r="AQ30" s="325"/>
      <c r="AR30" s="326"/>
      <c r="AS30" s="325"/>
      <c r="AT30" s="326"/>
      <c r="AU30" s="407"/>
      <c r="AV30" s="406" t="s">
        <v>46</v>
      </c>
      <c r="AW30" s="330" t="s">
        <v>250</v>
      </c>
      <c r="AX30" s="507" t="s">
        <v>249</v>
      </c>
      <c r="BA30" s="488"/>
      <c r="BC30" s="490"/>
      <c r="BD30" s="490"/>
      <c r="BE30" s="490"/>
      <c r="BF30" s="490"/>
    </row>
    <row r="31" spans="1:58" x14ac:dyDescent="0.3">
      <c r="A31" s="467" t="s">
        <v>232</v>
      </c>
      <c r="B31" s="471">
        <v>2007</v>
      </c>
      <c r="C31" s="472">
        <v>7572.1542617384075</v>
      </c>
      <c r="D31" s="473">
        <v>13685.453115251983</v>
      </c>
      <c r="E31" s="473">
        <v>1736.7326288390834</v>
      </c>
      <c r="F31" s="473">
        <v>3473.4652576781682</v>
      </c>
      <c r="G31" s="473">
        <v>277.87722061425347</v>
      </c>
      <c r="H31" s="473"/>
      <c r="I31" s="470">
        <v>0</v>
      </c>
      <c r="J31" s="504"/>
      <c r="K31" s="499">
        <f t="shared" si="3"/>
        <v>26745.682484121891</v>
      </c>
      <c r="L31" s="527" t="s">
        <v>297</v>
      </c>
      <c r="M31" s="239" t="s">
        <v>46</v>
      </c>
      <c r="N31" s="544"/>
      <c r="O31" s="235"/>
      <c r="P31" s="234"/>
      <c r="Q31" s="544"/>
      <c r="R31" s="235"/>
      <c r="S31" s="234"/>
      <c r="T31" s="544"/>
      <c r="U31" s="235"/>
      <c r="V31" s="234"/>
      <c r="W31" s="544"/>
      <c r="X31" s="235"/>
      <c r="Y31" s="234"/>
      <c r="Z31" s="544"/>
      <c r="AA31" s="235"/>
      <c r="AB31" s="234"/>
      <c r="AC31" s="544"/>
      <c r="AD31" s="235"/>
      <c r="AE31" s="234"/>
      <c r="AF31" s="544"/>
      <c r="AG31" s="235"/>
      <c r="AH31" s="234"/>
      <c r="AI31" s="477"/>
      <c r="AJ31" s="235"/>
      <c r="AK31" s="241" t="str">
        <f t="shared" si="0"/>
        <v/>
      </c>
      <c r="AL31" s="548" t="str">
        <f t="shared" si="1"/>
        <v/>
      </c>
      <c r="AM31" s="280" t="str">
        <f t="shared" si="2"/>
        <v/>
      </c>
      <c r="AN31" s="306"/>
      <c r="AO31" s="487"/>
      <c r="AP31" s="479"/>
      <c r="AQ31" s="325"/>
      <c r="AR31" s="326"/>
      <c r="AS31" s="325"/>
      <c r="AT31" s="326"/>
      <c r="AU31" s="407"/>
      <c r="AV31" s="406" t="s">
        <v>46</v>
      </c>
      <c r="AW31" s="330" t="s">
        <v>250</v>
      </c>
      <c r="AX31" s="507" t="s">
        <v>249</v>
      </c>
      <c r="BA31" s="488"/>
      <c r="BC31" s="490"/>
      <c r="BD31" s="490"/>
      <c r="BE31" s="490"/>
      <c r="BF31" s="490"/>
    </row>
    <row r="32" spans="1:58" x14ac:dyDescent="0.3">
      <c r="A32" s="467" t="s">
        <v>232</v>
      </c>
      <c r="B32" s="471">
        <v>2008</v>
      </c>
      <c r="C32" s="472">
        <v>9360.6329012716815</v>
      </c>
      <c r="D32" s="473">
        <v>189833.63523778971</v>
      </c>
      <c r="E32" s="473">
        <v>0</v>
      </c>
      <c r="F32" s="473">
        <v>1872.1265802543367</v>
      </c>
      <c r="G32" s="473">
        <v>748.85063210173462</v>
      </c>
      <c r="H32" s="473"/>
      <c r="I32" s="470"/>
      <c r="J32" s="504"/>
      <c r="K32" s="499">
        <f t="shared" si="3"/>
        <v>201815.24535141748</v>
      </c>
      <c r="L32" s="527" t="s">
        <v>297</v>
      </c>
      <c r="M32" s="239" t="s">
        <v>46</v>
      </c>
      <c r="N32" s="544"/>
      <c r="O32" s="235"/>
      <c r="P32" s="234"/>
      <c r="Q32" s="544"/>
      <c r="R32" s="235"/>
      <c r="S32" s="234"/>
      <c r="T32" s="544"/>
      <c r="U32" s="235"/>
      <c r="V32" s="234"/>
      <c r="W32" s="544"/>
      <c r="X32" s="235"/>
      <c r="Y32" s="234"/>
      <c r="Z32" s="544"/>
      <c r="AA32" s="235"/>
      <c r="AB32" s="234"/>
      <c r="AC32" s="544"/>
      <c r="AD32" s="235"/>
      <c r="AE32" s="234"/>
      <c r="AF32" s="544"/>
      <c r="AG32" s="235"/>
      <c r="AH32" s="234"/>
      <c r="AI32" s="477"/>
      <c r="AJ32" s="235"/>
      <c r="AK32" s="241" t="str">
        <f t="shared" si="0"/>
        <v/>
      </c>
      <c r="AL32" s="548" t="str">
        <f t="shared" si="1"/>
        <v/>
      </c>
      <c r="AM32" s="280" t="str">
        <f t="shared" si="2"/>
        <v/>
      </c>
      <c r="AN32" s="306"/>
      <c r="AO32" s="487"/>
      <c r="AP32" s="479"/>
      <c r="AQ32" s="325"/>
      <c r="AR32" s="326"/>
      <c r="AS32" s="325"/>
      <c r="AT32" s="326"/>
      <c r="AU32" s="407"/>
      <c r="AV32" s="406" t="s">
        <v>46</v>
      </c>
      <c r="AW32" s="330" t="s">
        <v>250</v>
      </c>
      <c r="AX32" s="507" t="s">
        <v>249</v>
      </c>
      <c r="BA32" s="488"/>
      <c r="BC32" s="490"/>
      <c r="BD32" s="490"/>
      <c r="BE32" s="490"/>
      <c r="BF32" s="490"/>
    </row>
    <row r="33" spans="1:58" x14ac:dyDescent="0.3">
      <c r="A33" s="467" t="s">
        <v>232</v>
      </c>
      <c r="B33" s="471">
        <v>2009</v>
      </c>
      <c r="C33" s="472">
        <v>5811.9475302808078</v>
      </c>
      <c r="D33" s="473">
        <v>145982.44678999443</v>
      </c>
      <c r="E33" s="473">
        <v>0</v>
      </c>
      <c r="F33" s="473">
        <v>8888.8609286647643</v>
      </c>
      <c r="G33" s="473">
        <v>5470.0682637937016</v>
      </c>
      <c r="H33" s="473"/>
      <c r="I33" s="470">
        <v>0</v>
      </c>
      <c r="J33" s="504"/>
      <c r="K33" s="499">
        <f t="shared" si="3"/>
        <v>166153.32351273371</v>
      </c>
      <c r="L33" s="527" t="s">
        <v>297</v>
      </c>
      <c r="M33" s="239" t="s">
        <v>46</v>
      </c>
      <c r="N33" s="544"/>
      <c r="O33" s="235"/>
      <c r="P33" s="234"/>
      <c r="Q33" s="544"/>
      <c r="R33" s="235"/>
      <c r="S33" s="234"/>
      <c r="T33" s="544"/>
      <c r="U33" s="235"/>
      <c r="V33" s="234"/>
      <c r="W33" s="544"/>
      <c r="X33" s="235"/>
      <c r="Y33" s="234"/>
      <c r="Z33" s="544"/>
      <c r="AA33" s="235"/>
      <c r="AB33" s="234"/>
      <c r="AC33" s="544"/>
      <c r="AD33" s="235"/>
      <c r="AE33" s="234"/>
      <c r="AF33" s="544"/>
      <c r="AG33" s="235"/>
      <c r="AH33" s="234"/>
      <c r="AI33" s="477"/>
      <c r="AJ33" s="235"/>
      <c r="AK33" s="241" t="str">
        <f t="shared" si="0"/>
        <v/>
      </c>
      <c r="AL33" s="548" t="str">
        <f t="shared" si="1"/>
        <v/>
      </c>
      <c r="AM33" s="280" t="str">
        <f t="shared" si="2"/>
        <v/>
      </c>
      <c r="AN33" s="306"/>
      <c r="AO33" s="487"/>
      <c r="AP33" s="479"/>
      <c r="AQ33" s="325"/>
      <c r="AR33" s="326"/>
      <c r="AS33" s="325"/>
      <c r="AT33" s="326"/>
      <c r="AU33" s="407"/>
      <c r="AV33" s="406" t="s">
        <v>46</v>
      </c>
      <c r="AW33" s="330" t="s">
        <v>250</v>
      </c>
      <c r="AX33" s="507" t="s">
        <v>249</v>
      </c>
      <c r="BA33" s="488"/>
      <c r="BC33" s="490"/>
      <c r="BD33" s="490"/>
      <c r="BE33" s="490"/>
      <c r="BF33" s="490"/>
    </row>
    <row r="34" spans="1:58" x14ac:dyDescent="0.3">
      <c r="A34" s="467" t="s">
        <v>232</v>
      </c>
      <c r="B34" s="471">
        <v>2010</v>
      </c>
      <c r="C34" s="472">
        <v>3269.175745795676</v>
      </c>
      <c r="D34" s="473">
        <v>331427.7294384673</v>
      </c>
      <c r="E34" s="473">
        <v>6302.317002744905</v>
      </c>
      <c r="F34" s="473">
        <v>27433.615188418993</v>
      </c>
      <c r="G34" s="473">
        <v>2224.3471774393779</v>
      </c>
      <c r="H34" s="473"/>
      <c r="I34" s="470"/>
      <c r="J34" s="504"/>
      <c r="K34" s="499">
        <f t="shared" si="3"/>
        <v>370657.18455286621</v>
      </c>
      <c r="L34" s="527" t="s">
        <v>297</v>
      </c>
      <c r="M34" s="239" t="s">
        <v>46</v>
      </c>
      <c r="N34" s="544"/>
      <c r="O34" s="235"/>
      <c r="P34" s="234"/>
      <c r="Q34" s="544"/>
      <c r="R34" s="235"/>
      <c r="S34" s="234"/>
      <c r="T34" s="544"/>
      <c r="U34" s="235"/>
      <c r="V34" s="234"/>
      <c r="W34" s="544"/>
      <c r="X34" s="235"/>
      <c r="Y34" s="234"/>
      <c r="Z34" s="544"/>
      <c r="AA34" s="235"/>
      <c r="AB34" s="234"/>
      <c r="AC34" s="544"/>
      <c r="AD34" s="235"/>
      <c r="AE34" s="234"/>
      <c r="AF34" s="544"/>
      <c r="AG34" s="235"/>
      <c r="AH34" s="234"/>
      <c r="AI34" s="477"/>
      <c r="AJ34" s="235"/>
      <c r="AK34" s="241" t="str">
        <f t="shared" si="0"/>
        <v/>
      </c>
      <c r="AL34" s="548" t="str">
        <f t="shared" si="1"/>
        <v/>
      </c>
      <c r="AM34" s="280" t="str">
        <f t="shared" si="2"/>
        <v/>
      </c>
      <c r="AN34" s="306"/>
      <c r="AO34" s="487"/>
      <c r="AP34" s="479"/>
      <c r="AQ34" s="325"/>
      <c r="AR34" s="326"/>
      <c r="AS34" s="325"/>
      <c r="AT34" s="326"/>
      <c r="AU34" s="407"/>
      <c r="AV34" s="894" t="s">
        <v>460</v>
      </c>
      <c r="AW34" s="330" t="s">
        <v>250</v>
      </c>
      <c r="AX34" s="507" t="s">
        <v>249</v>
      </c>
      <c r="BA34" s="488"/>
      <c r="BC34" s="490"/>
      <c r="BD34" s="490"/>
      <c r="BE34" s="490"/>
      <c r="BF34" s="490"/>
    </row>
    <row r="35" spans="1:58" x14ac:dyDescent="0.3">
      <c r="A35" s="467" t="s">
        <v>232</v>
      </c>
      <c r="B35" s="471">
        <v>2011</v>
      </c>
      <c r="C35" s="472">
        <v>27709.144043262459</v>
      </c>
      <c r="D35" s="473">
        <v>101092.70134464986</v>
      </c>
      <c r="E35" s="473">
        <v>6546.6659003312398</v>
      </c>
      <c r="F35" s="473">
        <v>10809.611137756234</v>
      </c>
      <c r="G35" s="473">
        <v>6089.921767749991</v>
      </c>
      <c r="H35" s="473"/>
      <c r="I35" s="470">
        <v>0</v>
      </c>
      <c r="J35" s="504"/>
      <c r="K35" s="499">
        <f t="shared" si="3"/>
        <v>152248.04419374981</v>
      </c>
      <c r="L35" s="527" t="s">
        <v>297</v>
      </c>
      <c r="M35" s="239" t="s">
        <v>46</v>
      </c>
      <c r="N35" s="544"/>
      <c r="O35" s="235"/>
      <c r="P35" s="234"/>
      <c r="Q35" s="544"/>
      <c r="R35" s="235"/>
      <c r="S35" s="234"/>
      <c r="T35" s="544"/>
      <c r="U35" s="235"/>
      <c r="V35" s="234"/>
      <c r="W35" s="544"/>
      <c r="X35" s="235"/>
      <c r="Y35" s="234"/>
      <c r="Z35" s="544"/>
      <c r="AA35" s="235"/>
      <c r="AB35" s="234"/>
      <c r="AC35" s="544"/>
      <c r="AD35" s="235"/>
      <c r="AE35" s="234"/>
      <c r="AF35" s="544"/>
      <c r="AG35" s="235"/>
      <c r="AH35" s="234"/>
      <c r="AI35" s="477"/>
      <c r="AJ35" s="235"/>
      <c r="AK35" s="241" t="str">
        <f t="shared" si="0"/>
        <v/>
      </c>
      <c r="AL35" s="548" t="str">
        <f t="shared" si="1"/>
        <v/>
      </c>
      <c r="AM35" s="280" t="str">
        <f t="shared" si="2"/>
        <v/>
      </c>
      <c r="AN35" s="306"/>
      <c r="AO35" s="487"/>
      <c r="AP35" s="479"/>
      <c r="AQ35" s="325"/>
      <c r="AR35" s="326"/>
      <c r="AS35" s="325"/>
      <c r="AT35" s="326"/>
      <c r="AU35" s="407"/>
      <c r="AV35" s="406"/>
      <c r="AW35" s="330" t="s">
        <v>250</v>
      </c>
      <c r="AX35" s="507" t="s">
        <v>249</v>
      </c>
      <c r="BA35" s="488"/>
      <c r="BC35" s="490"/>
      <c r="BD35" s="490"/>
      <c r="BE35" s="490"/>
      <c r="BF35" s="490"/>
    </row>
    <row r="36" spans="1:58" x14ac:dyDescent="0.3">
      <c r="A36" s="467" t="s">
        <v>232</v>
      </c>
      <c r="B36" s="471">
        <v>2012</v>
      </c>
      <c r="C36" s="472">
        <v>1294.5947142083148</v>
      </c>
      <c r="D36" s="473">
        <v>419017.15583209117</v>
      </c>
      <c r="E36" s="473">
        <v>3020.7209998194012</v>
      </c>
      <c r="F36" s="473">
        <v>3020.7209998194012</v>
      </c>
      <c r="G36" s="473">
        <v>5178.3788568332593</v>
      </c>
      <c r="H36" s="473"/>
      <c r="I36" s="470"/>
      <c r="J36" s="504"/>
      <c r="K36" s="499">
        <f t="shared" si="3"/>
        <v>431531.57140277157</v>
      </c>
      <c r="L36" s="527" t="s">
        <v>297</v>
      </c>
      <c r="M36" s="239" t="s">
        <v>46</v>
      </c>
      <c r="N36" s="544"/>
      <c r="O36" s="235"/>
      <c r="P36" s="234"/>
      <c r="Q36" s="544"/>
      <c r="R36" s="235"/>
      <c r="S36" s="234"/>
      <c r="T36" s="544"/>
      <c r="U36" s="235"/>
      <c r="V36" s="234"/>
      <c r="W36" s="544"/>
      <c r="X36" s="235"/>
      <c r="Y36" s="234"/>
      <c r="Z36" s="544"/>
      <c r="AA36" s="235"/>
      <c r="AB36" s="234"/>
      <c r="AC36" s="544"/>
      <c r="AD36" s="235"/>
      <c r="AE36" s="234"/>
      <c r="AF36" s="544"/>
      <c r="AG36" s="235"/>
      <c r="AH36" s="234"/>
      <c r="AI36" s="477"/>
      <c r="AJ36" s="235"/>
      <c r="AK36" s="241" t="str">
        <f t="shared" si="0"/>
        <v/>
      </c>
      <c r="AL36" s="548" t="str">
        <f t="shared" si="1"/>
        <v/>
      </c>
      <c r="AM36" s="280" t="str">
        <f t="shared" si="2"/>
        <v/>
      </c>
      <c r="AN36" s="306"/>
      <c r="AO36" s="487"/>
      <c r="AP36" s="479"/>
      <c r="AQ36" s="325"/>
      <c r="AR36" s="326"/>
      <c r="AS36" s="325"/>
      <c r="AT36" s="326"/>
      <c r="AU36" s="407"/>
      <c r="AV36" s="406" t="s">
        <v>46</v>
      </c>
      <c r="AW36" s="330" t="s">
        <v>250</v>
      </c>
      <c r="AX36" s="507" t="s">
        <v>249</v>
      </c>
      <c r="BA36" s="488"/>
      <c r="BC36" s="490"/>
      <c r="BD36" s="490"/>
      <c r="BE36" s="490"/>
      <c r="BF36" s="490"/>
    </row>
    <row r="37" spans="1:58" x14ac:dyDescent="0.3">
      <c r="A37" s="467" t="s">
        <v>232</v>
      </c>
      <c r="B37" s="471">
        <v>2013</v>
      </c>
      <c r="C37" s="472">
        <v>38974.119703299555</v>
      </c>
      <c r="D37" s="473">
        <v>105147.19953996562</v>
      </c>
      <c r="E37" s="473">
        <v>0</v>
      </c>
      <c r="F37" s="473">
        <v>13433.632748796868</v>
      </c>
      <c r="G37" s="473">
        <v>8292.3658943190549</v>
      </c>
      <c r="H37" s="473"/>
      <c r="I37" s="470"/>
      <c r="J37" s="504"/>
      <c r="K37" s="499">
        <f t="shared" si="3"/>
        <v>165847.31788638109</v>
      </c>
      <c r="L37" s="527" t="s">
        <v>297</v>
      </c>
      <c r="M37" s="239" t="s">
        <v>46</v>
      </c>
      <c r="N37" s="544"/>
      <c r="O37" s="235"/>
      <c r="P37" s="234"/>
      <c r="Q37" s="544"/>
      <c r="R37" s="235"/>
      <c r="S37" s="234"/>
      <c r="T37" s="544"/>
      <c r="U37" s="235"/>
      <c r="V37" s="234"/>
      <c r="W37" s="544"/>
      <c r="X37" s="235"/>
      <c r="Y37" s="234"/>
      <c r="Z37" s="544"/>
      <c r="AA37" s="235"/>
      <c r="AB37" s="234"/>
      <c r="AC37" s="544"/>
      <c r="AD37" s="235"/>
      <c r="AE37" s="234"/>
      <c r="AF37" s="544"/>
      <c r="AG37" s="235"/>
      <c r="AH37" s="234"/>
      <c r="AI37" s="477"/>
      <c r="AJ37" s="235"/>
      <c r="AK37" s="241" t="str">
        <f t="shared" si="0"/>
        <v/>
      </c>
      <c r="AL37" s="548" t="str">
        <f t="shared" si="1"/>
        <v/>
      </c>
      <c r="AM37" s="280" t="str">
        <f t="shared" si="2"/>
        <v/>
      </c>
      <c r="AN37" s="306"/>
      <c r="AO37" s="487"/>
      <c r="AP37" s="479"/>
      <c r="AQ37" s="325"/>
      <c r="AR37" s="326"/>
      <c r="AS37" s="325"/>
      <c r="AT37" s="326"/>
      <c r="AU37" s="407"/>
      <c r="AV37" s="406" t="s">
        <v>46</v>
      </c>
      <c r="AW37" s="330" t="s">
        <v>250</v>
      </c>
      <c r="AX37" s="507" t="s">
        <v>249</v>
      </c>
      <c r="BA37" s="488"/>
      <c r="BC37" s="490"/>
      <c r="BD37" s="490"/>
      <c r="BE37" s="490"/>
      <c r="BF37" s="490"/>
    </row>
    <row r="38" spans="1:58" x14ac:dyDescent="0.3">
      <c r="A38" s="467" t="s">
        <v>232</v>
      </c>
      <c r="B38" s="471">
        <v>2014</v>
      </c>
      <c r="C38" s="472">
        <v>48752.338950510741</v>
      </c>
      <c r="D38" s="473">
        <v>524295.22666972619</v>
      </c>
      <c r="E38" s="473">
        <v>0</v>
      </c>
      <c r="F38" s="473">
        <v>17792.82443449297</v>
      </c>
      <c r="G38" s="473">
        <v>2372.3765912657295</v>
      </c>
      <c r="H38" s="473"/>
      <c r="I38" s="470"/>
      <c r="J38" s="504"/>
      <c r="K38" s="499">
        <f t="shared" si="3"/>
        <v>593212.76664599567</v>
      </c>
      <c r="L38" s="527" t="s">
        <v>297</v>
      </c>
      <c r="M38" s="239" t="s">
        <v>46</v>
      </c>
      <c r="N38" s="544"/>
      <c r="O38" s="235"/>
      <c r="P38" s="234"/>
      <c r="Q38" s="544"/>
      <c r="R38" s="235"/>
      <c r="S38" s="234"/>
      <c r="T38" s="544"/>
      <c r="U38" s="235"/>
      <c r="V38" s="234"/>
      <c r="W38" s="544"/>
      <c r="X38" s="235"/>
      <c r="Y38" s="234"/>
      <c r="Z38" s="544"/>
      <c r="AA38" s="235"/>
      <c r="AB38" s="234"/>
      <c r="AC38" s="544"/>
      <c r="AD38" s="235"/>
      <c r="AE38" s="234"/>
      <c r="AF38" s="544"/>
      <c r="AG38" s="235"/>
      <c r="AH38" s="234"/>
      <c r="AI38" s="477"/>
      <c r="AJ38" s="235"/>
      <c r="AK38" s="241" t="str">
        <f t="shared" si="0"/>
        <v/>
      </c>
      <c r="AL38" s="548" t="str">
        <f t="shared" si="1"/>
        <v/>
      </c>
      <c r="AM38" s="280" t="str">
        <f t="shared" si="2"/>
        <v/>
      </c>
      <c r="AN38" s="306"/>
      <c r="AO38" s="487"/>
      <c r="AP38" s="479"/>
      <c r="AQ38" s="325"/>
      <c r="AR38" s="326"/>
      <c r="AS38" s="325"/>
      <c r="AT38" s="326"/>
      <c r="AU38" s="407"/>
      <c r="AV38" s="406" t="s">
        <v>46</v>
      </c>
      <c r="AW38" s="330" t="s">
        <v>250</v>
      </c>
      <c r="AX38" s="507" t="s">
        <v>249</v>
      </c>
      <c r="BA38" s="488"/>
      <c r="BC38" s="490"/>
      <c r="BD38" s="490"/>
      <c r="BE38" s="490"/>
      <c r="BF38" s="490"/>
    </row>
    <row r="39" spans="1:58" x14ac:dyDescent="0.3">
      <c r="A39" s="467" t="s">
        <v>232</v>
      </c>
      <c r="B39" s="471">
        <v>2015</v>
      </c>
      <c r="C39" s="472">
        <v>315.03460114805</v>
      </c>
      <c r="D39" s="473">
        <v>307158.73611934873</v>
      </c>
      <c r="E39" s="473">
        <v>0</v>
      </c>
      <c r="F39" s="473">
        <v>315.03460114805</v>
      </c>
      <c r="G39" s="473">
        <v>6930.7612252570989</v>
      </c>
      <c r="H39" s="473"/>
      <c r="I39" s="470"/>
      <c r="J39" s="504"/>
      <c r="K39" s="499">
        <f t="shared" si="3"/>
        <v>314719.56654690194</v>
      </c>
      <c r="L39" s="527" t="s">
        <v>297</v>
      </c>
      <c r="M39" s="239" t="s">
        <v>46</v>
      </c>
      <c r="N39" s="544"/>
      <c r="O39" s="235"/>
      <c r="P39" s="234"/>
      <c r="Q39" s="544"/>
      <c r="R39" s="235"/>
      <c r="S39" s="234"/>
      <c r="T39" s="544"/>
      <c r="U39" s="235"/>
      <c r="V39" s="234"/>
      <c r="W39" s="544"/>
      <c r="X39" s="235"/>
      <c r="Y39" s="234"/>
      <c r="Z39" s="544"/>
      <c r="AA39" s="235"/>
      <c r="AB39" s="234"/>
      <c r="AC39" s="544"/>
      <c r="AD39" s="235"/>
      <c r="AE39" s="234"/>
      <c r="AF39" s="544"/>
      <c r="AG39" s="235"/>
      <c r="AH39" s="234"/>
      <c r="AI39" s="477"/>
      <c r="AJ39" s="235"/>
      <c r="AK39" s="241" t="str">
        <f t="shared" si="0"/>
        <v/>
      </c>
      <c r="AL39" s="548" t="str">
        <f t="shared" si="1"/>
        <v/>
      </c>
      <c r="AM39" s="280" t="str">
        <f t="shared" si="2"/>
        <v/>
      </c>
      <c r="AN39" s="306"/>
      <c r="AO39" s="487"/>
      <c r="AP39" s="479"/>
      <c r="AQ39" s="325"/>
      <c r="AR39" s="326"/>
      <c r="AS39" s="325"/>
      <c r="AT39" s="326"/>
      <c r="AU39" s="407"/>
      <c r="AV39" s="894" t="s">
        <v>500</v>
      </c>
      <c r="AW39" s="330" t="s">
        <v>250</v>
      </c>
      <c r="AX39" s="507" t="s">
        <v>249</v>
      </c>
      <c r="BA39" s="488"/>
      <c r="BC39" s="490"/>
      <c r="BD39" s="490"/>
      <c r="BE39" s="490"/>
      <c r="BF39" s="490"/>
    </row>
    <row r="40" spans="1:58" x14ac:dyDescent="0.3">
      <c r="A40" s="467" t="s">
        <v>232</v>
      </c>
      <c r="B40" s="471">
        <v>2016</v>
      </c>
      <c r="C40" s="472">
        <v>2764.0391273155315</v>
      </c>
      <c r="D40" s="473">
        <v>264518.54448409635</v>
      </c>
      <c r="E40" s="473">
        <v>829.21173819465946</v>
      </c>
      <c r="F40" s="473">
        <v>6910.0978182888284</v>
      </c>
      <c r="G40" s="473">
        <v>1382.0195636577657</v>
      </c>
      <c r="H40" s="473"/>
      <c r="I40" s="470"/>
      <c r="J40" s="504"/>
      <c r="K40" s="499">
        <f t="shared" si="3"/>
        <v>276403.91273155314</v>
      </c>
      <c r="L40" s="527" t="s">
        <v>297</v>
      </c>
      <c r="M40" s="239" t="s">
        <v>46</v>
      </c>
      <c r="N40" s="544"/>
      <c r="O40" s="235"/>
      <c r="P40" s="234"/>
      <c r="Q40" s="544"/>
      <c r="R40" s="235"/>
      <c r="S40" s="234"/>
      <c r="T40" s="544"/>
      <c r="U40" s="235"/>
      <c r="V40" s="234"/>
      <c r="W40" s="544"/>
      <c r="X40" s="235"/>
      <c r="Y40" s="234"/>
      <c r="Z40" s="544"/>
      <c r="AA40" s="235"/>
      <c r="AB40" s="234"/>
      <c r="AC40" s="544"/>
      <c r="AD40" s="235"/>
      <c r="AE40" s="234"/>
      <c r="AF40" s="544"/>
      <c r="AG40" s="235"/>
      <c r="AH40" s="234"/>
      <c r="AI40" s="477"/>
      <c r="AJ40" s="235"/>
      <c r="AK40" s="241" t="str">
        <f t="shared" si="0"/>
        <v/>
      </c>
      <c r="AL40" s="548" t="str">
        <f t="shared" si="1"/>
        <v/>
      </c>
      <c r="AM40" s="280" t="str">
        <f t="shared" si="2"/>
        <v/>
      </c>
      <c r="AN40" s="306"/>
      <c r="AO40" s="487"/>
      <c r="AP40" s="479"/>
      <c r="AQ40" s="325"/>
      <c r="AR40" s="326"/>
      <c r="AS40" s="325"/>
      <c r="AT40" s="326"/>
      <c r="AU40" s="407"/>
      <c r="AV40" s="406"/>
      <c r="AW40" s="330" t="s">
        <v>250</v>
      </c>
      <c r="AX40" s="507" t="s">
        <v>249</v>
      </c>
      <c r="BA40" s="488"/>
      <c r="BC40" s="490"/>
      <c r="BD40" s="490"/>
      <c r="BE40" s="490"/>
      <c r="BF40" s="490"/>
    </row>
    <row r="41" spans="1:58" x14ac:dyDescent="0.3">
      <c r="A41" s="467" t="s">
        <v>232</v>
      </c>
      <c r="B41" s="471">
        <v>2017</v>
      </c>
      <c r="C41" s="472">
        <v>2099.7488617599356</v>
      </c>
      <c r="D41" s="473">
        <v>41939.72068620503</v>
      </c>
      <c r="E41" s="473">
        <v>828.84823490523775</v>
      </c>
      <c r="F41" s="473">
        <v>10001.435367856535</v>
      </c>
      <c r="G41" s="473">
        <v>386.79584295577763</v>
      </c>
      <c r="H41" s="473"/>
      <c r="I41" s="470">
        <v>0</v>
      </c>
      <c r="J41" s="504"/>
      <c r="K41" s="499">
        <f t="shared" si="3"/>
        <v>55256.548993682518</v>
      </c>
      <c r="L41" s="527" t="s">
        <v>297</v>
      </c>
      <c r="M41" s="239" t="s">
        <v>46</v>
      </c>
      <c r="N41" s="544"/>
      <c r="O41" s="235"/>
      <c r="P41" s="234"/>
      <c r="Q41" s="544"/>
      <c r="R41" s="235"/>
      <c r="S41" s="234"/>
      <c r="T41" s="544"/>
      <c r="U41" s="235"/>
      <c r="V41" s="234"/>
      <c r="W41" s="544"/>
      <c r="X41" s="235"/>
      <c r="Y41" s="234"/>
      <c r="Z41" s="544"/>
      <c r="AA41" s="235"/>
      <c r="AB41" s="234"/>
      <c r="AC41" s="544"/>
      <c r="AD41" s="235"/>
      <c r="AE41" s="234"/>
      <c r="AF41" s="544"/>
      <c r="AG41" s="235"/>
      <c r="AH41" s="234"/>
      <c r="AI41" s="477"/>
      <c r="AJ41" s="235"/>
      <c r="AK41" s="241" t="str">
        <f t="shared" si="0"/>
        <v/>
      </c>
      <c r="AL41" s="548" t="str">
        <f t="shared" si="1"/>
        <v/>
      </c>
      <c r="AM41" s="280" t="str">
        <f t="shared" si="2"/>
        <v/>
      </c>
      <c r="AN41" s="306"/>
      <c r="AO41" s="487"/>
      <c r="AP41" s="479"/>
      <c r="AQ41" s="325"/>
      <c r="AR41" s="326"/>
      <c r="AS41" s="325"/>
      <c r="AT41" s="326"/>
      <c r="AU41" s="407"/>
      <c r="AV41" s="406"/>
      <c r="AW41" s="330" t="s">
        <v>250</v>
      </c>
      <c r="AX41" s="507" t="s">
        <v>249</v>
      </c>
      <c r="BA41" s="488"/>
      <c r="BC41" s="490"/>
      <c r="BD41" s="490"/>
      <c r="BE41" s="490"/>
      <c r="BF41" s="490"/>
    </row>
    <row r="42" spans="1:58" x14ac:dyDescent="0.3">
      <c r="A42" s="467" t="s">
        <v>232</v>
      </c>
      <c r="B42" s="471">
        <v>2018</v>
      </c>
      <c r="C42" s="472">
        <v>532.10921940875926</v>
      </c>
      <c r="D42" s="473">
        <v>198722.32770996355</v>
      </c>
      <c r="E42" s="473">
        <v>532.10921940875926</v>
      </c>
      <c r="F42" s="473">
        <v>4297.8052336861329</v>
      </c>
      <c r="G42" s="473">
        <v>532.10921940875926</v>
      </c>
      <c r="H42" s="473"/>
      <c r="I42" s="470"/>
      <c r="J42" s="504"/>
      <c r="K42" s="499">
        <f t="shared" si="3"/>
        <v>204616.460601876</v>
      </c>
      <c r="L42" s="527" t="s">
        <v>297</v>
      </c>
      <c r="M42" s="239" t="s">
        <v>46</v>
      </c>
      <c r="N42" s="544"/>
      <c r="O42" s="235"/>
      <c r="P42" s="234"/>
      <c r="Q42" s="544"/>
      <c r="R42" s="235"/>
      <c r="S42" s="234"/>
      <c r="T42" s="544"/>
      <c r="U42" s="235"/>
      <c r="V42" s="234"/>
      <c r="W42" s="544"/>
      <c r="X42" s="235"/>
      <c r="Y42" s="234"/>
      <c r="Z42" s="544"/>
      <c r="AA42" s="235"/>
      <c r="AB42" s="234"/>
      <c r="AC42" s="544"/>
      <c r="AD42" s="235"/>
      <c r="AE42" s="234"/>
      <c r="AF42" s="544"/>
      <c r="AG42" s="235"/>
      <c r="AH42" s="234"/>
      <c r="AI42" s="477"/>
      <c r="AJ42" s="235"/>
      <c r="AK42" s="241" t="str">
        <f t="shared" si="0"/>
        <v/>
      </c>
      <c r="AL42" s="548" t="str">
        <f t="shared" si="1"/>
        <v/>
      </c>
      <c r="AM42" s="280" t="str">
        <f t="shared" si="2"/>
        <v/>
      </c>
      <c r="AN42" s="306"/>
      <c r="AO42" s="487"/>
      <c r="AP42" s="479"/>
      <c r="AQ42" s="325"/>
      <c r="AR42" s="326"/>
      <c r="AS42" s="325"/>
      <c r="AT42" s="326"/>
      <c r="AU42" s="407"/>
      <c r="AV42" s="374"/>
      <c r="AW42" s="330" t="s">
        <v>250</v>
      </c>
      <c r="AX42" s="507" t="s">
        <v>249</v>
      </c>
      <c r="BA42" s="488"/>
      <c r="BC42" s="490"/>
      <c r="BD42" s="490"/>
      <c r="BE42" s="490"/>
      <c r="BF42" s="490"/>
    </row>
    <row r="43" spans="1:58" x14ac:dyDescent="0.3">
      <c r="A43" s="467" t="s">
        <v>232</v>
      </c>
      <c r="B43" s="471">
        <v>2019</v>
      </c>
      <c r="C43" s="472">
        <v>11277.419017092674</v>
      </c>
      <c r="D43" s="473">
        <v>33039.789768995834</v>
      </c>
      <c r="E43" s="473">
        <v>121.91804342802891</v>
      </c>
      <c r="F43" s="473">
        <v>16276.058797641859</v>
      </c>
      <c r="G43" s="473">
        <v>243.83608685605782</v>
      </c>
      <c r="H43" s="473"/>
      <c r="I43" s="470">
        <v>0</v>
      </c>
      <c r="J43" s="504"/>
      <c r="K43" s="499">
        <f t="shared" si="3"/>
        <v>60959.021714014452</v>
      </c>
      <c r="L43" s="527" t="s">
        <v>297</v>
      </c>
      <c r="M43" s="239" t="s">
        <v>46</v>
      </c>
      <c r="N43" s="544"/>
      <c r="O43" s="235"/>
      <c r="P43" s="234"/>
      <c r="Q43" s="544"/>
      <c r="R43" s="235"/>
      <c r="S43" s="234"/>
      <c r="T43" s="544"/>
      <c r="U43" s="235"/>
      <c r="V43" s="234"/>
      <c r="W43" s="544"/>
      <c r="X43" s="235"/>
      <c r="Y43" s="234"/>
      <c r="Z43" s="544"/>
      <c r="AA43" s="235"/>
      <c r="AB43" s="234"/>
      <c r="AC43" s="544"/>
      <c r="AD43" s="235"/>
      <c r="AE43" s="234"/>
      <c r="AF43" s="544"/>
      <c r="AG43" s="235"/>
      <c r="AH43" s="234"/>
      <c r="AI43" s="477"/>
      <c r="AJ43" s="235"/>
      <c r="AK43" s="241" t="str">
        <f t="shared" si="0"/>
        <v/>
      </c>
      <c r="AL43" s="548" t="str">
        <f t="shared" si="1"/>
        <v/>
      </c>
      <c r="AM43" s="280" t="str">
        <f t="shared" si="2"/>
        <v/>
      </c>
      <c r="AN43" s="306"/>
      <c r="AO43" s="487"/>
      <c r="AP43" s="479"/>
      <c r="AQ43" s="325"/>
      <c r="AR43" s="326"/>
      <c r="AS43" s="325"/>
      <c r="AT43" s="326"/>
      <c r="AU43" s="407"/>
      <c r="AV43" s="374"/>
      <c r="AW43" s="330" t="s">
        <v>250</v>
      </c>
      <c r="AX43" s="507" t="s">
        <v>249</v>
      </c>
      <c r="BA43" s="488"/>
      <c r="BC43" s="490"/>
      <c r="BD43" s="490"/>
      <c r="BE43" s="490"/>
      <c r="BF43" s="490"/>
    </row>
    <row r="44" spans="1:58" x14ac:dyDescent="0.3">
      <c r="A44" s="467" t="s">
        <v>232</v>
      </c>
      <c r="B44" s="471">
        <v>2020</v>
      </c>
      <c r="C44" s="472">
        <v>2673.5024609441584</v>
      </c>
      <c r="D44" s="473">
        <v>292897.04738788225</v>
      </c>
      <c r="E44" s="473">
        <v>297.05582899379539</v>
      </c>
      <c r="F44" s="473">
        <v>594.11165798759077</v>
      </c>
      <c r="G44" s="473">
        <v>594.11165798759077</v>
      </c>
      <c r="H44" s="473"/>
      <c r="I44" s="470">
        <v>0</v>
      </c>
      <c r="J44" s="504"/>
      <c r="K44" s="499">
        <f t="shared" si="3"/>
        <v>297055.82899379538</v>
      </c>
      <c r="L44" s="527" t="s">
        <v>297</v>
      </c>
      <c r="M44" s="239" t="s">
        <v>46</v>
      </c>
      <c r="N44" s="544"/>
      <c r="O44" s="235"/>
      <c r="P44" s="234"/>
      <c r="Q44" s="544"/>
      <c r="R44" s="235"/>
      <c r="S44" s="234"/>
      <c r="T44" s="544"/>
      <c r="U44" s="235"/>
      <c r="V44" s="234"/>
      <c r="W44" s="544"/>
      <c r="X44" s="235"/>
      <c r="Y44" s="234"/>
      <c r="Z44" s="544"/>
      <c r="AA44" s="235"/>
      <c r="AB44" s="234"/>
      <c r="AC44" s="544"/>
      <c r="AD44" s="235"/>
      <c r="AE44" s="234"/>
      <c r="AF44" s="544"/>
      <c r="AG44" s="235"/>
      <c r="AH44" s="234"/>
      <c r="AI44" s="477"/>
      <c r="AJ44" s="235"/>
      <c r="AK44" s="241" t="str">
        <f t="shared" si="0"/>
        <v/>
      </c>
      <c r="AL44" s="548" t="str">
        <f t="shared" si="1"/>
        <v/>
      </c>
      <c r="AM44" s="280" t="str">
        <f t="shared" si="2"/>
        <v/>
      </c>
      <c r="AN44" s="306"/>
      <c r="AO44" s="487"/>
      <c r="AP44" s="479"/>
      <c r="AQ44" s="325"/>
      <c r="AR44" s="326"/>
      <c r="AS44" s="325"/>
      <c r="AT44" s="326"/>
      <c r="AU44" s="407"/>
      <c r="AV44" s="374"/>
      <c r="AW44" s="330" t="s">
        <v>250</v>
      </c>
      <c r="AX44" s="507" t="s">
        <v>249</v>
      </c>
      <c r="BA44" s="488"/>
      <c r="BC44" s="490"/>
      <c r="BD44" s="490"/>
      <c r="BE44" s="490"/>
      <c r="BF44" s="490"/>
    </row>
    <row r="45" spans="1:58" x14ac:dyDescent="0.3">
      <c r="A45" s="467" t="s">
        <v>232</v>
      </c>
      <c r="B45" s="471">
        <v>2021</v>
      </c>
      <c r="C45" s="510">
        <v>28041.233411739879</v>
      </c>
      <c r="D45" s="509">
        <v>66279.278973203342</v>
      </c>
      <c r="E45" s="509">
        <v>3325.0474401272581</v>
      </c>
      <c r="F45" s="509">
        <v>12635.180272483582</v>
      </c>
      <c r="G45" s="509">
        <v>554.17457335454299</v>
      </c>
      <c r="H45" s="511"/>
      <c r="I45" s="470">
        <v>0</v>
      </c>
      <c r="J45" s="512"/>
      <c r="K45" s="499">
        <f t="shared" si="3"/>
        <v>110834.91467090861</v>
      </c>
      <c r="L45" s="513" t="s">
        <v>261</v>
      </c>
      <c r="M45" s="239" t="s">
        <v>46</v>
      </c>
      <c r="N45" s="544"/>
      <c r="O45" s="235"/>
      <c r="P45" s="234"/>
      <c r="Q45" s="544"/>
      <c r="R45" s="235"/>
      <c r="S45" s="234"/>
      <c r="T45" s="544"/>
      <c r="U45" s="235"/>
      <c r="V45" s="234"/>
      <c r="W45" s="544"/>
      <c r="X45" s="235"/>
      <c r="Y45" s="234"/>
      <c r="Z45" s="544"/>
      <c r="AA45" s="235"/>
      <c r="AB45" s="234"/>
      <c r="AC45" s="544"/>
      <c r="AD45" s="235"/>
      <c r="AE45" s="234"/>
      <c r="AF45" s="544"/>
      <c r="AG45" s="235"/>
      <c r="AH45" s="234"/>
      <c r="AI45" s="477"/>
      <c r="AJ45" s="235"/>
      <c r="AK45" s="241" t="str">
        <f t="shared" si="0"/>
        <v/>
      </c>
      <c r="AL45" s="548" t="str">
        <f t="shared" si="1"/>
        <v/>
      </c>
      <c r="AM45" s="280" t="str">
        <f t="shared" si="2"/>
        <v/>
      </c>
      <c r="AN45" s="306"/>
      <c r="AO45" s="487"/>
      <c r="AP45" s="479"/>
      <c r="AQ45" s="325"/>
      <c r="AR45" s="326"/>
      <c r="AS45" s="325"/>
      <c r="AT45" s="326"/>
      <c r="AU45" s="407"/>
      <c r="AV45" s="894" t="s">
        <v>501</v>
      </c>
      <c r="AW45" s="330" t="s">
        <v>250</v>
      </c>
      <c r="AX45" s="507" t="s">
        <v>249</v>
      </c>
      <c r="BA45" s="488"/>
      <c r="BC45" s="490"/>
      <c r="BD45" s="490"/>
      <c r="BE45" s="490"/>
      <c r="BF45" s="490"/>
    </row>
    <row r="46" spans="1:58" x14ac:dyDescent="0.3">
      <c r="A46" s="467" t="s">
        <v>232</v>
      </c>
      <c r="B46" s="471">
        <v>2022</v>
      </c>
      <c r="C46" s="510">
        <f>537299*0.02</f>
        <v>10745.98</v>
      </c>
      <c r="D46" s="509">
        <f>537299*0.945</f>
        <v>507747.55499999999</v>
      </c>
      <c r="E46" s="509">
        <f>537299*0.008</f>
        <v>4298.3919999999998</v>
      </c>
      <c r="F46" s="509">
        <f>537299*0.023</f>
        <v>12357.877</v>
      </c>
      <c r="G46" s="509">
        <f>537299*0.004</f>
        <v>2149.1959999999999</v>
      </c>
      <c r="H46" s="511"/>
      <c r="I46" s="540"/>
      <c r="J46" s="541"/>
      <c r="K46" s="542">
        <f>SUM(C46:J46)</f>
        <v>537299</v>
      </c>
      <c r="L46" s="513" t="s">
        <v>502</v>
      </c>
      <c r="M46" s="239" t="s">
        <v>46</v>
      </c>
      <c r="N46" s="544"/>
      <c r="O46" s="235"/>
      <c r="P46" s="234"/>
      <c r="Q46" s="544"/>
      <c r="R46" s="235"/>
      <c r="S46" s="234"/>
      <c r="T46" s="544"/>
      <c r="U46" s="235"/>
      <c r="V46" s="234"/>
      <c r="W46" s="544"/>
      <c r="X46" s="235"/>
      <c r="Y46" s="234"/>
      <c r="Z46" s="544"/>
      <c r="AA46" s="235"/>
      <c r="AB46" s="234"/>
      <c r="AC46" s="544"/>
      <c r="AD46" s="235"/>
      <c r="AE46" s="234"/>
      <c r="AF46" s="544"/>
      <c r="AG46" s="235"/>
      <c r="AH46" s="234"/>
      <c r="AI46" s="477"/>
      <c r="AJ46" s="235"/>
      <c r="AK46" s="241" t="str">
        <f t="shared" si="0"/>
        <v/>
      </c>
      <c r="AL46" s="548" t="str">
        <f t="shared" si="1"/>
        <v/>
      </c>
      <c r="AM46" s="280" t="str">
        <f t="shared" si="2"/>
        <v/>
      </c>
      <c r="AN46" s="306"/>
      <c r="AO46" s="487"/>
      <c r="AP46" s="479"/>
      <c r="AQ46" s="325"/>
      <c r="AR46" s="326"/>
      <c r="AS46" s="325"/>
      <c r="AT46" s="326"/>
      <c r="AU46" s="407"/>
      <c r="AV46" s="406"/>
      <c r="AW46" s="330"/>
      <c r="AX46" s="327"/>
      <c r="BA46" s="488"/>
      <c r="BC46" s="490"/>
      <c r="BD46" s="490"/>
      <c r="BE46" s="490"/>
      <c r="BF46" s="490"/>
    </row>
    <row r="47" spans="1:58" x14ac:dyDescent="0.3">
      <c r="A47" s="467"/>
      <c r="B47" s="471"/>
      <c r="C47" s="510"/>
      <c r="D47" s="509"/>
      <c r="E47" s="509"/>
      <c r="F47" s="509"/>
      <c r="G47" s="509"/>
      <c r="H47" s="511"/>
      <c r="I47" s="470"/>
      <c r="J47" s="504"/>
      <c r="K47" s="584"/>
      <c r="L47" s="29"/>
      <c r="M47" s="239" t="s">
        <v>46</v>
      </c>
      <c r="N47" s="477"/>
      <c r="O47" s="235"/>
      <c r="P47" s="234"/>
      <c r="Q47" s="477"/>
      <c r="R47" s="235"/>
      <c r="S47" s="234"/>
      <c r="T47" s="477"/>
      <c r="U47" s="235"/>
      <c r="V47" s="234"/>
      <c r="W47" s="477"/>
      <c r="X47" s="235"/>
      <c r="Y47" s="234"/>
      <c r="Z47" s="477"/>
      <c r="AA47" s="235"/>
      <c r="AB47" s="234"/>
      <c r="AC47" s="477"/>
      <c r="AD47" s="235"/>
      <c r="AE47" s="234"/>
      <c r="AF47" s="477"/>
      <c r="AG47" s="235"/>
      <c r="AH47" s="234"/>
      <c r="AI47" s="477"/>
      <c r="AJ47" s="235"/>
      <c r="AK47" s="241" t="str">
        <f t="shared" ref="AK47:AK52" si="4">IF(0&lt;(SUM(M47,P47,S47,V47,Y47,AB47,AE47,AH47)),SUM(M47,P47,S47,V47,Y47,AB47,AE47,AH47),"")</f>
        <v/>
      </c>
      <c r="AL47" s="242" t="str">
        <f t="shared" ref="AL47:AL52" si="5">IF(ISNUMBER($AK47),(IF(ISNUMBER($M47),$M47*N47)+IF(ISNUMBER($P47),$P47*Q47)+IF(ISNUMBER($S47),$S47*T47)+IF(ISNUMBER($V47),$V47*W47)+IF(ISNUMBER($Y47),$Y47*Z47)+IF(ISNUMBER($AE47),$AE47*AF47)+IF(ISNUMBER($AB47),$AB47*AC47)+IF(ISNUMBER($AH47),$AH47*AI47))/$AK47,"")</f>
        <v/>
      </c>
      <c r="AM47" s="280" t="str">
        <f t="shared" ref="AM47:AM52" si="6">IF(ISNUMBER($AK47),(IF(ISNUMBER($M47),$M47*O47)+IF(ISNUMBER($P47),$P47*R47)+IF(ISNUMBER($S47),$S47*U47)+IF(ISNUMBER($V47),$V47*X47)+IF(ISNUMBER($Y47),$Y47*AA47)+IF(ISNUMBER($AE47),$AE47*AG47)+IF(ISNUMBER($AB47),$AB47*AD47)+IF(ISNUMBER($AH47),$AH47*AJ47))/$AK47,"")</f>
        <v/>
      </c>
      <c r="AN47" s="306"/>
      <c r="AO47" s="487"/>
      <c r="AP47" s="479"/>
      <c r="AQ47" s="325"/>
      <c r="AR47" s="326"/>
      <c r="AS47" s="325"/>
      <c r="AT47" s="326"/>
      <c r="AU47" s="407"/>
      <c r="AV47" s="406"/>
      <c r="AW47" s="330"/>
      <c r="AX47" s="327"/>
      <c r="BA47" s="488"/>
      <c r="BC47" s="490"/>
      <c r="BD47" s="490"/>
      <c r="BE47" s="490"/>
      <c r="BF47" s="490"/>
    </row>
    <row r="48" spans="1:58" x14ac:dyDescent="0.3">
      <c r="A48" s="467"/>
      <c r="B48" s="471"/>
      <c r="C48" s="472"/>
      <c r="D48" s="473"/>
      <c r="E48" s="473"/>
      <c r="F48" s="473"/>
      <c r="G48" s="473"/>
      <c r="H48" s="470"/>
      <c r="I48" s="470"/>
      <c r="J48" s="504"/>
      <c r="K48" s="499" t="str">
        <f t="shared" ref="K48:K52" si="7">IF((SUM(C48:J48)&gt;0),SUM(C48:J48),"")</f>
        <v/>
      </c>
      <c r="L48" s="370"/>
      <c r="M48" s="239" t="s">
        <v>46</v>
      </c>
      <c r="N48" s="477"/>
      <c r="O48" s="235"/>
      <c r="P48" s="234"/>
      <c r="Q48" s="477"/>
      <c r="R48" s="235"/>
      <c r="S48" s="234"/>
      <c r="T48" s="477"/>
      <c r="U48" s="235"/>
      <c r="V48" s="234"/>
      <c r="W48" s="477"/>
      <c r="X48" s="235"/>
      <c r="Y48" s="234"/>
      <c r="Z48" s="477"/>
      <c r="AA48" s="235"/>
      <c r="AB48" s="234"/>
      <c r="AC48" s="477"/>
      <c r="AD48" s="235"/>
      <c r="AE48" s="234"/>
      <c r="AF48" s="477"/>
      <c r="AG48" s="235"/>
      <c r="AH48" s="234"/>
      <c r="AI48" s="477"/>
      <c r="AJ48" s="235"/>
      <c r="AK48" s="241" t="str">
        <f t="shared" si="4"/>
        <v/>
      </c>
      <c r="AL48" s="242" t="str">
        <f t="shared" si="5"/>
        <v/>
      </c>
      <c r="AM48" s="280" t="str">
        <f t="shared" si="6"/>
        <v/>
      </c>
      <c r="AN48" s="306"/>
      <c r="AO48" s="487"/>
      <c r="AP48" s="479"/>
      <c r="AQ48" s="325"/>
      <c r="AR48" s="326"/>
      <c r="AS48" s="325"/>
      <c r="AT48" s="326"/>
      <c r="AU48" s="407"/>
      <c r="AV48" s="406"/>
      <c r="AW48" s="330"/>
      <c r="AX48" s="327"/>
      <c r="BA48" s="489"/>
      <c r="BC48" s="490"/>
      <c r="BD48" s="490"/>
      <c r="BE48" s="490"/>
      <c r="BF48" s="490"/>
    </row>
    <row r="49" spans="1:50" x14ac:dyDescent="0.3">
      <c r="A49" s="467"/>
      <c r="B49" s="471"/>
      <c r="C49" s="472"/>
      <c r="D49" s="473"/>
      <c r="E49" s="473"/>
      <c r="F49" s="473"/>
      <c r="G49" s="473"/>
      <c r="H49" s="470"/>
      <c r="I49" s="470"/>
      <c r="J49" s="504"/>
      <c r="K49" s="499" t="str">
        <f t="shared" si="7"/>
        <v/>
      </c>
      <c r="L49" s="370"/>
      <c r="M49" s="239" t="s">
        <v>46</v>
      </c>
      <c r="N49" s="477"/>
      <c r="O49" s="235"/>
      <c r="P49" s="234"/>
      <c r="Q49" s="477"/>
      <c r="R49" s="235"/>
      <c r="S49" s="234"/>
      <c r="T49" s="477"/>
      <c r="U49" s="235"/>
      <c r="V49" s="234"/>
      <c r="W49" s="477"/>
      <c r="X49" s="235"/>
      <c r="Y49" s="234"/>
      <c r="Z49" s="477"/>
      <c r="AA49" s="235"/>
      <c r="AB49" s="234"/>
      <c r="AC49" s="477"/>
      <c r="AD49" s="235"/>
      <c r="AE49" s="234"/>
      <c r="AF49" s="477"/>
      <c r="AG49" s="235"/>
      <c r="AH49" s="234"/>
      <c r="AI49" s="477"/>
      <c r="AJ49" s="235"/>
      <c r="AK49" s="241" t="str">
        <f t="shared" si="4"/>
        <v/>
      </c>
      <c r="AL49" s="242" t="str">
        <f t="shared" si="5"/>
        <v/>
      </c>
      <c r="AM49" s="280" t="str">
        <f t="shared" si="6"/>
        <v/>
      </c>
      <c r="AN49" s="305"/>
      <c r="AO49" s="281"/>
      <c r="AP49" s="479"/>
      <c r="AQ49" s="325"/>
      <c r="AR49" s="326"/>
      <c r="AS49" s="325"/>
      <c r="AT49" s="326"/>
      <c r="AU49" s="225"/>
      <c r="AV49" s="406"/>
      <c r="AW49" s="330"/>
      <c r="AX49" s="327"/>
    </row>
    <row r="50" spans="1:50" x14ac:dyDescent="0.3">
      <c r="A50" s="467"/>
      <c r="B50" s="471"/>
      <c r="C50" s="472"/>
      <c r="D50" s="473"/>
      <c r="E50" s="473"/>
      <c r="F50" s="473"/>
      <c r="G50" s="473"/>
      <c r="H50" s="470"/>
      <c r="I50" s="470"/>
      <c r="J50" s="504"/>
      <c r="K50" s="499" t="str">
        <f t="shared" si="7"/>
        <v/>
      </c>
      <c r="L50" s="370"/>
      <c r="M50" s="239" t="s">
        <v>46</v>
      </c>
      <c r="N50" s="477"/>
      <c r="O50" s="235"/>
      <c r="P50" s="234"/>
      <c r="Q50" s="477"/>
      <c r="R50" s="235"/>
      <c r="S50" s="234"/>
      <c r="T50" s="477"/>
      <c r="U50" s="235"/>
      <c r="V50" s="234"/>
      <c r="W50" s="477"/>
      <c r="X50" s="235"/>
      <c r="Y50" s="234"/>
      <c r="Z50" s="477"/>
      <c r="AA50" s="235"/>
      <c r="AB50" s="234"/>
      <c r="AC50" s="477"/>
      <c r="AD50" s="235"/>
      <c r="AE50" s="234"/>
      <c r="AF50" s="477"/>
      <c r="AG50" s="235"/>
      <c r="AH50" s="234"/>
      <c r="AI50" s="477"/>
      <c r="AJ50" s="235"/>
      <c r="AK50" s="241" t="str">
        <f t="shared" si="4"/>
        <v/>
      </c>
      <c r="AL50" s="242" t="str">
        <f t="shared" si="5"/>
        <v/>
      </c>
      <c r="AM50" s="280" t="str">
        <f t="shared" si="6"/>
        <v/>
      </c>
      <c r="AN50" s="305"/>
      <c r="AO50" s="281"/>
      <c r="AP50" s="479"/>
      <c r="AQ50" s="325"/>
      <c r="AR50" s="326"/>
      <c r="AS50" s="325"/>
      <c r="AT50" s="326"/>
      <c r="AU50" s="225"/>
      <c r="AV50" s="406"/>
      <c r="AW50" s="330"/>
      <c r="AX50" s="327"/>
    </row>
    <row r="51" spans="1:50" x14ac:dyDescent="0.3">
      <c r="A51" s="467"/>
      <c r="B51" s="471"/>
      <c r="C51" s="472"/>
      <c r="D51" s="473"/>
      <c r="E51" s="473"/>
      <c r="F51" s="473"/>
      <c r="G51" s="473"/>
      <c r="H51" s="470"/>
      <c r="I51" s="470"/>
      <c r="J51" s="504"/>
      <c r="K51" s="499" t="str">
        <f t="shared" si="7"/>
        <v/>
      </c>
      <c r="L51" s="370"/>
      <c r="M51" s="239" t="s">
        <v>46</v>
      </c>
      <c r="N51" s="477"/>
      <c r="O51" s="235"/>
      <c r="P51" s="234"/>
      <c r="Q51" s="477"/>
      <c r="R51" s="235"/>
      <c r="S51" s="234"/>
      <c r="T51" s="477"/>
      <c r="U51" s="235"/>
      <c r="V51" s="234"/>
      <c r="W51" s="477"/>
      <c r="X51" s="235"/>
      <c r="Y51" s="234"/>
      <c r="Z51" s="477"/>
      <c r="AA51" s="235"/>
      <c r="AB51" s="234"/>
      <c r="AC51" s="477"/>
      <c r="AD51" s="235"/>
      <c r="AE51" s="234"/>
      <c r="AF51" s="477"/>
      <c r="AG51" s="235"/>
      <c r="AH51" s="234"/>
      <c r="AI51" s="477"/>
      <c r="AJ51" s="235"/>
      <c r="AK51" s="241" t="str">
        <f t="shared" si="4"/>
        <v/>
      </c>
      <c r="AL51" s="242" t="str">
        <f t="shared" si="5"/>
        <v/>
      </c>
      <c r="AM51" s="280" t="str">
        <f t="shared" si="6"/>
        <v/>
      </c>
      <c r="AN51" s="305"/>
      <c r="AO51" s="281"/>
      <c r="AP51" s="479"/>
      <c r="AQ51" s="325"/>
      <c r="AR51" s="326"/>
      <c r="AS51" s="325"/>
      <c r="AT51" s="326"/>
      <c r="AU51" s="225"/>
      <c r="AV51" s="406"/>
      <c r="AW51" s="330"/>
      <c r="AX51" s="327"/>
    </row>
    <row r="52" spans="1:50" ht="15" thickBot="1" x14ac:dyDescent="0.35">
      <c r="A52" s="409"/>
      <c r="B52" s="474"/>
      <c r="C52" s="475"/>
      <c r="D52" s="476"/>
      <c r="E52" s="476"/>
      <c r="F52" s="476"/>
      <c r="G52" s="476"/>
      <c r="H52" s="476"/>
      <c r="I52" s="476"/>
      <c r="J52" s="505"/>
      <c r="K52" s="500" t="str">
        <f t="shared" si="7"/>
        <v/>
      </c>
      <c r="L52" s="371"/>
      <c r="M52" s="283"/>
      <c r="N52" s="284"/>
      <c r="O52" s="285"/>
      <c r="P52" s="284"/>
      <c r="Q52" s="284"/>
      <c r="R52" s="285"/>
      <c r="S52" s="284"/>
      <c r="T52" s="284"/>
      <c r="U52" s="285"/>
      <c r="V52" s="284"/>
      <c r="W52" s="284"/>
      <c r="X52" s="285"/>
      <c r="Y52" s="284"/>
      <c r="Z52" s="284"/>
      <c r="AA52" s="285"/>
      <c r="AB52" s="284"/>
      <c r="AC52" s="284"/>
      <c r="AD52" s="285"/>
      <c r="AE52" s="284"/>
      <c r="AF52" s="284"/>
      <c r="AG52" s="285"/>
      <c r="AH52" s="284"/>
      <c r="AI52" s="284"/>
      <c r="AJ52" s="285"/>
      <c r="AK52" s="286" t="str">
        <f t="shared" si="4"/>
        <v/>
      </c>
      <c r="AL52" s="287" t="str">
        <f t="shared" si="5"/>
        <v/>
      </c>
      <c r="AM52" s="288" t="str">
        <f t="shared" si="6"/>
        <v/>
      </c>
      <c r="AN52" s="307"/>
      <c r="AO52" s="289"/>
      <c r="AP52" s="350"/>
      <c r="AQ52" s="350"/>
      <c r="AR52" s="351"/>
      <c r="AS52" s="350"/>
      <c r="AT52" s="351"/>
      <c r="AU52" s="230"/>
      <c r="AV52" s="408"/>
      <c r="AW52" s="352"/>
      <c r="AX52" s="353"/>
    </row>
  </sheetData>
  <sheetProtection sheet="1" formatCells="0" formatColumns="0" formatRows="0" sort="0" autoFilter="0" pivotTables="0"/>
  <mergeCells count="28">
    <mergeCell ref="AX1:AX3"/>
    <mergeCell ref="K2:K3"/>
    <mergeCell ref="L2:L3"/>
    <mergeCell ref="AV1:AV3"/>
    <mergeCell ref="AW1:AW3"/>
    <mergeCell ref="P2:R2"/>
    <mergeCell ref="M2:O2"/>
    <mergeCell ref="AP1:AU1"/>
    <mergeCell ref="AP2:AP3"/>
    <mergeCell ref="AT2:AT3"/>
    <mergeCell ref="AU2:AU3"/>
    <mergeCell ref="AQ2:AQ3"/>
    <mergeCell ref="AS2:AS3"/>
    <mergeCell ref="AR2:AR3"/>
    <mergeCell ref="A1:A3"/>
    <mergeCell ref="B1:B3"/>
    <mergeCell ref="C1:L1"/>
    <mergeCell ref="M1:AO1"/>
    <mergeCell ref="AH2:AJ2"/>
    <mergeCell ref="AK2:AM2"/>
    <mergeCell ref="S2:U2"/>
    <mergeCell ref="V2:X2"/>
    <mergeCell ref="Y2:AA2"/>
    <mergeCell ref="AE2:AG2"/>
    <mergeCell ref="AO2:AO3"/>
    <mergeCell ref="AB2:AD2"/>
    <mergeCell ref="AN2:AN3"/>
    <mergeCell ref="C2:J2"/>
  </mergeCells>
  <phoneticPr fontId="57" type="noConversion"/>
  <conditionalFormatting sqref="AL4:AL52">
    <cfRule type="dataBar" priority="4">
      <dataBar>
        <cfvo type="min"/>
        <cfvo type="max"/>
        <color rgb="FFFFB628"/>
      </dataBar>
      <extLst>
        <ext xmlns:x14="http://schemas.microsoft.com/office/spreadsheetml/2009/9/main" uri="{B025F937-C7B1-47D3-B67F-A62EFF666E3E}">
          <x14:id>{F5307988-EDD1-4EDA-B6B9-BC4198004C13}</x14:id>
        </ext>
      </extLst>
    </cfRule>
  </conditionalFormatting>
  <conditionalFormatting sqref="AM4:AM52">
    <cfRule type="dataBar" priority="3">
      <dataBar>
        <cfvo type="min"/>
        <cfvo type="max"/>
        <color rgb="FFFFB628"/>
      </dataBar>
      <extLst>
        <ext xmlns:x14="http://schemas.microsoft.com/office/spreadsheetml/2009/9/main" uri="{B025F937-C7B1-47D3-B67F-A62EFF666E3E}">
          <x14:id>{A9D68487-D444-41C9-B4F7-58659C26406C}</x14:id>
        </ext>
      </extLst>
    </cfRule>
  </conditionalFormatting>
  <conditionalFormatting sqref="K4:K52">
    <cfRule type="dataBar" priority="1">
      <dataBar>
        <cfvo type="min"/>
        <cfvo type="max"/>
        <color rgb="FF008AEF"/>
      </dataBar>
      <extLst>
        <ext xmlns:x14="http://schemas.microsoft.com/office/spreadsheetml/2009/9/main" uri="{B025F937-C7B1-47D3-B67F-A62EFF666E3E}">
          <x14:id>{8F275F8D-461B-4D0C-85E4-1795E1FCE402}</x14:id>
        </ext>
      </extLst>
    </cfRule>
  </conditionalFormatting>
  <hyperlinks>
    <hyperlink ref="AX9" r:id="rId1" xr:uid="{9685A3C3-BB2C-4695-82BC-02AFEC3A191D}"/>
    <hyperlink ref="AX10" r:id="rId2" xr:uid="{61B15C26-0C52-49BB-AA84-ED6E5664CFF1}"/>
    <hyperlink ref="AX11" r:id="rId3" xr:uid="{957AD521-33E8-491C-A243-5624347F819D}"/>
    <hyperlink ref="AX12" r:id="rId4" xr:uid="{BC3AB452-0E12-466B-9151-C28968EC1E99}"/>
    <hyperlink ref="AX13" r:id="rId5" xr:uid="{48ADBC6D-01E2-4269-9B57-853BA8A71EE5}"/>
    <hyperlink ref="AX14" r:id="rId6" xr:uid="{ED75922D-F389-4188-A30D-FB8797199906}"/>
    <hyperlink ref="AX15" r:id="rId7" xr:uid="{56ECD5C6-7406-431E-9CA0-FE1DBA779A8F}"/>
    <hyperlink ref="AX16" r:id="rId8" xr:uid="{1F483B6F-7D5B-43FD-BB08-2FBD0E0DF29C}"/>
    <hyperlink ref="AX17" r:id="rId9" xr:uid="{D656E84C-656E-4829-A702-911BB90F89BA}"/>
    <hyperlink ref="AX18" r:id="rId10" xr:uid="{691D9EF5-12D2-4506-9F60-E45D4C0D2BC6}"/>
    <hyperlink ref="AX19" r:id="rId11" xr:uid="{9861BE2C-DF97-4FBD-A098-B26642B62246}"/>
    <hyperlink ref="AX20" r:id="rId12" xr:uid="{0CF7DF7D-AB64-4F18-9124-3618C8046747}"/>
    <hyperlink ref="AX21" r:id="rId13" xr:uid="{3C986271-BCE9-432C-9DCF-EF2936E0BA0C}"/>
    <hyperlink ref="AX22" r:id="rId14" xr:uid="{E0DBDE77-04AF-43DD-9CAE-843F73C45486}"/>
    <hyperlink ref="AX23" r:id="rId15" xr:uid="{281EBACD-E3A5-4BF7-AFEE-C88416AB54ED}"/>
    <hyperlink ref="AX24" r:id="rId16" xr:uid="{938BC66D-C3C7-432F-A0FF-68663A2E6E88}"/>
    <hyperlink ref="AX25" r:id="rId17" xr:uid="{9B31A66F-AE91-4D47-A2B2-D4C9FE5F7C9D}"/>
    <hyperlink ref="AX26" r:id="rId18" xr:uid="{6EC5470F-BA14-44EB-888A-81C1838FDC63}"/>
    <hyperlink ref="AX27" r:id="rId19" xr:uid="{A8AB7AFB-8C81-4AEA-8B43-8A95034FC14B}"/>
    <hyperlink ref="AX28" r:id="rId20" xr:uid="{686F813D-B0BB-4BE8-BC47-1F3DE2B3872F}"/>
    <hyperlink ref="AX29" r:id="rId21" xr:uid="{6BDA1880-DBFD-486A-835E-47D7CCF9F7A2}"/>
    <hyperlink ref="AX30" r:id="rId22" xr:uid="{7DEDEDCA-B78B-42CF-A5B5-BAFCA0709BAD}"/>
    <hyperlink ref="AX31" r:id="rId23" xr:uid="{E1A17863-7617-4E8D-80F8-93B52BC312C9}"/>
    <hyperlink ref="AX32" r:id="rId24" xr:uid="{3B3B0FD6-4FB2-4BAA-8D17-F40778273BC0}"/>
    <hyperlink ref="AX33" r:id="rId25" xr:uid="{6F5906C6-7CB1-43C7-9798-30AC61C40422}"/>
    <hyperlink ref="AX34" r:id="rId26" xr:uid="{0BF207E2-EC98-46FC-B24C-FC8DA593B5FF}"/>
    <hyperlink ref="AX35" r:id="rId27" xr:uid="{8613967F-C314-47AE-83F1-404BD7E0B020}"/>
    <hyperlink ref="AX36" r:id="rId28" xr:uid="{BD00AF63-B9B0-4837-B39E-D5F80BF9190A}"/>
    <hyperlink ref="AX37" r:id="rId29" xr:uid="{683E51DE-D4B9-4A8E-89F5-B515DEA652CA}"/>
    <hyperlink ref="AX38" r:id="rId30" xr:uid="{9B9960E1-4675-4903-8931-9A4CF502EFFF}"/>
    <hyperlink ref="AX39" r:id="rId31" xr:uid="{8CF47315-B0B5-4EB0-A1ED-836985723478}"/>
    <hyperlink ref="AX40" r:id="rId32" xr:uid="{BFFF08B6-DC2E-4A2D-AD46-911F07BAD6DB}"/>
    <hyperlink ref="AX41" r:id="rId33" xr:uid="{A0903D69-B2C6-40A1-8DBF-3269B6C83016}"/>
    <hyperlink ref="AX42" r:id="rId34" xr:uid="{E1AC455E-0D0C-471B-895C-5990DA7CF86C}"/>
    <hyperlink ref="AX43" r:id="rId35" xr:uid="{A5AD5842-6700-4697-A30F-04F166E1D53A}"/>
    <hyperlink ref="AX44" r:id="rId36" xr:uid="{6BE2A23D-2665-43F1-A52B-77B43C4BD3D2}"/>
    <hyperlink ref="AX45" r:id="rId37" xr:uid="{2A721C67-367B-48A1-8885-9FD5ED6336E1}"/>
  </hyperlinks>
  <pageMargins left="0.7" right="0.7" top="0.75" bottom="0.75" header="0.3" footer="0.3"/>
  <pageSetup orientation="portrait" r:id="rId38"/>
  <legacyDrawing r:id="rId39"/>
  <extLst>
    <ext xmlns:x14="http://schemas.microsoft.com/office/spreadsheetml/2009/9/main" uri="{78C0D931-6437-407d-A8EE-F0AAD7539E65}">
      <x14:conditionalFormattings>
        <x14:conditionalFormatting xmlns:xm="http://schemas.microsoft.com/office/excel/2006/main">
          <x14:cfRule type="dataBar" id="{F5307988-EDD1-4EDA-B6B9-BC4198004C13}">
            <x14:dataBar minLength="0" maxLength="100" border="1" negativeBarBorderColorSameAsPositive="0">
              <x14:cfvo type="autoMin"/>
              <x14:cfvo type="autoMax"/>
              <x14:borderColor rgb="FFFFB628"/>
              <x14:negativeFillColor rgb="FFFF0000"/>
              <x14:negativeBorderColor rgb="FFFF0000"/>
              <x14:axisColor rgb="FF000000"/>
            </x14:dataBar>
          </x14:cfRule>
          <xm:sqref>AL4:AL52</xm:sqref>
        </x14:conditionalFormatting>
        <x14:conditionalFormatting xmlns:xm="http://schemas.microsoft.com/office/excel/2006/main">
          <x14:cfRule type="dataBar" id="{A9D68487-D444-41C9-B4F7-58659C26406C}">
            <x14:dataBar minLength="0" maxLength="100" border="1" negativeBarBorderColorSameAsPositive="0">
              <x14:cfvo type="autoMin"/>
              <x14:cfvo type="autoMax"/>
              <x14:borderColor rgb="FFFFB628"/>
              <x14:negativeFillColor rgb="FFFF0000"/>
              <x14:negativeBorderColor rgb="FFFF0000"/>
              <x14:axisColor rgb="FF000000"/>
            </x14:dataBar>
          </x14:cfRule>
          <xm:sqref>AM4:AM52</xm:sqref>
        </x14:conditionalFormatting>
        <x14:conditionalFormatting xmlns:xm="http://schemas.microsoft.com/office/excel/2006/main">
          <x14:cfRule type="dataBar" id="{8F275F8D-461B-4D0C-85E4-1795E1FCE402}">
            <x14:dataBar minLength="0" maxLength="100" border="1" negativeBarBorderColorSameAsPositive="0">
              <x14:cfvo type="autoMin"/>
              <x14:cfvo type="autoMax"/>
              <x14:borderColor rgb="FF008AEF"/>
              <x14:negativeFillColor rgb="FFFF0000"/>
              <x14:negativeBorderColor rgb="FFFF0000"/>
              <x14:axisColor rgb="FF000000"/>
            </x14:dataBar>
          </x14:cfRule>
          <xm:sqref>K4:K52</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400-000000000000}">
          <x14:formula1>
            <xm:f>Lookup!$A$2:$A$5</xm:f>
          </x14:formula1>
          <xm:sqref>AN4:AN52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7" tint="0.59999389629810485"/>
  </sheetPr>
  <dimension ref="A1:AC57"/>
  <sheetViews>
    <sheetView zoomScaleNormal="100" workbookViewId="0">
      <pane xSplit="2" ySplit="3" topLeftCell="C4" activePane="bottomRight" state="frozen"/>
      <selection activeCell="G42" sqref="G42"/>
      <selection pane="topRight" activeCell="G42" sqref="G42"/>
      <selection pane="bottomLeft" activeCell="G42" sqref="G42"/>
      <selection pane="bottomRight" activeCell="C9" sqref="C9"/>
    </sheetView>
  </sheetViews>
  <sheetFormatPr defaultRowHeight="14.4" x14ac:dyDescent="0.3"/>
  <cols>
    <col min="1" max="1" width="14.5546875" style="277" customWidth="1"/>
    <col min="2" max="2" width="9.88671875" customWidth="1"/>
    <col min="3" max="3" width="11.109375" customWidth="1"/>
    <col min="6" max="6" width="25.44140625" customWidth="1"/>
    <col min="7" max="7" width="29.109375" customWidth="1"/>
    <col min="8" max="8" width="30.5546875" hidden="1" customWidth="1"/>
    <col min="9" max="10" width="21.6640625" hidden="1" customWidth="1"/>
    <col min="11" max="11" width="48" customWidth="1"/>
    <col min="12" max="12" width="10.109375" bestFit="1" customWidth="1"/>
    <col min="13" max="13" width="5.44140625" customWidth="1"/>
    <col min="14" max="14" width="6.44140625" bestFit="1" customWidth="1"/>
    <col min="15" max="15" width="5" bestFit="1" customWidth="1"/>
    <col min="16" max="16" width="7.44140625" bestFit="1" customWidth="1"/>
    <col min="17" max="19" width="5.44140625" customWidth="1"/>
    <col min="20" max="20" width="8.21875" bestFit="1" customWidth="1"/>
    <col min="21" max="25" width="5.44140625" customWidth="1"/>
    <col min="26" max="26" width="4" bestFit="1" customWidth="1"/>
    <col min="27" max="27" width="5" bestFit="1" customWidth="1"/>
    <col min="28" max="28" width="5.44140625" bestFit="1" customWidth="1"/>
    <col min="29" max="29" width="7.5546875" bestFit="1" customWidth="1"/>
  </cols>
  <sheetData>
    <row r="1" spans="1:11" ht="27" customHeight="1" thickBot="1" x14ac:dyDescent="0.35">
      <c r="A1" s="1075" t="s">
        <v>246</v>
      </c>
      <c r="B1" s="1076"/>
      <c r="C1" s="1076"/>
      <c r="D1" s="1076"/>
      <c r="E1" s="1076"/>
      <c r="F1" s="1076"/>
      <c r="G1" s="1076"/>
      <c r="H1" s="1076"/>
      <c r="I1" s="1076"/>
      <c r="J1" s="1076"/>
      <c r="K1" s="1077"/>
    </row>
    <row r="2" spans="1:11" ht="58.8" customHeight="1" thickBot="1" x14ac:dyDescent="0.35">
      <c r="A2" s="1080" t="s">
        <v>187</v>
      </c>
      <c r="B2" s="1082" t="s">
        <v>0</v>
      </c>
      <c r="C2" s="1084" t="s">
        <v>180</v>
      </c>
      <c r="D2" s="1086" t="s">
        <v>181</v>
      </c>
      <c r="E2" s="1078" t="s">
        <v>182</v>
      </c>
      <c r="F2" s="1087" t="s">
        <v>117</v>
      </c>
      <c r="G2" s="1088"/>
      <c r="H2" s="1088"/>
      <c r="I2" s="1088"/>
      <c r="J2" s="1088"/>
      <c r="K2" s="1089"/>
    </row>
    <row r="3" spans="1:11" ht="29.4" customHeight="1" thickBot="1" x14ac:dyDescent="0.35">
      <c r="A3" s="1081"/>
      <c r="B3" s="1083"/>
      <c r="C3" s="1085"/>
      <c r="D3" s="1008"/>
      <c r="E3" s="1079"/>
      <c r="F3" s="391" t="s">
        <v>123</v>
      </c>
      <c r="G3" s="403" t="s">
        <v>124</v>
      </c>
      <c r="H3" s="397" t="s">
        <v>84</v>
      </c>
      <c r="I3" s="341" t="s">
        <v>9</v>
      </c>
      <c r="J3" s="342" t="s">
        <v>19</v>
      </c>
      <c r="K3" s="380" t="s">
        <v>122</v>
      </c>
    </row>
    <row r="4" spans="1:11" ht="45" hidden="1" customHeight="1" x14ac:dyDescent="0.3">
      <c r="A4" s="498" t="str">
        <f>IF(ISBLANK('Juvenile Data'!A4),"",'Juvenile Data'!A4)</f>
        <v>Okanagan - Osoyoos</v>
      </c>
      <c r="B4" s="385">
        <f>IF('Juvenile Data'!B4&gt;0,'Juvenile Data'!B4,"")</f>
        <v>1980</v>
      </c>
      <c r="C4" s="381" t="str">
        <f t="shared" ref="C4:C35" si="0">IF(ISNUMBER(VLOOKUP(B4,JuvAbund,5)),VLOOKUP(B4,JuvAbund,5),"")</f>
        <v/>
      </c>
      <c r="D4" s="367"/>
      <c r="E4" s="378"/>
      <c r="F4" s="392"/>
      <c r="G4" s="404"/>
      <c r="H4" s="398" t="str">
        <f t="shared" ref="H4:H35" si="1">IF(1&lt;LEN(VLOOKUP($B4,JuvAbund,34)),"JUV: "&amp;VLOOKUP($B4,JuvAbund,34)&amp;"; ","")&amp;IF(ISTEXT(VLOOKUP($B4+2,AdultReturns,47)),"ADULT: "&amp;$B4+2&amp;" "&amp;VLOOKUP($B4+2,AdultReturns,47),"")</f>
        <v/>
      </c>
      <c r="I4" s="372" t="str">
        <f t="shared" ref="I4:I35" si="2">IF(1&lt;LEN(VLOOKUP($B4,JuvAbund,35)),"JUV: "&amp;VLOOKUP($B4,JuvAbund,35)&amp;"; ","")&amp;IF(ISTEXT(VLOOKUP($B4+2,AdultReturns,48)),"ADULT: "&amp;$B4+2&amp;" "&amp;VLOOKUP($B4+2,AdultReturns,48),"")</f>
        <v>ADULT: 1982 Adult abundance, stock comp, and age comp: Total OK Sox abundance based on BON SK dam count + Zone1-6 harvest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4" s="372" t="str">
        <f t="shared" ref="J4:J35" si="3">IF(1&lt;LEN(VLOOKUP($B4,JuvAbund,36)),"JUV: "&amp;VLOOKUP($B4,JuvAbund,36)&amp;"; ","")&amp;IF(ISTEXT(VLOOKUP($B4+2,AdultReturns,49)),"ADULT: "&amp;$B4+2&amp;" "&amp;VLOOKUP($B4+2,AdultReturns,49),"")</f>
        <v>ADULT: 1982 howard.stiff@shaw.ca</v>
      </c>
      <c r="K4" s="376"/>
    </row>
    <row r="5" spans="1:11" ht="46.8" hidden="1" customHeight="1" x14ac:dyDescent="0.3">
      <c r="A5" s="498" t="str">
        <f>IF(ISBLANK('Juvenile Data'!A5),"",'Juvenile Data'!A5)</f>
        <v>Okanagan - Osoyoos</v>
      </c>
      <c r="B5" s="385">
        <f>IF('Juvenile Data'!B5&gt;0,'Juvenile Data'!B5,"")</f>
        <v>1981</v>
      </c>
      <c r="C5" s="382" t="str">
        <f t="shared" si="0"/>
        <v/>
      </c>
      <c r="D5" s="367"/>
      <c r="E5" s="379"/>
      <c r="F5" s="393"/>
      <c r="G5" s="404"/>
      <c r="H5" s="399" t="str">
        <f t="shared" si="1"/>
        <v/>
      </c>
      <c r="I5" s="373" t="str">
        <f t="shared" si="2"/>
        <v>ADULT: 1983 Adult abundance, stock comp, and age comp: Total OK Sox abundance based on BON SK dam count + Zone1-6 harvest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5" s="373" t="str">
        <f t="shared" si="3"/>
        <v>ADULT: 1983 howard.stiff@shaw.ca</v>
      </c>
      <c r="K5" s="376"/>
    </row>
    <row r="6" spans="1:11" ht="45" hidden="1" customHeight="1" x14ac:dyDescent="0.3">
      <c r="A6" s="498" t="str">
        <f>IF(ISBLANK('Juvenile Data'!A6),"",'Juvenile Data'!A6)</f>
        <v>Okanagan - Osoyoos</v>
      </c>
      <c r="B6" s="386">
        <f>IF('Juvenile Data'!B6&gt;0,'Juvenile Data'!B6,"")</f>
        <v>1982</v>
      </c>
      <c r="C6" s="382" t="str">
        <f t="shared" si="0"/>
        <v/>
      </c>
      <c r="D6" s="367"/>
      <c r="E6" s="379"/>
      <c r="F6" s="393"/>
      <c r="G6" s="404"/>
      <c r="H6" s="399" t="str">
        <f t="shared" si="1"/>
        <v/>
      </c>
      <c r="I6" s="373" t="str">
        <f t="shared" si="2"/>
        <v>ADULT: 1984 Adult abundance, stock comp, and age comp: Total OK Sox abundance based on BON SK dam count + Zone1-6 harvest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6" s="373" t="str">
        <f t="shared" si="3"/>
        <v>ADULT: 1984 howard.stiff@shaw.ca</v>
      </c>
      <c r="K6" s="376"/>
    </row>
    <row r="7" spans="1:11" ht="45" hidden="1" customHeight="1" x14ac:dyDescent="0.3">
      <c r="A7" s="498" t="str">
        <f>IF(ISBLANK('Juvenile Data'!A7),"",'Juvenile Data'!A7)</f>
        <v>Okanagan - Osoyoos</v>
      </c>
      <c r="B7" s="386">
        <f>IF('Juvenile Data'!B7&gt;0,'Juvenile Data'!B7,"")</f>
        <v>1983</v>
      </c>
      <c r="C7" s="382" t="str">
        <f t="shared" si="0"/>
        <v/>
      </c>
      <c r="D7" s="366"/>
      <c r="E7" s="379"/>
      <c r="F7" s="393"/>
      <c r="G7" s="404"/>
      <c r="H7" s="399" t="str">
        <f t="shared" si="1"/>
        <v/>
      </c>
      <c r="I7" s="373" t="str">
        <f t="shared" si="2"/>
        <v>ADULT: 1985 Adult abundance, stock comp, and age comp: Total OK Sox abundance based on BON SK dam count + Zone1-6 harvest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7" s="373" t="str">
        <f t="shared" si="3"/>
        <v>ADULT: 1985 howard.stiff@shaw.ca</v>
      </c>
      <c r="K7" s="376"/>
    </row>
    <row r="8" spans="1:11" ht="45" hidden="1" customHeight="1" x14ac:dyDescent="0.3">
      <c r="A8" s="498" t="str">
        <f>IF(ISBLANK('Juvenile Data'!A8),"",'Juvenile Data'!A8)</f>
        <v>Okanagan - Osoyoos</v>
      </c>
      <c r="B8" s="386">
        <f>IF('Juvenile Data'!B8&gt;0,'Juvenile Data'!B8,"")</f>
        <v>1984</v>
      </c>
      <c r="C8" s="382" t="str">
        <f t="shared" si="0"/>
        <v/>
      </c>
      <c r="D8" s="496">
        <f t="shared" ref="D8:D57" ca="1" si="4">IF(B8="","",IF(AND(MAX(Years)-1&gt;B8,OR(VLOOKUP(B8+1,AdultReturns,2)&gt;0,VLOOKUP(B8+2,AdultReturns,3)&gt;0)),SUM(VLOOKUP(B8+1,AdultReturns,2),VLOOKUP(B8+2,AdultReturns,3),VLOOKUP(B8+1,AdultReturns,4),VLOOKUP(B8+3,AdultReturns,5),VLOOKUP(B8+2,AdultReturns,6),VLOOKUP(B8+4,AdultReturns,7),VLOOKUP(B8+3,AdultReturns,8),VLOOKUP(B8+((OtherAge-INT(OtherAge))*10),AdultReturns,9)),""))</f>
        <v>56190.447714251568</v>
      </c>
      <c r="E8" s="497" t="str">
        <f t="shared" ref="E8:E57" ca="1" si="5">IF(AND(ISNUMBER(C8),ISNUMBER(D8)),D8/C8,"")</f>
        <v/>
      </c>
      <c r="F8" s="393"/>
      <c r="G8" s="404" t="str">
        <f t="shared" ref="G8" ca="1" si="6">IF(B8="","",IF(D8="","Returns At Age Incomplete? ",IF(AND(MAX(Years)-2&gt;B8,VLOOKUP(B8+2,AdultReturns,3)&gt;0,VLOOKUP(B8+3,AdultReturns,5)&gt;0),"Returns Complete! ","Returns At Age Incomplete? ")&amp;IF(ISTEXT(VLOOKUP(B8+2,AdultReturns,11)),"ABUND: "&amp;VLOOKUP(B8+2,AdultReturns,11)&amp;"; ","")&amp;IF(ISTEXT(VLOOKUP(B8+2,AdultReturns,40)),"BIO: "&amp;VLOOKUP(B8+2,AdultReturns,40)&amp;"; ","")&amp;IF(ISTEXT(VLOOKUP(B8+2,AdultReturns,44)),"MIG: "&amp;VLOOKUP(B8+2,AdultReturns,44)&amp;"; ","")))</f>
        <v xml:space="preserve">Returns Complete! ABUND: Ok adults at mouth of Columbia (based on Wells counts (adj. 24-hr counts) + [[downstream harvest (Zones 1-6) + nat morts apportioned to stock (based on annual Wells:Rock dam ratios)]]. [hs 2022-10-30]; </v>
      </c>
      <c r="H8" s="399" t="str">
        <f t="shared" si="1"/>
        <v/>
      </c>
      <c r="I8" s="373" t="str">
        <f t="shared" si="2"/>
        <v>ADULT: 1986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8" s="373" t="str">
        <f t="shared" si="3"/>
        <v>ADULT: 1986 howard.stiff@shaw.ca</v>
      </c>
      <c r="K8" s="376"/>
    </row>
    <row r="9" spans="1:11" ht="44.4" customHeight="1" x14ac:dyDescent="0.3">
      <c r="A9" s="498" t="str">
        <f>IF(ISBLANK('Juvenile Data'!A9),"",'Juvenile Data'!A9)</f>
        <v>Okanagan - Osoyoos</v>
      </c>
      <c r="B9" s="386">
        <f>IF('Juvenile Data'!B9&gt;0,'Juvenile Data'!B9,"")</f>
        <v>1985</v>
      </c>
      <c r="C9" s="495">
        <f t="shared" si="0"/>
        <v>1862581.902</v>
      </c>
      <c r="D9" s="496">
        <f t="shared" ca="1" si="4"/>
        <v>51665.953211351451</v>
      </c>
      <c r="E9" s="497">
        <f t="shared" ca="1" si="5"/>
        <v>2.7738889310517659E-2</v>
      </c>
      <c r="F9" s="863" t="str">
        <f t="shared" ref="F9:F57" si="7">IF(ISTEXT(VLOOKUP(B9,JuvAbund,6)),"ABUND: "&amp;VLOOKUP(B9,JuvAbund,6)&amp;"; ","")&amp;IF(ISTEXT(VLOOKUP(B9,JuvAbund,20)),"BIO: "&amp;VLOOKUP(B9,JuvAbund,20)&amp;"; ","")&amp;IF(ISTEXT(VLOOKUP(B9,JuvAbund,26)),"MIG: "&amp;VLOOKUP(B9,JuvAbund,26)&amp;"; ","")&amp;IF(ISTEXT(VLOOKUP(B9,JuvAbund,33)),"FRY: "&amp;VLOOKUP(B9,JuvAbund,33)&amp;"; ","")</f>
        <v xml:space="preserve">ABUND: Age comp missing: Best winter lake fry abundance copied from Pre-Smolt section into Age 1 column as an index of Smolt production. See General Comments. [hs 2022-10-31]; MIG: It should be possible to use TT50% at McNary Dam from the FPC or CBR-DART website (which would include Wen &amp; Ok smolts), as long as years demonstrating a bi-modal peak were treated differently. Wenatchee tends to migrate before Ok Sockeye (Williams et al. 2014), so it would be necessary to exclude the first mode to get Ok Sox migration timing. (hs 2022-09-28); FRY: From fall-winter ATS survey(s) in previous year. Length &amp; Weight weighted by trawl sample sizes.; </v>
      </c>
      <c r="G9" s="864" t="str">
        <f t="shared" ref="G9:G47" ca="1" si="8">IF(B9="","",IF(D9="","Returns At Age Incomplete (Adults N/A)? ",IF(AND(MAX(Years)-2&gt;B9,VLOOKUP(B9+2,AdultReturns,3)&gt;0,VLOOKUP(B9+3,AdultReturns,5)&gt;0),"Returns Complete! ","Returns At Age Incomplete (Age 42s or Age 52s missing or zero)? ")&amp;IF(ISTEXT(VLOOKUP(B9+2,AdultReturns,11)),"ABUND: "&amp;VLOOKUP(B9+2,AdultReturns,11)&amp;"; ","")&amp;IF(ISTEXT(VLOOKUP(B9+2,AdultReturns,40)),"BIO: "&amp;VLOOKUP(B9+2,AdultReturns,40)&amp;"; ","")&amp;IF(ISTEXT(VLOOKUP(B9+2,AdultReturns,44)),"MIG: "&amp;VLOOKUP(B9+2,AdultReturns,44)&amp;"; ","")))</f>
        <v xml:space="preserve">Returns Complete! ABUND: Ok adults at mouth of Columbia (based on Wells counts (adj. 24-hr counts) + [[downstream harvest (Zones 1-6) + nat morts apportioned to stock (based on annual Wells:Rock dam ratios)]]. [hs 2022-10-30]; </v>
      </c>
      <c r="H9" s="865" t="str">
        <f t="shared" si="1"/>
        <v/>
      </c>
      <c r="I9" s="866" t="str">
        <f t="shared" si="2"/>
        <v>ADULT: 1987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9" s="866" t="str">
        <f t="shared" si="3"/>
        <v>JUV: howard.stiff@dfo-mpo.gc.ca; ADULT: 1987 howard.stiff@shaw.ca</v>
      </c>
      <c r="K9" s="867" t="s">
        <v>263</v>
      </c>
    </row>
    <row r="10" spans="1:11" ht="44.4" customHeight="1" x14ac:dyDescent="0.3">
      <c r="A10" s="498" t="str">
        <f ca="1">IF(OR(ISBLANK('Juvenile Data'!A10),'Juvenile Data'!B10&gt;YEAR(NOW())),"",'Juvenile Data'!A10)</f>
        <v>Okanagan - Osoyoos</v>
      </c>
      <c r="B10" s="386">
        <f ca="1">IF(AND('Juvenile Data'!B10&gt;0,'Juvenile Data'!B10&lt;=YEAR(NOW())),'Juvenile Data'!B10,"")</f>
        <v>1986</v>
      </c>
      <c r="C10" s="495">
        <f t="shared" ca="1" si="0"/>
        <v>2420214.3059999999</v>
      </c>
      <c r="D10" s="496">
        <f t="shared" ca="1" si="4"/>
        <v>130882.60596466599</v>
      </c>
      <c r="E10" s="497">
        <f t="shared" ca="1" si="5"/>
        <v>5.4078932448334179E-2</v>
      </c>
      <c r="F10" s="393" t="str">
        <f t="shared" ca="1" si="7"/>
        <v xml:space="preserve">ABUND: Age comp missing: Best winter lake fry abundance copied from Pre-Smolt section into Age 1 column as an index of Smolt production. See General Comments. [hs 2022-10-31]; </v>
      </c>
      <c r="G10" s="404" t="str">
        <f t="shared" ca="1" si="8"/>
        <v xml:space="preserve">Returns Complete! ABUND: Ok adults at mouth of Columbia (based on Wells counts (adj. 24-hr counts) + [[downstream harvest (Zones 1-6) + nat morts apportioned to stock (based on annual Wells:Rock dam ratios)]]. [hs 2022-10-30]; </v>
      </c>
      <c r="H10" s="399" t="str">
        <f t="shared" ca="1" si="1"/>
        <v/>
      </c>
      <c r="I10" s="373" t="str">
        <f t="shared" ca="1" si="2"/>
        <v>ADULT: 1988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10" s="373" t="str">
        <f t="shared" ca="1" si="3"/>
        <v>JUV: howard.stiff@dfo-mpo.gc.ca; ADULT: 1988 howard.stiff@shaw.ca</v>
      </c>
      <c r="K10" s="376"/>
    </row>
    <row r="11" spans="1:11" ht="42" customHeight="1" x14ac:dyDescent="0.3">
      <c r="A11" s="498" t="str">
        <f ca="1">IF(OR(ISBLANK('Juvenile Data'!A11),'Juvenile Data'!B11&gt;YEAR(NOW())),"",'Juvenile Data'!A11)</f>
        <v>Okanagan - Osoyoos</v>
      </c>
      <c r="B11" s="386">
        <f ca="1">IF(AND('Juvenile Data'!B11&gt;0,'Juvenile Data'!B11&lt;=YEAR(NOW())),'Juvenile Data'!B11,"")</f>
        <v>1987</v>
      </c>
      <c r="C11" s="383">
        <f t="shared" ca="1" si="0"/>
        <v>1310921.2320000001</v>
      </c>
      <c r="D11" s="388">
        <f t="shared" ca="1" si="4"/>
        <v>26007.836940219542</v>
      </c>
      <c r="E11" s="344">
        <f t="shared" ca="1" si="5"/>
        <v>1.9839358998359362E-2</v>
      </c>
      <c r="F11" s="393" t="str">
        <f t="shared" ca="1" si="7"/>
        <v xml:space="preserve">ABUND: Age comp missing: Best winter lake fry abundance copied from Pre-Smolt section into Age 1 column as an index of Smolt production. See General Comments. [hs 2022-10-31]; </v>
      </c>
      <c r="G11" s="404" t="str">
        <f t="shared" ca="1" si="8"/>
        <v xml:space="preserve">Returns Complete! ABUND: Ok adults at mouth of Columbia (based on Wells counts (adj. 24-hr counts) + [[downstream harvest (Zones 1-6) + nat morts apportioned to stock (based on annual Wells:Rock dam ratios)]]. [hs 2022-10-30]; </v>
      </c>
      <c r="H11" s="399" t="str">
        <f t="shared" ca="1" si="1"/>
        <v/>
      </c>
      <c r="I11" s="373" t="str">
        <f t="shared" ca="1" si="2"/>
        <v>ADULT: 1989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11" s="373" t="str">
        <f t="shared" ca="1" si="3"/>
        <v>JUV: howard.stiff@dfo-mpo.gc.ca; ADULT: 1989 howard.stiff@shaw.ca</v>
      </c>
      <c r="K11" s="376"/>
    </row>
    <row r="12" spans="1:11" ht="42" customHeight="1" x14ac:dyDescent="0.3">
      <c r="A12" s="498" t="str">
        <f ca="1">IF(OR(ISBLANK('Juvenile Data'!A12),'Juvenile Data'!B12&gt;YEAR(NOW())),"",'Juvenile Data'!A12)</f>
        <v>Okanagan - Osoyoos</v>
      </c>
      <c r="B12" s="386">
        <f ca="1">IF(AND('Juvenile Data'!B12&gt;0,'Juvenile Data'!B12&lt;=YEAR(NOW())),'Juvenile Data'!B12,"")</f>
        <v>1988</v>
      </c>
      <c r="C12" s="383">
        <f t="shared" ca="1" si="0"/>
        <v>530427.83799999999</v>
      </c>
      <c r="D12" s="388">
        <f t="shared" ca="1" si="4"/>
        <v>4755.1356706731185</v>
      </c>
      <c r="E12" s="343">
        <f t="shared" ca="1" si="5"/>
        <v>8.9647174036011253E-3</v>
      </c>
      <c r="F12" s="394" t="str">
        <f t="shared" ca="1" si="7"/>
        <v xml:space="preserve">ABUND: Age comp missing: Best winter lake fry abundance copied from Pre-Smolt section into Age 1 column as an index of Smolt production. See General Comments. [hs 2022-10-31]; </v>
      </c>
      <c r="G12" s="404" t="str">
        <f t="shared" ca="1" si="8"/>
        <v xml:space="preserve">Returns Complete! ABUND: Ok adults at mouth of Columbia (based on Wells counts (adj. 24-hr counts) + [[downstream harvest (Zones 1-6) + nat morts apportioned to stock (based on annual Wells:Rock dam ratios)]]. [hs 2022-10-30]; </v>
      </c>
      <c r="H12" s="400" t="str">
        <f t="shared" ca="1" si="1"/>
        <v/>
      </c>
      <c r="I12" s="337" t="str">
        <f t="shared" ca="1" si="2"/>
        <v>ADULT: 1990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12" s="338" t="str">
        <f t="shared" ca="1" si="3"/>
        <v>JUV: howard.stiff@dfo-mpo.gc.ca; ADULT: 1990 howard.stiff@shaw.ca</v>
      </c>
      <c r="K12" s="376"/>
    </row>
    <row r="13" spans="1:11" ht="42" customHeight="1" x14ac:dyDescent="0.3">
      <c r="A13" s="498" t="str">
        <f ca="1">IF(OR(ISBLANK('Juvenile Data'!A13),'Juvenile Data'!B13&gt;YEAR(NOW())),"",'Juvenile Data'!A13)</f>
        <v>Okanagan - Osoyoos</v>
      </c>
      <c r="B13" s="386">
        <f ca="1">IF(AND('Juvenile Data'!B13&gt;0,'Juvenile Data'!B13&lt;=YEAR(NOW())),'Juvenile Data'!B13,"")</f>
        <v>1989</v>
      </c>
      <c r="C13" s="383">
        <f t="shared" ca="1" si="0"/>
        <v>731366.70200000005</v>
      </c>
      <c r="D13" s="388">
        <f t="shared" ca="1" si="4"/>
        <v>36778.697528355638</v>
      </c>
      <c r="E13" s="344">
        <f t="shared" ca="1" si="5"/>
        <v>5.0287629212241107E-2</v>
      </c>
      <c r="F13" s="394" t="str">
        <f t="shared" ca="1" si="7"/>
        <v xml:space="preserve">ABUND: Age comp missing: Best winter lake fry abundance copied from Pre-Smolt section into Age 1 column as an index of Smolt production. See General Comments. [hs 2022-10-31]; </v>
      </c>
      <c r="G13" s="404" t="str">
        <f t="shared" ca="1" si="8"/>
        <v xml:space="preserve">Returns Complete! ABUND: Ok adults at mouth of Columbia (based on Wells counts (adj. 24-hr counts) + [[downstream harvest (Zones 1-6) + nat morts apportioned to stock (based on annual Wells:Rock dam ratios)]]. [hs 2022-10-30]; </v>
      </c>
      <c r="H13" s="401" t="str">
        <f t="shared" ca="1" si="1"/>
        <v/>
      </c>
      <c r="I13" s="339" t="str">
        <f t="shared" ca="1" si="2"/>
        <v>ADULT: 1991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13" s="340" t="str">
        <f t="shared" ca="1" si="3"/>
        <v>JUV: howard.stiff@dfo-mpo.gc.ca; ADULT: 1991 howard.stiff@shaw.ca</v>
      </c>
      <c r="K13" s="376"/>
    </row>
    <row r="14" spans="1:11" ht="42" customHeight="1" x14ac:dyDescent="0.3">
      <c r="A14" s="498" t="str">
        <f ca="1">IF(OR(ISBLANK('Juvenile Data'!A14),'Juvenile Data'!B14&gt;YEAR(NOW())),"",'Juvenile Data'!A14)</f>
        <v>Okanagan - Osoyoos</v>
      </c>
      <c r="B14" s="386">
        <f ca="1">IF(AND('Juvenile Data'!B14&gt;0,'Juvenile Data'!B14&lt;=YEAR(NOW())),'Juvenile Data'!B14,"")</f>
        <v>1990</v>
      </c>
      <c r="C14" s="383">
        <f t="shared" ca="1" si="0"/>
        <v>315960.77400000003</v>
      </c>
      <c r="D14" s="388">
        <f t="shared" ca="1" si="4"/>
        <v>57641.744532173558</v>
      </c>
      <c r="E14" s="344">
        <f t="shared" ca="1" si="5"/>
        <v>0.18243322993054054</v>
      </c>
      <c r="F14" s="394" t="str">
        <f t="shared" ca="1" si="7"/>
        <v xml:space="preserve">ABUND: Age comp missing: Best winter lake fry abundance copied from Pre-Smolt section into Age 1 column as an index of Smolt production. See General Comments. [hs 2022-10-31]; </v>
      </c>
      <c r="G14" s="404" t="str">
        <f t="shared" ca="1" si="8"/>
        <v xml:space="preserve">Returns Complete! ABUND: Ok adults at mouth of Columbia (based on Wells counts (adj. 24-hr counts) + [[downstream harvest (Zones 1-6) + nat morts apportioned to stock (based on annual Wells:Rock dam ratios)]]. [hs 2022-10-30]; </v>
      </c>
      <c r="H14" s="401" t="str">
        <f t="shared" ca="1" si="1"/>
        <v/>
      </c>
      <c r="I14" s="339" t="str">
        <f t="shared" ca="1" si="2"/>
        <v>ADULT: 1992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14" s="340" t="str">
        <f t="shared" ca="1" si="3"/>
        <v>JUV: howard.stiff@dfo-mpo.gc.ca; ADULT: 1992 howard.stiff@shaw.ca</v>
      </c>
      <c r="K14" s="376"/>
    </row>
    <row r="15" spans="1:11" ht="42" customHeight="1" x14ac:dyDescent="0.3">
      <c r="A15" s="498" t="str">
        <f ca="1">IF(OR(ISBLANK('Juvenile Data'!A15),'Juvenile Data'!B15&gt;YEAR(NOW())),"",'Juvenile Data'!A15)</f>
        <v>Okanagan - Osoyoos</v>
      </c>
      <c r="B15" s="386">
        <f ca="1">IF(AND('Juvenile Data'!B15&gt;0,'Juvenile Data'!B15&lt;=YEAR(NOW())),'Juvenile Data'!B15,"")</f>
        <v>1991</v>
      </c>
      <c r="C15" s="383">
        <f t="shared" ca="1" si="0"/>
        <v>485056.83199999999</v>
      </c>
      <c r="D15" s="336">
        <f t="shared" ca="1" si="4"/>
        <v>57584.453319085165</v>
      </c>
      <c r="E15" s="344">
        <f t="shared" ca="1" si="5"/>
        <v>0.11871692041044206</v>
      </c>
      <c r="F15" s="394" t="str">
        <f t="shared" ca="1" si="7"/>
        <v xml:space="preserve">ABUND: Age comp missing: Best winter lake fry abundance copied from Pre-Smolt section into Age 1 column as an index of Smolt production. See General Comments. [hs 2022-10-31]; </v>
      </c>
      <c r="G15" s="404" t="str">
        <f t="shared" ca="1" si="8"/>
        <v xml:space="preserve">Returns Complete! ABUND: Ok adults at mouth of Columbia (based on Wells counts (adj. 24-hr counts) + [[downstream harvest (Zones 1-6) + nat morts apportioned to stock (based on annual Wells:Rock dam ratios)]]. [hs 2022-10-30]; </v>
      </c>
      <c r="H15" s="401" t="str">
        <f t="shared" ca="1" si="1"/>
        <v/>
      </c>
      <c r="I15" s="339" t="str">
        <f t="shared" ca="1" si="2"/>
        <v>ADULT: 1993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15" s="340" t="str">
        <f t="shared" ca="1" si="3"/>
        <v>JUV: howard.stiff@dfo-mpo.gc.ca; ADULT: 1993 howard.stiff@shaw.ca</v>
      </c>
      <c r="K15" s="376"/>
    </row>
    <row r="16" spans="1:11" ht="42" customHeight="1" x14ac:dyDescent="0.3">
      <c r="A16" s="498" t="str">
        <f ca="1">IF(OR(ISBLANK('Juvenile Data'!A16),'Juvenile Data'!B16&gt;YEAR(NOW())),"",'Juvenile Data'!A16)</f>
        <v>Okanagan - Osoyoos</v>
      </c>
      <c r="B16" s="386">
        <f ca="1">IF(AND('Juvenile Data'!B16&gt;0,'Juvenile Data'!B16&lt;=YEAR(NOW())),'Juvenile Data'!B16,"")</f>
        <v>1992</v>
      </c>
      <c r="C16" s="383">
        <f t="shared" ca="1" si="0"/>
        <v>177380.47</v>
      </c>
      <c r="D16" s="336">
        <f t="shared" ca="1" si="4"/>
        <v>503.38592832352396</v>
      </c>
      <c r="E16" s="344">
        <f t="shared" ca="1" si="5"/>
        <v>2.8378881188189657E-3</v>
      </c>
      <c r="F16" s="394" t="str">
        <f t="shared" ca="1" si="7"/>
        <v xml:space="preserve">ABUND: Age comp missing: Best winter lake fry abundance copied from Pre-Smolt section into Age 1 column as an index of Smolt production. See General Comments. [hs 2022-10-31]; </v>
      </c>
      <c r="G16" s="404" t="str">
        <f t="shared" ca="1" si="8"/>
        <v xml:space="preserve">Returns Complete! ABUND: Ok adults at mouth of Columbia (based on Wells counts (adj. 24-hr counts) + [[downstream harvest (Zones 1-6) + nat morts apportioned to stock (based on annual Wells:Rock dam ratios)]]. [hs 2022-10-30]; </v>
      </c>
      <c r="H16" s="401" t="str">
        <f t="shared" ca="1" si="1"/>
        <v/>
      </c>
      <c r="I16" s="339" t="str">
        <f t="shared" ca="1" si="2"/>
        <v>ADULT: 1994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16" s="340" t="str">
        <f t="shared" ca="1" si="3"/>
        <v>JUV: howard.stiff@dfo-mpo.gc.ca; ADULT: 1994 howard.stiff@shaw.ca</v>
      </c>
      <c r="K16" s="376"/>
    </row>
    <row r="17" spans="1:13" ht="42" customHeight="1" x14ac:dyDescent="0.3">
      <c r="A17" s="498" t="str">
        <f ca="1">IF(OR(ISBLANK('Juvenile Data'!A17),'Juvenile Data'!B17&gt;YEAR(NOW())),"",'Juvenile Data'!A17)</f>
        <v>Okanagan - Osoyoos</v>
      </c>
      <c r="B17" s="386">
        <f ca="1">IF(AND('Juvenile Data'!B17&gt;0,'Juvenile Data'!B17&lt;=YEAR(NOW())),'Juvenile Data'!B17,"")</f>
        <v>1993</v>
      </c>
      <c r="C17" s="383">
        <f t="shared" ca="1" si="0"/>
        <v>1479534.14</v>
      </c>
      <c r="D17" s="336">
        <f t="shared" ca="1" si="4"/>
        <v>4570.803341957695</v>
      </c>
      <c r="E17" s="344">
        <f t="shared" ca="1" si="5"/>
        <v>3.0893530729596379E-3</v>
      </c>
      <c r="F17" s="394" t="str">
        <f t="shared" ca="1" si="7"/>
        <v xml:space="preserve">ABUND: Age comp missing: Best winter lake fry abundance copied from Pre-Smolt section into Age 1 column as an index of Smolt production. See General Comments. [hs 2022-10-31]; </v>
      </c>
      <c r="G17" s="404" t="str">
        <f t="shared" ca="1" si="8"/>
        <v xml:space="preserve">Returns Complete! ABUND: Ok adults at mouth of Columbia (based on Wells counts (adj. 24-hr counts) + [[downstream harvest (Zones 1-6) + nat morts apportioned to stock (based on annual Wells:Rock dam ratios)]]. [hs 2022-10-30]; </v>
      </c>
      <c r="H17" s="401" t="str">
        <f t="shared" ca="1" si="1"/>
        <v/>
      </c>
      <c r="I17" s="339" t="str">
        <f t="shared" ca="1" si="2"/>
        <v>ADULT: 1995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17" s="340" t="str">
        <f t="shared" ca="1" si="3"/>
        <v>JUV: howard.stiff@dfo-mpo.gc.ca; ADULT: 1995 howard.stiff@shaw.ca</v>
      </c>
      <c r="K17" s="376"/>
    </row>
    <row r="18" spans="1:13" ht="42" customHeight="1" x14ac:dyDescent="0.3">
      <c r="A18" s="498" t="str">
        <f ca="1">IF(OR(ISBLANK('Juvenile Data'!A18),'Juvenile Data'!B18&gt;YEAR(NOW())),"",'Juvenile Data'!A18)</f>
        <v>Okanagan - Osoyoos</v>
      </c>
      <c r="B18" s="386">
        <f ca="1">IF(AND('Juvenile Data'!B18&gt;0,'Juvenile Data'!B18&lt;=YEAR(NOW())),'Juvenile Data'!B18,"")</f>
        <v>1994</v>
      </c>
      <c r="C18" s="383">
        <f t="shared" ca="1" si="0"/>
        <v>694473.36800000002</v>
      </c>
      <c r="D18" s="336">
        <f t="shared" ca="1" si="4"/>
        <v>24946.226841984568</v>
      </c>
      <c r="E18" s="344">
        <f t="shared" ca="1" si="5"/>
        <v>3.5921070542743357E-2</v>
      </c>
      <c r="F18" s="394" t="str">
        <f t="shared" ca="1" si="7"/>
        <v xml:space="preserve">ABUND: Age comp missing: Best winter lake fry abundance copied from Pre-Smolt section into Age 1 column as an index of Smolt production. See General Comments. [hs 2022-10-31]; </v>
      </c>
      <c r="G18" s="404" t="str">
        <f t="shared" ca="1" si="8"/>
        <v xml:space="preserve">Returns Complete! ABUND: Ok adults at mouth of Columbia (based on Wells counts (adj. 24-hr counts) + [[downstream harvest (Zones 1-6) + nat morts apportioned to stock (based on annual Wells:Rock dam ratios)]]. [hs 2022-10-30]; </v>
      </c>
      <c r="H18" s="401" t="str">
        <f t="shared" ca="1" si="1"/>
        <v/>
      </c>
      <c r="I18" s="339" t="str">
        <f t="shared" ca="1" si="2"/>
        <v>ADULT: 1996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18" s="340" t="str">
        <f t="shared" ca="1" si="3"/>
        <v>JUV: howard.stiff@dfo-mpo.gc.ca; ADULT: 1996 howard.stiff@shaw.ca</v>
      </c>
      <c r="K18" s="376"/>
    </row>
    <row r="19" spans="1:13" ht="42" customHeight="1" x14ac:dyDescent="0.3">
      <c r="A19" s="498" t="str">
        <f ca="1">IF(OR(ISBLANK('Juvenile Data'!A19),'Juvenile Data'!B19&gt;YEAR(NOW())),"",'Juvenile Data'!A19)</f>
        <v>Okanagan - Osoyoos</v>
      </c>
      <c r="B19" s="386">
        <f ca="1">IF(AND('Juvenile Data'!B19&gt;0,'Juvenile Data'!B19&lt;=YEAR(NOW())),'Juvenile Data'!B19,"")</f>
        <v>1995</v>
      </c>
      <c r="C19" s="383">
        <f t="shared" ca="1" si="0"/>
        <v>979216.21</v>
      </c>
      <c r="D19" s="336">
        <f t="shared" ca="1" si="4"/>
        <v>37109.85188335662</v>
      </c>
      <c r="E19" s="344">
        <f t="shared" ca="1" si="5"/>
        <v>3.7897505682995811E-2</v>
      </c>
      <c r="F19" s="394" t="str">
        <f t="shared" ca="1" si="7"/>
        <v xml:space="preserve">ABUND: Age comp missing: Best winter lake fry abundance copied from Pre-Smolt section into Age 1 column as an index of Smolt production. See General Comments. [hs 2022-10-31]; </v>
      </c>
      <c r="G19" s="404" t="str">
        <f t="shared" ca="1" si="8"/>
        <v xml:space="preserve">Returns Complete! ABUND: Ok adults at mouth of Columbia (based on Wells counts (adj. 24-hr counts) + [[downstream harvest (Zones 1-6) + nat morts apportioned to stock (based on annual Wells:Rock dam ratios)]]. [hs 2022-10-30]; </v>
      </c>
      <c r="H19" s="401" t="str">
        <f t="shared" ca="1" si="1"/>
        <v/>
      </c>
      <c r="I19" s="339" t="str">
        <f t="shared" ca="1" si="2"/>
        <v>ADULT: 1997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19" s="340" t="str">
        <f t="shared" ca="1" si="3"/>
        <v>JUV: howard.stiff@dfo-mpo.gc.ca; ADULT: 1997 howard.stiff@shaw.ca</v>
      </c>
      <c r="K19" s="376"/>
    </row>
    <row r="20" spans="1:13" ht="42" customHeight="1" x14ac:dyDescent="0.3">
      <c r="A20" s="498" t="str">
        <f ca="1">IF(OR(ISBLANK('Juvenile Data'!A20),'Juvenile Data'!B20&gt;YEAR(NOW())),"",'Juvenile Data'!A20)</f>
        <v>Okanagan - Osoyoos</v>
      </c>
      <c r="B20" s="386">
        <f ca="1">IF(AND('Juvenile Data'!B20&gt;0,'Juvenile Data'!B20&lt;=YEAR(NOW())),'Juvenile Data'!B20,"")</f>
        <v>1996</v>
      </c>
      <c r="C20" s="383">
        <f t="shared" ca="1" si="0"/>
        <v>140210.13</v>
      </c>
      <c r="D20" s="336">
        <f t="shared" ca="1" si="4"/>
        <v>5489.1220973225263</v>
      </c>
      <c r="E20" s="344">
        <f t="shared" ca="1" si="5"/>
        <v>3.9149254745876966E-2</v>
      </c>
      <c r="F20" s="394" t="str">
        <f t="shared" ca="1" si="7"/>
        <v xml:space="preserve">ABUND: Age comp missing: Best winter lake fry abundance copied from Pre-Smolt section into Age 1 column as an index of Smolt production. See General Comments. [hs 2022-10-31]; </v>
      </c>
      <c r="G20" s="404" t="str">
        <f t="shared" ca="1" si="8"/>
        <v xml:space="preserve">Returns At Age Incomplete (Age 42s or Age 52s missing or zero)? ABUND: Ok adults at mouth of Columbia (based on Wells counts (adj. 24-hr counts) + [[downstream harvest (Zones 1-6) + nat morts apportioned to stock (based on annual Wells:Rock dam ratios)]]. [hs 2022-10-30]; </v>
      </c>
      <c r="H20" s="401" t="str">
        <f t="shared" ca="1" si="1"/>
        <v>ADULT: 1998 Hottest summer</v>
      </c>
      <c r="I20" s="339" t="str">
        <f t="shared" ca="1" si="2"/>
        <v>ADULT: 1998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20" s="340" t="str">
        <f t="shared" ca="1" si="3"/>
        <v>JUV: howard.stiff@dfo-mpo.gc.ca; ADULT: 1998 howard.stiff@shaw.ca</v>
      </c>
      <c r="K20" s="376" t="s">
        <v>247</v>
      </c>
      <c r="M20">
        <f ca="1">VLOOKUP(B20+3,AdultReturns,5)</f>
        <v>0</v>
      </c>
    </row>
    <row r="21" spans="1:13" ht="42" customHeight="1" x14ac:dyDescent="0.3">
      <c r="A21" s="498" t="str">
        <f ca="1">IF(OR(ISBLANK('Juvenile Data'!A21),'Juvenile Data'!B21&gt;YEAR(NOW())),"",'Juvenile Data'!A21)</f>
        <v>Okanagan - Osoyoos</v>
      </c>
      <c r="B21" s="386">
        <f ca="1">IF(AND('Juvenile Data'!B21&gt;0,'Juvenile Data'!B21&lt;=YEAR(NOW())),'Juvenile Data'!B21,"")</f>
        <v>1997</v>
      </c>
      <c r="C21" s="383">
        <f t="shared" ca="1" si="0"/>
        <v>379994.25400000002</v>
      </c>
      <c r="D21" s="336">
        <f t="shared" ca="1" si="4"/>
        <v>13219.034834291835</v>
      </c>
      <c r="E21" s="344">
        <f t="shared" ca="1" si="5"/>
        <v>3.4787459797462714E-2</v>
      </c>
      <c r="F21" s="394" t="str">
        <f t="shared" ca="1" si="7"/>
        <v xml:space="preserve">ABUND: Age comp missing: Best winter lake fry abundance copied from Pre-Smolt section into Age 1 column as an index of Smolt production. See General Comments. [hs 2022-10-31]; </v>
      </c>
      <c r="G21" s="404" t="str">
        <f t="shared" ca="1" si="8"/>
        <v xml:space="preserve">Returns Complete! ABUND: Ok adults at mouth of Columbia (based on Wells counts (adj. 24-hr counts) + [[downstream harvest (Zones 1-6) + nat morts apportioned to stock (based on annual Wells:Rock dam ratios)]]. [hs 2022-10-30]; </v>
      </c>
      <c r="H21" s="401" t="str">
        <f t="shared" ca="1" si="1"/>
        <v xml:space="preserve">ADULT: 1999  </v>
      </c>
      <c r="I21" s="339" t="str">
        <f t="shared" ca="1" si="2"/>
        <v>ADULT: 1999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21" s="340" t="str">
        <f t="shared" ca="1" si="3"/>
        <v>JUV: howard.stiff@dfo-mpo.gc.ca; ADULT: 1999 howard.stiff@shaw.ca</v>
      </c>
      <c r="K21" s="376"/>
    </row>
    <row r="22" spans="1:13" ht="42" customHeight="1" x14ac:dyDescent="0.3">
      <c r="A22" s="498" t="str">
        <f ca="1">IF(OR(ISBLANK('Juvenile Data'!A22),'Juvenile Data'!B22&gt;YEAR(NOW())),"",'Juvenile Data'!A22)</f>
        <v>Okanagan - Osoyoos</v>
      </c>
      <c r="B22" s="386">
        <f ca="1">IF(AND('Juvenile Data'!B22&gt;0,'Juvenile Data'!B22&lt;=YEAR(NOW())),'Juvenile Data'!B22,"")</f>
        <v>1998</v>
      </c>
      <c r="C22" s="383">
        <f t="shared" ca="1" si="0"/>
        <v>1209167</v>
      </c>
      <c r="D22" s="336">
        <f t="shared" ca="1" si="4"/>
        <v>70034.23004769205</v>
      </c>
      <c r="E22" s="344">
        <f t="shared" ca="1" si="5"/>
        <v>5.7919402404872158E-2</v>
      </c>
      <c r="F22" s="394" t="str">
        <f t="shared" ca="1" si="7"/>
        <v xml:space="preserve">ABUND: Age comp missing: Best winter lake fry abundance copied from Pre-Smolt section into Age 1 column as an index of Smolt production. See General Comments. [hs 2022-10-31]; FRY: Abund based on mean of Jul Sep Nov 97 ATS surveys (Judson et al. 2023); Len Wt estimates from weighted mean of select fall-winter ATS survey(s) in previous year (see Presmolt_Sizes_tidy_22.11.16.xlsx); Data Source:  Osoyoos_trawl_November'97.xlsx, CNAT_nuOkanagan_Juveniles 22.10.27.xlsx; </v>
      </c>
      <c r="G22" s="404" t="str">
        <f t="shared" ca="1" si="8"/>
        <v xml:space="preserve">Returns Complete! ABUND: Ok adults at mouth of Columbia (based on Wells counts (adj. 24-hr counts) + [[downstream harvest (Zones 1-6) + nat morts apportioned to stock (based on annual Wells:Rock dam ratios)]]. [hs 2022-10-30]; </v>
      </c>
      <c r="H22" s="401" t="str">
        <f t="shared" ca="1" si="1"/>
        <v xml:space="preserve">JUV: Hottest summer; ADULT: 2000  </v>
      </c>
      <c r="I22" s="339" t="str">
        <f t="shared" ca="1" si="2"/>
        <v>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ADULT: 2000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22" s="340" t="str">
        <f t="shared" ca="1" si="3"/>
        <v>JUV: howard.stiff@dfo-mpo.gc.ca; ADULT: 2000 howard.stiff@shaw.ca</v>
      </c>
      <c r="K22" s="376"/>
    </row>
    <row r="23" spans="1:13" ht="42" customHeight="1" x14ac:dyDescent="0.3">
      <c r="A23" s="498" t="str">
        <f ca="1">IF(OR(ISBLANK('Juvenile Data'!A23),'Juvenile Data'!B23&gt;YEAR(NOW())),"",'Juvenile Data'!A23)</f>
        <v>Okanagan - Osoyoos</v>
      </c>
      <c r="B23" s="386">
        <f ca="1">IF(AND('Juvenile Data'!B23&gt;0,'Juvenile Data'!B23&lt;=YEAR(NOW())),'Juvenile Data'!B23,"")</f>
        <v>1999</v>
      </c>
      <c r="C23" s="383">
        <f t="shared" ca="1" si="0"/>
        <v>3099743</v>
      </c>
      <c r="D23" s="336">
        <f t="shared" ca="1" si="4"/>
        <v>101923.71184833861</v>
      </c>
      <c r="E23" s="344">
        <f t="shared" ca="1" si="5"/>
        <v>3.2881342694648756E-2</v>
      </c>
      <c r="F23" s="394" t="str">
        <f t="shared" ca="1" si="7"/>
        <v xml:space="preserve">ABUND: Age comp missing: Best winter lake fry abundance copied from Pre-Smolt section into Age 1 column as an index of Smolt production. See General Comments. [hs 2022-10-31]; FRY: Abund based on mean of May Jul Oct 98 ATS surveys (Judson et al. 2023); Len Wt estimates from weighted mean of select fall-winter ATS survey(s) in previous year (see Presmolt_Sizes_tidy_22.11.16.xlsx); Data Source:  Osoyoos_trawl_November'97.xlsx, CNAT_nuOkanagan_Juveniles 22.10.27.xlsx; </v>
      </c>
      <c r="G23" s="404" t="str">
        <f t="shared" ca="1" si="8"/>
        <v xml:space="preserve">Returns Complete! ABUND: Ok adults at mouth of Columbia (based on Wells counts (adj. 24-hr counts) + [[downstream harvest (Zones 1-6) + nat morts apportioned to stock (based on annual Wells:Rock dam ratios)]]. [hs 2022-10-30]; </v>
      </c>
      <c r="H23" s="401" t="str">
        <f t="shared" ca="1" si="1"/>
        <v xml:space="preserve">ADULT: 2001  </v>
      </c>
      <c r="I23" s="339" t="str">
        <f t="shared" ca="1" si="2"/>
        <v>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ADULT: 2001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23" s="340" t="str">
        <f t="shared" ca="1" si="3"/>
        <v>JUV: howard.stiff@dfo-mpo.gc.ca; ADULT: 2001 howard.stiff@shaw.ca</v>
      </c>
      <c r="K23" s="376"/>
    </row>
    <row r="24" spans="1:13" ht="42" customHeight="1" x14ac:dyDescent="0.3">
      <c r="A24" s="498" t="str">
        <f ca="1">IF(OR(ISBLANK('Juvenile Data'!A24),'Juvenile Data'!B24&gt;YEAR(NOW())),"",'Juvenile Data'!A24)</f>
        <v>Okanagan - Osoyoos</v>
      </c>
      <c r="B24" s="386">
        <f ca="1">IF(AND('Juvenile Data'!B24&gt;0,'Juvenile Data'!B24&lt;=YEAR(NOW())),'Juvenile Data'!B24,"")</f>
        <v>2000</v>
      </c>
      <c r="C24" s="383">
        <f t="shared" ca="1" si="0"/>
        <v>281333</v>
      </c>
      <c r="D24" s="336">
        <f t="shared" ca="1" si="4"/>
        <v>13550.279874030983</v>
      </c>
      <c r="E24" s="344">
        <f t="shared" ca="1" si="5"/>
        <v>4.8164558988924099E-2</v>
      </c>
      <c r="F24" s="394" t="str">
        <f t="shared" ca="1" si="7"/>
        <v xml:space="preserve">ABUND: Age comp missing: Best winter lake fry abundance copied from Pre-Smolt section into Age 1 column as an index of Smolt production. See General Comments. [hs 2022-10-31]; FRY: Abund based on mean of May Aug Sep 99 ATS surveys (Judson et al. 2023); Len Wt estimates from weighted mean of select fall-winter ATS survey(s) in previous year (see Presmolt_Sizes_tidy_22.11.16.xlsx); Data Source:  Osoyoos_trawl_November'97.xlsx, CNAT_nuOkanagan_Juveniles 22.10.27.xlsx; </v>
      </c>
      <c r="G24" s="404" t="str">
        <f t="shared" ca="1" si="8"/>
        <v xml:space="preserve">Returns Complete! ABUND: Ok adults at mouth of Columbia (based on Wells counts (adj. 24-hr counts) + [[downstream harvest (Zones 1-6) + nat morts apportioned to stock (based on annual Wells:Rock dam ratios)]]. [hs 2022-10-30]; </v>
      </c>
      <c r="H24" s="401" t="str">
        <f t="shared" ca="1" si="1"/>
        <v xml:space="preserve">ADULT: 2002  </v>
      </c>
      <c r="I24" s="339" t="str">
        <f t="shared" ca="1" si="2"/>
        <v>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ADULT: 2002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24" s="340" t="str">
        <f t="shared" ca="1" si="3"/>
        <v>JUV: howard.stiff@dfo-mpo.gc.ca; ADULT: 2002 howard.stiff@shaw.ca</v>
      </c>
      <c r="K24" s="376"/>
    </row>
    <row r="25" spans="1:13" ht="42" customHeight="1" x14ac:dyDescent="0.3">
      <c r="A25" s="498" t="str">
        <f ca="1">IF(OR(ISBLANK('Juvenile Data'!A25),'Juvenile Data'!B25&gt;YEAR(NOW())),"",'Juvenile Data'!A25)</f>
        <v>Okanagan - Osoyoos</v>
      </c>
      <c r="B25" s="386">
        <f ca="1">IF(AND('Juvenile Data'!B25&gt;0,'Juvenile Data'!B25&lt;=YEAR(NOW())),'Juvenile Data'!B25,"")</f>
        <v>2001</v>
      </c>
      <c r="C25" s="383">
        <f t="shared" ca="1" si="0"/>
        <v>1446600</v>
      </c>
      <c r="D25" s="336">
        <f t="shared" ca="1" si="4"/>
        <v>18964.637962385463</v>
      </c>
      <c r="E25" s="537">
        <f t="shared" ca="1" si="5"/>
        <v>1.3109800886482417E-2</v>
      </c>
      <c r="F25" s="394" t="str">
        <f t="shared" ca="1" si="7"/>
        <v xml:space="preserve">ABUND: Age comp missing: Best winter lake fry abundance copied from Pre-Smolt section into Age 1 column as an index of Smolt production. See General Comments. [hs 2022-10-31]; FRY: Abund based on mean of Jul Sep 2000 ATS surveys (Judson et al. 2023); Len Wt estimates from weighted mean of select fall-winter ATS survey(s) in previous year (see Presmolt_Sizes_tidy_22.11.16.xlsx); Data Source:  Osoyoos_trawl_November'97.xlsx, CNAT_nuOkanagan_Juveniles 22.10.27.xlsx; </v>
      </c>
      <c r="G25" s="404" t="str">
        <f t="shared" ca="1" si="8"/>
        <v xml:space="preserve">Returns At Age Incomplete (Age 42s or Age 52s missing or zero)? ABUND: Ok adults at mouth of Columbia (based on Wells counts (adj. 24-hr counts) + [[downstream harvest (Zones 1-6) + nat morts apportioned to stock (based on annual Wells:Rock dam ratios)]]. [hs 2022-10-30]; </v>
      </c>
      <c r="H25" s="401" t="str">
        <f t="shared" ca="1" si="1"/>
        <v>ADULT: 2003 Hot, dry summer in 2003; no rain in Oliver Jul/Aug 2003</v>
      </c>
      <c r="I25" s="339" t="str">
        <f t="shared" ca="1" si="2"/>
        <v>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ADULT: 2003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25" s="340" t="str">
        <f t="shared" ca="1" si="3"/>
        <v>JUV: howard.stiff@dfo-mpo.gc.ca; ADULT: 2003 howard.stiff@shaw.ca</v>
      </c>
      <c r="K25" s="376" t="s">
        <v>248</v>
      </c>
    </row>
    <row r="26" spans="1:13" ht="42" customHeight="1" x14ac:dyDescent="0.3">
      <c r="A26" s="498" t="str">
        <f ca="1">IF(OR(ISBLANK('Juvenile Data'!A26),'Juvenile Data'!B26&gt;YEAR(NOW())),"",'Juvenile Data'!A26)</f>
        <v>Okanagan - Osoyoos</v>
      </c>
      <c r="B26" s="386">
        <f ca="1">IF(AND('Juvenile Data'!B26&gt;0,'Juvenile Data'!B26&lt;=YEAR(NOW())),'Juvenile Data'!B26,"")</f>
        <v>2002</v>
      </c>
      <c r="C26" s="383">
        <f t="shared" ca="1" si="0"/>
        <v>2927009</v>
      </c>
      <c r="D26" s="336">
        <f t="shared" ca="1" si="4"/>
        <v>118739.28904352554</v>
      </c>
      <c r="E26" s="344">
        <f t="shared" ca="1" si="5"/>
        <v>4.056676595238537E-2</v>
      </c>
      <c r="F26" s="394" t="str">
        <f t="shared" ca="1" si="7"/>
        <v xml:space="preserve">ABUND: Age comp missing: Best winter lake fry abundance copied from Pre-Smolt section into Age 1 column as an index of Smolt production. See General Comments. [hs 2022-10-31]; FRY: Abund based on mean of Nov 2001 ATS surveys (Judson et al. 2023); Len Wt estimates from weighted mean of select fall-winter ATS survey(s) in previous year (see Presmolt_Sizes_tidy_22.11.16.xlsx); Data Source:  Osoyoos_trawl_November'97.xlsx, CNAT_nuOkanagan_Juveniles 22.10.27.xlsx; </v>
      </c>
      <c r="G26" s="404" t="str">
        <f t="shared" ca="1" si="8"/>
        <v xml:space="preserve">Returns Complete! ABUND: Ok adults at mouth of Columbia (based on Wells counts (adj. 24-hr counts) + [[downstream harvest (Zones 1-6) + nat morts apportioned to stock (based on annual Wells:Rock dam ratios)]]. [hs 2022-10-30]; </v>
      </c>
      <c r="H26" s="401" t="str">
        <f t="shared" ca="1" si="1"/>
        <v/>
      </c>
      <c r="I26" s="339" t="str">
        <f t="shared" ca="1" si="2"/>
        <v>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ADULT: 2004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26" s="340" t="str">
        <f t="shared" ca="1" si="3"/>
        <v>JUV: howard.stiff@dfo-mpo.gc.ca; ADULT: 2004 howard.stiff@shaw.ca</v>
      </c>
      <c r="K26" s="376"/>
    </row>
    <row r="27" spans="1:13" ht="42" customHeight="1" x14ac:dyDescent="0.3">
      <c r="A27" s="498" t="str">
        <f ca="1">IF(OR(ISBLANK('Juvenile Data'!A27),'Juvenile Data'!B27&gt;YEAR(NOW())),"",'Juvenile Data'!A27)</f>
        <v>Okanagan - Osoyoos</v>
      </c>
      <c r="B27" s="386">
        <f ca="1">IF(AND('Juvenile Data'!B27&gt;0,'Juvenile Data'!B27&lt;=YEAR(NOW())),'Juvenile Data'!B27,"")</f>
        <v>2003</v>
      </c>
      <c r="C27" s="383">
        <f t="shared" ca="1" si="0"/>
        <v>2080978</v>
      </c>
      <c r="D27" s="336">
        <f t="shared" ca="1" si="4"/>
        <v>70711.761479961759</v>
      </c>
      <c r="E27" s="344">
        <f t="shared" ca="1" si="5"/>
        <v>3.3980062009286861E-2</v>
      </c>
      <c r="F27" s="394" t="str">
        <f t="shared" ca="1" si="7"/>
        <v xml:space="preserve">ABUND: Age comp missing: Best winter lake fry abundance copied from Pre-Smolt section into Age 1 column as an index of Smolt production. See General Comments. [hs 2022-10-31]; FRY: Abund based on mean of Oct Nov 2002 ATS surveys (Judson et al. 2023); Len Wt estimates from weighted mean of select fall-winter ATS survey(s) in previous year (see Presmolt_Sizes_tidy_22.11.16.xlsx); Data Source:  Osoyoos_trawl_November'97.xlsx, CNAT_nuOkanagan_Juveniles 22.10.27.xlsx; </v>
      </c>
      <c r="G27" s="404" t="str">
        <f t="shared" ca="1" si="8"/>
        <v xml:space="preserve">Returns Complete! ABUND: Ok adults at mouth of Columbia (based on Wells counts (adj. 24-hr counts) + [[downstream harvest (Zones 1-6) + nat morts apportioned to stock (based on annual Wells:Rock dam ratios)]]. [hs 2022-10-30]; </v>
      </c>
      <c r="H27" s="401" t="str">
        <f t="shared" ca="1" si="1"/>
        <v xml:space="preserve">ADULT: 2005  </v>
      </c>
      <c r="I27" s="339" t="str">
        <f t="shared" ca="1" si="2"/>
        <v>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ADULT: 2005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27" s="340" t="str">
        <f t="shared" ca="1" si="3"/>
        <v>JUV: howard.stiff@dfo-mpo.gc.ca; ADULT: 2005 howard.stiff@shaw.ca</v>
      </c>
      <c r="K27" s="376"/>
    </row>
    <row r="28" spans="1:13" ht="42" customHeight="1" x14ac:dyDescent="0.3">
      <c r="A28" s="498" t="str">
        <f ca="1">IF(OR(ISBLANK('Juvenile Data'!A28),'Juvenile Data'!B28&gt;YEAR(NOW())),"",'Juvenile Data'!A28)</f>
        <v>Okanagan - Osoyoos</v>
      </c>
      <c r="B28" s="386">
        <f ca="1">IF(AND('Juvenile Data'!B28&gt;0,'Juvenile Data'!B28&lt;=YEAR(NOW())),'Juvenile Data'!B28,"")</f>
        <v>2004</v>
      </c>
      <c r="C28" s="383">
        <f t="shared" ca="1" si="0"/>
        <v>627855</v>
      </c>
      <c r="D28" s="336">
        <f t="shared" ca="1" si="4"/>
        <v>29572.511605920856</v>
      </c>
      <c r="E28" s="344">
        <f t="shared" ca="1" si="5"/>
        <v>4.7100861832621951E-2</v>
      </c>
      <c r="F28" s="394" t="str">
        <f t="shared" ca="1" si="7"/>
        <v xml:space="preserve">ABUND: Age comp missing: Best winter lake fry abundance copied from Pre-Smolt section into Age 1 column as an index of Smolt production. See General Comments. [hs 2022-10-31]; FRY: Abund based on mean of Sep 03 Mar 04 ATS surveys (Judson et al. 2023); Len Wt estimates from weighted mean of select fall-winter ATS survey(s) in previous year (see Presmolt_Sizes_tidy_22.11.16.xlsx); Data Source:  Osoyoos_trawl_November'97.xlsx, CNAT_nuOkanagan_Juveniles 22.10.27.xlsx; </v>
      </c>
      <c r="G28" s="404" t="str">
        <f t="shared" ca="1" si="8"/>
        <v xml:space="preserve">Returns Complete! ABUND: Ok adults at mouth of Columbia (based on Wells counts (adj. 24-hr counts) + [[downstream harvest (Zones 1-6) + nat morts apportioned to stock (based on annual Wells:Rock dam ratios)]]. [hs 2022-10-30]; </v>
      </c>
      <c r="H28" s="401" t="str">
        <f t="shared" ca="1" si="1"/>
        <v xml:space="preserve">JUV: Hot, dry summer in 2003; no rain in Oliver Jul/Aug 2003; ADULT: 2006  </v>
      </c>
      <c r="I28" s="339" t="str">
        <f t="shared" ca="1" si="2"/>
        <v>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ADULT: 2006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28" s="340" t="str">
        <f t="shared" ca="1" si="3"/>
        <v>JUV: howard.stiff@dfo-mpo.gc.ca; ADULT: 2006 howard.stiff@shaw.ca</v>
      </c>
      <c r="K28" s="376"/>
    </row>
    <row r="29" spans="1:13" ht="42" customHeight="1" x14ac:dyDescent="0.3">
      <c r="A29" s="498" t="str">
        <f ca="1">IF(OR(ISBLANK('Juvenile Data'!A29),'Juvenile Data'!B29&gt;YEAR(NOW())),"",'Juvenile Data'!A29)</f>
        <v>Okanagan - Osoyoos</v>
      </c>
      <c r="B29" s="386">
        <f ca="1">IF(AND('Juvenile Data'!B29&gt;0,'Juvenile Data'!B29&lt;=YEAR(NOW())),'Juvenile Data'!B29,"")</f>
        <v>2005</v>
      </c>
      <c r="C29" s="383">
        <f t="shared" ca="1" si="0"/>
        <v>735805</v>
      </c>
      <c r="D29" s="336">
        <f t="shared" ca="1" si="4"/>
        <v>15898.444478135205</v>
      </c>
      <c r="E29" s="344">
        <f t="shared" ca="1" si="5"/>
        <v>2.1606872035573561E-2</v>
      </c>
      <c r="F29" s="394" t="str">
        <f t="shared" ca="1" si="7"/>
        <v xml:space="preserve">ABUND: Age comp missing: Best winter lake fry abundance copied from Pre-Smolt section into Age 1 column as an index of Smolt production. See General Comments. [hs 2022-10-31]; FRY: Abund based on mean of Nov 04 Feb 05 ATS surveys (Judson et al. 2023); Size data missing for Feb 05 survey. Len Wt estimates from weighted mean of select fall-winter ATS survey(s) in previous year (see Presmolt_Sizes_tidy_22.11.16.xlsx); Data Source:  Osoyoos_trawl_November'97.xlsx, CNAT_nuOkanagan_Juveniles 22.10.27.xlsx; </v>
      </c>
      <c r="G29" s="404" t="str">
        <f t="shared" ca="1" si="8"/>
        <v xml:space="preserve">Returns Complete! ABUND: Ok adults at mouth of Columbia (based on Wells counts (adj. 24-hr counts) + [[downstream harvest (Zones 1-6) + nat morts apportioned to stock (based on annual Wells:Rock dam ratios)]]. [hs 2022-10-30]; </v>
      </c>
      <c r="H29" s="401" t="str">
        <f t="shared" ca="1" si="1"/>
        <v xml:space="preserve">ADULT: 2007  </v>
      </c>
      <c r="I29" s="339" t="str">
        <f t="shared" ca="1" si="2"/>
        <v>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ADULT: 2007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29" s="340" t="str">
        <f t="shared" ca="1" si="3"/>
        <v>JUV: howard.stiff@dfo-mpo.gc.ca; ADULT: 2007 howard.stiff@shaw.ca</v>
      </c>
      <c r="K29" s="376"/>
    </row>
    <row r="30" spans="1:13" ht="42" customHeight="1" x14ac:dyDescent="0.3">
      <c r="A30" s="498" t="str">
        <f ca="1">IF(OR(ISBLANK('Juvenile Data'!A30),'Juvenile Data'!B30&gt;YEAR(NOW())),"",'Juvenile Data'!A30)</f>
        <v>Okanagan - Osoyoos</v>
      </c>
      <c r="B30" s="386">
        <f ca="1">IF(AND('Juvenile Data'!B30&gt;0,'Juvenile Data'!B30&lt;=YEAR(NOW())),'Juvenile Data'!B30,"")</f>
        <v>2006</v>
      </c>
      <c r="C30" s="383">
        <f t="shared" ca="1" si="0"/>
        <v>1783500</v>
      </c>
      <c r="D30" s="336">
        <f t="shared" ca="1" si="4"/>
        <v>208780.23368913372</v>
      </c>
      <c r="E30" s="344">
        <f t="shared" ca="1" si="5"/>
        <v>0.1170620878548549</v>
      </c>
      <c r="F30" s="394" t="str">
        <f t="shared" ca="1" si="7"/>
        <v xml:space="preserve">ABUND: Age comp missing: Best winter lake fry abundance copied from Pre-Smolt section into Age 1 column as an index of Smolt production. See General Comments. [hs 2022-10-31]; FRY: Abund based on mean of Nov Jan ATS surveys (Judson et al. 2023); Len Wt estimates from weighted mean of select fall-winter ATS survey(s) in previous year (see Presmolt_Sizes_tidy_22.11.16.xlsx); Data Source:  Osoyoos_trawl_November'97.xlsx, CNAT_nuOkanagan_Juveniles 22.10.27.xlsx; </v>
      </c>
      <c r="G30" s="404" t="str">
        <f t="shared" ca="1" si="8"/>
        <v xml:space="preserve">Returns Complete! ABUND: Ok adults at mouth of Columbia (based on Wells counts (adj. 24-hr counts) + [[downstream harvest (Zones 1-6) + nat morts apportioned to stock (based on annual Wells:Rock dam ratios)]]. [hs 2022-10-30]; </v>
      </c>
      <c r="H30" s="401" t="str">
        <f t="shared" ca="1" si="1"/>
        <v xml:space="preserve">ADULT: 2008  </v>
      </c>
      <c r="I30" s="339" t="str">
        <f t="shared" ca="1" si="2"/>
        <v>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ADULT: 2008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30" s="340" t="str">
        <f t="shared" ca="1" si="3"/>
        <v>JUV: howard.stiff@dfo-mpo.gc.ca; ADULT: 2008 howard.stiff@shaw.ca</v>
      </c>
      <c r="K30" s="376"/>
    </row>
    <row r="31" spans="1:13" ht="42" customHeight="1" x14ac:dyDescent="0.3">
      <c r="A31" s="498" t="str">
        <f ca="1">IF(OR(ISBLANK('Juvenile Data'!A31),'Juvenile Data'!B31&gt;YEAR(NOW())),"",'Juvenile Data'!A31)</f>
        <v>Okanagan - Osoyoos</v>
      </c>
      <c r="B31" s="386">
        <f ca="1">IF(AND('Juvenile Data'!B31&gt;0,'Juvenile Data'!B31&lt;=YEAR(NOW())),'Juvenile Data'!B31,"")</f>
        <v>2007</v>
      </c>
      <c r="C31" s="383">
        <f t="shared" ca="1" si="0"/>
        <v>2026709</v>
      </c>
      <c r="D31" s="336">
        <f t="shared" ca="1" si="4"/>
        <v>188246.76314347883</v>
      </c>
      <c r="E31" s="344">
        <f t="shared" ca="1" si="5"/>
        <v>9.2882975870477127E-2</v>
      </c>
      <c r="F31" s="394" t="str">
        <f t="shared" ca="1" si="7"/>
        <v xml:space="preserve">ABUND: Age comp missing: Best winter lake fry abundance copied from Pre-Smolt section into Age 1 column as an index of Smolt production. See General Comments. [hs 2022-10-31]; FRY: Abund based on mean of Oct Nov Dec Mar ATS surveys (Judson et al. 2023); Len Wt estimates from weighted mean of select fall-winter ATS survey(s) in previous year (see Presmolt_Sizes_tidy_22.11.16.xlsx); Data Source:  Osoyoos_trawl_November'97.xlsx, CNAT_nuOkanagan_Juveniles 22.10.27.xlsx; </v>
      </c>
      <c r="G31" s="404" t="str">
        <f t="shared" ca="1" si="8"/>
        <v xml:space="preserve">Returns Complete! ABUND: Ok adults at mouth of Columbia (based on Wells counts (adj. 24-hr counts) + [[downstream harvest (Zones 1-6) + nat morts apportioned to stock (based on annual Wells:Rock dam ratios)]]. [hs 2022-10-30]; </v>
      </c>
      <c r="H31" s="401" t="str">
        <f t="shared" ca="1" si="1"/>
        <v xml:space="preserve">ADULT: 2009  </v>
      </c>
      <c r="I31" s="339" t="str">
        <f t="shared" ca="1" si="2"/>
        <v>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ADULT: 2009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31" s="340" t="str">
        <f t="shared" ca="1" si="3"/>
        <v>JUV: howard.stiff@dfo-mpo.gc.ca; ADULT: 2009 howard.stiff@shaw.ca</v>
      </c>
      <c r="K31" s="376"/>
    </row>
    <row r="32" spans="1:13" ht="42" customHeight="1" x14ac:dyDescent="0.3">
      <c r="A32" s="498" t="str">
        <f ca="1">IF(OR(ISBLANK('Juvenile Data'!A32),'Juvenile Data'!B32&gt;YEAR(NOW())),"",'Juvenile Data'!A32)</f>
        <v>Okanagan - Osoyoos</v>
      </c>
      <c r="B32" s="386">
        <f ca="1">IF(AND('Juvenile Data'!B32&gt;0,'Juvenile Data'!B32&lt;=YEAR(NOW())),'Juvenile Data'!B32,"")</f>
        <v>2008</v>
      </c>
      <c r="C32" s="383">
        <f t="shared" ca="1" si="0"/>
        <v>2133694</v>
      </c>
      <c r="D32" s="336">
        <f t="shared" ca="1" si="4"/>
        <v>350273.63528394373</v>
      </c>
      <c r="E32" s="344">
        <f t="shared" ca="1" si="5"/>
        <v>0.16416301273000897</v>
      </c>
      <c r="F32" s="395" t="str">
        <f t="shared" ca="1" si="7"/>
        <v xml:space="preserve">ABUND: Age comp missing: Best winter lake fry abundance copied from Pre-Smolt section into Age 1 column as an index of Smolt production. See General Comments. [hs 2022-10-31]; FRY: Abund based on mean of Oct Nov Jan ATS surveys (Judson et al. 2023); Len Wt estimates from weighted mean of select fall-winter ATS survey(s) in previous year (see Presmolt_Sizes_tidy_22.11.16.xlsx); Data Source:  Osoyoos_trawl_November'97.xlsx, CNAT_nuOkanagan_Juveniles 22.10.27.xlsx; </v>
      </c>
      <c r="G32" s="404" t="str">
        <f t="shared" ca="1" si="8"/>
        <v xml:space="preserve">Returns Complete! ABUND: Ok adults at mouth of Columbia (based on Wells counts (adj. 24-hr counts) + [[downstream harvest (Zones 1-6) + nat morts apportioned to stock (based on annual Wells:Rock dam ratios)]]. [hs 2022-10-30]; </v>
      </c>
      <c r="H32" s="401" t="str">
        <f t="shared" ca="1" si="1"/>
        <v>ADULT: 2010 Testalinden Slide: 2010-06-13</v>
      </c>
      <c r="I32" s="339" t="str">
        <f t="shared" ca="1" si="2"/>
        <v>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ADULT: 2010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32" s="340" t="str">
        <f t="shared" ca="1" si="3"/>
        <v>JUV: howard.stiff@dfo-mpo.gc.ca; ADULT: 2010 howard.stiff@shaw.ca</v>
      </c>
      <c r="K32" s="376"/>
    </row>
    <row r="33" spans="1:29" ht="42" customHeight="1" x14ac:dyDescent="0.3">
      <c r="A33" s="498" t="str">
        <f ca="1">IF(OR(ISBLANK('Juvenile Data'!A33),'Juvenile Data'!B33&gt;YEAR(NOW())),"",'Juvenile Data'!A33)</f>
        <v>Okanagan - Osoyoos</v>
      </c>
      <c r="B33" s="386">
        <f ca="1">IF(AND('Juvenile Data'!B33&gt;0,'Juvenile Data'!B33&lt;=YEAR(NOW())),'Juvenile Data'!B33,"")</f>
        <v>2009</v>
      </c>
      <c r="C33" s="383">
        <f t="shared" ca="1" si="0"/>
        <v>875327</v>
      </c>
      <c r="D33" s="336">
        <f t="shared" ca="1" si="4"/>
        <v>119774.83686075982</v>
      </c>
      <c r="E33" s="344">
        <f t="shared" ca="1" si="5"/>
        <v>0.13683439087422167</v>
      </c>
      <c r="F33" s="395" t="str">
        <f t="shared" ca="1" si="7"/>
        <v xml:space="preserve">ABUND: Age comp missing: Best winter lake fry abundance copied from Pre-Smolt section into Age 1 column as an index of Smolt production. See General Comments. [hs 2022-10-31]; FRY: Abund based on mean of Nov ATS surveys (Judson et al. 2023); Len Wt estimates from weighted mean of select fall-winter ATS survey(s) in previous year (see Presmolt_Sizes_tidy_22.11.16.xlsx); Data Source:  Osoyoos_trawl_November'97.xlsx, CNAT_nuOkanagan_Juveniles 22.10.27.xlsx; </v>
      </c>
      <c r="G33" s="404" t="str">
        <f t="shared" ca="1" si="8"/>
        <v xml:space="preserve">Returns Complete! ABUND: Ok adults at mouth of Columbia (based on Wells counts (adj. 24-hr counts) + [[downstream harvest (Zones 1-6) + nat morts apportioned to stock (based on annual Wells:Rock dam ratios)]]. [hs 2022-10-30]; </v>
      </c>
      <c r="H33" s="401" t="str">
        <f t="shared" ca="1" si="1"/>
        <v/>
      </c>
      <c r="I33" s="339" t="str">
        <f t="shared" ca="1" si="2"/>
        <v>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ADULT: 2011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33" s="340" t="str">
        <f t="shared" ca="1" si="3"/>
        <v>JUV: howard.stiff@dfo-mpo.gc.ca; ADULT: 2011 howard.stiff@shaw.ca</v>
      </c>
      <c r="K33" s="376"/>
    </row>
    <row r="34" spans="1:29" ht="42" customHeight="1" x14ac:dyDescent="0.3">
      <c r="A34" s="498" t="str">
        <f ca="1">IF(OR(ISBLANK('Juvenile Data'!A34),'Juvenile Data'!B34&gt;YEAR(NOW())),"",'Juvenile Data'!A34)</f>
        <v>Okanagan - Osoyoos</v>
      </c>
      <c r="B34" s="386">
        <f ca="1">IF(AND('Juvenile Data'!B34&gt;0,'Juvenile Data'!B34&lt;=YEAR(NOW())),'Juvenile Data'!B34,"")</f>
        <v>2010</v>
      </c>
      <c r="C34" s="383">
        <f t="shared" ca="1" si="0"/>
        <v>7488306</v>
      </c>
      <c r="D34" s="336">
        <f t="shared" ca="1" si="4"/>
        <v>471884.97738131502</v>
      </c>
      <c r="E34" s="344">
        <f t="shared" ca="1" si="5"/>
        <v>6.3016251924175509E-2</v>
      </c>
      <c r="F34" s="395" t="str">
        <f t="shared" ca="1" si="7"/>
        <v xml:space="preserve">ABUND: Age comp missing: Best winter lake fry abundance copied from Pre-Smolt section into Age 1 column as an index of Smolt production. See General Comments. [hs 2022-10-31]; FRY: Abund based on mean of Nov Feb ATS surveys (Judson et al. 2023); Len Wt estimates from weighted mean of select fall-winter ATS survey(s) in previous year (see Presmolt_Sizes_tidy_22.11.16.xlsx); Data Source:  Osoyoos_trawl_November'97.xlsx, CNAT_nuOkanagan_Juveniles 22.10.27.xlsx; </v>
      </c>
      <c r="G34" s="404" t="str">
        <f t="shared" ca="1" si="8"/>
        <v xml:space="preserve">Returns Complete! ABUND: Ok adults at mouth of Columbia (based on Wells counts (adj. 24-hr counts) + [[downstream harvest (Zones 1-6) + nat morts apportioned to stock (based on annual Wells:Rock dam ratios)]]. [hs 2022-10-30]; </v>
      </c>
      <c r="H34" s="401" t="str">
        <f t="shared" ca="1" si="1"/>
        <v xml:space="preserve">ADULT: 2012  </v>
      </c>
      <c r="I34" s="339" t="str">
        <f t="shared" ca="1" si="2"/>
        <v>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ADULT: 2012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34" s="340" t="str">
        <f t="shared" ca="1" si="3"/>
        <v>JUV: howard.stiff@dfo-mpo.gc.ca; ADULT: 2012 howard.stiff@shaw.ca</v>
      </c>
      <c r="K34" s="376"/>
    </row>
    <row r="35" spans="1:29" ht="42" customHeight="1" x14ac:dyDescent="0.3">
      <c r="A35" s="498" t="str">
        <f ca="1">IF(OR(ISBLANK('Juvenile Data'!A35),'Juvenile Data'!B35&gt;YEAR(NOW())),"",'Juvenile Data'!A35)</f>
        <v>Okanagan - Osoyoos</v>
      </c>
      <c r="B35" s="386">
        <f ca="1">IF(AND('Juvenile Data'!B35&gt;0,'Juvenile Data'!B35&lt;=YEAR(NOW())),'Juvenile Data'!B35,"")</f>
        <v>2011</v>
      </c>
      <c r="C35" s="383">
        <f t="shared" ca="1" si="0"/>
        <v>929531</v>
      </c>
      <c r="D35" s="336">
        <f t="shared" ca="1" si="4"/>
        <v>135547.70558280536</v>
      </c>
      <c r="E35" s="344">
        <f t="shared" ca="1" si="5"/>
        <v>0.14582376013581619</v>
      </c>
      <c r="F35" s="395" t="str">
        <f t="shared" ca="1" si="7"/>
        <v xml:space="preserve">ABUND: Age comp missing: Best winter lake fry abundance copied from Pre-Smolt section into Age 1 column as an index of Smolt production. See General Comments. [hs 2022-10-31]; FRY: BY2009 hatchery fry stocked in Osoyoos in 2010 (Date: 10-06-02; Density: 463/ha; Wt: 1.1g --&gt; 11.03.11; 88/ha; 6g). Abund based on mean of Oct Nov Mar ATS surveys (Judson et al. 2023); Len Wt estimates from weighted mean of select fall-winter ATS survey(s) in previous year (see Presmolt_Sizes_tidy_22.11.16.xlsx); Data Source:  Osoyoos_trawl_November'97.xlsx, CNAT_nuOkanagan_Juveniles 22.10.27.xlsx; </v>
      </c>
      <c r="G35" s="404" t="str">
        <f t="shared" ca="1" si="8"/>
        <v xml:space="preserve">Returns Complete! ABUND: Ok adults at mouth of Columbia (based on Wells counts (adj. 24-hr counts) + [[downstream harvest (Zones 1-6) + nat morts apportioned to stock (based on annual Wells:Rock dam ratios)]]. [hs 2022-10-30]; </v>
      </c>
      <c r="H35" s="401" t="str">
        <f t="shared" ca="1" si="1"/>
        <v xml:space="preserve">JUV: Testalinden Slide: 2010-06-13; ADULT: 2013  </v>
      </c>
      <c r="I35" s="339" t="str">
        <f t="shared" ca="1" si="2"/>
        <v>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ADULT: 2013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35" s="340" t="str">
        <f t="shared" ca="1" si="3"/>
        <v>JUV: howard.stiff@dfo-mpo.gc.ca; ADULT: 2013 howard.stiff@shaw.ca</v>
      </c>
      <c r="K35" s="376"/>
    </row>
    <row r="36" spans="1:29" ht="42" customHeight="1" x14ac:dyDescent="0.3">
      <c r="A36" s="498" t="str">
        <f ca="1">IF(OR(ISBLANK('Juvenile Data'!A36),'Juvenile Data'!B36&gt;YEAR(NOW())),"",'Juvenile Data'!A36)</f>
        <v>Okanagan - Osoyoos</v>
      </c>
      <c r="B36" s="386">
        <f ca="1">IF(AND('Juvenile Data'!B36&gt;0,'Juvenile Data'!B36&lt;=YEAR(NOW())),'Juvenile Data'!B36,"")</f>
        <v>2012</v>
      </c>
      <c r="C36" s="383">
        <f t="shared" ref="C36:C57" ca="1" si="9">IF(ISNUMBER(VLOOKUP(B36,JuvAbund,5)),VLOOKUP(B36,JuvAbund,5),"")</f>
        <v>4435800</v>
      </c>
      <c r="D36" s="336">
        <f t="shared" ca="1" si="4"/>
        <v>565956.75756543968</v>
      </c>
      <c r="E36" s="344">
        <f t="shared" ca="1" si="5"/>
        <v>0.12758842994847372</v>
      </c>
      <c r="F36" s="395" t="str">
        <f t="shared" ca="1" si="7"/>
        <v xml:space="preserve">ABUND: Age comp missing: Best winter lake fry abundance copied from Pre-Smolt section into Age 1 column as an index of Smolt production. See General Comments. [hs 2022-10-31]; FRY: Abund based on mean of Oct Nov Mar ATS surveys (Judson et al. 2023); Len Wt estimates from weighted mean of select fall-winter ATS survey(s) in previous year (see Presmolt_Sizes_tidy_22.11.16.xlsx); Data Source:  Osoyoos_trawl_November'97.xlsx, CNAT_nuOkanagan_Juveniles 22.10.27.xlsx; </v>
      </c>
      <c r="G36" s="404" t="str">
        <f t="shared" ca="1" si="8"/>
        <v xml:space="preserve">Returns Complete! ABUND: Ok adults at mouth of Columbia (based on Wells counts (adj. 24-hr counts) + [[downstream harvest (Zones 1-6) + nat morts apportioned to stock (based on annual Wells:Rock dam ratios)]]. [hs 2022-10-30]; </v>
      </c>
      <c r="H36" s="401" t="str">
        <f t="shared" ref="H36:H57" ca="1" si="10">IF(1&lt;LEN(VLOOKUP($B36,JuvAbund,34)),"JUV: "&amp;VLOOKUP($B36,JuvAbund,34)&amp;"; ","")&amp;IF(ISTEXT(VLOOKUP($B36+2,AdultReturns,47)),"ADULT: "&amp;$B36+2&amp;" "&amp;VLOOKUP($B36+2,AdultReturns,47),"")</f>
        <v xml:space="preserve">ADULT: 2014  </v>
      </c>
      <c r="I36" s="339" t="str">
        <f t="shared" ref="I36:I57" ca="1" si="11">IF(1&lt;LEN(VLOOKUP($B36,JuvAbund,35)),"JUV: "&amp;VLOOKUP($B36,JuvAbund,35)&amp;"; ","")&amp;IF(ISTEXT(VLOOKUP($B36+2,AdultReturns,48)),"ADULT: "&amp;$B36+2&amp;" "&amp;VLOOKUP($B36+2,AdultReturns,48),"")</f>
        <v>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ADULT: 2014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36" s="340" t="str">
        <f t="shared" ref="J36:J57" ca="1" si="12">IF(1&lt;LEN(VLOOKUP($B36,JuvAbund,36)),"JUV: "&amp;VLOOKUP($B36,JuvAbund,36)&amp;"; ","")&amp;IF(ISTEXT(VLOOKUP($B36+2,AdultReturns,49)),"ADULT: "&amp;$B36+2&amp;" "&amp;VLOOKUP($B36+2,AdultReturns,49),"")</f>
        <v>JUV: howard.stiff@dfo-mpo.gc.ca; ADULT: 2014 howard.stiff@shaw.ca</v>
      </c>
      <c r="K36" s="376"/>
    </row>
    <row r="37" spans="1:29" ht="42" customHeight="1" x14ac:dyDescent="0.3">
      <c r="A37" s="498" t="str">
        <f ca="1">IF(OR(ISBLANK('Juvenile Data'!A37),'Juvenile Data'!B37&gt;YEAR(NOW())),"",'Juvenile Data'!A37)</f>
        <v>Okanagan - Osoyoos</v>
      </c>
      <c r="B37" s="386">
        <f ca="1">IF(AND('Juvenile Data'!B37&gt;0,'Juvenile Data'!B37&lt;=YEAR(NOW())),'Juvenile Data'!B37,"")</f>
        <v>2013</v>
      </c>
      <c r="C37" s="383">
        <f t="shared" ca="1" si="9"/>
        <v>2898435</v>
      </c>
      <c r="D37" s="336">
        <f t="shared" ca="1" si="4"/>
        <v>369751.93411340541</v>
      </c>
      <c r="E37" s="344">
        <f t="shared" ca="1" si="5"/>
        <v>0.12756951048183085</v>
      </c>
      <c r="F37" s="395" t="str">
        <f t="shared" ca="1" si="7"/>
        <v xml:space="preserve">ABUND: Age comp missing: Best winter lake fry abundance copied from Pre-Smolt section into Age 1 column as an index of Smolt production. See General Comments. [hs 2022-10-31]; MIG: PIT tagged juvenile (wild+hatch?) survival (FPC Memo to JF (21.12.28): Table 4. Migration timing of PIT-tagged Okanogan River Basin sockeye smolts (i.e., release aggregate) detected at  Bonneville (BON) dam); FRY: BY2011 hatchery fry stocked in Osoyoos in 2012 (Date: 2012-05-12; Density: 898/ha; Wt: 0.8g --&gt; 2013-02-13; 317/ha; 81 mm; 5g). Abund based on mean of Oct Nov Mar ATS surveys (Judson et al. 2023); Len Wt estimates from weighted mean of select fall-winter ATS survey(s) in previous year (see Presmolt_Sizes_tidy_22.11.16.xlsx); Data Source:  Osoyoos_trawl_November'97.xlsx, CNAT_nuOkanagan_Juveniles 22.10.27.xlsx; </v>
      </c>
      <c r="G37" s="404" t="str">
        <f t="shared" ca="1" si="8"/>
        <v xml:space="preserve">Returns Complete! ABUND: Ok adults at mouth of Columbia (based on Wells counts (adj. 24-hr counts) + [[downstream harvest (Zones 1-6) + nat morts apportioned to stock (based on annual Wells:Rock dam ratios)]]. [hs 2022-10-30]; </v>
      </c>
      <c r="H37" s="401" t="str">
        <f t="shared" ca="1" si="10"/>
        <v>ADULT: 2015 Hot summer, high Columbia/Okanogan water temps == mass mortality of adults ~95%.  Possible Temp-Oxy squeeze impact in late summer 2015.</v>
      </c>
      <c r="I37" s="339" t="str">
        <f t="shared" ca="1" si="11"/>
        <v>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ADULT: 2015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37" s="340" t="str">
        <f t="shared" ca="1" si="12"/>
        <v>JUV: howard.stiff@dfo-mpo.gc.ca; ADULT: 2015 howard.stiff@shaw.ca</v>
      </c>
      <c r="K37" s="376"/>
    </row>
    <row r="38" spans="1:29" ht="42" customHeight="1" x14ac:dyDescent="0.3">
      <c r="A38" s="498" t="str">
        <f ca="1">IF(OR(ISBLANK('Juvenile Data'!A38),'Juvenile Data'!B38&gt;YEAR(NOW())),"",'Juvenile Data'!A38)</f>
        <v>Okanagan - Osoyoos</v>
      </c>
      <c r="B38" s="386">
        <f ca="1">IF(AND('Juvenile Data'!B38&gt;0,'Juvenile Data'!B38&lt;=YEAR(NOW())),'Juvenile Data'!B38,"")</f>
        <v>2014</v>
      </c>
      <c r="C38" s="383">
        <f t="shared" ca="1" si="9"/>
        <v>5002124</v>
      </c>
      <c r="D38" s="336">
        <f t="shared" ca="1" si="4"/>
        <v>276217.03401675867</v>
      </c>
      <c r="E38" s="344">
        <f t="shared" ca="1" si="5"/>
        <v>5.5219949368859843E-2</v>
      </c>
      <c r="F38" s="395" t="str">
        <f t="shared" ca="1" si="7"/>
        <v xml:space="preserve">ABUND: Age comp missing: Best winter lake fry abundance copied from Pre-Smolt section into Age 1 column as an index of Smolt production. See General Comments. [hs 2022-10-31]; MIG: PIT tagged juvenile (wild+hatch?) survival (FPC Memo to JF (21.12.28): Table 4. Migration timing of PIT-tagged Okanogan River Basin sockeye smolts (i.e., release aggregate) detected at  Bonneville (BON) dam); FRY: BY2012 hatchery fry stocked in Osoyoos in 2013 (Date: 2013-06-05; Density: 895/ha; Wt: 0.98g --&gt; 2014.03.18; 82/ha; 76 mm; 4.6g). Abund based on mean of Oct Nov Mar ATS surveys (Judson et al. 2023); Len Wt estimates from weighted mean of select fall-winter ATS survey(s) in previous year (see Presmolt_Sizes_tidy_22.11.16.xlsx); Data Source:  Osoyoos_trawl_November'97.xlsx, CNAT_nuOkanagan_Juveniles 22.10.27.xlsx; </v>
      </c>
      <c r="G38" s="404" t="str">
        <f t="shared" ca="1" si="8"/>
        <v xml:space="preserve">Returns Complete! ABUND: Ok adults at mouth of Columbia (based on Wells counts (adj. 24-hr counts) + [[downstream harvest (Zones 1-6) + nat morts apportioned to stock (based on annual Wells:Rock dam ratios)]]. [hs 2022-10-30]; </v>
      </c>
      <c r="H38" s="401" t="str">
        <f t="shared" ca="1" si="10"/>
        <v/>
      </c>
      <c r="I38" s="339" t="str">
        <f t="shared" ca="1" si="11"/>
        <v>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ADULT: 2016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38" s="340" t="str">
        <f t="shared" ca="1" si="12"/>
        <v>JUV: howard.stiff@dfo-mpo.gc.ca; ADULT: 2016 howard.stiff@shaw.ca</v>
      </c>
      <c r="K38" s="376"/>
    </row>
    <row r="39" spans="1:29" ht="42" customHeight="1" x14ac:dyDescent="0.3">
      <c r="A39" s="498" t="str">
        <f ca="1">IF(OR(ISBLANK('Juvenile Data'!A39),'Juvenile Data'!B39&gt;YEAR(NOW())),"",'Juvenile Data'!A39)</f>
        <v>Okanagan - Osoyoos</v>
      </c>
      <c r="B39" s="386">
        <f ca="1">IF(AND('Juvenile Data'!B39&gt;0,'Juvenile Data'!B39&lt;=YEAR(NOW())),'Juvenile Data'!B39,"")</f>
        <v>2015</v>
      </c>
      <c r="C39" s="383">
        <f t="shared" ca="1" si="9"/>
        <v>2209546</v>
      </c>
      <c r="D39" s="336">
        <f t="shared" ca="1" si="4"/>
        <v>50217.572628357128</v>
      </c>
      <c r="E39" s="344">
        <f t="shared" ca="1" si="5"/>
        <v>2.2727552460259766E-2</v>
      </c>
      <c r="F39" s="395" t="str">
        <f t="shared" ca="1" si="7"/>
        <v xml:space="preserve">ABUND: Age comp missing: Best winter lake fry abundance copied from Pre-Smolt section into Age 1 column as an index of Smolt production. See General Comments. [hs 2022-10-31]; MIG: PIT tagged juvenile (wild+hatch?) survival (FPC Memo to JF (21.12.28): Table 4. Migration timing of PIT-tagged Okanogan River Basin sockeye smolts (i.e., release aggregate) detected at  Bonneville (BON) dam); FRY: Abund based on mean of Oct Feb ATS surveys (Judson et al. 2023); Len Wt estimates from weighted mean of select fall-winter ATS survey(s) in previous year (see Presmolt_Sizes_tidy_22.11.16.xlsx); Data Source:  Osoyoos_trawl_November'97.xlsx, CNAT_nuOkanagan_Juveniles 22.10.27.xlsx; </v>
      </c>
      <c r="G39" s="404" t="str">
        <f t="shared" ca="1" si="8"/>
        <v xml:space="preserve">Returns Complete! ABUND: Ok adults at mouth of Columbia (based on Wells counts (adj. 24-hr counts) + [[downstream harvest (Zones 1-6) + nat morts apportioned to stock (based on annual Wells:Rock dam ratios)]]. [hs 2022-10-30]; </v>
      </c>
      <c r="H39" s="401" t="str">
        <f t="shared" ca="1" si="10"/>
        <v/>
      </c>
      <c r="I39" s="339" t="str">
        <f t="shared" ca="1" si="11"/>
        <v>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ADULT: 2017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39" s="340" t="str">
        <f t="shared" ca="1" si="12"/>
        <v>JUV: howard.stiff@dfo-mpo.gc.ca; ADULT: 2017 howard.stiff@shaw.ca</v>
      </c>
      <c r="K39" s="376"/>
      <c r="M39" s="1090" t="s">
        <v>257</v>
      </c>
      <c r="N39" s="1090"/>
      <c r="O39" s="1090"/>
      <c r="P39" s="1090"/>
      <c r="Q39" s="526">
        <v>2018</v>
      </c>
      <c r="R39" s="1091" t="s">
        <v>258</v>
      </c>
      <c r="S39" s="1091"/>
      <c r="T39" s="1091"/>
      <c r="U39" s="1091"/>
      <c r="V39" s="1091"/>
      <c r="W39" s="1091"/>
      <c r="X39" s="1091"/>
      <c r="Y39" s="1091"/>
      <c r="Z39" s="1091"/>
      <c r="AA39" s="1091"/>
      <c r="AB39" s="1091"/>
      <c r="AC39" s="1091"/>
    </row>
    <row r="40" spans="1:29" ht="42" customHeight="1" x14ac:dyDescent="0.3">
      <c r="A40" s="498" t="str">
        <f ca="1">IF(OR(ISBLANK('Juvenile Data'!A40),'Juvenile Data'!B40&gt;YEAR(NOW())),"",'Juvenile Data'!A40)</f>
        <v>Okanagan - Osoyoos</v>
      </c>
      <c r="B40" s="386">
        <f ca="1">IF(AND('Juvenile Data'!B40&gt;0,'Juvenile Data'!B40&lt;=YEAR(NOW())),'Juvenile Data'!B40,"")</f>
        <v>2016</v>
      </c>
      <c r="C40" s="383">
        <f t="shared" ca="1" si="9"/>
        <v>7383151</v>
      </c>
      <c r="D40" s="336">
        <f t="shared" ca="1" si="4"/>
        <v>218459.09282367936</v>
      </c>
      <c r="E40" s="344">
        <f t="shared" ca="1" si="5"/>
        <v>2.958886968770913E-2</v>
      </c>
      <c r="F40" s="395" t="str">
        <f t="shared" ca="1" si="7"/>
        <v xml:space="preserve">ABUND: Age comp missing: Best winter lake fry abundance copied from Pre-Smolt section into Age 1 column as an index of Smolt production. See General Comments. [hs 2022-10-31]; MIG: PIT tagged juvenile (wild+hatch?) survival (FPC Memo to JF (21.12.28): Table 4. Migration timing of PIT-tagged Okanogan River Basin sockeye smolts (i.e., release aggregate) detected at  Bonneville (BON) dam); FRY: Abund based on mean of Oct Nov Feb Mar ATS surveys (Judson et al. 2023 Missing size data Feb 3, 2016.  Len Wt estimates from weighted mean of select fall-winter ATS survey(s) in previous year (see Presmolt_Sizes_tidy_22.11.16.xlsx);Data Source: NEW OSOYOOS fish metadata 2005-2021 2021.10.14_SAM_WIP 2021.10.16.xlsx; </v>
      </c>
      <c r="G40" s="404" t="str">
        <f t="shared" ca="1" si="8"/>
        <v xml:space="preserve">Returns Complete! ABUND: Ok adults at mouth of Columbia (based on Wells counts (adj. 24-hr counts) + [[downstream harvest (Zones 1-6) + nat morts apportioned to stock (based on annual Wells:Rock dam ratios)]]. [hs 2022-10-30]; </v>
      </c>
      <c r="H40" s="401" t="str">
        <f t="shared" ca="1" si="10"/>
        <v xml:space="preserve">JUV: Possible Temp-Oxy squeeze impact in late summer 2015. Fry abund dropped from &gt;12M in July to &lt;9.5M in Aug; </v>
      </c>
      <c r="I40" s="339" t="str">
        <f t="shared" ca="1" si="11"/>
        <v>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ADULT: 2018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40" s="340" t="str">
        <f t="shared" ca="1" si="12"/>
        <v>JUV: howard.stiff@dfo-mpo.gc.ca; ADULT: 2018 howard.stiff@shaw.ca</v>
      </c>
      <c r="K40" s="376"/>
      <c r="M40" s="1095" t="str">
        <f>"Returns at age by return year for smolt year " &amp; Q39 &amp; "…"</f>
        <v>Returns at age by return year for smolt year 2018…</v>
      </c>
      <c r="N40" s="1095"/>
      <c r="O40" s="1095"/>
      <c r="P40" s="1095"/>
      <c r="Q40" s="1095"/>
      <c r="R40" s="1095"/>
      <c r="S40" s="1095"/>
      <c r="T40" s="1095"/>
      <c r="U40" s="1095"/>
      <c r="V40" s="1095"/>
      <c r="W40" s="1095"/>
      <c r="X40" s="1095"/>
      <c r="Y40" s="1095"/>
      <c r="Z40" s="1095"/>
      <c r="AA40" s="1095"/>
      <c r="AB40" s="1095"/>
      <c r="AC40" s="1095"/>
    </row>
    <row r="41" spans="1:29" ht="42" customHeight="1" x14ac:dyDescent="0.3">
      <c r="A41" s="498" t="str">
        <f ca="1">IF(OR(ISBLANK('Juvenile Data'!A41),'Juvenile Data'!B41&gt;YEAR(NOW())),"",'Juvenile Data'!A41)</f>
        <v>Okanagan - Osoyoos</v>
      </c>
      <c r="B41" s="386">
        <f ca="1">IF(AND('Juvenile Data'!B41&gt;0,'Juvenile Data'!B41&lt;=YEAR(NOW())),'Juvenile Data'!B41,"")</f>
        <v>2017</v>
      </c>
      <c r="C41" s="383">
        <f t="shared" ca="1" si="9"/>
        <v>1885712</v>
      </c>
      <c r="D41" s="336">
        <f t="shared" ca="1" si="4"/>
        <v>34941.955952657001</v>
      </c>
      <c r="E41" s="344">
        <f t="shared" ca="1" si="5"/>
        <v>1.8529847586830333E-2</v>
      </c>
      <c r="F41" s="395" t="str">
        <f t="shared" ca="1" si="7"/>
        <v xml:space="preserve">ABUND: Age comp missing: Best winter lake fry abundance copied from Pre-Smolt section into Age 1 column as an index of Smolt production. See General Comments. [hs 2022-10-31]; MIG: PIT tagged juvenile (wild+hatch?) survival (FPC Memo to JF (21.12.28): Table 4. Migration timing of PIT-tagged Okanogan River Basin sockeye smolts (i.e., release aggregate) detected at  Bonneville (BON) dam); FRY: Abund based on mean of Oct Mar ATS surveys (Judson et al. 2023); Len Wt estimates from weighted mean of select fall-winter ATS survey(s) in previous year (see Presmolt_Sizes_tidy_22.11.16.xlsx); Data Source:  Osoyoos_trawl_November'97.xlsx, CNAT_nuOkanagan_Juveniles 22.10.27.xlsx; </v>
      </c>
      <c r="G41" s="404" t="str">
        <f t="shared" ca="1" si="8"/>
        <v xml:space="preserve">Returns Complete! ABUND: Ok adults at mouth of Columbia (based on Wells counts (adj. 24-hr counts) + [[downstream harvest (Zones 1-6) + nat morts apportioned to stock (based on annual Wells:Rock dam ratios)]]. [hs 2022-10-30]; </v>
      </c>
      <c r="H41" s="401" t="str">
        <f t="shared" ca="1" si="10"/>
        <v/>
      </c>
      <c r="I41" s="339" t="str">
        <f t="shared" ca="1" si="11"/>
        <v>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ADULT: 2019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41" s="340" t="str">
        <f t="shared" ca="1" si="12"/>
        <v>JUV: howard.stiff@dfo-mpo.gc.ca; ADULT: 2019 howard.stiff@shaw.ca</v>
      </c>
      <c r="K41" s="376"/>
      <c r="L41" s="525" t="s">
        <v>255</v>
      </c>
      <c r="M41" s="1092">
        <v>32</v>
      </c>
      <c r="N41" s="1092"/>
      <c r="O41" s="1092">
        <v>42</v>
      </c>
      <c r="P41" s="1092"/>
      <c r="Q41" s="1092">
        <v>43</v>
      </c>
      <c r="R41" s="1092"/>
      <c r="S41" s="1092">
        <v>52</v>
      </c>
      <c r="T41" s="1092"/>
      <c r="U41" s="1092">
        <v>53</v>
      </c>
      <c r="V41" s="1092"/>
      <c r="W41" s="1092">
        <v>62</v>
      </c>
      <c r="X41" s="1092"/>
      <c r="Y41" s="1092">
        <v>63</v>
      </c>
      <c r="Z41" s="1092"/>
      <c r="AA41" s="1093">
        <f>((OtherAge-INT(OtherAge))*10+1+INT(OtherAge))*10+((INT(OtherAge)+1))</f>
        <v>54.000000000000007</v>
      </c>
      <c r="AB41" s="1094"/>
      <c r="AC41" s="518" t="s">
        <v>256</v>
      </c>
    </row>
    <row r="42" spans="1:29" ht="42" customHeight="1" x14ac:dyDescent="0.3">
      <c r="A42" s="498" t="str">
        <f ca="1">IF(OR(ISBLANK('Juvenile Data'!A42),'Juvenile Data'!B42&gt;YEAR(NOW())),"",'Juvenile Data'!A42)</f>
        <v>Okanagan - Osoyoos</v>
      </c>
      <c r="B42" s="386">
        <f ca="1">IF(AND('Juvenile Data'!B42&gt;0,'Juvenile Data'!B42&lt;=YEAR(NOW())),'Juvenile Data'!B42,"")</f>
        <v>2018</v>
      </c>
      <c r="C42" s="383">
        <f t="shared" ca="1" si="9"/>
        <v>4122796</v>
      </c>
      <c r="D42" s="336">
        <f t="shared" ca="1" si="4"/>
        <v>317525.67637887411</v>
      </c>
      <c r="E42" s="344">
        <f t="shared" ca="1" si="5"/>
        <v>7.7017072001349107E-2</v>
      </c>
      <c r="F42" s="395" t="str">
        <f t="shared" ca="1" si="7"/>
        <v xml:space="preserve">ABUND: Age comp missing: Best winter lake fry abundance copied from Pre-Smolt section into Age 1 column as an index of Smolt production. See General Comments. [hs 2022-10-31]; MIG: PIT tagged juvenile (wild+hatch?) survival (FPC Memo to JF (21.12.28): Table 4. Migration timing of PIT-tagged Okanogan River Basin sockeye smolts (i.e., release aggregate) detected at  Bonneville (BON) dam); FRY: Abund based on mean of Oct Nov Feb ATS surveys (Judson et al. 2023); Len Wt estimates from weighted mean of select fall-winter ATS survey(s) in previous year (see Presmolt_Sizes_tidy_22.11.16.xlsx); Data Source:  Osoyoos_trawl_November'97.xlsx, CNAT_nuOkanagan_Juveniles 22.10.27.xlsx; </v>
      </c>
      <c r="G42" s="404" t="str">
        <f t="shared" ca="1" si="8"/>
        <v xml:space="preserve">Returns Complete! ABUND: Ok adults at mouth of Columbia (based on Wells counts (adj. 24-hr counts) + [[downstream harvest (Zones 1-6) + nat morts apportioned to stock (based on annual Wells:Rock dam ratios)]]. [hs 2022-10-30]; </v>
      </c>
      <c r="H42" s="401" t="str">
        <f t="shared" ca="1" si="10"/>
        <v/>
      </c>
      <c r="I42" s="339" t="str">
        <f t="shared" ca="1" si="11"/>
        <v>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ADULT: 2020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42" s="340" t="str">
        <f t="shared" ca="1" si="12"/>
        <v>JUV: howard.stiff@dfo-mpo.gc.ca; ADULT: 2020 howard.stiff@shaw.ca</v>
      </c>
      <c r="K42" s="514"/>
      <c r="L42" s="525">
        <f>Q39</f>
        <v>2018</v>
      </c>
      <c r="M42" s="519">
        <f>$L42+1</f>
        <v>2019</v>
      </c>
      <c r="N42" s="520">
        <f ca="1">IF(M42&lt;=YEAR(NOW()),VLOOKUP($L42+1,AdultReturns,2),"")</f>
        <v>11277.419017092674</v>
      </c>
      <c r="O42" s="521">
        <f>$L42+2</f>
        <v>2020</v>
      </c>
      <c r="P42" s="520">
        <f ca="1">IF(O42&lt;=YEAR(NOW()),VLOOKUP($L42+2,AdultReturns,3),"")</f>
        <v>292897.04738788225</v>
      </c>
      <c r="Q42" s="522">
        <f>$L42+1</f>
        <v>2019</v>
      </c>
      <c r="R42" s="523">
        <f ca="1">IF(Q42&lt;=YEAR(NOW()),VLOOKUP($L42+1,AdultReturns,4),"")</f>
        <v>121.91804342802891</v>
      </c>
      <c r="S42" s="521">
        <f>$L42+3</f>
        <v>2021</v>
      </c>
      <c r="T42" s="520">
        <f ca="1">IF(S42&lt;=YEAR(NOW()),VLOOKUP($L42+3,AdultReturns,5),"")</f>
        <v>12635.180272483582</v>
      </c>
      <c r="U42" s="522">
        <f>$L42+2</f>
        <v>2020</v>
      </c>
      <c r="V42" s="523">
        <f ca="1">IF(U42&lt;=YEAR(NOW()),VLOOKUP($L42+2,AdultReturns,6),"")</f>
        <v>594.11165798759077</v>
      </c>
      <c r="W42" s="522">
        <f>$L42+4</f>
        <v>2022</v>
      </c>
      <c r="X42" s="523">
        <f ca="1">IF(W42&lt;=YEAR(NOW()),VLOOKUP($L42+4,AdultReturns,7),"")</f>
        <v>0</v>
      </c>
      <c r="Y42" s="522">
        <f>$L42+3</f>
        <v>2021</v>
      </c>
      <c r="Z42" s="523">
        <f ca="1">IF(Y42&lt;=YEAR(NOW()),VLOOKUP($L42+3,AdultReturns,8),"")</f>
        <v>0</v>
      </c>
      <c r="AA42" s="522">
        <f>$L42+((OtherAge-INT(OtherAge))*10)</f>
        <v>2019</v>
      </c>
      <c r="AB42" s="523">
        <f ca="1">IF(AA42&lt;=YEAR(NOW()),VLOOKUP($AA42,AdultReturns,9),"")</f>
        <v>0</v>
      </c>
      <c r="AC42" s="524">
        <f ca="1">SUM(N42,P42,R42,T42,V42,X42,Z42,AB42)</f>
        <v>317525.67637887411</v>
      </c>
    </row>
    <row r="43" spans="1:29" ht="42" customHeight="1" x14ac:dyDescent="0.3">
      <c r="A43" s="498" t="str">
        <f ca="1">IF(OR(ISBLANK('Juvenile Data'!A43),'Juvenile Data'!B43&gt;YEAR(NOW())),"",'Juvenile Data'!A43)</f>
        <v>Okanagan - Osoyoos</v>
      </c>
      <c r="B43" s="386">
        <f ca="1">IF(AND('Juvenile Data'!B43&gt;0,'Juvenile Data'!B43&lt;=YEAR(NOW())),'Juvenile Data'!B43,"")</f>
        <v>2019</v>
      </c>
      <c r="C43" s="383">
        <f t="shared" ca="1" si="9"/>
        <v>912588</v>
      </c>
      <c r="D43" s="336">
        <f t="shared" ca="1" si="4"/>
        <v>82161.88883649584</v>
      </c>
      <c r="E43" s="344">
        <f t="shared" ca="1" si="5"/>
        <v>9.0031743608830969E-2</v>
      </c>
      <c r="F43" s="395" t="str">
        <f t="shared" ca="1" si="7"/>
        <v xml:space="preserve">ABUND: Age comp missing: Best winter lake fry abundance copied from Pre-Smolt section into Age 1 column as an index of Smolt production. See General Comments. [hs 2022-10-31]; MIG: PIT tagged juvenile (wild+hatch?) survival (FPC Memo to JF (21.12.28): Table 4. Migration timing of PIT-tagged Okanogan River Basin sockeye smolts (i.e., release aggregate) detected at  Bonneville (BON) dam); FRY: Abund based on mean of Oct ATS survey only (Judson et al. 2023); Len Wt estimates from weighted mean of select fall-winter ATS survey(s) in previous year (see Presmolt_Sizes_tidy_22.11.16.xlsx); Data Source:  Osoyoos_trawl_November'97.xlsx, CNAT_nuOkanagan_Juveniles 22.10.27.xlsx; </v>
      </c>
      <c r="G43" s="404" t="str">
        <f t="shared" ca="1" si="8"/>
        <v xml:space="preserve">Returns Complete! ABUND: Age composition preliminary (JF 2022-05-06]]; </v>
      </c>
      <c r="H43" s="401" t="str">
        <f t="shared" ca="1" si="10"/>
        <v xml:space="preserve">JUV: Lakes frozen over, no winter estimates; ADULT: 2021 Hot summer, high Columbia/Okanogan water temps.  </v>
      </c>
      <c r="I43" s="339" t="str">
        <f t="shared" ca="1" si="11"/>
        <v>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ADULT: 2021 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
      <c r="J43" s="340" t="str">
        <f t="shared" ca="1" si="12"/>
        <v>JUV: howard.stiff@dfo-mpo.gc.ca; ADULT: 2021 howard.stiff@shaw.ca</v>
      </c>
      <c r="K43" s="514" t="s">
        <v>513</v>
      </c>
    </row>
    <row r="44" spans="1:29" ht="42" customHeight="1" x14ac:dyDescent="0.3">
      <c r="A44" s="498" t="str">
        <f ca="1">IF(OR(ISBLANK('Juvenile Data'!A44),'Juvenile Data'!B44&gt;YEAR(NOW())),"",'Juvenile Data'!A44)</f>
        <v>Okanagan - Osoyoos</v>
      </c>
      <c r="B44" s="386">
        <f ca="1">IF(AND('Juvenile Data'!B44&gt;0,'Juvenile Data'!B44&lt;=YEAR(NOW())),'Juvenile Data'!B44,"")</f>
        <v>2020</v>
      </c>
      <c r="C44" s="383">
        <f t="shared" ca="1" si="9"/>
        <v>2540161</v>
      </c>
      <c r="D44" s="336">
        <f t="shared" ca="1" si="4"/>
        <v>553620.90885186708</v>
      </c>
      <c r="E44" s="344">
        <f t="shared" ca="1" si="5"/>
        <v>0.21794717297520397</v>
      </c>
      <c r="F44" s="395" t="str">
        <f t="shared" ca="1" si="7"/>
        <v xml:space="preserve">ABUND: Age comp missing: Best winter lake fry abundance copied from Pre-Smolt section into Age 1 column as an index of Smolt production. See General Comments. [hs 2022-10-31]; MIG: N/A; FRY: Abund based on mean of Nov Feb ATS surveys (Judson et al. 2023); Len Wt estimates from weighted mean of select fall-winter ATS survey(s) in previous year (see Presmolt_Sizes_tidy_22.11.16.xlsx); Data Source:  Osoyoos_trawl_November'97.xlsx, CNAT_nuOkanagan_Juveniles 22.10.27.xlsx; </v>
      </c>
      <c r="G44" s="404" t="str">
        <f t="shared" ca="1" si="8"/>
        <v xml:space="preserve">Returns At Age Incomplete (Age 42s or Age 52s missing or zero)? ABUND: Based on 663,253 Sox at Bonneville as of 11.Oct.22 (harvest not included). Stock composition (84%) (~537,299 SK) and age composition preliminary (JF 2022-07-29]]; </v>
      </c>
      <c r="H44" s="401" t="str">
        <f t="shared" ca="1" si="10"/>
        <v/>
      </c>
      <c r="I44" s="339" t="str">
        <f t="shared" ca="1" si="11"/>
        <v xml:space="preserve">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v>
      </c>
      <c r="J44" s="340" t="str">
        <f t="shared" ca="1" si="12"/>
        <v xml:space="preserve">JUV: howard.stiff@dfo-mpo.gc.ca; </v>
      </c>
      <c r="K44" s="514" t="s">
        <v>270</v>
      </c>
    </row>
    <row r="45" spans="1:29" ht="42" customHeight="1" x14ac:dyDescent="0.3">
      <c r="A45" s="498" t="str">
        <f ca="1">IF(OR(ISBLANK('Juvenile Data'!A45),'Juvenile Data'!B45&gt;YEAR(NOW())),"",'Juvenile Data'!A45)</f>
        <v>Okanagan - Osoyoos</v>
      </c>
      <c r="B45" s="386">
        <f ca="1">IF(AND('Juvenile Data'!B45&gt;0,'Juvenile Data'!B45&lt;=YEAR(NOW())),'Juvenile Data'!B45,"")</f>
        <v>2021</v>
      </c>
      <c r="C45" s="383">
        <f t="shared" ca="1" si="9"/>
        <v>1464091</v>
      </c>
      <c r="D45" s="336" t="str">
        <f t="shared" ca="1" si="4"/>
        <v/>
      </c>
      <c r="E45" s="344" t="str">
        <f t="shared" ca="1" si="5"/>
        <v/>
      </c>
      <c r="F45" s="395" t="str">
        <f t="shared" ca="1" si="7"/>
        <v xml:space="preserve">ABUND: Age comp missing: Best winter lake fry abundance copied from Pre-Smolt section into Age 1 column as an index of Smolt production. See General Comments. [hs 2022-10-31]; MIG: PIT tagged juvenile (wild+hatch?) survival (FPC Memo to JF (21.12.28): Table 4. Migration timing of PIT-tagged Okanogan River Basin sockeye smolts (i.e., release aggregate) detected at  Bonneville (BON) dam); FRY: Abund based on mean of Oct Nov Mar ATS surveys (Judson et al. 2023); Len Wt estimates from weighted mean of select fall-winter ATS survey(s) in previous year (see Presmolt_Sizes_tidy_22.11.16.xlsx); Data Source:  Osoyoos_trawl_November'97.xlsx, CNAT_nuOkanagan_Juveniles 22.10.27.xlsx; </v>
      </c>
      <c r="G45" s="404" t="str">
        <f t="shared" ca="1" si="8"/>
        <v xml:space="preserve">Returns At Age Incomplete (Adults N/A)? </v>
      </c>
      <c r="H45" s="401" t="str">
        <f t="shared" ca="1" si="10"/>
        <v/>
      </c>
      <c r="I45" s="339" t="str">
        <f t="shared" ca="1" si="11"/>
        <v xml:space="preserve">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v>
      </c>
      <c r="J45" s="340" t="str">
        <f t="shared" ca="1" si="12"/>
        <v xml:space="preserve">JUV: howard.stiff@dfo-mpo.gc.ca; </v>
      </c>
      <c r="K45" s="872"/>
    </row>
    <row r="46" spans="1:29" ht="28.95" customHeight="1" x14ac:dyDescent="0.3">
      <c r="A46" s="498" t="str">
        <f ca="1">IF(OR(ISBLANK('Juvenile Data'!A46),'Juvenile Data'!B46&gt;YEAR(NOW())),"",'Juvenile Data'!A46)</f>
        <v>Okanagan - Osoyoos</v>
      </c>
      <c r="B46" s="386">
        <f ca="1">IF(AND('Juvenile Data'!B46&gt;0,'Juvenile Data'!B46&lt;=YEAR(NOW())),'Juvenile Data'!B46,"")</f>
        <v>2022</v>
      </c>
      <c r="C46" s="383">
        <f t="shared" ca="1" si="9"/>
        <v>3673223</v>
      </c>
      <c r="D46" s="336" t="str">
        <f t="shared" ca="1" si="4"/>
        <v/>
      </c>
      <c r="E46" s="344" t="str">
        <f t="shared" ca="1" si="5"/>
        <v/>
      </c>
      <c r="F46" s="395" t="str">
        <f t="shared" ca="1" si="7"/>
        <v xml:space="preserve">ABUND: Preliminary; FRY: Winter estimate from AO's CNAT file [22.08.17]; </v>
      </c>
      <c r="G46" s="404" t="str">
        <f t="shared" ca="1" si="8"/>
        <v xml:space="preserve">Returns At Age Incomplete (Adults N/A)? </v>
      </c>
      <c r="H46" s="401" t="str">
        <f t="shared" ca="1" si="10"/>
        <v/>
      </c>
      <c r="I46" s="339" t="str">
        <f t="shared" ca="1" si="11"/>
        <v xml:space="preserve">JUV: "Smolt"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 </v>
      </c>
      <c r="J46" s="340" t="str">
        <f t="shared" ca="1" si="12"/>
        <v xml:space="preserve">JUV: athena.ogden@dfo-mpo.gc.ca; </v>
      </c>
      <c r="K46" s="872"/>
    </row>
    <row r="47" spans="1:29" ht="28.95" customHeight="1" x14ac:dyDescent="0.3">
      <c r="A47" s="498" t="str">
        <f ca="1">IF(OR(ISBLANK('Juvenile Data'!A47),'Juvenile Data'!B47&gt;YEAR(NOW())),"",'Juvenile Data'!A47)</f>
        <v/>
      </c>
      <c r="B47" s="386" t="str">
        <f ca="1">IF(AND('Juvenile Data'!B47&gt;0,'Juvenile Data'!B47&lt;=YEAR(NOW())),'Juvenile Data'!B47,"")</f>
        <v/>
      </c>
      <c r="C47" s="383" t="str">
        <f t="shared" ca="1" si="9"/>
        <v/>
      </c>
      <c r="D47" s="336" t="str">
        <f t="shared" ca="1" si="4"/>
        <v/>
      </c>
      <c r="E47" s="344" t="str">
        <f t="shared" ca="1" si="5"/>
        <v/>
      </c>
      <c r="F47" s="395" t="str">
        <f t="shared" ca="1" si="7"/>
        <v/>
      </c>
      <c r="G47" s="404" t="str">
        <f t="shared" ca="1" si="8"/>
        <v/>
      </c>
      <c r="H47" s="401" t="e">
        <f t="shared" ca="1" si="10"/>
        <v>#N/A</v>
      </c>
      <c r="I47" s="339" t="e">
        <f t="shared" ca="1" si="11"/>
        <v>#N/A</v>
      </c>
      <c r="J47" s="340" t="e">
        <f t="shared" ca="1" si="12"/>
        <v>#N/A</v>
      </c>
      <c r="K47" s="376"/>
    </row>
    <row r="48" spans="1:29" ht="28.95" customHeight="1" x14ac:dyDescent="0.3">
      <c r="A48" s="498" t="str">
        <f ca="1">IF(OR(ISBLANK('Juvenile Data'!A48),'Juvenile Data'!B48&gt;YEAR(NOW())),"",'Juvenile Data'!A48)</f>
        <v/>
      </c>
      <c r="B48" s="386" t="str">
        <f ca="1">IF(AND('Juvenile Data'!B48&gt;0,'Juvenile Data'!B48&lt;=YEAR(NOW())),'Juvenile Data'!B48,"")</f>
        <v/>
      </c>
      <c r="C48" s="383" t="str">
        <f t="shared" ca="1" si="9"/>
        <v/>
      </c>
      <c r="D48" s="336" t="str">
        <f t="shared" ca="1" si="4"/>
        <v/>
      </c>
      <c r="E48" s="344" t="str">
        <f t="shared" ca="1" si="5"/>
        <v/>
      </c>
      <c r="F48" s="395" t="str">
        <f t="shared" ca="1" si="7"/>
        <v/>
      </c>
      <c r="G48" s="404" t="str">
        <f t="shared" ref="G48:G57" ca="1" si="13">IF(B48="","",IF(D48="","Returns At Age Incomplete (SY missing)? ",IF(AND(MAX(Years)-2&gt;B48,VLOOKUP(B48+2,AdultReturns,3)&gt;0,VLOOKUP(B48+3,AdultReturns,5)&gt;0),"Returns Complete! ","Returns At Age Incomplete (Age 42s or Age 52s missing or zero)? ")&amp;IF(ISTEXT(VLOOKUP(B48+2,AdultReturns,11)),"ABUND: "&amp;VLOOKUP(B48+2,AdultReturns,11)&amp;"; ","")&amp;IF(ISTEXT(VLOOKUP(B48+2,AdultReturns,40)),"BIO: "&amp;VLOOKUP(B48+2,AdultReturns,40)&amp;"; ","")&amp;IF(ISTEXT(VLOOKUP(B48+2,AdultReturns,44)),"MIG: "&amp;VLOOKUP(B48+2,AdultReturns,44)&amp;"; ","")))</f>
        <v/>
      </c>
      <c r="H48" s="401" t="e">
        <f t="shared" ca="1" si="10"/>
        <v>#N/A</v>
      </c>
      <c r="I48" s="339" t="e">
        <f t="shared" ca="1" si="11"/>
        <v>#N/A</v>
      </c>
      <c r="J48" s="340" t="e">
        <f t="shared" ca="1" si="12"/>
        <v>#N/A</v>
      </c>
      <c r="K48" s="376"/>
    </row>
    <row r="49" spans="1:13" ht="28.95" customHeight="1" x14ac:dyDescent="0.3">
      <c r="A49" s="498" t="str">
        <f ca="1">IF(OR(ISBLANK('Juvenile Data'!A49),'Juvenile Data'!B49&gt;YEAR(NOW())),"",'Juvenile Data'!A49)</f>
        <v/>
      </c>
      <c r="B49" s="386" t="str">
        <f ca="1">IF(AND('Juvenile Data'!B49&gt;0,'Juvenile Data'!B49&lt;=YEAR(NOW())),'Juvenile Data'!B49,"")</f>
        <v/>
      </c>
      <c r="C49" s="383" t="str">
        <f t="shared" ca="1" si="9"/>
        <v/>
      </c>
      <c r="D49" s="336" t="str">
        <f t="shared" ca="1" si="4"/>
        <v/>
      </c>
      <c r="E49" s="344" t="str">
        <f t="shared" ca="1" si="5"/>
        <v/>
      </c>
      <c r="F49" s="395" t="str">
        <f t="shared" ca="1" si="7"/>
        <v/>
      </c>
      <c r="G49" s="404" t="str">
        <f t="shared" ca="1" si="13"/>
        <v/>
      </c>
      <c r="H49" s="401" t="e">
        <f t="shared" ca="1" si="10"/>
        <v>#N/A</v>
      </c>
      <c r="I49" s="339" t="e">
        <f t="shared" ca="1" si="11"/>
        <v>#N/A</v>
      </c>
      <c r="J49" s="340" t="e">
        <f t="shared" ca="1" si="12"/>
        <v>#N/A</v>
      </c>
      <c r="K49" s="376"/>
    </row>
    <row r="50" spans="1:13" ht="28.95" customHeight="1" x14ac:dyDescent="0.3">
      <c r="A50" s="498" t="str">
        <f ca="1">IF(OR(ISBLANK('Juvenile Data'!A50),'Juvenile Data'!B50&gt;YEAR(NOW())),"",'Juvenile Data'!A50)</f>
        <v/>
      </c>
      <c r="B50" s="386" t="str">
        <f ca="1">IF(AND('Juvenile Data'!B50&gt;0,'Juvenile Data'!B50&lt;=YEAR(NOW())),'Juvenile Data'!B50,"")</f>
        <v/>
      </c>
      <c r="C50" s="383" t="str">
        <f t="shared" ca="1" si="9"/>
        <v/>
      </c>
      <c r="D50" s="336" t="str">
        <f t="shared" ca="1" si="4"/>
        <v/>
      </c>
      <c r="E50" s="344" t="str">
        <f t="shared" ca="1" si="5"/>
        <v/>
      </c>
      <c r="F50" s="395" t="str">
        <f t="shared" ca="1" si="7"/>
        <v/>
      </c>
      <c r="G50" s="404" t="str">
        <f t="shared" ca="1" si="13"/>
        <v/>
      </c>
      <c r="H50" s="401" t="e">
        <f t="shared" ca="1" si="10"/>
        <v>#N/A</v>
      </c>
      <c r="I50" s="339" t="e">
        <f t="shared" ca="1" si="11"/>
        <v>#N/A</v>
      </c>
      <c r="J50" s="340" t="e">
        <f t="shared" ca="1" si="12"/>
        <v>#N/A</v>
      </c>
      <c r="K50" s="376"/>
    </row>
    <row r="51" spans="1:13" ht="28.95" customHeight="1" x14ac:dyDescent="0.3">
      <c r="A51" s="498" t="str">
        <f ca="1">IF(OR(ISBLANK('Juvenile Data'!A51),'Juvenile Data'!B51&gt;YEAR(NOW())),"",'Juvenile Data'!A51)</f>
        <v/>
      </c>
      <c r="B51" s="386" t="str">
        <f ca="1">IF(AND('Juvenile Data'!B51&gt;0,'Juvenile Data'!B51&lt;=YEAR(NOW())),'Juvenile Data'!B51,"")</f>
        <v/>
      </c>
      <c r="C51" s="383" t="str">
        <f t="shared" ca="1" si="9"/>
        <v/>
      </c>
      <c r="D51" s="336" t="str">
        <f t="shared" ca="1" si="4"/>
        <v/>
      </c>
      <c r="E51" s="344" t="str">
        <f t="shared" ca="1" si="5"/>
        <v/>
      </c>
      <c r="F51" s="395" t="str">
        <f t="shared" ca="1" si="7"/>
        <v/>
      </c>
      <c r="G51" s="404" t="str">
        <f t="shared" ca="1" si="13"/>
        <v/>
      </c>
      <c r="H51" s="401" t="e">
        <f t="shared" ca="1" si="10"/>
        <v>#N/A</v>
      </c>
      <c r="I51" s="339" t="e">
        <f t="shared" ca="1" si="11"/>
        <v>#N/A</v>
      </c>
      <c r="J51" s="340" t="e">
        <f t="shared" ca="1" si="12"/>
        <v>#N/A</v>
      </c>
      <c r="K51" s="493"/>
    </row>
    <row r="52" spans="1:13" ht="28.95" customHeight="1" x14ac:dyDescent="0.3">
      <c r="A52" s="498" t="str">
        <f ca="1">IF(OR(ISBLANK('Juvenile Data'!A52),'Juvenile Data'!B52&gt;YEAR(NOW())),"",'Juvenile Data'!A52)</f>
        <v/>
      </c>
      <c r="B52" s="386" t="str">
        <f ca="1">IF(AND('Juvenile Data'!B52&gt;0,'Juvenile Data'!B52&lt;=YEAR(NOW())),'Juvenile Data'!B52,"")</f>
        <v/>
      </c>
      <c r="C52" s="383" t="str">
        <f t="shared" ca="1" si="9"/>
        <v/>
      </c>
      <c r="D52" s="336" t="str">
        <f t="shared" ca="1" si="4"/>
        <v/>
      </c>
      <c r="E52" s="491" t="str">
        <f t="shared" ca="1" si="5"/>
        <v/>
      </c>
      <c r="F52" s="395" t="str">
        <f t="shared" ca="1" si="7"/>
        <v/>
      </c>
      <c r="G52" s="404" t="str">
        <f t="shared" ca="1" si="13"/>
        <v/>
      </c>
      <c r="H52" s="401" t="e">
        <f t="shared" ca="1" si="10"/>
        <v>#N/A</v>
      </c>
      <c r="I52" s="339" t="e">
        <f t="shared" ca="1" si="11"/>
        <v>#N/A</v>
      </c>
      <c r="J52" s="340" t="e">
        <f t="shared" ca="1" si="12"/>
        <v>#N/A</v>
      </c>
      <c r="K52" s="493"/>
      <c r="M52" s="492"/>
    </row>
    <row r="53" spans="1:13" ht="28.95" customHeight="1" x14ac:dyDescent="0.3">
      <c r="A53" s="498" t="str">
        <f ca="1">IF(OR(ISBLANK('Juvenile Data'!A53),'Juvenile Data'!B53&gt;YEAR(NOW())),"",'Juvenile Data'!A53)</f>
        <v/>
      </c>
      <c r="B53" s="386" t="str">
        <f ca="1">IF(AND('Juvenile Data'!B53&gt;0,'Juvenile Data'!B53&lt;=YEAR(NOW())),'Juvenile Data'!B53,"")</f>
        <v/>
      </c>
      <c r="C53" s="383" t="str">
        <f t="shared" ca="1" si="9"/>
        <v/>
      </c>
      <c r="D53" s="336" t="str">
        <f ca="1">IF(B53="","",IF(AND(MAX(Years)-1&gt;B53,OR(VLOOKUP(B53+1,AdultReturns,2)&gt;0,VLOOKUP(B53+2,AdultReturns,3)&gt;0)),SUM(VLOOKUP(B53+1,AdultReturns,2),VLOOKUP(B53+2,AdultReturns,3),VLOOKUP(B53+1,AdultReturns,4),VLOOKUP(B53+3,AdultReturns,5),VLOOKUP(B53+2,AdultReturns,6),VLOOKUP(B53+4,AdultReturns,7),VLOOKUP(B53+3,AdultReturns,8),VLOOKUP(B53+((OtherAge-INT(OtherAge))*10),AdultReturns,9)),""))</f>
        <v/>
      </c>
      <c r="E53" s="491" t="str">
        <f t="shared" ca="1" si="5"/>
        <v/>
      </c>
      <c r="F53" s="395" t="str">
        <f t="shared" ca="1" si="7"/>
        <v/>
      </c>
      <c r="G53" s="404" t="str">
        <f t="shared" ca="1" si="13"/>
        <v/>
      </c>
      <c r="H53" s="401" t="e">
        <f t="shared" ca="1" si="10"/>
        <v>#N/A</v>
      </c>
      <c r="I53" s="339" t="e">
        <f t="shared" ca="1" si="11"/>
        <v>#N/A</v>
      </c>
      <c r="J53" s="340" t="e">
        <f t="shared" ca="1" si="12"/>
        <v>#N/A</v>
      </c>
      <c r="K53" s="493"/>
    </row>
    <row r="54" spans="1:13" ht="28.95" customHeight="1" x14ac:dyDescent="0.3">
      <c r="A54" s="498" t="str">
        <f ca="1">IF(OR(ISBLANK('Juvenile Data'!A54),'Juvenile Data'!B54&gt;YEAR(NOW())),"",'Juvenile Data'!A54)</f>
        <v/>
      </c>
      <c r="B54" s="386" t="str">
        <f ca="1">IF(AND('Juvenile Data'!B54&gt;0,'Juvenile Data'!B54&lt;=YEAR(NOW())),'Juvenile Data'!B54,"")</f>
        <v/>
      </c>
      <c r="C54" s="383" t="str">
        <f t="shared" ca="1" si="9"/>
        <v/>
      </c>
      <c r="D54" s="336" t="str">
        <f t="shared" ca="1" si="4"/>
        <v/>
      </c>
      <c r="E54" s="344" t="str">
        <f t="shared" ca="1" si="5"/>
        <v/>
      </c>
      <c r="F54" s="395" t="str">
        <f t="shared" ca="1" si="7"/>
        <v/>
      </c>
      <c r="G54" s="404" t="str">
        <f t="shared" ca="1" si="13"/>
        <v/>
      </c>
      <c r="H54" s="401" t="e">
        <f t="shared" ca="1" si="10"/>
        <v>#N/A</v>
      </c>
      <c r="I54" s="339" t="e">
        <f t="shared" ca="1" si="11"/>
        <v>#N/A</v>
      </c>
      <c r="J54" s="340" t="e">
        <f t="shared" ca="1" si="12"/>
        <v>#N/A</v>
      </c>
      <c r="K54" s="376"/>
    </row>
    <row r="55" spans="1:13" ht="28.95" customHeight="1" x14ac:dyDescent="0.3">
      <c r="A55" s="498" t="str">
        <f ca="1">IF(OR(ISBLANK('Juvenile Data'!A55),'Juvenile Data'!B55&gt;YEAR(NOW())),"",'Juvenile Data'!A55)</f>
        <v/>
      </c>
      <c r="B55" s="386" t="str">
        <f ca="1">IF(AND('Juvenile Data'!B55&gt;0,'Juvenile Data'!B55&lt;=YEAR(NOW())),'Juvenile Data'!B55,"")</f>
        <v/>
      </c>
      <c r="C55" s="383" t="str">
        <f t="shared" ca="1" si="9"/>
        <v/>
      </c>
      <c r="D55" s="336" t="str">
        <f t="shared" ca="1" si="4"/>
        <v/>
      </c>
      <c r="E55" s="344" t="str">
        <f t="shared" ca="1" si="5"/>
        <v/>
      </c>
      <c r="F55" s="395" t="str">
        <f t="shared" ca="1" si="7"/>
        <v/>
      </c>
      <c r="G55" s="404" t="str">
        <f t="shared" ca="1" si="13"/>
        <v/>
      </c>
      <c r="H55" s="401" t="e">
        <f t="shared" ca="1" si="10"/>
        <v>#N/A</v>
      </c>
      <c r="I55" s="339" t="e">
        <f t="shared" ca="1" si="11"/>
        <v>#N/A</v>
      </c>
      <c r="J55" s="340" t="e">
        <f t="shared" ca="1" si="12"/>
        <v>#N/A</v>
      </c>
      <c r="K55" s="376"/>
    </row>
    <row r="56" spans="1:13" ht="28.95" customHeight="1" x14ac:dyDescent="0.3">
      <c r="A56" s="498" t="str">
        <f ca="1">IF(OR(ISBLANK('Juvenile Data'!A56),'Juvenile Data'!B56&gt;YEAR(NOW())),"",'Juvenile Data'!A56)</f>
        <v/>
      </c>
      <c r="B56" s="386" t="str">
        <f ca="1">IF(AND('Juvenile Data'!B56&gt;0,'Juvenile Data'!B56&lt;=YEAR(NOW())),'Juvenile Data'!B56,"")</f>
        <v/>
      </c>
      <c r="C56" s="383" t="str">
        <f t="shared" ca="1" si="9"/>
        <v/>
      </c>
      <c r="D56" s="336" t="str">
        <f t="shared" ca="1" si="4"/>
        <v/>
      </c>
      <c r="E56" s="344" t="str">
        <f t="shared" ca="1" si="5"/>
        <v/>
      </c>
      <c r="F56" s="395" t="str">
        <f t="shared" ca="1" si="7"/>
        <v/>
      </c>
      <c r="G56" s="404" t="str">
        <f t="shared" ca="1" si="13"/>
        <v/>
      </c>
      <c r="H56" s="401" t="e">
        <f t="shared" ca="1" si="10"/>
        <v>#N/A</v>
      </c>
      <c r="I56" s="339" t="e">
        <f t="shared" ca="1" si="11"/>
        <v>#N/A</v>
      </c>
      <c r="J56" s="340" t="e">
        <f t="shared" ca="1" si="12"/>
        <v>#N/A</v>
      </c>
      <c r="K56" s="376"/>
    </row>
    <row r="57" spans="1:13" ht="28.95" customHeight="1" thickBot="1" x14ac:dyDescent="0.35">
      <c r="A57" s="478" t="str">
        <f ca="1">IF(OR(ISBLANK('Juvenile Data'!A57),'Juvenile Data'!B57&gt;YEAR(NOW())),"",'Juvenile Data'!A57)</f>
        <v/>
      </c>
      <c r="B57" s="387" t="str">
        <f ca="1">IF(AND('Juvenile Data'!B57&gt;0,'Juvenile Data'!B57&lt;=YEAR(NOW())),'Juvenile Data'!B57,"")</f>
        <v/>
      </c>
      <c r="C57" s="384" t="str">
        <f t="shared" ca="1" si="9"/>
        <v/>
      </c>
      <c r="D57" s="345" t="str">
        <f t="shared" ca="1" si="4"/>
        <v/>
      </c>
      <c r="E57" s="346" t="str">
        <f t="shared" ca="1" si="5"/>
        <v/>
      </c>
      <c r="F57" s="396" t="str">
        <f t="shared" ca="1" si="7"/>
        <v/>
      </c>
      <c r="G57" s="405" t="str">
        <f t="shared" ca="1" si="13"/>
        <v/>
      </c>
      <c r="H57" s="402" t="e">
        <f t="shared" ca="1" si="10"/>
        <v>#N/A</v>
      </c>
      <c r="I57" s="347" t="e">
        <f t="shared" ca="1" si="11"/>
        <v>#N/A</v>
      </c>
      <c r="J57" s="348" t="e">
        <f t="shared" ca="1" si="12"/>
        <v>#N/A</v>
      </c>
      <c r="K57" s="377"/>
    </row>
  </sheetData>
  <sheetProtection sheet="1" formatCells="0" formatColumns="0" formatRows="0" sort="0" autoFilter="0" pivotTables="0"/>
  <mergeCells count="18">
    <mergeCell ref="M39:P39"/>
    <mergeCell ref="R39:AC39"/>
    <mergeCell ref="M41:N41"/>
    <mergeCell ref="O41:P41"/>
    <mergeCell ref="Q41:R41"/>
    <mergeCell ref="S41:T41"/>
    <mergeCell ref="U41:V41"/>
    <mergeCell ref="W41:X41"/>
    <mergeCell ref="Y41:Z41"/>
    <mergeCell ref="AA41:AB41"/>
    <mergeCell ref="M40:AC40"/>
    <mergeCell ref="A1:K1"/>
    <mergeCell ref="E2:E3"/>
    <mergeCell ref="A2:A3"/>
    <mergeCell ref="B2:B3"/>
    <mergeCell ref="C2:C3"/>
    <mergeCell ref="D2:D3"/>
    <mergeCell ref="F2:K2"/>
  </mergeCells>
  <conditionalFormatting sqref="E4:E8">
    <cfRule type="dataBar" priority="7">
      <dataBar>
        <cfvo type="min"/>
        <cfvo type="max"/>
        <color rgb="FF63C384"/>
      </dataBar>
      <extLst>
        <ext xmlns:x14="http://schemas.microsoft.com/office/spreadsheetml/2009/9/main" uri="{B025F937-C7B1-47D3-B67F-A62EFF666E3E}">
          <x14:id>{F7B23328-4FEF-409C-A489-7A76FC60CF67}</x14:id>
        </ext>
      </extLst>
    </cfRule>
  </conditionalFormatting>
  <conditionalFormatting sqref="D4:D57">
    <cfRule type="dataBar" priority="6">
      <dataBar>
        <cfvo type="min"/>
        <cfvo type="max"/>
        <color rgb="FFFF555A"/>
      </dataBar>
      <extLst>
        <ext xmlns:x14="http://schemas.microsoft.com/office/spreadsheetml/2009/9/main" uri="{B025F937-C7B1-47D3-B67F-A62EFF666E3E}">
          <x14:id>{65C1DAC0-AC70-4DDA-80F7-88940B0C567A}</x14:id>
        </ext>
      </extLst>
    </cfRule>
  </conditionalFormatting>
  <conditionalFormatting sqref="C4:C57">
    <cfRule type="dataBar" priority="5">
      <dataBar>
        <cfvo type="min"/>
        <cfvo type="max"/>
        <color rgb="FF008AEF"/>
      </dataBar>
      <extLst>
        <ext xmlns:x14="http://schemas.microsoft.com/office/spreadsheetml/2009/9/main" uri="{B025F937-C7B1-47D3-B67F-A62EFF666E3E}">
          <x14:id>{C0BA2E2F-582B-4E2D-BE82-59C4338D8EDF}</x14:id>
        </ext>
      </extLst>
    </cfRule>
  </conditionalFormatting>
  <conditionalFormatting sqref="G4:G57">
    <cfRule type="containsText" dxfId="454" priority="4" operator="containsText" text="incomplete">
      <formula>NOT(ISERROR(SEARCH("incomplete",G4)))</formula>
    </cfRule>
  </conditionalFormatting>
  <conditionalFormatting sqref="K4:K57">
    <cfRule type="containsText" dxfId="453" priority="3" operator="containsText" text="Incomplete">
      <formula>NOT(ISERROR(SEARCH("Incomplete",K4)))</formula>
    </cfRule>
  </conditionalFormatting>
  <conditionalFormatting sqref="E9:E5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legacyDrawing r:id="rId2"/>
  <extLst>
    <ext xmlns:x14="http://schemas.microsoft.com/office/spreadsheetml/2009/9/main" uri="{78C0D931-6437-407d-A8EE-F0AAD7539E65}">
      <x14:conditionalFormattings>
        <x14:conditionalFormatting xmlns:xm="http://schemas.microsoft.com/office/excel/2006/main">
          <x14:cfRule type="dataBar" id="{F7B23328-4FEF-409C-A489-7A76FC60CF67}">
            <x14:dataBar minLength="0" maxLength="100" border="1" negativeBarBorderColorSameAsPositive="0">
              <x14:cfvo type="autoMin"/>
              <x14:cfvo type="autoMax"/>
              <x14:borderColor rgb="FF63C384"/>
              <x14:negativeFillColor rgb="FFFF0000"/>
              <x14:negativeBorderColor rgb="FFFF0000"/>
              <x14:axisColor rgb="FF000000"/>
            </x14:dataBar>
          </x14:cfRule>
          <xm:sqref>E4:E8</xm:sqref>
        </x14:conditionalFormatting>
        <x14:conditionalFormatting xmlns:xm="http://schemas.microsoft.com/office/excel/2006/main">
          <x14:cfRule type="dataBar" id="{65C1DAC0-AC70-4DDA-80F7-88940B0C567A}">
            <x14:dataBar minLength="0" maxLength="100" border="1" negativeBarBorderColorSameAsPositive="0">
              <x14:cfvo type="autoMin"/>
              <x14:cfvo type="autoMax"/>
              <x14:borderColor rgb="FFFF555A"/>
              <x14:negativeFillColor rgb="FFFF0000"/>
              <x14:negativeBorderColor rgb="FFFF0000"/>
              <x14:axisColor rgb="FF000000"/>
            </x14:dataBar>
          </x14:cfRule>
          <xm:sqref>D4:D57</xm:sqref>
        </x14:conditionalFormatting>
        <x14:conditionalFormatting xmlns:xm="http://schemas.microsoft.com/office/excel/2006/main">
          <x14:cfRule type="dataBar" id="{C0BA2E2F-582B-4E2D-BE82-59C4338D8EDF}">
            <x14:dataBar minLength="0" maxLength="100" border="1" negativeBarBorderColorSameAsPositive="0">
              <x14:cfvo type="autoMin"/>
              <x14:cfvo type="autoMax"/>
              <x14:borderColor rgb="FF008AEF"/>
              <x14:negativeFillColor rgb="FFFF0000"/>
              <x14:negativeBorderColor rgb="FFFF0000"/>
              <x14:axisColor rgb="FF000000"/>
            </x14:dataBar>
          </x14:cfRule>
          <xm:sqref>C4:C57</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EE6BA-42D7-4FEB-9C3A-1F82D030CC07}">
  <sheetPr codeName="Sheet9"/>
  <dimension ref="A1:I38"/>
  <sheetViews>
    <sheetView workbookViewId="0">
      <selection activeCell="D3" sqref="D3"/>
    </sheetView>
  </sheetViews>
  <sheetFormatPr defaultRowHeight="14.4" x14ac:dyDescent="0.3"/>
  <cols>
    <col min="1" max="3" width="11.109375" customWidth="1"/>
  </cols>
  <sheetData>
    <row r="1" spans="1:9" ht="24" customHeight="1" x14ac:dyDescent="0.3">
      <c r="A1" s="1080" t="s">
        <v>293</v>
      </c>
      <c r="B1" s="1082" t="s">
        <v>0</v>
      </c>
      <c r="C1" s="1084" t="s">
        <v>180</v>
      </c>
      <c r="D1" s="1086" t="s">
        <v>292</v>
      </c>
      <c r="E1" s="1078" t="s">
        <v>291</v>
      </c>
      <c r="F1" s="1086" t="s">
        <v>181</v>
      </c>
      <c r="G1" s="1078" t="s">
        <v>182</v>
      </c>
      <c r="I1" t="s">
        <v>294</v>
      </c>
    </row>
    <row r="2" spans="1:9" ht="24" customHeight="1" thickBot="1" x14ac:dyDescent="0.35">
      <c r="A2" s="1081"/>
      <c r="B2" s="1083"/>
      <c r="C2" s="1085"/>
      <c r="D2" s="1008"/>
      <c r="E2" s="1079"/>
      <c r="F2" s="1008"/>
      <c r="G2" s="1079"/>
    </row>
    <row r="3" spans="1:9" ht="14.4" customHeight="1" x14ac:dyDescent="0.3">
      <c r="A3" t="s">
        <v>233</v>
      </c>
      <c r="B3">
        <v>1985</v>
      </c>
      <c r="C3" s="492">
        <v>1862581.902</v>
      </c>
      <c r="D3" s="492">
        <v>43322.532713027773</v>
      </c>
      <c r="E3" s="585">
        <v>2.3259397434555216E-2</v>
      </c>
      <c r="F3" s="496">
        <v>49037.546372544442</v>
      </c>
      <c r="G3" s="497">
        <v>2.632772621697279E-2</v>
      </c>
    </row>
    <row r="4" spans="1:9" x14ac:dyDescent="0.3">
      <c r="A4" t="s">
        <v>233</v>
      </c>
      <c r="B4">
        <v>1986</v>
      </c>
      <c r="C4" s="492">
        <v>2420214.3059999999</v>
      </c>
      <c r="D4" s="492">
        <v>109721.73783678295</v>
      </c>
      <c r="E4" s="585">
        <v>4.5335546345945346E-2</v>
      </c>
      <c r="F4" s="496">
        <v>124204.3860786443</v>
      </c>
      <c r="G4" s="497">
        <v>5.1319581811712631E-2</v>
      </c>
    </row>
    <row r="5" spans="1:9" x14ac:dyDescent="0.3">
      <c r="A5" t="s">
        <v>233</v>
      </c>
      <c r="B5">
        <v>1987</v>
      </c>
      <c r="C5" s="492">
        <v>1310921.2320000001</v>
      </c>
      <c r="D5" s="492">
        <v>21839.309252422143</v>
      </c>
      <c r="E5" s="585">
        <v>1.6659512958763445E-2</v>
      </c>
      <c r="F5" s="388">
        <v>24700.564783817583</v>
      </c>
      <c r="G5" s="344">
        <v>1.8842142594741026E-2</v>
      </c>
    </row>
    <row r="6" spans="1:9" x14ac:dyDescent="0.3">
      <c r="A6" t="s">
        <v>233</v>
      </c>
      <c r="B6">
        <v>1988</v>
      </c>
      <c r="C6" s="492">
        <v>530427.83799999999</v>
      </c>
      <c r="D6" s="492">
        <v>3888.0000732112444</v>
      </c>
      <c r="E6" s="585">
        <v>7.3299321692298592E-3</v>
      </c>
      <c r="F6" s="388">
        <v>4400.387879416503</v>
      </c>
      <c r="G6" s="343">
        <v>8.2959218279499564E-3</v>
      </c>
    </row>
    <row r="7" spans="1:9" x14ac:dyDescent="0.3">
      <c r="A7" t="s">
        <v>233</v>
      </c>
      <c r="B7">
        <v>1989</v>
      </c>
      <c r="C7" s="492">
        <v>731366.70200000005</v>
      </c>
      <c r="D7" s="492">
        <v>30527.274679216971</v>
      </c>
      <c r="E7" s="585">
        <v>4.1740039019737829E-2</v>
      </c>
      <c r="F7" s="388">
        <v>34556.87493687361</v>
      </c>
      <c r="G7" s="344">
        <v>4.7249724170343219E-2</v>
      </c>
    </row>
    <row r="8" spans="1:9" x14ac:dyDescent="0.3">
      <c r="A8" t="s">
        <v>233</v>
      </c>
      <c r="B8">
        <v>1990</v>
      </c>
      <c r="C8" s="492">
        <v>315960.77400000003</v>
      </c>
      <c r="D8" s="492">
        <v>48501.848482911286</v>
      </c>
      <c r="E8" s="585">
        <v>0.15350591742413974</v>
      </c>
      <c r="F8" s="388">
        <v>54906.419445586442</v>
      </c>
      <c r="G8" s="344">
        <v>0.17377606324507369</v>
      </c>
    </row>
    <row r="9" spans="1:9" x14ac:dyDescent="0.3">
      <c r="A9" t="s">
        <v>233</v>
      </c>
      <c r="B9">
        <v>1991</v>
      </c>
      <c r="C9" s="492">
        <v>485056.83199999999</v>
      </c>
      <c r="D9" s="492">
        <v>49065.908287143844</v>
      </c>
      <c r="E9" s="585">
        <v>0.10115496793403343</v>
      </c>
      <c r="F9" s="336">
        <v>55582.547326624168</v>
      </c>
      <c r="G9" s="344">
        <v>0.11458976280664812</v>
      </c>
    </row>
    <row r="10" spans="1:9" x14ac:dyDescent="0.3">
      <c r="A10" t="s">
        <v>233</v>
      </c>
      <c r="B10">
        <v>1992</v>
      </c>
      <c r="C10" s="492">
        <v>177380.47</v>
      </c>
      <c r="D10" s="492">
        <v>411.31249901824526</v>
      </c>
      <c r="E10" s="585">
        <v>2.3188150252293573E-3</v>
      </c>
      <c r="F10" s="336">
        <v>465.53921930971723</v>
      </c>
      <c r="G10" s="344">
        <v>2.6245235414570568E-3</v>
      </c>
    </row>
    <row r="11" spans="1:9" x14ac:dyDescent="0.3">
      <c r="A11" t="s">
        <v>233</v>
      </c>
      <c r="B11">
        <v>1993</v>
      </c>
      <c r="C11" s="492">
        <v>1479534.14</v>
      </c>
      <c r="D11" s="492">
        <v>3645.125593487634</v>
      </c>
      <c r="E11" s="585">
        <v>2.4636981972498682E-3</v>
      </c>
      <c r="F11" s="336">
        <v>4120.3060751993589</v>
      </c>
      <c r="G11" s="344">
        <v>2.784867184747328E-3</v>
      </c>
    </row>
    <row r="12" spans="1:9" x14ac:dyDescent="0.3">
      <c r="A12" t="s">
        <v>233</v>
      </c>
      <c r="B12">
        <v>1994</v>
      </c>
      <c r="C12" s="492">
        <v>694473.36800000002</v>
      </c>
      <c r="D12" s="492">
        <v>19876.541355619949</v>
      </c>
      <c r="E12" s="585">
        <v>2.8621027488587508E-2</v>
      </c>
      <c r="F12" s="336">
        <v>22494.768663760049</v>
      </c>
      <c r="G12" s="344">
        <v>3.2391117788349875E-2</v>
      </c>
    </row>
    <row r="13" spans="1:9" x14ac:dyDescent="0.3">
      <c r="A13" t="s">
        <v>233</v>
      </c>
      <c r="B13">
        <v>1995</v>
      </c>
      <c r="C13" s="492">
        <v>979216.21</v>
      </c>
      <c r="D13" s="492">
        <v>30828.842873952919</v>
      </c>
      <c r="E13" s="585">
        <v>3.1483182732394636E-2</v>
      </c>
      <c r="F13" s="336">
        <v>34761.092851429115</v>
      </c>
      <c r="G13" s="344">
        <v>3.5498894418250201E-2</v>
      </c>
    </row>
    <row r="14" spans="1:9" x14ac:dyDescent="0.3">
      <c r="A14" t="s">
        <v>233</v>
      </c>
      <c r="B14">
        <v>1996</v>
      </c>
      <c r="C14" s="492">
        <v>140210.13</v>
      </c>
      <c r="D14" s="492">
        <v>5481.0093678845178</v>
      </c>
      <c r="E14" s="585">
        <v>3.9091393524023674E-2</v>
      </c>
      <c r="F14" s="336">
        <v>5519.5842790799425</v>
      </c>
      <c r="G14" s="344">
        <v>3.9366515665308507E-2</v>
      </c>
    </row>
    <row r="15" spans="1:9" x14ac:dyDescent="0.3">
      <c r="A15" t="s">
        <v>233</v>
      </c>
      <c r="B15">
        <v>1997</v>
      </c>
      <c r="C15" s="492">
        <v>379994.25400000002</v>
      </c>
      <c r="D15" s="492">
        <v>12005.266908481181</v>
      </c>
      <c r="E15" s="585">
        <v>3.1593285377628844E-2</v>
      </c>
      <c r="F15" s="336">
        <v>12016.412514199601</v>
      </c>
      <c r="G15" s="344">
        <v>3.1622616362508474E-2</v>
      </c>
    </row>
    <row r="16" spans="1:9" x14ac:dyDescent="0.3">
      <c r="A16" t="s">
        <v>233</v>
      </c>
      <c r="B16">
        <v>1998</v>
      </c>
      <c r="C16" s="492">
        <v>1209167</v>
      </c>
      <c r="D16" s="492">
        <v>66238.856681959907</v>
      </c>
      <c r="E16" s="585">
        <v>5.4780569335716164E-2</v>
      </c>
      <c r="F16" s="336">
        <v>66240.873902233187</v>
      </c>
      <c r="G16" s="344">
        <v>5.4782237608397504E-2</v>
      </c>
    </row>
    <row r="17" spans="1:7" x14ac:dyDescent="0.3">
      <c r="A17" t="s">
        <v>233</v>
      </c>
      <c r="B17">
        <v>1999</v>
      </c>
      <c r="C17" s="492">
        <v>3099743</v>
      </c>
      <c r="D17" s="492">
        <v>90773.533096657018</v>
      </c>
      <c r="E17" s="585">
        <v>2.9284212625581223E-2</v>
      </c>
      <c r="F17" s="336">
        <v>92448.136808080191</v>
      </c>
      <c r="G17" s="344">
        <v>2.9824452158801616E-2</v>
      </c>
    </row>
    <row r="18" spans="1:7" x14ac:dyDescent="0.3">
      <c r="A18" t="s">
        <v>233</v>
      </c>
      <c r="B18">
        <v>2000</v>
      </c>
      <c r="C18" s="492">
        <v>281333</v>
      </c>
      <c r="D18" s="492">
        <v>12005.073246854503</v>
      </c>
      <c r="E18" s="585">
        <v>4.2672111863359445E-2</v>
      </c>
      <c r="F18" s="336">
        <v>12049.94561980284</v>
      </c>
      <c r="G18" s="344">
        <v>4.2831611008316978E-2</v>
      </c>
    </row>
    <row r="19" spans="1:7" x14ac:dyDescent="0.3">
      <c r="A19" t="s">
        <v>233</v>
      </c>
      <c r="B19">
        <v>2001</v>
      </c>
      <c r="C19" s="492">
        <v>1446600</v>
      </c>
      <c r="D19" s="492">
        <v>19912.056591689725</v>
      </c>
      <c r="E19" s="586">
        <v>1.3764728737515363E-2</v>
      </c>
      <c r="F19" s="336">
        <v>16622.037586407274</v>
      </c>
      <c r="G19" s="537">
        <v>1.1490417244855021E-2</v>
      </c>
    </row>
    <row r="20" spans="1:7" x14ac:dyDescent="0.3">
      <c r="A20" t="s">
        <v>233</v>
      </c>
      <c r="B20">
        <v>2002</v>
      </c>
      <c r="C20" s="492">
        <v>2927009</v>
      </c>
      <c r="D20" s="492">
        <v>107855.99048533605</v>
      </c>
      <c r="E20" s="585">
        <v>3.6848533942101323E-2</v>
      </c>
      <c r="F20" s="336">
        <v>106864.90952893894</v>
      </c>
      <c r="G20" s="344">
        <v>3.6509935408103954E-2</v>
      </c>
    </row>
    <row r="21" spans="1:7" x14ac:dyDescent="0.3">
      <c r="A21" t="s">
        <v>233</v>
      </c>
      <c r="B21">
        <v>2003</v>
      </c>
      <c r="C21" s="492">
        <v>2080978</v>
      </c>
      <c r="D21" s="492">
        <v>62386.995670271557</v>
      </c>
      <c r="E21" s="585">
        <v>2.9979651716775264E-2</v>
      </c>
      <c r="F21" s="336">
        <v>62446.490751800593</v>
      </c>
      <c r="G21" s="344">
        <v>3.0008241678576415E-2</v>
      </c>
    </row>
    <row r="22" spans="1:7" x14ac:dyDescent="0.3">
      <c r="A22" t="s">
        <v>233</v>
      </c>
      <c r="B22">
        <v>2004</v>
      </c>
      <c r="C22" s="492">
        <v>627855</v>
      </c>
      <c r="D22" s="492">
        <v>26039.65461597922</v>
      </c>
      <c r="E22" s="585">
        <v>4.1473994180151817E-2</v>
      </c>
      <c r="F22" s="336">
        <v>26041.946542730446</v>
      </c>
      <c r="G22" s="344">
        <v>4.1477644587891223E-2</v>
      </c>
    </row>
    <row r="23" spans="1:7" x14ac:dyDescent="0.3">
      <c r="A23" t="s">
        <v>233</v>
      </c>
      <c r="B23">
        <v>2005</v>
      </c>
      <c r="C23" s="492">
        <v>735805</v>
      </c>
      <c r="D23" s="492">
        <v>14067.455922063551</v>
      </c>
      <c r="E23" s="585">
        <v>1.9118456550395214E-2</v>
      </c>
      <c r="F23" s="336">
        <v>14067.455922063551</v>
      </c>
      <c r="G23" s="344">
        <v>1.9118456550395214E-2</v>
      </c>
    </row>
    <row r="24" spans="1:7" x14ac:dyDescent="0.3">
      <c r="A24" t="s">
        <v>233</v>
      </c>
      <c r="B24">
        <v>2006</v>
      </c>
      <c r="C24" s="492">
        <v>1783500</v>
      </c>
      <c r="D24" s="492">
        <v>189012.20700374336</v>
      </c>
      <c r="E24" s="585">
        <v>0.10597824895079527</v>
      </c>
      <c r="F24" s="336">
        <v>189012.20700374336</v>
      </c>
      <c r="G24" s="344">
        <v>0.10597824895079527</v>
      </c>
    </row>
    <row r="25" spans="1:7" x14ac:dyDescent="0.3">
      <c r="A25" t="s">
        <v>233</v>
      </c>
      <c r="B25">
        <v>2007</v>
      </c>
      <c r="C25" s="492">
        <v>2026709</v>
      </c>
      <c r="D25" s="492">
        <v>169288.27976202028</v>
      </c>
      <c r="E25" s="585">
        <v>8.3528656438600843E-2</v>
      </c>
      <c r="F25" s="336">
        <v>169283.90374214994</v>
      </c>
      <c r="G25" s="344">
        <v>8.3526497263371274E-2</v>
      </c>
    </row>
    <row r="26" spans="1:7" x14ac:dyDescent="0.3">
      <c r="A26" t="s">
        <v>233</v>
      </c>
      <c r="B26">
        <v>2008</v>
      </c>
      <c r="C26" s="492">
        <v>2133694</v>
      </c>
      <c r="D26" s="492">
        <v>319827.82070317888</v>
      </c>
      <c r="E26" s="585">
        <v>0.14989394950877627</v>
      </c>
      <c r="F26" s="336">
        <v>319774.68988652661</v>
      </c>
      <c r="G26" s="344">
        <v>0.14986904864827225</v>
      </c>
    </row>
    <row r="27" spans="1:7" x14ac:dyDescent="0.3">
      <c r="A27" t="s">
        <v>233</v>
      </c>
      <c r="B27">
        <v>2009</v>
      </c>
      <c r="C27" s="492">
        <v>875327</v>
      </c>
      <c r="D27" s="492">
        <v>112296.86593772291</v>
      </c>
      <c r="E27" s="585">
        <v>0.12829133105424934</v>
      </c>
      <c r="F27" s="336">
        <v>112296.28635392216</v>
      </c>
      <c r="G27" s="344">
        <v>0.12829066892021171</v>
      </c>
    </row>
    <row r="28" spans="1:7" x14ac:dyDescent="0.3">
      <c r="A28" t="s">
        <v>233</v>
      </c>
      <c r="B28">
        <v>2010</v>
      </c>
      <c r="C28" s="492">
        <v>7488306</v>
      </c>
      <c r="D28" s="492">
        <v>443124.78133622988</v>
      </c>
      <c r="E28" s="585">
        <v>5.917557072804315E-2</v>
      </c>
      <c r="F28" s="336">
        <v>442680.38987207116</v>
      </c>
      <c r="G28" s="344">
        <v>5.9116226002525959E-2</v>
      </c>
    </row>
    <row r="29" spans="1:7" x14ac:dyDescent="0.3">
      <c r="A29" t="s">
        <v>233</v>
      </c>
      <c r="B29">
        <v>2011</v>
      </c>
      <c r="C29" s="492">
        <v>929531</v>
      </c>
      <c r="D29" s="492">
        <v>137291.87662291367</v>
      </c>
      <c r="E29" s="585">
        <v>0.14770015913714946</v>
      </c>
      <c r="F29" s="336">
        <v>124462.92839489631</v>
      </c>
      <c r="G29" s="344">
        <v>0.13389863102456648</v>
      </c>
    </row>
    <row r="30" spans="1:7" s="587" customFormat="1" x14ac:dyDescent="0.3">
      <c r="A30" s="587" t="s">
        <v>233</v>
      </c>
      <c r="B30" s="587">
        <v>2012</v>
      </c>
      <c r="C30" s="588">
        <v>4435800</v>
      </c>
      <c r="D30" s="588">
        <v>519871.59415617655</v>
      </c>
      <c r="E30" s="589">
        <v>0.11719906085850952</v>
      </c>
      <c r="F30" s="590">
        <v>516532.62148500269</v>
      </c>
      <c r="G30" s="591">
        <v>0.11644632794197274</v>
      </c>
    </row>
    <row r="31" spans="1:7" x14ac:dyDescent="0.3">
      <c r="A31" t="s">
        <v>233</v>
      </c>
      <c r="B31">
        <v>2013</v>
      </c>
      <c r="C31" s="492">
        <v>2898435</v>
      </c>
      <c r="D31" s="492">
        <v>412842.79026956437</v>
      </c>
      <c r="E31" s="585">
        <v>0.14243644941824274</v>
      </c>
      <c r="F31" s="336">
        <v>412490.71682260424</v>
      </c>
      <c r="G31" s="344">
        <v>0.14231497922934419</v>
      </c>
    </row>
    <row r="32" spans="1:7" x14ac:dyDescent="0.3">
      <c r="A32" t="s">
        <v>233</v>
      </c>
      <c r="B32">
        <v>2014</v>
      </c>
      <c r="C32" s="492">
        <v>5002124</v>
      </c>
      <c r="D32" s="492">
        <v>248395.31689877357</v>
      </c>
      <c r="E32" s="585">
        <v>4.9657968674661719E-2</v>
      </c>
      <c r="F32" s="336">
        <v>248400.48143557095</v>
      </c>
      <c r="G32" s="344">
        <v>4.9659001143428465E-2</v>
      </c>
    </row>
    <row r="33" spans="1:7" x14ac:dyDescent="0.3">
      <c r="A33" t="s">
        <v>233</v>
      </c>
      <c r="B33">
        <v>2015</v>
      </c>
      <c r="C33" s="492">
        <v>2209546</v>
      </c>
      <c r="D33" s="492">
        <v>46242.874778949139</v>
      </c>
      <c r="E33" s="585">
        <v>2.0928677103327624E-2</v>
      </c>
      <c r="F33" s="336">
        <v>46242.158083180897</v>
      </c>
      <c r="G33" s="344">
        <v>2.0928352739965992E-2</v>
      </c>
    </row>
    <row r="34" spans="1:7" x14ac:dyDescent="0.3">
      <c r="A34" t="s">
        <v>233</v>
      </c>
      <c r="B34">
        <v>2016</v>
      </c>
      <c r="C34" s="492">
        <v>7383151</v>
      </c>
      <c r="D34" s="492">
        <v>200525.81239455636</v>
      </c>
      <c r="E34" s="585">
        <v>2.7159922964403189E-2</v>
      </c>
      <c r="F34" s="336">
        <v>200489.4104860459</v>
      </c>
      <c r="G34" s="344">
        <v>2.7154992561583245E-2</v>
      </c>
    </row>
    <row r="35" spans="1:7" x14ac:dyDescent="0.3">
      <c r="A35" t="s">
        <v>233</v>
      </c>
      <c r="B35">
        <v>2017</v>
      </c>
      <c r="C35" s="492">
        <v>1885712</v>
      </c>
      <c r="D35" s="492">
        <v>30927.178701274381</v>
      </c>
      <c r="E35" s="585">
        <v>1.640079646376243E-2</v>
      </c>
      <c r="F35" s="336">
        <v>30927.572186354275</v>
      </c>
      <c r="G35" s="344">
        <v>1.6401005130345606E-2</v>
      </c>
    </row>
    <row r="36" spans="1:7" x14ac:dyDescent="0.3">
      <c r="A36" t="s">
        <v>233</v>
      </c>
      <c r="B36">
        <v>2018</v>
      </c>
      <c r="C36" s="492">
        <v>4122796</v>
      </c>
      <c r="D36" s="492">
        <v>297007.93187965243</v>
      </c>
      <c r="E36" s="585">
        <v>7.204041429157601E-2</v>
      </c>
      <c r="F36" s="336">
        <v>297008.13375995029</v>
      </c>
      <c r="G36" s="344">
        <v>7.2040463258417411E-2</v>
      </c>
    </row>
    <row r="37" spans="1:7" x14ac:dyDescent="0.3">
      <c r="A37" t="s">
        <v>233</v>
      </c>
      <c r="B37">
        <v>2019</v>
      </c>
      <c r="C37" s="492">
        <v>912588</v>
      </c>
      <c r="D37" s="492">
        <v>79631.887807613923</v>
      </c>
      <c r="E37" s="585">
        <v>8.725940710113865E-2</v>
      </c>
      <c r="F37" s="336">
        <v>79631.887807613923</v>
      </c>
      <c r="G37" s="344">
        <v>8.725940710113865E-2</v>
      </c>
    </row>
    <row r="38" spans="1:7" x14ac:dyDescent="0.3">
      <c r="A38" t="s">
        <v>233</v>
      </c>
      <c r="B38">
        <v>2020</v>
      </c>
    </row>
  </sheetData>
  <mergeCells count="7">
    <mergeCell ref="F1:F2"/>
    <mergeCell ref="G1:G2"/>
    <mergeCell ref="A1:A2"/>
    <mergeCell ref="B1:B2"/>
    <mergeCell ref="C1:C2"/>
    <mergeCell ref="D1:D2"/>
    <mergeCell ref="E1:E2"/>
  </mergeCells>
  <conditionalFormatting sqref="F3:F37">
    <cfRule type="dataBar" priority="2">
      <dataBar>
        <cfvo type="min"/>
        <cfvo type="max"/>
        <color rgb="FFFF555A"/>
      </dataBar>
      <extLst>
        <ext xmlns:x14="http://schemas.microsoft.com/office/spreadsheetml/2009/9/main" uri="{B025F937-C7B1-47D3-B67F-A62EFF666E3E}">
          <x14:id>{451EDEC3-B0F6-474B-BEF9-567062F77727}</x14:id>
        </ext>
      </extLst>
    </cfRule>
  </conditionalFormatting>
  <conditionalFormatting sqref="G3:G3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451EDEC3-B0F6-474B-BEF9-567062F77727}">
            <x14:dataBar minLength="0" maxLength="100" border="1" negativeBarBorderColorSameAsPositive="0">
              <x14:cfvo type="autoMin"/>
              <x14:cfvo type="autoMax"/>
              <x14:borderColor rgb="FFFF555A"/>
              <x14:negativeFillColor rgb="FFFF0000"/>
              <x14:negativeBorderColor rgb="FFFF0000"/>
              <x14:axisColor rgb="FF000000"/>
            </x14:dataBar>
          </x14:cfRule>
          <xm:sqref>F3:F37</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AACC3-1EF7-4439-A1F6-BDB06D082DEA}">
  <sheetPr codeName="Sheet10"/>
  <dimension ref="A1:W49"/>
  <sheetViews>
    <sheetView topLeftCell="B1" workbookViewId="0">
      <selection activeCell="Q22" sqref="Q22"/>
    </sheetView>
  </sheetViews>
  <sheetFormatPr defaultRowHeight="14.4" x14ac:dyDescent="0.3"/>
  <cols>
    <col min="1" max="1" width="22.33203125" bestFit="1" customWidth="1"/>
    <col min="2" max="2" width="19.109375" bestFit="1" customWidth="1"/>
    <col min="3" max="3" width="27.33203125" bestFit="1" customWidth="1"/>
    <col min="4" max="4" width="23.88671875" bestFit="1" customWidth="1"/>
    <col min="5" max="5" width="17.88671875" bestFit="1" customWidth="1"/>
    <col min="7" max="7" width="10" bestFit="1" customWidth="1"/>
    <col min="8" max="8" width="11.21875" bestFit="1" customWidth="1"/>
    <col min="9" max="9" width="5.5546875" bestFit="1" customWidth="1"/>
    <col min="10" max="10" width="8.88671875" bestFit="1" customWidth="1"/>
    <col min="14" max="14" width="5.5546875" bestFit="1" customWidth="1"/>
    <col min="15" max="15" width="6.44140625" bestFit="1" customWidth="1"/>
    <col min="18" max="18" width="7.44140625" bestFit="1" customWidth="1"/>
    <col min="19" max="19" width="5.5546875" bestFit="1" customWidth="1"/>
    <col min="20" max="20" width="6.44140625" customWidth="1"/>
    <col min="22" max="22" width="7.109375" customWidth="1"/>
    <col min="23" max="23" width="5" bestFit="1" customWidth="1"/>
  </cols>
  <sheetData>
    <row r="1" spans="1:23" x14ac:dyDescent="0.3">
      <c r="A1" t="str">
        <f>'Smolt to Adult Survival'!A2</f>
        <v>Conservation Unit Name</v>
      </c>
      <c r="B1" t="str">
        <f>'Smolt to Adult Survival'!B2</f>
        <v>Smolt Migration Year</v>
      </c>
      <c r="C1" t="str">
        <f>'Smolt to Adult Survival'!C2</f>
        <v>Total Smolt Abundance (#fish)</v>
      </c>
      <c r="D1" t="str">
        <f>'Smolt to Adult Survival'!D2</f>
        <v>Total Adult Returns (#fish)</v>
      </c>
      <c r="E1" t="str">
        <f>'Smolt to Adult Survival'!E2</f>
        <v>Marine Survival (%)</v>
      </c>
    </row>
    <row r="2" spans="1:23" x14ac:dyDescent="0.3">
      <c r="A2" t="str">
        <f>'Smolt to Adult Survival'!A4</f>
        <v>Okanagan - Osoyoos</v>
      </c>
      <c r="B2">
        <f>'Smolt to Adult Survival'!B4</f>
        <v>1980</v>
      </c>
      <c r="C2" s="492" t="str">
        <f>'Smolt to Adult Survival'!C4</f>
        <v/>
      </c>
      <c r="D2" s="492">
        <f>'Smolt to Adult Survival'!D4</f>
        <v>0</v>
      </c>
      <c r="E2" s="550">
        <f>'Smolt to Adult Survival'!E4</f>
        <v>0</v>
      </c>
    </row>
    <row r="3" spans="1:23" x14ac:dyDescent="0.3">
      <c r="A3" t="str">
        <f>'Smolt to Adult Survival'!A5</f>
        <v>Okanagan - Osoyoos</v>
      </c>
      <c r="B3">
        <f>'Smolt to Adult Survival'!B5</f>
        <v>1981</v>
      </c>
      <c r="C3" s="492" t="str">
        <f>'Smolt to Adult Survival'!C5</f>
        <v/>
      </c>
      <c r="D3" s="492">
        <f>'Smolt to Adult Survival'!D5</f>
        <v>0</v>
      </c>
      <c r="E3" s="550">
        <f>'Smolt to Adult Survival'!E5</f>
        <v>0</v>
      </c>
    </row>
    <row r="4" spans="1:23" ht="15" thickBot="1" x14ac:dyDescent="0.35">
      <c r="A4" t="str">
        <f>'Smolt to Adult Survival'!A6</f>
        <v>Okanagan - Osoyoos</v>
      </c>
      <c r="B4">
        <f>'Smolt to Adult Survival'!B6</f>
        <v>1982</v>
      </c>
      <c r="C4" s="492" t="str">
        <f>'Smolt to Adult Survival'!C6</f>
        <v/>
      </c>
      <c r="D4" s="492">
        <f>'Smolt to Adult Survival'!D6</f>
        <v>0</v>
      </c>
      <c r="E4" s="550">
        <f>'Smolt to Adult Survival'!E6</f>
        <v>0</v>
      </c>
    </row>
    <row r="5" spans="1:23" ht="15" thickBot="1" x14ac:dyDescent="0.35">
      <c r="A5" t="str">
        <f>'Smolt to Adult Survival'!A7</f>
        <v>Okanagan - Osoyoos</v>
      </c>
      <c r="B5">
        <f>'Smolt to Adult Survival'!B7</f>
        <v>1983</v>
      </c>
      <c r="C5" s="492" t="str">
        <f>'Smolt to Adult Survival'!C7</f>
        <v/>
      </c>
      <c r="D5" s="492">
        <f>'Smolt to Adult Survival'!D7</f>
        <v>0</v>
      </c>
      <c r="E5" s="550">
        <f>'Smolt to Adult Survival'!E7</f>
        <v>0</v>
      </c>
      <c r="G5" s="1096"/>
      <c r="H5" s="1097"/>
      <c r="I5" s="1102" t="s">
        <v>115</v>
      </c>
      <c r="J5" s="1103"/>
      <c r="K5" s="1103"/>
      <c r="L5" s="1103"/>
      <c r="M5" s="1104"/>
      <c r="N5" s="1102" t="s">
        <v>116</v>
      </c>
      <c r="O5" s="1103"/>
      <c r="P5" s="1103"/>
      <c r="Q5" s="1103"/>
      <c r="R5" s="1104"/>
      <c r="S5" s="1103" t="s">
        <v>96</v>
      </c>
      <c r="T5" s="1103"/>
      <c r="U5" s="1103"/>
      <c r="V5" s="1103"/>
      <c r="W5" s="1104"/>
    </row>
    <row r="6" spans="1:23" x14ac:dyDescent="0.3">
      <c r="A6" t="str">
        <f>'Smolt to Adult Survival'!A8</f>
        <v>Okanagan - Osoyoos</v>
      </c>
      <c r="B6">
        <f>'Smolt to Adult Survival'!B8</f>
        <v>1984</v>
      </c>
      <c r="C6" s="492" t="str">
        <f>'Smolt to Adult Survival'!C8</f>
        <v/>
      </c>
      <c r="D6" s="492">
        <f ca="1">'Smolt to Adult Survival'!D8</f>
        <v>56190.447714251568</v>
      </c>
      <c r="E6" s="550" t="str">
        <f ca="1">'Smolt to Adult Survival'!E8</f>
        <v/>
      </c>
      <c r="G6" s="1098"/>
      <c r="H6" s="1099"/>
      <c r="I6" s="560" t="s">
        <v>279</v>
      </c>
      <c r="J6" s="551" t="s">
        <v>281</v>
      </c>
      <c r="K6" s="561" t="s">
        <v>275</v>
      </c>
      <c r="L6" s="565" t="s">
        <v>282</v>
      </c>
      <c r="M6" s="562" t="s">
        <v>280</v>
      </c>
      <c r="N6" s="560" t="s">
        <v>279</v>
      </c>
      <c r="O6" s="551" t="s">
        <v>281</v>
      </c>
      <c r="P6" s="561" t="s">
        <v>275</v>
      </c>
      <c r="Q6" s="565" t="s">
        <v>282</v>
      </c>
      <c r="R6" s="562" t="s">
        <v>280</v>
      </c>
      <c r="S6" s="551" t="s">
        <v>279</v>
      </c>
      <c r="T6" s="551" t="s">
        <v>281</v>
      </c>
      <c r="U6" s="561" t="s">
        <v>275</v>
      </c>
      <c r="V6" s="565" t="s">
        <v>282</v>
      </c>
      <c r="W6" s="562" t="s">
        <v>280</v>
      </c>
    </row>
    <row r="7" spans="1:23" x14ac:dyDescent="0.3">
      <c r="A7" t="str">
        <f>'Smolt to Adult Survival'!A9</f>
        <v>Okanagan - Osoyoos</v>
      </c>
      <c r="B7">
        <f>'Smolt to Adult Survival'!B9</f>
        <v>1985</v>
      </c>
      <c r="C7" s="492">
        <f>'Smolt to Adult Survival'!C9</f>
        <v>1862581.902</v>
      </c>
      <c r="D7" s="492">
        <f ca="1">'Smolt to Adult Survival'!D9</f>
        <v>51665.953211351451</v>
      </c>
      <c r="E7" s="550">
        <f ca="1">'Smolt to Adult Survival'!E9</f>
        <v>2.7738889310517659E-2</v>
      </c>
      <c r="G7" s="556" t="s">
        <v>276</v>
      </c>
      <c r="H7" s="552" t="str">
        <f ca="1">B7 &amp; "-" &amp; B26</f>
        <v>1985-2004</v>
      </c>
      <c r="I7" s="567">
        <f ca="1">COUNT($C$7:$C$26)</f>
        <v>20</v>
      </c>
      <c r="J7" s="595">
        <f ca="1">MIN($C$7:$C$26)</f>
        <v>140210.13</v>
      </c>
      <c r="K7" s="595">
        <f ca="1">AVERAGE($C$7:$C$26)</f>
        <v>1159001.1579</v>
      </c>
      <c r="L7" s="595">
        <f ca="1">MAX($C$7:$C$26)</f>
        <v>3099743</v>
      </c>
      <c r="M7" s="553">
        <f ca="1">_xlfn.STDEV.S($C$7:$C$26)</f>
        <v>908755.46219612216</v>
      </c>
      <c r="N7" s="567">
        <f ca="1">COUNT($D$7:$D$26)</f>
        <v>20</v>
      </c>
      <c r="O7" s="596">
        <f ca="1">MIN($D$7:$D$26)</f>
        <v>503.38592832352396</v>
      </c>
      <c r="P7" s="595">
        <f ca="1">AVERAGE($D$7:$D$26)</f>
        <v>43732.563697780824</v>
      </c>
      <c r="Q7" s="597">
        <f ca="1">MAX($D$7:$D$26)</f>
        <v>130882.60596466599</v>
      </c>
      <c r="R7" s="553">
        <f ca="1">_xlfn.STDEV.S($D$7:$D$26)</f>
        <v>38576.513112321089</v>
      </c>
      <c r="S7" s="566">
        <f ca="1">COUNT($E$7:$E$26)</f>
        <v>20</v>
      </c>
      <c r="T7" s="601">
        <f ca="1">MIN($E$7:$E$26)</f>
        <v>2.8378881188189657E-3</v>
      </c>
      <c r="U7" s="601">
        <f ca="1">AVERAGE($E$7:$E$26)</f>
        <v>4.4473250222205753E-2</v>
      </c>
      <c r="V7" s="601">
        <f ca="1">MAX($E$7:$E$26)</f>
        <v>0.18243322993054054</v>
      </c>
      <c r="W7" s="557">
        <f ca="1">_xlfn.STDEV.S($E$7:$E$26)</f>
        <v>4.1005957856994062E-2</v>
      </c>
    </row>
    <row r="8" spans="1:23" x14ac:dyDescent="0.3">
      <c r="A8" t="str">
        <f ca="1">'Smolt to Adult Survival'!A10</f>
        <v>Okanagan - Osoyoos</v>
      </c>
      <c r="B8">
        <f ca="1">'Smolt to Adult Survival'!B10</f>
        <v>1986</v>
      </c>
      <c r="C8" s="492">
        <f ca="1">'Smolt to Adult Survival'!C10</f>
        <v>2420214.3059999999</v>
      </c>
      <c r="D8" s="492">
        <f ca="1">'Smolt to Adult Survival'!D10</f>
        <v>130882.60596466599</v>
      </c>
      <c r="E8" s="550">
        <f ca="1">'Smolt to Adult Survival'!E10</f>
        <v>5.4078932448334179E-2</v>
      </c>
      <c r="G8" s="558" t="s">
        <v>277</v>
      </c>
      <c r="H8" s="552" t="str">
        <f ca="1">B27 &amp; "-" &amp; B43</f>
        <v>2005-2021</v>
      </c>
      <c r="I8" s="567">
        <f ca="1">COUNT($C$27:$C$43)</f>
        <v>17</v>
      </c>
      <c r="J8" s="598">
        <f ca="1">MIN($C$27:$C$43)</f>
        <v>735805</v>
      </c>
      <c r="K8" s="598">
        <f ca="1">AVERAGE($C$27:$C$43)</f>
        <v>2872192.7058823528</v>
      </c>
      <c r="L8" s="598">
        <f ca="1">MAX($C$27:$C$43)</f>
        <v>7488306</v>
      </c>
      <c r="M8" s="553">
        <f ca="1">_xlfn.STDEV.S($C$27:$C$43)</f>
        <v>2126025.4048868325</v>
      </c>
      <c r="N8" s="567">
        <f ca="1">COUNT($D$27:$D$43)</f>
        <v>16</v>
      </c>
      <c r="O8" s="599">
        <f ca="1">MIN($D$27:$D$43)</f>
        <v>15898.444478135205</v>
      </c>
      <c r="P8" s="598">
        <f ca="1">AVERAGE($D$27:$D$43)</f>
        <v>247453.71359919416</v>
      </c>
      <c r="Q8" s="600">
        <f ca="1">MAX($D$27:$D$43)</f>
        <v>565956.75756543968</v>
      </c>
      <c r="R8" s="553">
        <f ca="1">_xlfn.STDEV.S($D$27:$D$43)</f>
        <v>178229.69148957156</v>
      </c>
      <c r="S8" s="566">
        <f ca="1">COUNT($E$27:$E$43)</f>
        <v>16</v>
      </c>
      <c r="T8" s="602">
        <f ca="1">MIN($E$27:$E$43)</f>
        <v>1.8529847586830333E-2</v>
      </c>
      <c r="U8" s="602">
        <f ca="1">AVERAGE($E$27:$E$43)</f>
        <v>9.4225593721529735E-2</v>
      </c>
      <c r="V8" s="602">
        <f ca="1">MAX($E$27:$E$43)</f>
        <v>0.21794717297520397</v>
      </c>
      <c r="W8" s="557">
        <f ca="1">_xlfn.STDEV.S($E$27:$E$43)</f>
        <v>5.8038344486665061E-2</v>
      </c>
    </row>
    <row r="9" spans="1:23" ht="15" thickBot="1" x14ac:dyDescent="0.35">
      <c r="A9" t="str">
        <f ca="1">'Smolt to Adult Survival'!A11</f>
        <v>Okanagan - Osoyoos</v>
      </c>
      <c r="B9">
        <f ca="1">'Smolt to Adult Survival'!B11</f>
        <v>1987</v>
      </c>
      <c r="C9" s="492">
        <f ca="1">'Smolt to Adult Survival'!C11</f>
        <v>1310921.2320000001</v>
      </c>
      <c r="D9" s="492">
        <f ca="1">'Smolt to Adult Survival'!D11</f>
        <v>26007.836940219542</v>
      </c>
      <c r="E9" s="550">
        <f ca="1">'Smolt to Adult Survival'!E11</f>
        <v>1.9839358998359362E-2</v>
      </c>
      <c r="G9" s="1100" t="s">
        <v>278</v>
      </c>
      <c r="H9" s="1101"/>
      <c r="I9" s="554"/>
      <c r="J9" s="564">
        <f ca="1">(J8-J7)/J7</f>
        <v>4.2478733169992777</v>
      </c>
      <c r="K9" s="564">
        <f ca="1">(K8-K7)/K7</f>
        <v>1.4781620676604785</v>
      </c>
      <c r="L9" s="564">
        <f ca="1">(L8-L7)/L7</f>
        <v>1.4157828568368409</v>
      </c>
      <c r="M9" s="555"/>
      <c r="N9" s="563"/>
      <c r="O9" s="564">
        <f ca="1">(O8-O7)/O7</f>
        <v>30.583013317601807</v>
      </c>
      <c r="P9" s="564">
        <f ca="1">(P8-P7)/P7</f>
        <v>4.6583399800032987</v>
      </c>
      <c r="Q9" s="564">
        <f ca="1">(Q8-Q7)/Q7</f>
        <v>3.3241556308729781</v>
      </c>
      <c r="R9" s="555"/>
      <c r="S9" s="559"/>
      <c r="T9" s="564">
        <f ca="1">(T8-T7)/T7</f>
        <v>5.529449650940375</v>
      </c>
      <c r="U9" s="564">
        <f ca="1">(U8-U7)/U7</f>
        <v>1.1187026639776003</v>
      </c>
      <c r="V9" s="564">
        <f ca="1">(V8-V7)/V7</f>
        <v>0.19466817014742863</v>
      </c>
      <c r="W9" s="555"/>
    </row>
    <row r="10" spans="1:23" x14ac:dyDescent="0.3">
      <c r="A10" t="str">
        <f ca="1">'Smolt to Adult Survival'!A12</f>
        <v>Okanagan - Osoyoos</v>
      </c>
      <c r="B10">
        <f ca="1">'Smolt to Adult Survival'!B12</f>
        <v>1988</v>
      </c>
      <c r="C10" s="492">
        <f ca="1">'Smolt to Adult Survival'!C12</f>
        <v>530427.83799999999</v>
      </c>
      <c r="D10" s="492">
        <f ca="1">'Smolt to Adult Survival'!D12</f>
        <v>4755.1356706731185</v>
      </c>
      <c r="E10" s="550">
        <f ca="1">'Smolt to Adult Survival'!E12</f>
        <v>8.9647174036011253E-3</v>
      </c>
    </row>
    <row r="11" spans="1:23" x14ac:dyDescent="0.3">
      <c r="A11" t="str">
        <f ca="1">'Smolt to Adult Survival'!A13</f>
        <v>Okanagan - Osoyoos</v>
      </c>
      <c r="B11">
        <f ca="1">'Smolt to Adult Survival'!B13</f>
        <v>1989</v>
      </c>
      <c r="C11" s="492">
        <f ca="1">'Smolt to Adult Survival'!C13</f>
        <v>731366.70200000005</v>
      </c>
      <c r="D11" s="492">
        <f ca="1">'Smolt to Adult Survival'!D13</f>
        <v>36778.697528355638</v>
      </c>
      <c r="E11" s="550">
        <f ca="1">'Smolt to Adult Survival'!E13</f>
        <v>5.0287629212241107E-2</v>
      </c>
    </row>
    <row r="12" spans="1:23" x14ac:dyDescent="0.3">
      <c r="A12" t="str">
        <f ca="1">'Smolt to Adult Survival'!A14</f>
        <v>Okanagan - Osoyoos</v>
      </c>
      <c r="B12">
        <f ca="1">'Smolt to Adult Survival'!B14</f>
        <v>1990</v>
      </c>
      <c r="C12" s="492">
        <f ca="1">'Smolt to Adult Survival'!C14</f>
        <v>315960.77400000003</v>
      </c>
      <c r="D12" s="492">
        <f ca="1">'Smolt to Adult Survival'!D14</f>
        <v>57641.744532173558</v>
      </c>
      <c r="E12" s="550">
        <f ca="1">'Smolt to Adult Survival'!E14</f>
        <v>0.18243322993054054</v>
      </c>
    </row>
    <row r="13" spans="1:23" x14ac:dyDescent="0.3">
      <c r="A13" t="str">
        <f ca="1">'Smolt to Adult Survival'!A15</f>
        <v>Okanagan - Osoyoos</v>
      </c>
      <c r="B13">
        <f ca="1">'Smolt to Adult Survival'!B15</f>
        <v>1991</v>
      </c>
      <c r="C13" s="492">
        <f ca="1">'Smolt to Adult Survival'!C15</f>
        <v>485056.83199999999</v>
      </c>
      <c r="D13" s="492">
        <f ca="1">'Smolt to Adult Survival'!D15</f>
        <v>57584.453319085165</v>
      </c>
      <c r="E13" s="550">
        <f ca="1">'Smolt to Adult Survival'!E15</f>
        <v>0.11871692041044206</v>
      </c>
    </row>
    <row r="14" spans="1:23" x14ac:dyDescent="0.3">
      <c r="A14" t="str">
        <f ca="1">'Smolt to Adult Survival'!A16</f>
        <v>Okanagan - Osoyoos</v>
      </c>
      <c r="B14">
        <f ca="1">'Smolt to Adult Survival'!B16</f>
        <v>1992</v>
      </c>
      <c r="C14" s="492">
        <f ca="1">'Smolt to Adult Survival'!C16</f>
        <v>177380.47</v>
      </c>
      <c r="D14" s="492">
        <f ca="1">'Smolt to Adult Survival'!D16</f>
        <v>503.38592832352396</v>
      </c>
      <c r="E14" s="550">
        <f ca="1">'Smolt to Adult Survival'!E16</f>
        <v>2.8378881188189657E-3</v>
      </c>
    </row>
    <row r="15" spans="1:23" x14ac:dyDescent="0.3">
      <c r="A15" t="str">
        <f ca="1">'Smolt to Adult Survival'!A17</f>
        <v>Okanagan - Osoyoos</v>
      </c>
      <c r="B15">
        <f ca="1">'Smolt to Adult Survival'!B17</f>
        <v>1993</v>
      </c>
      <c r="C15" s="492">
        <f ca="1">'Smolt to Adult Survival'!C17</f>
        <v>1479534.14</v>
      </c>
      <c r="D15" s="492">
        <f ca="1">'Smolt to Adult Survival'!D17</f>
        <v>4570.803341957695</v>
      </c>
      <c r="E15" s="550">
        <f ca="1">'Smolt to Adult Survival'!E17</f>
        <v>3.0893530729596379E-3</v>
      </c>
    </row>
    <row r="16" spans="1:23" x14ac:dyDescent="0.3">
      <c r="A16" t="str">
        <f ca="1">'Smolt to Adult Survival'!A18</f>
        <v>Okanagan - Osoyoos</v>
      </c>
      <c r="B16">
        <f ca="1">'Smolt to Adult Survival'!B18</f>
        <v>1994</v>
      </c>
      <c r="C16" s="492">
        <f ca="1">'Smolt to Adult Survival'!C18</f>
        <v>694473.36800000002</v>
      </c>
      <c r="D16" s="492">
        <f ca="1">'Smolt to Adult Survival'!D18</f>
        <v>24946.226841984568</v>
      </c>
      <c r="E16" s="550">
        <f ca="1">'Smolt to Adult Survival'!E18</f>
        <v>3.5921070542743357E-2</v>
      </c>
    </row>
    <row r="17" spans="1:5" x14ac:dyDescent="0.3">
      <c r="A17" t="str">
        <f ca="1">'Smolt to Adult Survival'!A19</f>
        <v>Okanagan - Osoyoos</v>
      </c>
      <c r="B17">
        <f ca="1">'Smolt to Adult Survival'!B19</f>
        <v>1995</v>
      </c>
      <c r="C17" s="492">
        <f ca="1">'Smolt to Adult Survival'!C19</f>
        <v>979216.21</v>
      </c>
      <c r="D17" s="492">
        <f ca="1">'Smolt to Adult Survival'!D19</f>
        <v>37109.85188335662</v>
      </c>
      <c r="E17" s="550">
        <f ca="1">'Smolt to Adult Survival'!E19</f>
        <v>3.7897505682995811E-2</v>
      </c>
    </row>
    <row r="18" spans="1:5" x14ac:dyDescent="0.3">
      <c r="A18" t="str">
        <f ca="1">'Smolt to Adult Survival'!A20</f>
        <v>Okanagan - Osoyoos</v>
      </c>
      <c r="B18">
        <f ca="1">'Smolt to Adult Survival'!B20</f>
        <v>1996</v>
      </c>
      <c r="C18" s="492">
        <f ca="1">'Smolt to Adult Survival'!C20</f>
        <v>140210.13</v>
      </c>
      <c r="D18" s="492">
        <f ca="1">'Smolt to Adult Survival'!D20</f>
        <v>5489.1220973225263</v>
      </c>
      <c r="E18" s="550">
        <f ca="1">'Smolt to Adult Survival'!E20</f>
        <v>3.9149254745876966E-2</v>
      </c>
    </row>
    <row r="19" spans="1:5" x14ac:dyDescent="0.3">
      <c r="A19" t="str">
        <f ca="1">'Smolt to Adult Survival'!A21</f>
        <v>Okanagan - Osoyoos</v>
      </c>
      <c r="B19">
        <f ca="1">'Smolt to Adult Survival'!B21</f>
        <v>1997</v>
      </c>
      <c r="C19" s="492">
        <f ca="1">'Smolt to Adult Survival'!C21</f>
        <v>379994.25400000002</v>
      </c>
      <c r="D19" s="492">
        <f ca="1">'Smolt to Adult Survival'!D21</f>
        <v>13219.034834291835</v>
      </c>
      <c r="E19" s="550">
        <f ca="1">'Smolt to Adult Survival'!E21</f>
        <v>3.4787459797462714E-2</v>
      </c>
    </row>
    <row r="20" spans="1:5" x14ac:dyDescent="0.3">
      <c r="A20" t="str">
        <f ca="1">'Smolt to Adult Survival'!A22</f>
        <v>Okanagan - Osoyoos</v>
      </c>
      <c r="B20">
        <f ca="1">'Smolt to Adult Survival'!B22</f>
        <v>1998</v>
      </c>
      <c r="C20" s="492">
        <f ca="1">'Smolt to Adult Survival'!C22</f>
        <v>1209167</v>
      </c>
      <c r="D20" s="492">
        <f ca="1">'Smolt to Adult Survival'!D22</f>
        <v>70034.23004769205</v>
      </c>
      <c r="E20" s="550">
        <f ca="1">'Smolt to Adult Survival'!E22</f>
        <v>5.7919402404872158E-2</v>
      </c>
    </row>
    <row r="21" spans="1:5" x14ac:dyDescent="0.3">
      <c r="A21" t="str">
        <f ca="1">'Smolt to Adult Survival'!A23</f>
        <v>Okanagan - Osoyoos</v>
      </c>
      <c r="B21">
        <f ca="1">'Smolt to Adult Survival'!B23</f>
        <v>1999</v>
      </c>
      <c r="C21" s="492">
        <f ca="1">'Smolt to Adult Survival'!C23</f>
        <v>3099743</v>
      </c>
      <c r="D21" s="492">
        <f ca="1">'Smolt to Adult Survival'!D23</f>
        <v>101923.71184833861</v>
      </c>
      <c r="E21" s="550">
        <f ca="1">'Smolt to Adult Survival'!E23</f>
        <v>3.2881342694648756E-2</v>
      </c>
    </row>
    <row r="22" spans="1:5" x14ac:dyDescent="0.3">
      <c r="A22" t="str">
        <f ca="1">'Smolt to Adult Survival'!A24</f>
        <v>Okanagan - Osoyoos</v>
      </c>
      <c r="B22">
        <f ca="1">'Smolt to Adult Survival'!B24</f>
        <v>2000</v>
      </c>
      <c r="C22" s="492">
        <f ca="1">'Smolt to Adult Survival'!C24</f>
        <v>281333</v>
      </c>
      <c r="D22" s="492">
        <f ca="1">'Smolt to Adult Survival'!D24</f>
        <v>13550.279874030983</v>
      </c>
      <c r="E22" s="550">
        <f ca="1">'Smolt to Adult Survival'!E24</f>
        <v>4.8164558988924099E-2</v>
      </c>
    </row>
    <row r="23" spans="1:5" x14ac:dyDescent="0.3">
      <c r="A23" t="str">
        <f ca="1">'Smolt to Adult Survival'!A25</f>
        <v>Okanagan - Osoyoos</v>
      </c>
      <c r="B23">
        <f ca="1">'Smolt to Adult Survival'!B25</f>
        <v>2001</v>
      </c>
      <c r="C23" s="492">
        <f ca="1">'Smolt to Adult Survival'!C25</f>
        <v>1446600</v>
      </c>
      <c r="D23" s="492">
        <f ca="1">'Smolt to Adult Survival'!D25</f>
        <v>18964.637962385463</v>
      </c>
      <c r="E23" s="550">
        <f ca="1">'Smolt to Adult Survival'!E25</f>
        <v>1.3109800886482417E-2</v>
      </c>
    </row>
    <row r="24" spans="1:5" x14ac:dyDescent="0.3">
      <c r="A24" t="str">
        <f ca="1">'Smolt to Adult Survival'!A26</f>
        <v>Okanagan - Osoyoos</v>
      </c>
      <c r="B24">
        <f ca="1">'Smolt to Adult Survival'!B26</f>
        <v>2002</v>
      </c>
      <c r="C24" s="492">
        <f ca="1">'Smolt to Adult Survival'!C26</f>
        <v>2927009</v>
      </c>
      <c r="D24" s="492">
        <f ca="1">'Smolt to Adult Survival'!D26</f>
        <v>118739.28904352554</v>
      </c>
      <c r="E24" s="550">
        <f ca="1">'Smolt to Adult Survival'!E26</f>
        <v>4.056676595238537E-2</v>
      </c>
    </row>
    <row r="25" spans="1:5" x14ac:dyDescent="0.3">
      <c r="A25" t="str">
        <f ca="1">'Smolt to Adult Survival'!A27</f>
        <v>Okanagan - Osoyoos</v>
      </c>
      <c r="B25">
        <f ca="1">'Smolt to Adult Survival'!B27</f>
        <v>2003</v>
      </c>
      <c r="C25" s="492">
        <f ca="1">'Smolt to Adult Survival'!C27</f>
        <v>2080978</v>
      </c>
      <c r="D25" s="492">
        <f ca="1">'Smolt to Adult Survival'!D27</f>
        <v>70711.761479961759</v>
      </c>
      <c r="E25" s="550">
        <f ca="1">'Smolt to Adult Survival'!E27</f>
        <v>3.3980062009286861E-2</v>
      </c>
    </row>
    <row r="26" spans="1:5" x14ac:dyDescent="0.3">
      <c r="A26" t="str">
        <f ca="1">'Smolt to Adult Survival'!A28</f>
        <v>Okanagan - Osoyoos</v>
      </c>
      <c r="B26">
        <f ca="1">'Smolt to Adult Survival'!B28</f>
        <v>2004</v>
      </c>
      <c r="C26" s="492">
        <f ca="1">'Smolt to Adult Survival'!C28</f>
        <v>627855</v>
      </c>
      <c r="D26" s="492">
        <f ca="1">'Smolt to Adult Survival'!D28</f>
        <v>29572.511605920856</v>
      </c>
      <c r="E26" s="550">
        <f ca="1">'Smolt to Adult Survival'!E28</f>
        <v>4.7100861832621951E-2</v>
      </c>
    </row>
    <row r="27" spans="1:5" x14ac:dyDescent="0.3">
      <c r="A27" t="str">
        <f ca="1">'Smolt to Adult Survival'!A29</f>
        <v>Okanagan - Osoyoos</v>
      </c>
      <c r="B27">
        <f ca="1">'Smolt to Adult Survival'!B29</f>
        <v>2005</v>
      </c>
      <c r="C27" s="492">
        <f ca="1">'Smolt to Adult Survival'!C29</f>
        <v>735805</v>
      </c>
      <c r="D27" s="492">
        <f ca="1">'Smolt to Adult Survival'!D29</f>
        <v>15898.444478135205</v>
      </c>
      <c r="E27" s="550">
        <f ca="1">'Smolt to Adult Survival'!E29</f>
        <v>2.1606872035573561E-2</v>
      </c>
    </row>
    <row r="28" spans="1:5" x14ac:dyDescent="0.3">
      <c r="A28" t="str">
        <f ca="1">'Smolt to Adult Survival'!A30</f>
        <v>Okanagan - Osoyoos</v>
      </c>
      <c r="B28">
        <f ca="1">'Smolt to Adult Survival'!B30</f>
        <v>2006</v>
      </c>
      <c r="C28" s="492">
        <f ca="1">'Smolt to Adult Survival'!C30</f>
        <v>1783500</v>
      </c>
      <c r="D28" s="492">
        <f ca="1">'Smolt to Adult Survival'!D30</f>
        <v>208780.23368913372</v>
      </c>
      <c r="E28" s="550">
        <f ca="1">'Smolt to Adult Survival'!E30</f>
        <v>0.1170620878548549</v>
      </c>
    </row>
    <row r="29" spans="1:5" x14ac:dyDescent="0.3">
      <c r="A29" t="str">
        <f ca="1">'Smolt to Adult Survival'!A31</f>
        <v>Okanagan - Osoyoos</v>
      </c>
      <c r="B29">
        <f ca="1">'Smolt to Adult Survival'!B31</f>
        <v>2007</v>
      </c>
      <c r="C29" s="492">
        <f ca="1">'Smolt to Adult Survival'!C31</f>
        <v>2026709</v>
      </c>
      <c r="D29" s="492">
        <f ca="1">'Smolt to Adult Survival'!D31</f>
        <v>188246.76314347883</v>
      </c>
      <c r="E29" s="550">
        <f ca="1">'Smolt to Adult Survival'!E31</f>
        <v>9.2882975870477127E-2</v>
      </c>
    </row>
    <row r="30" spans="1:5" x14ac:dyDescent="0.3">
      <c r="A30" t="str">
        <f ca="1">'Smolt to Adult Survival'!A32</f>
        <v>Okanagan - Osoyoos</v>
      </c>
      <c r="B30">
        <f ca="1">'Smolt to Adult Survival'!B32</f>
        <v>2008</v>
      </c>
      <c r="C30" s="492">
        <f ca="1">'Smolt to Adult Survival'!C32</f>
        <v>2133694</v>
      </c>
      <c r="D30" s="492">
        <f ca="1">'Smolt to Adult Survival'!D32</f>
        <v>350273.63528394373</v>
      </c>
      <c r="E30" s="550">
        <f ca="1">'Smolt to Adult Survival'!E32</f>
        <v>0.16416301273000897</v>
      </c>
    </row>
    <row r="31" spans="1:5" x14ac:dyDescent="0.3">
      <c r="A31" t="str">
        <f ca="1">'Smolt to Adult Survival'!A33</f>
        <v>Okanagan - Osoyoos</v>
      </c>
      <c r="B31">
        <f ca="1">'Smolt to Adult Survival'!B33</f>
        <v>2009</v>
      </c>
      <c r="C31" s="492">
        <f ca="1">'Smolt to Adult Survival'!C33</f>
        <v>875327</v>
      </c>
      <c r="D31" s="492">
        <f ca="1">'Smolt to Adult Survival'!D33</f>
        <v>119774.83686075982</v>
      </c>
      <c r="E31" s="550">
        <f ca="1">'Smolt to Adult Survival'!E33</f>
        <v>0.13683439087422167</v>
      </c>
    </row>
    <row r="32" spans="1:5" x14ac:dyDescent="0.3">
      <c r="A32" t="str">
        <f ca="1">'Smolt to Adult Survival'!A34</f>
        <v>Okanagan - Osoyoos</v>
      </c>
      <c r="B32">
        <f ca="1">'Smolt to Adult Survival'!B34</f>
        <v>2010</v>
      </c>
      <c r="C32" s="492">
        <f ca="1">'Smolt to Adult Survival'!C34</f>
        <v>7488306</v>
      </c>
      <c r="D32" s="492">
        <f ca="1">'Smolt to Adult Survival'!D34</f>
        <v>471884.97738131502</v>
      </c>
      <c r="E32" s="550">
        <f ca="1">'Smolt to Adult Survival'!E34</f>
        <v>6.3016251924175509E-2</v>
      </c>
    </row>
    <row r="33" spans="1:5" x14ac:dyDescent="0.3">
      <c r="A33" t="str">
        <f ca="1">'Smolt to Adult Survival'!A35</f>
        <v>Okanagan - Osoyoos</v>
      </c>
      <c r="B33">
        <f ca="1">'Smolt to Adult Survival'!B35</f>
        <v>2011</v>
      </c>
      <c r="C33" s="492">
        <f ca="1">'Smolt to Adult Survival'!C35</f>
        <v>929531</v>
      </c>
      <c r="D33" s="492">
        <f ca="1">'Smolt to Adult Survival'!D35</f>
        <v>135547.70558280536</v>
      </c>
      <c r="E33" s="550">
        <f ca="1">'Smolt to Adult Survival'!E35</f>
        <v>0.14582376013581619</v>
      </c>
    </row>
    <row r="34" spans="1:5" x14ac:dyDescent="0.3">
      <c r="A34" t="str">
        <f ca="1">'Smolt to Adult Survival'!A36</f>
        <v>Okanagan - Osoyoos</v>
      </c>
      <c r="B34">
        <f ca="1">'Smolt to Adult Survival'!B36</f>
        <v>2012</v>
      </c>
      <c r="C34" s="492">
        <f ca="1">'Smolt to Adult Survival'!C36</f>
        <v>4435800</v>
      </c>
      <c r="D34" s="492">
        <f ca="1">'Smolt to Adult Survival'!D36</f>
        <v>565956.75756543968</v>
      </c>
      <c r="E34" s="550">
        <f ca="1">'Smolt to Adult Survival'!E36</f>
        <v>0.12758842994847372</v>
      </c>
    </row>
    <row r="35" spans="1:5" x14ac:dyDescent="0.3">
      <c r="A35" t="str">
        <f ca="1">'Smolt to Adult Survival'!A37</f>
        <v>Okanagan - Osoyoos</v>
      </c>
      <c r="B35">
        <f ca="1">'Smolt to Adult Survival'!B37</f>
        <v>2013</v>
      </c>
      <c r="C35" s="492">
        <f ca="1">'Smolt to Adult Survival'!C37</f>
        <v>2898435</v>
      </c>
      <c r="D35" s="492">
        <f ca="1">'Smolt to Adult Survival'!D37</f>
        <v>369751.93411340541</v>
      </c>
      <c r="E35" s="550">
        <f ca="1">'Smolt to Adult Survival'!E37</f>
        <v>0.12756951048183085</v>
      </c>
    </row>
    <row r="36" spans="1:5" x14ac:dyDescent="0.3">
      <c r="A36" t="str">
        <f ca="1">'Smolt to Adult Survival'!A38</f>
        <v>Okanagan - Osoyoos</v>
      </c>
      <c r="B36">
        <f ca="1">'Smolt to Adult Survival'!B38</f>
        <v>2014</v>
      </c>
      <c r="C36" s="492">
        <f ca="1">'Smolt to Adult Survival'!C38</f>
        <v>5002124</v>
      </c>
      <c r="D36" s="492">
        <f ca="1">'Smolt to Adult Survival'!D38</f>
        <v>276217.03401675867</v>
      </c>
      <c r="E36" s="550">
        <f ca="1">'Smolt to Adult Survival'!E38</f>
        <v>5.5219949368859843E-2</v>
      </c>
    </row>
    <row r="37" spans="1:5" x14ac:dyDescent="0.3">
      <c r="A37" t="str">
        <f ca="1">'Smolt to Adult Survival'!A39</f>
        <v>Okanagan - Osoyoos</v>
      </c>
      <c r="B37">
        <f ca="1">'Smolt to Adult Survival'!B39</f>
        <v>2015</v>
      </c>
      <c r="C37" s="492">
        <f ca="1">'Smolt to Adult Survival'!C39</f>
        <v>2209546</v>
      </c>
      <c r="D37" s="492">
        <f ca="1">'Smolt to Adult Survival'!D39</f>
        <v>50217.572628357128</v>
      </c>
      <c r="E37" s="550">
        <f ca="1">'Smolt to Adult Survival'!E39</f>
        <v>2.2727552460259766E-2</v>
      </c>
    </row>
    <row r="38" spans="1:5" x14ac:dyDescent="0.3">
      <c r="A38" t="str">
        <f ca="1">'Smolt to Adult Survival'!A40</f>
        <v>Okanagan - Osoyoos</v>
      </c>
      <c r="B38">
        <f ca="1">'Smolt to Adult Survival'!B40</f>
        <v>2016</v>
      </c>
      <c r="C38" s="492">
        <f ca="1">'Smolt to Adult Survival'!C40</f>
        <v>7383151</v>
      </c>
      <c r="D38" s="492">
        <f ca="1">'Smolt to Adult Survival'!D40</f>
        <v>218459.09282367936</v>
      </c>
      <c r="E38" s="550">
        <f ca="1">'Smolt to Adult Survival'!E40</f>
        <v>2.958886968770913E-2</v>
      </c>
    </row>
    <row r="39" spans="1:5" x14ac:dyDescent="0.3">
      <c r="A39" t="str">
        <f ca="1">'Smolt to Adult Survival'!A41</f>
        <v>Okanagan - Osoyoos</v>
      </c>
      <c r="B39">
        <f ca="1">'Smolt to Adult Survival'!B41</f>
        <v>2017</v>
      </c>
      <c r="C39" s="492">
        <f ca="1">'Smolt to Adult Survival'!C41</f>
        <v>1885712</v>
      </c>
      <c r="D39" s="492">
        <f ca="1">'Smolt to Adult Survival'!D41</f>
        <v>34941.955952657001</v>
      </c>
      <c r="E39" s="550">
        <f ca="1">'Smolt to Adult Survival'!E41</f>
        <v>1.8529847586830333E-2</v>
      </c>
    </row>
    <row r="40" spans="1:5" x14ac:dyDescent="0.3">
      <c r="A40" t="str">
        <f ca="1">'Smolt to Adult Survival'!A42</f>
        <v>Okanagan - Osoyoos</v>
      </c>
      <c r="B40">
        <f ca="1">'Smolt to Adult Survival'!B42</f>
        <v>2018</v>
      </c>
      <c r="C40" s="492">
        <f ca="1">'Smolt to Adult Survival'!C42</f>
        <v>4122796</v>
      </c>
      <c r="D40" s="492">
        <f ca="1">'Smolt to Adult Survival'!D42</f>
        <v>317525.67637887411</v>
      </c>
      <c r="E40" s="550">
        <f ca="1">'Smolt to Adult Survival'!E42</f>
        <v>7.7017072001349107E-2</v>
      </c>
    </row>
    <row r="41" spans="1:5" x14ac:dyDescent="0.3">
      <c r="A41" t="str">
        <f ca="1">'Smolt to Adult Survival'!A43</f>
        <v>Okanagan - Osoyoos</v>
      </c>
      <c r="B41">
        <f ca="1">'Smolt to Adult Survival'!B43</f>
        <v>2019</v>
      </c>
      <c r="C41" s="492">
        <f ca="1">'Smolt to Adult Survival'!C43</f>
        <v>912588</v>
      </c>
      <c r="D41" s="492">
        <f ca="1">'Smolt to Adult Survival'!D43</f>
        <v>82161.88883649584</v>
      </c>
      <c r="E41" s="550">
        <f ca="1">'Smolt to Adult Survival'!E43</f>
        <v>9.0031743608830969E-2</v>
      </c>
    </row>
    <row r="42" spans="1:5" x14ac:dyDescent="0.3">
      <c r="A42" t="str">
        <f ca="1">'Smolt to Adult Survival'!A44</f>
        <v>Okanagan - Osoyoos</v>
      </c>
      <c r="B42">
        <f ca="1">'Smolt to Adult Survival'!B44</f>
        <v>2020</v>
      </c>
      <c r="C42" s="492">
        <f ca="1">'Smolt to Adult Survival'!C44</f>
        <v>2540161</v>
      </c>
      <c r="D42" s="492">
        <f ca="1">'Smolt to Adult Survival'!D44</f>
        <v>553620.90885186708</v>
      </c>
      <c r="E42" s="550">
        <f ca="1">'Smolt to Adult Survival'!E44</f>
        <v>0.21794717297520397</v>
      </c>
    </row>
    <row r="43" spans="1:5" x14ac:dyDescent="0.3">
      <c r="A43" t="str">
        <f ca="1">'Smolt to Adult Survival'!A45</f>
        <v>Okanagan - Osoyoos</v>
      </c>
      <c r="B43">
        <f ca="1">'Smolt to Adult Survival'!B45</f>
        <v>2021</v>
      </c>
      <c r="C43" s="492">
        <f ca="1">'Smolt to Adult Survival'!C45</f>
        <v>1464091</v>
      </c>
      <c r="D43" s="492" t="str">
        <f ca="1">'Smolt to Adult Survival'!D45</f>
        <v/>
      </c>
      <c r="E43" s="550" t="str">
        <f ca="1">'Smolt to Adult Survival'!E45</f>
        <v/>
      </c>
    </row>
    <row r="44" spans="1:5" x14ac:dyDescent="0.3">
      <c r="A44" t="str">
        <f ca="1">'Smolt to Adult Survival'!A46</f>
        <v>Okanagan - Osoyoos</v>
      </c>
      <c r="B44">
        <f ca="1">'Smolt to Adult Survival'!B46</f>
        <v>2022</v>
      </c>
      <c r="C44" s="492"/>
      <c r="D44" s="492"/>
      <c r="E44" s="550"/>
    </row>
    <row r="45" spans="1:5" x14ac:dyDescent="0.3">
      <c r="A45" t="str">
        <f ca="1">'Smolt to Adult Survival'!A47</f>
        <v/>
      </c>
      <c r="B45" t="str">
        <f ca="1">'Smolt to Adult Survival'!B47</f>
        <v/>
      </c>
      <c r="C45" s="492"/>
      <c r="D45" s="492"/>
      <c r="E45" s="550"/>
    </row>
    <row r="46" spans="1:5" x14ac:dyDescent="0.3">
      <c r="A46" t="str">
        <f ca="1">'Smolt to Adult Survival'!A48</f>
        <v/>
      </c>
      <c r="B46" t="str">
        <f ca="1">'Smolt to Adult Survival'!B48</f>
        <v/>
      </c>
      <c r="C46" s="492"/>
      <c r="D46" s="492"/>
    </row>
    <row r="47" spans="1:5" x14ac:dyDescent="0.3">
      <c r="A47" t="str">
        <f ca="1">'Smolt to Adult Survival'!A49</f>
        <v/>
      </c>
      <c r="B47" t="str">
        <f ca="1">'Smolt to Adult Survival'!B49</f>
        <v/>
      </c>
      <c r="C47" s="492"/>
      <c r="D47" s="492"/>
    </row>
    <row r="48" spans="1:5" x14ac:dyDescent="0.3">
      <c r="A48" t="str">
        <f ca="1">'Smolt to Adult Survival'!A50</f>
        <v/>
      </c>
      <c r="B48" t="str">
        <f ca="1">'Smolt to Adult Survival'!B50</f>
        <v/>
      </c>
    </row>
    <row r="49" spans="1:2" x14ac:dyDescent="0.3">
      <c r="A49" t="str">
        <f ca="1">'Smolt to Adult Survival'!A51</f>
        <v/>
      </c>
      <c r="B49" t="str">
        <f ca="1">'Smolt to Adult Survival'!B51</f>
        <v/>
      </c>
    </row>
  </sheetData>
  <mergeCells count="5">
    <mergeCell ref="G5:H6"/>
    <mergeCell ref="G9:H9"/>
    <mergeCell ref="I5:M5"/>
    <mergeCell ref="N5:R5"/>
    <mergeCell ref="S5:W5"/>
  </mergeCells>
  <phoneticPr fontId="57" type="noConversion"/>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1"/>
  </sheetPr>
  <dimension ref="A2:F37"/>
  <sheetViews>
    <sheetView workbookViewId="0">
      <selection activeCell="C11" sqref="C11"/>
    </sheetView>
  </sheetViews>
  <sheetFormatPr defaultRowHeight="14.4" x14ac:dyDescent="0.3"/>
  <cols>
    <col min="1" max="1" width="10.33203125" bestFit="1" customWidth="1"/>
    <col min="2" max="2" width="26.44140625" bestFit="1" customWidth="1"/>
    <col min="3" max="3" width="91.44140625" customWidth="1"/>
    <col min="4" max="4" width="2.6640625" customWidth="1"/>
    <col min="5" max="5" width="10.33203125" bestFit="1" customWidth="1"/>
    <col min="6" max="6" width="45.33203125" customWidth="1"/>
  </cols>
  <sheetData>
    <row r="2" spans="1:6" ht="18" x14ac:dyDescent="0.35">
      <c r="A2" s="1106" t="s">
        <v>167</v>
      </c>
      <c r="B2" s="1107"/>
      <c r="C2" s="1107"/>
      <c r="D2" s="1107"/>
      <c r="E2" s="1107"/>
      <c r="F2" s="1108"/>
    </row>
    <row r="4" spans="1:6" x14ac:dyDescent="0.3">
      <c r="A4" s="1109" t="s">
        <v>141</v>
      </c>
      <c r="B4" s="322" t="s">
        <v>168</v>
      </c>
      <c r="C4" s="323" t="s">
        <v>169</v>
      </c>
      <c r="E4" s="1105" t="s">
        <v>153</v>
      </c>
      <c r="F4" s="322" t="s">
        <v>170</v>
      </c>
    </row>
    <row r="5" spans="1:6" ht="28.8" x14ac:dyDescent="0.3">
      <c r="A5" s="1110"/>
      <c r="B5" s="298" t="s">
        <v>234</v>
      </c>
      <c r="C5" s="887" t="s">
        <v>488</v>
      </c>
      <c r="E5" s="1105"/>
      <c r="F5" s="536" t="s">
        <v>235</v>
      </c>
    </row>
    <row r="6" spans="1:6" ht="43.2" x14ac:dyDescent="0.3">
      <c r="A6" s="1110"/>
      <c r="B6" s="298" t="s">
        <v>243</v>
      </c>
      <c r="C6" s="888" t="s">
        <v>487</v>
      </c>
      <c r="E6" s="1105"/>
      <c r="F6" s="299" t="s">
        <v>239</v>
      </c>
    </row>
    <row r="7" spans="1:6" ht="28.8" x14ac:dyDescent="0.3">
      <c r="A7" s="1110"/>
      <c r="B7" s="300" t="s">
        <v>242</v>
      </c>
      <c r="C7" s="887" t="s">
        <v>486</v>
      </c>
      <c r="E7" s="1105"/>
      <c r="F7" s="300" t="s">
        <v>490</v>
      </c>
    </row>
    <row r="8" spans="1:6" ht="57.6" x14ac:dyDescent="0.3">
      <c r="A8" s="1110"/>
      <c r="B8" s="300" t="s">
        <v>245</v>
      </c>
      <c r="C8" s="887" t="s">
        <v>485</v>
      </c>
      <c r="E8" s="1105"/>
      <c r="F8" s="535" t="s">
        <v>236</v>
      </c>
    </row>
    <row r="9" spans="1:6" ht="57.6" x14ac:dyDescent="0.3">
      <c r="A9" s="1110"/>
      <c r="B9" s="300" t="s">
        <v>287</v>
      </c>
      <c r="C9" s="506" t="s">
        <v>484</v>
      </c>
      <c r="E9" s="1105"/>
      <c r="F9" s="506" t="s">
        <v>268</v>
      </c>
    </row>
    <row r="10" spans="1:6" ht="46.8" x14ac:dyDescent="0.3">
      <c r="A10" s="1110"/>
      <c r="B10" s="300"/>
      <c r="C10" s="506"/>
      <c r="E10" s="1105"/>
      <c r="F10" s="508" t="s">
        <v>241</v>
      </c>
    </row>
    <row r="11" spans="1:6" ht="43.2" x14ac:dyDescent="0.3">
      <c r="A11" s="1110"/>
      <c r="B11" s="300" t="s">
        <v>237</v>
      </c>
      <c r="C11" s="506" t="s">
        <v>238</v>
      </c>
      <c r="E11" s="1105"/>
      <c r="F11" s="506" t="s">
        <v>269</v>
      </c>
    </row>
    <row r="12" spans="1:6" ht="57.6" x14ac:dyDescent="0.3">
      <c r="A12" s="1110"/>
      <c r="B12" s="300" t="s">
        <v>266</v>
      </c>
      <c r="C12" s="888" t="s">
        <v>483</v>
      </c>
      <c r="E12" s="1105"/>
      <c r="F12" s="506" t="s">
        <v>267</v>
      </c>
    </row>
    <row r="13" spans="1:6" ht="28.8" x14ac:dyDescent="0.3">
      <c r="A13" s="1110"/>
      <c r="B13" s="298" t="s">
        <v>452</v>
      </c>
      <c r="C13" s="887" t="s">
        <v>491</v>
      </c>
      <c r="E13" s="1105"/>
      <c r="F13" s="506"/>
    </row>
    <row r="14" spans="1:6" x14ac:dyDescent="0.3">
      <c r="A14" s="1110"/>
      <c r="B14" s="889" t="s">
        <v>476</v>
      </c>
      <c r="C14" s="890"/>
      <c r="E14" s="1105"/>
      <c r="F14" s="535" t="s">
        <v>240</v>
      </c>
    </row>
    <row r="15" spans="1:6" ht="57.6" x14ac:dyDescent="0.3">
      <c r="A15" s="1110"/>
      <c r="B15" s="298" t="s">
        <v>477</v>
      </c>
      <c r="C15" s="891" t="s">
        <v>480</v>
      </c>
      <c r="E15" s="1105"/>
      <c r="F15" s="506" t="s">
        <v>489</v>
      </c>
    </row>
    <row r="16" spans="1:6" x14ac:dyDescent="0.3">
      <c r="A16" s="1110"/>
      <c r="B16" s="301"/>
      <c r="C16" s="892"/>
      <c r="F16" s="320"/>
    </row>
    <row r="17" spans="1:6" ht="57.6" x14ac:dyDescent="0.3">
      <c r="A17" s="1110"/>
      <c r="B17" s="298" t="s">
        <v>478</v>
      </c>
      <c r="C17" s="506" t="s">
        <v>481</v>
      </c>
      <c r="F17" s="320"/>
    </row>
    <row r="18" spans="1:6" x14ac:dyDescent="0.3">
      <c r="A18" s="1110"/>
      <c r="B18" s="301"/>
      <c r="C18" s="892"/>
      <c r="F18" s="320"/>
    </row>
    <row r="19" spans="1:6" ht="72" x14ac:dyDescent="0.3">
      <c r="A19" s="1110"/>
      <c r="B19" s="298" t="s">
        <v>479</v>
      </c>
      <c r="C19" s="891" t="s">
        <v>482</v>
      </c>
      <c r="F19" s="320"/>
    </row>
    <row r="20" spans="1:6" x14ac:dyDescent="0.3">
      <c r="A20" s="1110"/>
      <c r="B20" s="302"/>
      <c r="C20" s="302"/>
      <c r="F20" s="320"/>
    </row>
    <row r="21" spans="1:6" x14ac:dyDescent="0.3">
      <c r="A21" s="1110"/>
      <c r="B21" s="302"/>
      <c r="C21" s="302"/>
      <c r="F21" s="320"/>
    </row>
    <row r="22" spans="1:6" x14ac:dyDescent="0.3">
      <c r="A22" s="1110"/>
      <c r="B22" s="302"/>
      <c r="C22" s="302"/>
      <c r="F22" s="320"/>
    </row>
    <row r="23" spans="1:6" x14ac:dyDescent="0.3">
      <c r="A23" s="1110"/>
      <c r="B23" s="302"/>
      <c r="C23" s="302"/>
      <c r="F23" s="320"/>
    </row>
    <row r="24" spans="1:6" x14ac:dyDescent="0.3">
      <c r="A24" s="1110"/>
      <c r="B24" s="302"/>
      <c r="C24" s="302"/>
      <c r="F24" s="320"/>
    </row>
    <row r="25" spans="1:6" x14ac:dyDescent="0.3">
      <c r="A25" s="1110"/>
      <c r="B25" s="302"/>
      <c r="C25" s="302"/>
      <c r="F25" s="320"/>
    </row>
    <row r="26" spans="1:6" x14ac:dyDescent="0.3">
      <c r="A26" s="1110"/>
      <c r="B26" s="302"/>
      <c r="C26" s="302"/>
      <c r="F26" s="320"/>
    </row>
    <row r="27" spans="1:6" x14ac:dyDescent="0.3">
      <c r="A27" s="1110"/>
      <c r="B27" s="302"/>
      <c r="C27" s="302"/>
      <c r="F27" s="320"/>
    </row>
    <row r="28" spans="1:6" x14ac:dyDescent="0.3">
      <c r="A28" s="1110"/>
      <c r="B28" s="302"/>
      <c r="C28" s="302"/>
      <c r="F28" s="320"/>
    </row>
    <row r="29" spans="1:6" x14ac:dyDescent="0.3">
      <c r="A29" s="1110"/>
      <c r="B29" s="302"/>
      <c r="C29" s="302"/>
      <c r="F29" s="320"/>
    </row>
    <row r="30" spans="1:6" x14ac:dyDescent="0.3">
      <c r="A30" s="1110"/>
      <c r="B30" s="302"/>
      <c r="C30" s="302"/>
      <c r="F30" s="320"/>
    </row>
    <row r="31" spans="1:6" x14ac:dyDescent="0.3">
      <c r="A31" s="1110"/>
      <c r="B31" s="302"/>
      <c r="C31" s="302"/>
      <c r="F31" s="321"/>
    </row>
    <row r="32" spans="1:6" x14ac:dyDescent="0.3">
      <c r="A32" s="1110"/>
      <c r="B32" s="302"/>
      <c r="C32" s="302"/>
      <c r="F32" s="321"/>
    </row>
    <row r="33" spans="1:6" x14ac:dyDescent="0.3">
      <c r="A33" s="1110"/>
      <c r="B33" s="302"/>
      <c r="C33" s="302"/>
      <c r="F33" s="321"/>
    </row>
    <row r="34" spans="1:6" x14ac:dyDescent="0.3">
      <c r="A34" s="1110"/>
      <c r="B34" s="302"/>
      <c r="C34" s="302"/>
    </row>
    <row r="35" spans="1:6" x14ac:dyDescent="0.3">
      <c r="A35" s="1110"/>
      <c r="B35" s="302"/>
      <c r="C35" s="302"/>
    </row>
    <row r="36" spans="1:6" x14ac:dyDescent="0.3">
      <c r="B36" s="302"/>
      <c r="C36" s="302"/>
    </row>
    <row r="37" spans="1:6" x14ac:dyDescent="0.3">
      <c r="B37" s="302"/>
      <c r="C37" s="302"/>
    </row>
  </sheetData>
  <sheetProtection formatCells="0" formatColumns="0" formatRows="0" insertColumns="0" insertRows="0" insertHyperlinks="0" sort="0" autoFilter="0"/>
  <mergeCells count="3">
    <mergeCell ref="E4:E15"/>
    <mergeCell ref="A2:F2"/>
    <mergeCell ref="A4:A35"/>
  </mergeCells>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6</vt:i4>
      </vt:variant>
    </vt:vector>
  </HeadingPairs>
  <TitlesOfParts>
    <vt:vector size="24" baseType="lpstr">
      <vt:lpstr>READ ME</vt:lpstr>
      <vt:lpstr>Juvenile Data</vt:lpstr>
      <vt:lpstr>Smolts (OLD)</vt:lpstr>
      <vt:lpstr>Junk</vt:lpstr>
      <vt:lpstr>Adult Returns Data</vt:lpstr>
      <vt:lpstr>Smolt to Adult Survival</vt:lpstr>
      <vt:lpstr>Compare</vt:lpstr>
      <vt:lpstr>ExportSurvival</vt:lpstr>
      <vt:lpstr>References</vt:lpstr>
      <vt:lpstr>Desc Stats</vt:lpstr>
      <vt:lpstr>ATS Equivalents Calculation</vt:lpstr>
      <vt:lpstr>Sockeye Returns Data</vt:lpstr>
      <vt:lpstr>Data at Age</vt:lpstr>
      <vt:lpstr>Annual Returns by Return Yr</vt:lpstr>
      <vt:lpstr>Annual Returns by Smolt Yr</vt:lpstr>
      <vt:lpstr>Annual Returns by FW Age</vt:lpstr>
      <vt:lpstr>Williams 2014 SAR</vt:lpstr>
      <vt:lpstr>Lookup</vt:lpstr>
      <vt:lpstr>AdultReturns</vt:lpstr>
      <vt:lpstr>JuvAbund</vt:lpstr>
      <vt:lpstr>Ok_Sox_CR_Mouth</vt:lpstr>
      <vt:lpstr>OtherAge</vt:lpstr>
      <vt:lpstr>SockeyeReturnsData</vt:lpstr>
      <vt:lpstr>Years</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dc:creator>
  <cp:lastModifiedBy>[hs] </cp:lastModifiedBy>
  <dcterms:created xsi:type="dcterms:W3CDTF">2021-08-24T21:14:54Z</dcterms:created>
  <dcterms:modified xsi:type="dcterms:W3CDTF">2022-11-21T23:56:52Z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2021-08-24T21:54:35Z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74586eaf-d13c-4bdb-8049-0000335337d9</vt:lpwstr>
  </property>
</Properties>
</file>