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Біполяр" sheetId="1" r:id="rId1"/>
    <sheet name="Дільник" sheetId="3" r:id="rId2"/>
    <sheet name="Провідники" sheetId="4" r:id="rId3"/>
    <sheet name="Аккумулятор" sheetId="5" r:id="rId4"/>
    <sheet name="Скріни" sheetId="2" r:id="rId5"/>
    <sheet name="Перевірка" sheetId="6" r:id="rId6"/>
  </sheets>
  <calcPr calcId="145621"/>
</workbook>
</file>

<file path=xl/calcChain.xml><?xml version="1.0" encoding="utf-8"?>
<calcChain xmlns="http://schemas.openxmlformats.org/spreadsheetml/2006/main">
  <c r="C69" i="1" l="1"/>
  <c r="B65" i="1"/>
  <c r="A69" i="1" s="1"/>
  <c r="B64" i="1"/>
  <c r="B63" i="1"/>
  <c r="B69" i="1" s="1"/>
  <c r="B72" i="1" s="1"/>
  <c r="B56" i="1"/>
  <c r="B40" i="1"/>
  <c r="B42" i="1" s="1"/>
  <c r="A46" i="1" s="1"/>
  <c r="B33" i="1"/>
  <c r="B41" i="1" s="1"/>
  <c r="C86" i="3"/>
  <c r="C85" i="3"/>
  <c r="C91" i="3" s="1"/>
  <c r="C94" i="3" s="1"/>
  <c r="C78" i="3"/>
  <c r="C19" i="1"/>
  <c r="B19" i="1"/>
  <c r="A19" i="1"/>
  <c r="B14" i="1"/>
  <c r="B15" i="1"/>
  <c r="J74" i="3"/>
  <c r="B22" i="1"/>
  <c r="B6" i="1"/>
  <c r="I74" i="3"/>
  <c r="B46" i="1" l="1"/>
  <c r="B49" i="1" s="1"/>
  <c r="C46" i="1"/>
  <c r="C87" i="3"/>
  <c r="B91" i="3" s="1"/>
  <c r="D91" i="3"/>
  <c r="E21" i="6"/>
  <c r="I20" i="6"/>
  <c r="E28" i="6" s="1"/>
  <c r="E29" i="6" s="1"/>
  <c r="I17" i="6"/>
  <c r="E18" i="6" s="1"/>
  <c r="E25" i="6" l="1"/>
  <c r="E26" i="6" s="1"/>
  <c r="G67" i="3"/>
  <c r="H66" i="3"/>
  <c r="G66" i="3"/>
  <c r="C14" i="5" l="1"/>
  <c r="B14" i="5"/>
  <c r="C12" i="5"/>
  <c r="C13" i="5" s="1"/>
  <c r="B12" i="5"/>
  <c r="B13" i="5" s="1"/>
  <c r="D23" i="5"/>
  <c r="E19" i="1" l="1"/>
  <c r="B5" i="4"/>
  <c r="D5" i="4"/>
  <c r="B2" i="4"/>
  <c r="L48" i="3"/>
  <c r="H52" i="3"/>
  <c r="H49" i="3"/>
  <c r="H51" i="3"/>
  <c r="H48" i="3"/>
  <c r="C43" i="3" l="1"/>
  <c r="C36" i="3" l="1"/>
  <c r="C37" i="3" s="1"/>
  <c r="I29" i="3"/>
  <c r="I28" i="3"/>
  <c r="H28" i="3"/>
  <c r="L28" i="3"/>
  <c r="J28" i="3"/>
  <c r="M28" i="3"/>
  <c r="K28" i="3"/>
  <c r="M29" i="3"/>
  <c r="L29" i="3"/>
  <c r="K29" i="3"/>
  <c r="J29" i="3"/>
  <c r="G29" i="3"/>
  <c r="G28" i="3"/>
  <c r="P12" i="3"/>
  <c r="P11" i="3"/>
  <c r="P10" i="3"/>
  <c r="P8" i="3"/>
  <c r="P7" i="3"/>
  <c r="P6" i="3"/>
  <c r="P21" i="3"/>
  <c r="P20" i="3"/>
  <c r="P19" i="3"/>
  <c r="V17" i="3"/>
  <c r="R17" i="3"/>
  <c r="P17" i="3"/>
  <c r="P16" i="3"/>
  <c r="P15" i="3"/>
  <c r="K16" i="3"/>
  <c r="N16" i="3" s="1"/>
  <c r="K15" i="3"/>
  <c r="N15" i="3" s="1"/>
  <c r="K19" i="3"/>
  <c r="N19" i="3" s="1"/>
  <c r="K18" i="3"/>
  <c r="N18" i="3" s="1"/>
  <c r="K11" i="3"/>
  <c r="N11" i="3" s="1"/>
  <c r="K10" i="3"/>
  <c r="N10" i="3" s="1"/>
  <c r="K8" i="3"/>
  <c r="N8" i="3" s="1"/>
  <c r="K7" i="3"/>
  <c r="N7" i="3" s="1"/>
  <c r="I10" i="3"/>
  <c r="E11" i="3" s="1"/>
  <c r="I7" i="3"/>
  <c r="E8" i="3" s="1"/>
  <c r="E15" i="3" l="1"/>
  <c r="E16" i="3" s="1"/>
  <c r="E18" i="3"/>
  <c r="E19" i="3" s="1"/>
  <c r="C8" i="2"/>
  <c r="B13" i="1"/>
  <c r="C35" i="3" l="1"/>
  <c r="C38" i="3" s="1"/>
  <c r="C39" i="3" s="1"/>
  <c r="G39" i="3" s="1"/>
</calcChain>
</file>

<file path=xl/comments1.xml><?xml version="1.0" encoding="utf-8"?>
<comments xmlns="http://schemas.openxmlformats.org/spreadsheetml/2006/main">
  <authors>
    <author>Bramory</author>
  </authors>
  <commentLis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  <comment ref="B5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C7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3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4.xml><?xml version="1.0" encoding="utf-8"?>
<comments xmlns="http://schemas.openxmlformats.org/spreadsheetml/2006/main">
  <authors>
    <author>Bramory</author>
  </authors>
  <commentList>
    <comment ref="E2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2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3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</commentList>
</comments>
</file>

<file path=xl/sharedStrings.xml><?xml version="1.0" encoding="utf-8"?>
<sst xmlns="http://schemas.openxmlformats.org/spreadsheetml/2006/main" count="383" uniqueCount="153">
  <si>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</si>
  <si>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</si>
  <si>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</si>
  <si>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</si>
  <si>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</si>
  <si>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</si>
  <si>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</si>
  <si>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</si>
  <si>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</si>
  <si>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</si>
  <si>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(залежить від Uбе)</t>
  </si>
  <si>
    <t>(залежить від Iзаряду)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</si>
  <si>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</si>
  <si>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</si>
  <si>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</si>
  <si>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</si>
  <si>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</si>
  <si>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I*U</t>
  </si>
  <si>
    <t>U^2/ Rk</t>
  </si>
  <si>
    <t>I^2 * Rk</t>
  </si>
  <si>
    <t>задаємо</t>
  </si>
  <si>
    <t>отримуємо</t>
  </si>
  <si>
    <t>(при більшій Uбе(нас)  тримається (напевно) )</t>
  </si>
  <si>
    <t>(згідно даташиту аккума для ресурса роботи)</t>
  </si>
  <si>
    <t>(даташит  аккума)</t>
  </si>
  <si>
    <t>Эмність</t>
  </si>
  <si>
    <t>даташит</t>
  </si>
  <si>
    <t>(перехід в режим насичення) ????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</si>
  <si>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</si>
  <si>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</si>
  <si>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</si>
  <si>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</si>
  <si>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</si>
  <si>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</si>
  <si>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</si>
  <si>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</si>
  <si>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</si>
  <si>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</si>
  <si>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Value</t>
  </si>
  <si>
    <t>U</t>
  </si>
  <si>
    <t>Uбатареї</t>
  </si>
  <si>
    <t>Верх поріг</t>
  </si>
  <si>
    <t>Нижній поріг</t>
  </si>
  <si>
    <t>R1</t>
  </si>
  <si>
    <t>R3</t>
  </si>
  <si>
    <t>Uтаймера</t>
  </si>
  <si>
    <t>2/3 таймера</t>
  </si>
  <si>
    <t>1/3 таймера</t>
  </si>
  <si>
    <t>THRESHOLD</t>
  </si>
  <si>
    <t>TRIGGER</t>
  </si>
  <si>
    <t>(В даташиті для Uке = 0.3 V зі статичної х-ки (або 0 V, відмінності будуть незначні) або практично)</t>
  </si>
  <si>
    <t>Unit</t>
  </si>
  <si>
    <t>розраховуємо</t>
  </si>
  <si>
    <t>OUT 0 при</t>
  </si>
  <si>
    <t>OUT 1 при</t>
  </si>
  <si>
    <t>Потенціометр</t>
  </si>
  <si>
    <t>R6</t>
  </si>
  <si>
    <t>Rpot</t>
  </si>
  <si>
    <t>Rdown</t>
  </si>
  <si>
    <t>Rup</t>
  </si>
  <si>
    <t>Rpot1</t>
  </si>
  <si>
    <t>Rpot2</t>
  </si>
  <si>
    <t>Потрібно забезпечити малий струм розряду  ???</t>
  </si>
  <si>
    <t>RpotUp</t>
  </si>
  <si>
    <t>RpotDown</t>
  </si>
  <si>
    <t>TRIG</t>
  </si>
  <si>
    <t>THRS</t>
  </si>
  <si>
    <t>OUT</t>
  </si>
  <si>
    <t>Струми портів</t>
  </si>
  <si>
    <t>Задаємось резисторами</t>
  </si>
  <si>
    <t>перехідний процес при ввімкненні</t>
  </si>
  <si>
    <t>та вимкненні</t>
  </si>
  <si>
    <t>імпульс</t>
  </si>
  <si>
    <t>Струми дільника</t>
  </si>
  <si>
    <t>R</t>
  </si>
  <si>
    <t>LM7805</t>
  </si>
  <si>
    <t>Iке, А</t>
  </si>
  <si>
    <t>R, Ом</t>
  </si>
  <si>
    <t>Uбе, V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</si>
  <si>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</si>
  <si>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t>in, A</t>
  </si>
  <si>
    <t>out, A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</si>
  <si>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battery</t>
    </r>
  </si>
  <si>
    <r>
      <rPr>
        <sz val="12"/>
        <color theme="2" tint="-0.249977111117893"/>
        <rFont val="Calibri"/>
        <family val="2"/>
        <charset val="204"/>
        <scheme val="minor"/>
      </rPr>
      <t xml:space="preserve">Розрахунок </t>
    </r>
    <r>
      <rPr>
        <sz val="12"/>
        <color theme="1"/>
        <rFont val="Calibri"/>
        <family val="2"/>
        <charset val="204"/>
        <scheme val="minor"/>
      </rPr>
      <t>R</t>
    </r>
    <r>
      <rPr>
        <sz val="12"/>
        <color theme="2" tint="-0.249977111117893"/>
        <rFont val="Calibri"/>
        <family val="2"/>
        <charset val="204"/>
        <scheme val="minor"/>
      </rPr>
      <t xml:space="preserve"> для струму заряду</t>
    </r>
  </si>
  <si>
    <t>Ом</t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</si>
  <si>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</si>
  <si>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rб</t>
    </r>
  </si>
  <si>
    <t>Виміри в симуляції</t>
  </si>
  <si>
    <t>брати</t>
  </si>
  <si>
    <t>розрахунок Резисторів біполярного транзистора в ключовому режимі</t>
  </si>
  <si>
    <t>P</t>
  </si>
  <si>
    <t>куди поділись 5V OUT ???</t>
  </si>
  <si>
    <t>коеф навантаж</t>
  </si>
  <si>
    <t>Iке</t>
  </si>
  <si>
    <t>який потрібно ставити R, щоб не згорів???</t>
  </si>
  <si>
    <t>Задаємось СХЕМОЮ з потенціометрами та R(i)</t>
  </si>
  <si>
    <t>не відкрився</t>
  </si>
  <si>
    <t>заряд до 4,44! За 0,6 мс</t>
  </si>
  <si>
    <t>заряд до 4,2044 за 1,08 мс</t>
  </si>
  <si>
    <t>бар'єрний режим</t>
  </si>
  <si>
    <t>виглядає краще</t>
  </si>
  <si>
    <t>Переріз</t>
  </si>
  <si>
    <t>Струм</t>
  </si>
  <si>
    <t>Допустимо</t>
  </si>
  <si>
    <t xml:space="preserve"> А/mm^2</t>
  </si>
  <si>
    <t>нагрузка</t>
  </si>
  <si>
    <t>Товщина</t>
  </si>
  <si>
    <t>мм</t>
  </si>
  <si>
    <t xml:space="preserve"> мм^2</t>
  </si>
  <si>
    <t>Що відбувається в схемі з вкл живленням без аккумулятора?</t>
  </si>
  <si>
    <t>Який характер струму потрібен для заряду за методом CC/CV, тобто наша схема відповідає цьому?</t>
  </si>
  <si>
    <t>Який опір аккумулятора, як він змінюється під час заряду?</t>
  </si>
  <si>
    <t>Який зробити захист від помилкового включення полярності акумулятора?</t>
  </si>
  <si>
    <t>Яка напруга живлення потрібна для заряду? (чи 12 В хороший вибір)</t>
  </si>
  <si>
    <t>Який струм розряду аккумулятора при викл гілці заряду?</t>
  </si>
  <si>
    <t>Pk, W</t>
  </si>
  <si>
    <t>???</t>
  </si>
  <si>
    <t>яка потужність?</t>
  </si>
  <si>
    <t>https://tuta.ua/ua/akkumulyator-siemens-eba-510-720-mah-batareya-original-li-ion/</t>
  </si>
  <si>
    <t>Напруга</t>
  </si>
  <si>
    <t>Min</t>
  </si>
  <si>
    <t>Max</t>
  </si>
  <si>
    <t>Ємність</t>
  </si>
  <si>
    <t>https://www.subtel.es/en/Charger-for-Siemens-A51-A72-A52-A55-Power-Supply-111252.html?force_sid=8ictpsabvo9mu3jguuqb6qcq62</t>
  </si>
  <si>
    <t>Зарядка для аккума</t>
  </si>
  <si>
    <t>"+"</t>
  </si>
  <si>
    <t>"-"</t>
  </si>
  <si>
    <t>к</t>
  </si>
  <si>
    <t>ч</t>
  </si>
  <si>
    <t>L</t>
  </si>
  <si>
    <t>Parametr</t>
  </si>
  <si>
    <t>І навантаження</t>
  </si>
  <si>
    <t>Pн</t>
  </si>
  <si>
    <t>Rн</t>
  </si>
  <si>
    <t>старый</t>
  </si>
  <si>
    <t>новый</t>
  </si>
  <si>
    <t>BL214</t>
  </si>
  <si>
    <t>BL203</t>
  </si>
  <si>
    <t>EBA-510</t>
  </si>
  <si>
    <t>Проверка параметров аккамуляторов</t>
  </si>
  <si>
    <t>Umax_Volt</t>
  </si>
  <si>
    <t>Шаблон</t>
  </si>
  <si>
    <t>Розрахунок</t>
  </si>
  <si>
    <t>Практично</t>
  </si>
  <si>
    <t>не почав</t>
  </si>
  <si>
    <t>Vcc_555</t>
  </si>
  <si>
    <t>Перевірка</t>
  </si>
  <si>
    <t>1k</t>
  </si>
  <si>
    <t>Ватт</t>
  </si>
  <si>
    <t>кондер</t>
  </si>
  <si>
    <t>100n</t>
  </si>
  <si>
    <t>струм</t>
  </si>
  <si>
    <t>купувати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</si>
</sst>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0.0000000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" fontId="3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6" borderId="0" xfId="0" applyNumberFormat="1" applyFont="1" applyFill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34016</xdr:colOff>
      <xdr:row>16</xdr:row>
      <xdr:rowOff>122463</xdr:rowOff>
    </xdr:from>
    <xdr:to>
      <xdr:col>22</xdr:col>
      <xdr:colOff>484153</xdr:colOff>
      <xdr:row>40</xdr:row>
      <xdr:rowOff>46964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73" t="14931" r="667"/>
        <a:stretch/>
      </xdr:blipFill>
      <xdr:spPr>
        <a:xfrm>
          <a:off x="12239623" y="3170463"/>
          <a:ext cx="5348709" cy="449650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23583</xdr:colOff>
      <xdr:row>1</xdr:row>
      <xdr:rowOff>0</xdr:rowOff>
    </xdr:from>
    <xdr:to>
      <xdr:col>22</xdr:col>
      <xdr:colOff>393040</xdr:colOff>
      <xdr:row>16</xdr:row>
      <xdr:rowOff>190119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9190" y="190500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2712705</xdr:colOff>
      <xdr:row>35</xdr:row>
      <xdr:rowOff>13607</xdr:rowOff>
    </xdr:from>
    <xdr:to>
      <xdr:col>14</xdr:col>
      <xdr:colOff>153501</xdr:colOff>
      <xdr:row>39</xdr:row>
      <xdr:rowOff>90183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312" y="6681107"/>
          <a:ext cx="7727796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565439</xdr:colOff>
      <xdr:row>13</xdr:row>
      <xdr:rowOff>1848</xdr:rowOff>
    </xdr:from>
    <xdr:to>
      <xdr:col>27</xdr:col>
      <xdr:colOff>456844</xdr:colOff>
      <xdr:row>21</xdr:row>
      <xdr:rowOff>29213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666" y="2703484"/>
          <a:ext cx="3865418" cy="1689911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466726</xdr:colOff>
      <xdr:row>13</xdr:row>
      <xdr:rowOff>97491</xdr:rowOff>
    </xdr:from>
    <xdr:to>
      <xdr:col>19</xdr:col>
      <xdr:colOff>314215</xdr:colOff>
      <xdr:row>21</xdr:row>
      <xdr:rowOff>126065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520" y="2719667"/>
          <a:ext cx="2290371" cy="1642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14</xdr:col>
      <xdr:colOff>551779</xdr:colOff>
      <xdr:row>28</xdr:row>
      <xdr:rowOff>27905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0"/>
          <a:ext cx="5371429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160804</xdr:rowOff>
    </xdr:from>
    <xdr:to>
      <xdr:col>20</xdr:col>
      <xdr:colOff>312950</xdr:colOff>
      <xdr:row>19</xdr:row>
      <xdr:rowOff>27907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41804"/>
          <a:ext cx="6399425" cy="31056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114300</xdr:rowOff>
    </xdr:from>
    <xdr:to>
      <xdr:col>15</xdr:col>
      <xdr:colOff>533044</xdr:colOff>
      <xdr:row>30</xdr:row>
      <xdr:rowOff>161776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4495800"/>
          <a:ext cx="2847619" cy="11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topLeftCell="A44" zoomScale="70" zoomScaleNormal="70" workbookViewId="0">
      <selection activeCell="D66" sqref="D66"/>
    </sheetView>
  </sheetViews>
  <sheetFormatPr defaultRowHeight="15" x14ac:dyDescent="0.25"/>
  <cols>
    <col min="1" max="1" width="11.28515625" style="2" bestFit="1" customWidth="1"/>
    <col min="2" max="2" width="9.5703125" style="2" bestFit="1" customWidth="1"/>
    <col min="3" max="3" width="7.85546875" style="2" bestFit="1" customWidth="1"/>
    <col min="4" max="4" width="92.140625" style="2" customWidth="1"/>
    <col min="5" max="5" width="7.85546875" style="2" bestFit="1" customWidth="1"/>
    <col min="6" max="6" width="8.28515625" style="2" customWidth="1"/>
    <col min="7" max="7" width="3.5703125" style="2" customWidth="1"/>
    <col min="8" max="8" width="3.140625" style="2" bestFit="1" customWidth="1"/>
    <col min="9" max="9" width="4" style="5" customWidth="1"/>
    <col min="10" max="10" width="6.140625" style="2" customWidth="1"/>
    <col min="11" max="11" width="5.28515625" style="2" customWidth="1"/>
    <col min="12" max="12" width="5" style="2" customWidth="1"/>
    <col min="13" max="16384" width="9.140625" style="2"/>
  </cols>
  <sheetData>
    <row r="1" spans="1:9" s="46" customFormat="1" x14ac:dyDescent="0.25">
      <c r="D1" s="46" t="s">
        <v>89</v>
      </c>
      <c r="I1" s="47"/>
    </row>
    <row r="2" spans="1:9" x14ac:dyDescent="0.25">
      <c r="A2" s="78" t="s">
        <v>141</v>
      </c>
      <c r="B2" s="78"/>
      <c r="C2" s="78"/>
    </row>
    <row r="3" spans="1:9" x14ac:dyDescent="0.25">
      <c r="A3" s="62" t="s">
        <v>37</v>
      </c>
      <c r="B3" s="62" t="s">
        <v>38</v>
      </c>
      <c r="C3" s="62" t="s">
        <v>51</v>
      </c>
      <c r="D3" s="10"/>
      <c r="E3" s="16" t="s">
        <v>28</v>
      </c>
      <c r="F3" s="3" t="s">
        <v>37</v>
      </c>
    </row>
    <row r="4" spans="1:9" x14ac:dyDescent="0.25">
      <c r="A4" s="1" t="s">
        <v>2</v>
      </c>
      <c r="B4" s="6">
        <v>12</v>
      </c>
      <c r="C4" s="1" t="s">
        <v>3</v>
      </c>
      <c r="D4" s="20"/>
      <c r="E4" s="17">
        <v>80</v>
      </c>
      <c r="F4" s="1" t="s">
        <v>29</v>
      </c>
      <c r="G4" s="5"/>
    </row>
    <row r="5" spans="1:9" x14ac:dyDescent="0.25">
      <c r="A5" s="1" t="s">
        <v>4</v>
      </c>
      <c r="B5" s="6">
        <v>5</v>
      </c>
      <c r="C5" s="1" t="s">
        <v>3</v>
      </c>
      <c r="D5" s="21" t="s">
        <v>14</v>
      </c>
      <c r="E5" s="17">
        <v>5</v>
      </c>
      <c r="F5" s="1" t="s">
        <v>30</v>
      </c>
    </row>
    <row r="6" spans="1:9" x14ac:dyDescent="0.25">
      <c r="A6" s="8" t="s">
        <v>15</v>
      </c>
      <c r="B6" s="62">
        <f>13.07*10^-3</f>
        <v>1.307E-2</v>
      </c>
      <c r="C6" s="62" t="s">
        <v>16</v>
      </c>
      <c r="D6" s="21" t="s">
        <v>50</v>
      </c>
      <c r="E6" s="16"/>
      <c r="F6" s="3" t="s">
        <v>16</v>
      </c>
    </row>
    <row r="7" spans="1:9" x14ac:dyDescent="0.25">
      <c r="A7" s="8" t="s">
        <v>12</v>
      </c>
      <c r="B7" s="62">
        <v>0.72</v>
      </c>
      <c r="C7" s="62" t="s">
        <v>3</v>
      </c>
      <c r="D7" s="21" t="s">
        <v>27</v>
      </c>
      <c r="E7" s="16">
        <v>0.5</v>
      </c>
      <c r="F7" s="3" t="s">
        <v>33</v>
      </c>
    </row>
    <row r="8" spans="1:9" x14ac:dyDescent="0.25">
      <c r="A8" s="62" t="s">
        <v>13</v>
      </c>
      <c r="B8" s="7">
        <v>0.5</v>
      </c>
      <c r="C8" s="62" t="s">
        <v>3</v>
      </c>
      <c r="D8" s="21" t="s">
        <v>22</v>
      </c>
      <c r="E8" s="16">
        <v>0.5</v>
      </c>
      <c r="F8" s="3" t="s">
        <v>32</v>
      </c>
      <c r="I8" s="13"/>
    </row>
    <row r="9" spans="1:9" x14ac:dyDescent="0.25">
      <c r="A9" s="62"/>
      <c r="B9" s="7"/>
      <c r="C9" s="62">
        <v>25</v>
      </c>
      <c r="D9" s="21" t="s">
        <v>35</v>
      </c>
      <c r="E9" s="16">
        <v>250</v>
      </c>
      <c r="F9" s="8" t="s">
        <v>34</v>
      </c>
    </row>
    <row r="10" spans="1:9" x14ac:dyDescent="0.25">
      <c r="D10" s="10"/>
      <c r="G10" s="5"/>
    </row>
    <row r="11" spans="1:9" x14ac:dyDescent="0.25">
      <c r="A11" s="1" t="s">
        <v>140</v>
      </c>
      <c r="B11" s="1">
        <v>4.2</v>
      </c>
      <c r="C11" s="1" t="s">
        <v>3</v>
      </c>
      <c r="D11" s="10"/>
      <c r="G11" s="5"/>
    </row>
    <row r="12" spans="1:9" x14ac:dyDescent="0.25">
      <c r="A12" s="11" t="s">
        <v>25</v>
      </c>
      <c r="B12" s="9">
        <v>1</v>
      </c>
      <c r="C12" s="1" t="s">
        <v>5</v>
      </c>
      <c r="D12" s="21" t="s">
        <v>24</v>
      </c>
      <c r="E12" s="18" t="s">
        <v>36</v>
      </c>
      <c r="F12" s="1" t="s">
        <v>5</v>
      </c>
    </row>
    <row r="13" spans="1:9" x14ac:dyDescent="0.25">
      <c r="A13" s="62" t="s">
        <v>0</v>
      </c>
      <c r="B13" s="7">
        <f>B12/2</f>
        <v>0.5</v>
      </c>
      <c r="C13" s="62" t="s">
        <v>6</v>
      </c>
      <c r="D13" s="21" t="s">
        <v>23</v>
      </c>
      <c r="E13" s="19">
        <v>1.5</v>
      </c>
      <c r="F13" s="7" t="s">
        <v>31</v>
      </c>
    </row>
    <row r="14" spans="1:9" x14ac:dyDescent="0.25">
      <c r="A14" s="4" t="s">
        <v>9</v>
      </c>
      <c r="B14" s="4">
        <f>(B5-B7)/B6</f>
        <v>327.46748278500382</v>
      </c>
      <c r="C14" s="4" t="s">
        <v>1</v>
      </c>
      <c r="D14" s="21" t="s">
        <v>11</v>
      </c>
      <c r="E14" s="75" t="s">
        <v>36</v>
      </c>
      <c r="F14" s="4" t="s">
        <v>1</v>
      </c>
    </row>
    <row r="15" spans="1:9" x14ac:dyDescent="0.25">
      <c r="A15" s="4" t="s">
        <v>8</v>
      </c>
      <c r="B15" s="12">
        <f>(B4-B11-B8)/B13</f>
        <v>14.6</v>
      </c>
      <c r="C15" s="4" t="s">
        <v>1</v>
      </c>
      <c r="D15" s="21" t="s">
        <v>10</v>
      </c>
      <c r="E15" s="75" t="s">
        <v>36</v>
      </c>
      <c r="F15" s="4" t="s">
        <v>1</v>
      </c>
    </row>
    <row r="16" spans="1:9" x14ac:dyDescent="0.25">
      <c r="A16" s="10"/>
      <c r="D16" s="10"/>
      <c r="G16" s="5"/>
    </row>
    <row r="17" spans="1:6" x14ac:dyDescent="0.25">
      <c r="A17" s="78" t="s">
        <v>115</v>
      </c>
      <c r="B17" s="78"/>
      <c r="C17" s="78"/>
      <c r="D17" s="10"/>
    </row>
    <row r="18" spans="1:6" x14ac:dyDescent="0.25">
      <c r="A18" s="3" t="s">
        <v>18</v>
      </c>
      <c r="B18" s="3" t="s">
        <v>17</v>
      </c>
      <c r="C18" s="3" t="s">
        <v>19</v>
      </c>
      <c r="D18" s="10"/>
      <c r="E18" s="3" t="s">
        <v>90</v>
      </c>
      <c r="F18" s="3"/>
    </row>
    <row r="19" spans="1:6" x14ac:dyDescent="0.25">
      <c r="A19" s="95">
        <f>((B4-B11-B8)^2) / B15</f>
        <v>3.65</v>
      </c>
      <c r="B19" s="95">
        <f>B13*(B4-B8-B11)</f>
        <v>3.65</v>
      </c>
      <c r="C19" s="95">
        <f>B13*B13*B15</f>
        <v>3.65</v>
      </c>
      <c r="D19" s="10"/>
      <c r="E19" s="3">
        <f>E13*E5</f>
        <v>7.5</v>
      </c>
      <c r="F19" s="3" t="s">
        <v>7</v>
      </c>
    </row>
    <row r="20" spans="1:6" x14ac:dyDescent="0.25">
      <c r="E20" s="2" t="s">
        <v>116</v>
      </c>
    </row>
    <row r="21" spans="1:6" x14ac:dyDescent="0.25">
      <c r="B21" s="2" t="s">
        <v>152</v>
      </c>
      <c r="E21" s="61" t="s">
        <v>117</v>
      </c>
    </row>
    <row r="22" spans="1:6" x14ac:dyDescent="0.25">
      <c r="B22" s="2">
        <f>B19/0.6</f>
        <v>6.083333333333333</v>
      </c>
      <c r="C22" s="2" t="s">
        <v>7</v>
      </c>
    </row>
    <row r="24" spans="1:6" x14ac:dyDescent="0.25">
      <c r="A24" s="1" t="s">
        <v>20</v>
      </c>
    </row>
    <row r="25" spans="1:6" x14ac:dyDescent="0.25">
      <c r="A25" s="8" t="s">
        <v>26</v>
      </c>
    </row>
    <row r="26" spans="1:6" x14ac:dyDescent="0.25">
      <c r="A26" s="4" t="s">
        <v>21</v>
      </c>
    </row>
    <row r="28" spans="1:6" x14ac:dyDescent="0.25">
      <c r="B28" s="2" t="s">
        <v>144</v>
      </c>
    </row>
    <row r="29" spans="1:6" x14ac:dyDescent="0.25">
      <c r="A29" s="78" t="s">
        <v>142</v>
      </c>
      <c r="B29" s="78"/>
      <c r="C29" s="78"/>
    </row>
    <row r="30" spans="1:6" x14ac:dyDescent="0.25">
      <c r="A30" s="76" t="s">
        <v>37</v>
      </c>
      <c r="B30" s="76" t="s">
        <v>38</v>
      </c>
      <c r="C30" s="76" t="s">
        <v>51</v>
      </c>
    </row>
    <row r="31" spans="1:6" x14ac:dyDescent="0.25">
      <c r="A31" s="1" t="s">
        <v>2</v>
      </c>
      <c r="B31" s="6">
        <v>12</v>
      </c>
      <c r="C31" s="1" t="s">
        <v>3</v>
      </c>
    </row>
    <row r="32" spans="1:6" x14ac:dyDescent="0.25">
      <c r="A32" s="1" t="s">
        <v>4</v>
      </c>
      <c r="B32" s="6">
        <v>5</v>
      </c>
      <c r="C32" s="1" t="s">
        <v>3</v>
      </c>
    </row>
    <row r="33" spans="1:3" x14ac:dyDescent="0.25">
      <c r="A33" s="8" t="s">
        <v>15</v>
      </c>
      <c r="B33" s="76">
        <f>13.07*10^-3</f>
        <v>1.307E-2</v>
      </c>
      <c r="C33" s="76" t="s">
        <v>16</v>
      </c>
    </row>
    <row r="34" spans="1:3" x14ac:dyDescent="0.25">
      <c r="A34" s="8" t="s">
        <v>12</v>
      </c>
      <c r="B34" s="76">
        <v>0.72</v>
      </c>
      <c r="C34" s="76" t="s">
        <v>3</v>
      </c>
    </row>
    <row r="35" spans="1:3" x14ac:dyDescent="0.25">
      <c r="A35" s="76" t="s">
        <v>13</v>
      </c>
      <c r="B35" s="7">
        <v>0.5</v>
      </c>
      <c r="C35" s="76" t="s">
        <v>3</v>
      </c>
    </row>
    <row r="36" spans="1:3" x14ac:dyDescent="0.25">
      <c r="A36" s="76"/>
      <c r="B36" s="7"/>
      <c r="C36" s="76">
        <v>25</v>
      </c>
    </row>
    <row r="38" spans="1:3" x14ac:dyDescent="0.25">
      <c r="A38" s="1" t="s">
        <v>140</v>
      </c>
      <c r="B38" s="1">
        <v>4.2</v>
      </c>
      <c r="C38" s="1" t="s">
        <v>3</v>
      </c>
    </row>
    <row r="39" spans="1:3" x14ac:dyDescent="0.25">
      <c r="A39" s="11" t="s">
        <v>25</v>
      </c>
      <c r="B39" s="9">
        <v>1</v>
      </c>
      <c r="C39" s="1" t="s">
        <v>5</v>
      </c>
    </row>
    <row r="40" spans="1:3" x14ac:dyDescent="0.25">
      <c r="A40" s="76" t="s">
        <v>0</v>
      </c>
      <c r="B40" s="7">
        <f>B39/2</f>
        <v>0.5</v>
      </c>
      <c r="C40" s="76" t="s">
        <v>6</v>
      </c>
    </row>
    <row r="41" spans="1:3" x14ac:dyDescent="0.25">
      <c r="A41" s="4" t="s">
        <v>9</v>
      </c>
      <c r="B41" s="4">
        <f>(B32-B34)/B33</f>
        <v>327.46748278500382</v>
      </c>
      <c r="C41" s="4" t="s">
        <v>1</v>
      </c>
    </row>
    <row r="42" spans="1:3" x14ac:dyDescent="0.25">
      <c r="A42" s="4" t="s">
        <v>8</v>
      </c>
      <c r="B42" s="12">
        <f>(B31-B38-B35)/B40</f>
        <v>14.6</v>
      </c>
      <c r="C42" s="4" t="s">
        <v>1</v>
      </c>
    </row>
    <row r="43" spans="1:3" x14ac:dyDescent="0.25">
      <c r="A43" s="10"/>
    </row>
    <row r="44" spans="1:3" x14ac:dyDescent="0.25">
      <c r="A44" s="78" t="s">
        <v>115</v>
      </c>
      <c r="B44" s="78"/>
      <c r="C44" s="78"/>
    </row>
    <row r="45" spans="1:3" x14ac:dyDescent="0.25">
      <c r="A45" s="76" t="s">
        <v>18</v>
      </c>
      <c r="B45" s="76" t="s">
        <v>17</v>
      </c>
      <c r="C45" s="76" t="s">
        <v>19</v>
      </c>
    </row>
    <row r="46" spans="1:3" x14ac:dyDescent="0.25">
      <c r="A46" s="95">
        <f>((B31-B38-B35)^2) / B42</f>
        <v>3.65</v>
      </c>
      <c r="B46" s="95">
        <f>B40*(B31-B35-B38)</f>
        <v>3.65</v>
      </c>
      <c r="C46" s="95">
        <f>B40*B40*B42</f>
        <v>3.65</v>
      </c>
    </row>
    <row r="48" spans="1:3" x14ac:dyDescent="0.25">
      <c r="B48" s="2" t="s">
        <v>152</v>
      </c>
    </row>
    <row r="49" spans="1:3" x14ac:dyDescent="0.25">
      <c r="B49" s="2">
        <f>B46/0.6</f>
        <v>6.083333333333333</v>
      </c>
      <c r="C49" s="2" t="s">
        <v>7</v>
      </c>
    </row>
    <row r="51" spans="1:3" x14ac:dyDescent="0.25">
      <c r="B51" s="2" t="s">
        <v>144</v>
      </c>
    </row>
    <row r="52" spans="1:3" x14ac:dyDescent="0.25">
      <c r="A52" s="78" t="s">
        <v>143</v>
      </c>
      <c r="B52" s="78"/>
      <c r="C52" s="78"/>
    </row>
    <row r="53" spans="1:3" x14ac:dyDescent="0.25">
      <c r="A53" s="76" t="s">
        <v>37</v>
      </c>
      <c r="B53" s="76" t="s">
        <v>38</v>
      </c>
      <c r="C53" s="76" t="s">
        <v>51</v>
      </c>
    </row>
    <row r="54" spans="1:3" x14ac:dyDescent="0.25">
      <c r="A54" s="1" t="s">
        <v>2</v>
      </c>
      <c r="B54" s="6">
        <v>12</v>
      </c>
      <c r="C54" s="1" t="s">
        <v>3</v>
      </c>
    </row>
    <row r="55" spans="1:3" x14ac:dyDescent="0.25">
      <c r="A55" s="1" t="s">
        <v>4</v>
      </c>
      <c r="B55" s="6">
        <v>5</v>
      </c>
      <c r="C55" s="1" t="s">
        <v>3</v>
      </c>
    </row>
    <row r="56" spans="1:3" x14ac:dyDescent="0.25">
      <c r="A56" s="8" t="s">
        <v>15</v>
      </c>
      <c r="B56" s="76">
        <f>13.07*10^-3</f>
        <v>1.307E-2</v>
      </c>
      <c r="C56" s="76" t="s">
        <v>16</v>
      </c>
    </row>
    <row r="57" spans="1:3" x14ac:dyDescent="0.25">
      <c r="A57" s="8" t="s">
        <v>12</v>
      </c>
      <c r="B57" s="76">
        <v>0.72</v>
      </c>
      <c r="C57" s="76" t="s">
        <v>3</v>
      </c>
    </row>
    <row r="58" spans="1:3" x14ac:dyDescent="0.25">
      <c r="A58" s="76" t="s">
        <v>13</v>
      </c>
      <c r="B58" s="7">
        <v>0.5</v>
      </c>
      <c r="C58" s="76" t="s">
        <v>3</v>
      </c>
    </row>
    <row r="59" spans="1:3" x14ac:dyDescent="0.25">
      <c r="A59" s="76"/>
      <c r="B59" s="7"/>
      <c r="C59" s="76">
        <v>25</v>
      </c>
    </row>
    <row r="61" spans="1:3" x14ac:dyDescent="0.25">
      <c r="A61" s="1" t="s">
        <v>140</v>
      </c>
      <c r="B61" s="1">
        <v>4.2</v>
      </c>
      <c r="C61" s="1" t="s">
        <v>3</v>
      </c>
    </row>
    <row r="62" spans="1:3" x14ac:dyDescent="0.25">
      <c r="A62" s="11" t="s">
        <v>25</v>
      </c>
      <c r="B62" s="9">
        <v>1</v>
      </c>
      <c r="C62" s="1" t="s">
        <v>5</v>
      </c>
    </row>
    <row r="63" spans="1:3" x14ac:dyDescent="0.25">
      <c r="A63" s="76" t="s">
        <v>0</v>
      </c>
      <c r="B63" s="7">
        <f>B62/2</f>
        <v>0.5</v>
      </c>
      <c r="C63" s="76" t="s">
        <v>6</v>
      </c>
    </row>
    <row r="64" spans="1:3" x14ac:dyDescent="0.25">
      <c r="A64" s="4" t="s">
        <v>9</v>
      </c>
      <c r="B64" s="4">
        <f>(B55-B57)/B56</f>
        <v>327.46748278500382</v>
      </c>
      <c r="C64" s="4" t="s">
        <v>1</v>
      </c>
    </row>
    <row r="65" spans="1:3" x14ac:dyDescent="0.25">
      <c r="A65" s="4" t="s">
        <v>8</v>
      </c>
      <c r="B65" s="12">
        <f>(B54-B61-B58)/B63</f>
        <v>14.6</v>
      </c>
      <c r="C65" s="4" t="s">
        <v>1</v>
      </c>
    </row>
    <row r="66" spans="1:3" x14ac:dyDescent="0.25">
      <c r="A66" s="10"/>
    </row>
    <row r="67" spans="1:3" x14ac:dyDescent="0.25">
      <c r="A67" s="78" t="s">
        <v>115</v>
      </c>
      <c r="B67" s="78"/>
      <c r="C67" s="78"/>
    </row>
    <row r="68" spans="1:3" x14ac:dyDescent="0.25">
      <c r="A68" s="76" t="s">
        <v>18</v>
      </c>
      <c r="B68" s="76" t="s">
        <v>17</v>
      </c>
      <c r="C68" s="76" t="s">
        <v>19</v>
      </c>
    </row>
    <row r="69" spans="1:3" x14ac:dyDescent="0.25">
      <c r="A69" s="95">
        <f>((B54-B61-B58)^2) / B65</f>
        <v>3.65</v>
      </c>
      <c r="B69" s="95">
        <f>B63*(B54-B58-B61)</f>
        <v>3.65</v>
      </c>
      <c r="C69" s="95">
        <f>B63*B63*B65</f>
        <v>3.65</v>
      </c>
    </row>
    <row r="71" spans="1:3" x14ac:dyDescent="0.25">
      <c r="B71" s="2" t="s">
        <v>152</v>
      </c>
    </row>
    <row r="72" spans="1:3" x14ac:dyDescent="0.25">
      <c r="B72" s="2">
        <f>B69/0.6</f>
        <v>6.083333333333333</v>
      </c>
      <c r="C72" s="2" t="s">
        <v>7</v>
      </c>
    </row>
  </sheetData>
  <mergeCells count="6">
    <mergeCell ref="A67:C67"/>
    <mergeCell ref="A17:C17"/>
    <mergeCell ref="A44:C44"/>
    <mergeCell ref="A29:C29"/>
    <mergeCell ref="A2:C2"/>
    <mergeCell ref="A52:C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4"/>
  <sheetViews>
    <sheetView topLeftCell="A69" zoomScale="85" zoomScaleNormal="85" workbookViewId="0">
      <selection activeCell="F86" sqref="F86"/>
    </sheetView>
  </sheetViews>
  <sheetFormatPr defaultRowHeight="15.75" x14ac:dyDescent="0.25"/>
  <cols>
    <col min="1" max="1" width="15.140625" style="14" bestFit="1" customWidth="1"/>
    <col min="2" max="2" width="8" style="14" bestFit="1" customWidth="1"/>
    <col min="3" max="3" width="7.5703125" style="14" bestFit="1" customWidth="1"/>
    <col min="4" max="4" width="14.28515625" style="14" customWidth="1"/>
    <col min="5" max="5" width="15" style="14" bestFit="1" customWidth="1"/>
    <col min="6" max="6" width="11.28515625" style="14" bestFit="1" customWidth="1"/>
    <col min="7" max="7" width="19.28515625" style="14" customWidth="1"/>
    <col min="8" max="8" width="12.85546875" style="14" bestFit="1" customWidth="1"/>
    <col min="9" max="9" width="9.42578125" style="14" bestFit="1" customWidth="1"/>
    <col min="10" max="10" width="8.85546875" style="14" bestFit="1" customWidth="1"/>
    <col min="11" max="11" width="18.140625" style="14" bestFit="1" customWidth="1"/>
    <col min="12" max="13" width="8.42578125" style="14" bestFit="1" customWidth="1"/>
    <col min="14" max="15" width="15" style="14" bestFit="1" customWidth="1"/>
    <col min="16" max="16" width="18.140625" style="14" bestFit="1" customWidth="1"/>
    <col min="17" max="17" width="8.7109375" style="14" bestFit="1" customWidth="1"/>
    <col min="18" max="18" width="9.140625" style="14"/>
    <col min="19" max="19" width="36.5703125" style="14" bestFit="1" customWidth="1"/>
    <col min="20" max="21" width="9.140625" style="14"/>
    <col min="22" max="22" width="8.85546875" style="14" bestFit="1" customWidth="1"/>
    <col min="23" max="23" width="14.28515625" style="14" bestFit="1" customWidth="1"/>
    <col min="24" max="16384" width="9.140625" style="14"/>
  </cols>
  <sheetData>
    <row r="1" spans="1:25" x14ac:dyDescent="0.25">
      <c r="G1" s="35" t="s">
        <v>62</v>
      </c>
    </row>
    <row r="2" spans="1:25" x14ac:dyDescent="0.25">
      <c r="A2" s="24" t="s">
        <v>2</v>
      </c>
      <c r="B2" s="24">
        <v>12</v>
      </c>
    </row>
    <row r="3" spans="1:25" x14ac:dyDescent="0.25">
      <c r="A3" s="24" t="s">
        <v>40</v>
      </c>
      <c r="B3" s="24">
        <v>5</v>
      </c>
    </row>
    <row r="4" spans="1:25" s="22" customFormat="1" x14ac:dyDescent="0.25">
      <c r="D4" s="22" t="s">
        <v>69</v>
      </c>
      <c r="E4" s="39"/>
    </row>
    <row r="5" spans="1:25" x14ac:dyDescent="0.25">
      <c r="E5" s="15"/>
      <c r="G5" s="29">
        <v>1</v>
      </c>
      <c r="H5" s="24" t="s">
        <v>45</v>
      </c>
      <c r="I5" s="24">
        <v>5</v>
      </c>
      <c r="O5" s="86" t="s">
        <v>68</v>
      </c>
      <c r="P5" s="86"/>
      <c r="Q5" s="86"/>
    </row>
    <row r="6" spans="1:25" x14ac:dyDescent="0.25">
      <c r="K6" s="14" t="s">
        <v>73</v>
      </c>
      <c r="M6" s="14" t="s">
        <v>39</v>
      </c>
      <c r="N6" s="48" t="s">
        <v>90</v>
      </c>
      <c r="O6" s="14" t="s">
        <v>66</v>
      </c>
      <c r="P6" s="54">
        <f>-3*10^-9</f>
        <v>-3.0000000000000004E-9</v>
      </c>
    </row>
    <row r="7" spans="1:25" x14ac:dyDescent="0.25">
      <c r="A7" s="79" t="s">
        <v>41</v>
      </c>
      <c r="B7" s="79"/>
      <c r="C7" s="80">
        <v>4.2</v>
      </c>
      <c r="D7" s="24" t="s">
        <v>59</v>
      </c>
      <c r="E7" s="25">
        <v>8200</v>
      </c>
      <c r="F7" s="14" t="s">
        <v>53</v>
      </c>
      <c r="G7" s="28" t="s">
        <v>46</v>
      </c>
      <c r="H7" s="24" t="s">
        <v>48</v>
      </c>
      <c r="I7" s="37">
        <f>I5*2/3</f>
        <v>3.3333333333333335</v>
      </c>
      <c r="K7" s="24">
        <f>300*10^-6</f>
        <v>2.9999999999999997E-4</v>
      </c>
      <c r="L7" s="84" t="s">
        <v>6</v>
      </c>
      <c r="M7" s="49">
        <v>3.3330000000000002</v>
      </c>
      <c r="N7" s="37">
        <f>K7*M7</f>
        <v>9.9989999999999996E-4</v>
      </c>
      <c r="O7" s="14" t="s">
        <v>65</v>
      </c>
      <c r="P7" s="54">
        <f>-2*10^-9</f>
        <v>-2.0000000000000001E-9</v>
      </c>
    </row>
    <row r="8" spans="1:25" x14ac:dyDescent="0.25">
      <c r="A8" s="79"/>
      <c r="B8" s="79"/>
      <c r="C8" s="80"/>
      <c r="D8" s="24" t="s">
        <v>58</v>
      </c>
      <c r="E8" s="26">
        <f>(I7*E7)/(C7-I7)</f>
        <v>31538.461538461539</v>
      </c>
      <c r="K8" s="24">
        <f>400*10^-6</f>
        <v>3.9999999999999996E-4</v>
      </c>
      <c r="L8" s="85"/>
      <c r="M8" s="49">
        <v>2.548</v>
      </c>
      <c r="N8" s="37">
        <f t="shared" ref="N8" si="0">K8*M8</f>
        <v>1.0191999999999998E-3</v>
      </c>
      <c r="O8" s="14" t="s">
        <v>67</v>
      </c>
      <c r="P8" s="55">
        <f>504*10^-6</f>
        <v>5.04E-4</v>
      </c>
      <c r="V8" s="33"/>
    </row>
    <row r="9" spans="1:25" x14ac:dyDescent="0.25">
      <c r="K9" s="24"/>
      <c r="L9" s="24"/>
      <c r="M9" s="49"/>
      <c r="N9" s="37"/>
      <c r="P9" s="54"/>
    </row>
    <row r="10" spans="1:25" x14ac:dyDescent="0.25">
      <c r="A10" s="79" t="s">
        <v>42</v>
      </c>
      <c r="B10" s="79"/>
      <c r="C10" s="80">
        <v>3.2</v>
      </c>
      <c r="D10" s="24" t="s">
        <v>59</v>
      </c>
      <c r="E10" s="25">
        <v>8200</v>
      </c>
      <c r="F10" s="14" t="s">
        <v>54</v>
      </c>
      <c r="G10" s="28" t="s">
        <v>47</v>
      </c>
      <c r="H10" s="24" t="s">
        <v>49</v>
      </c>
      <c r="I10" s="37">
        <f>I5/3</f>
        <v>1.6666666666666667</v>
      </c>
      <c r="K10" s="24">
        <f>173*10^-6</f>
        <v>1.73E-4</v>
      </c>
      <c r="L10" s="84" t="s">
        <v>6</v>
      </c>
      <c r="M10" s="49">
        <v>2.2000000000000002</v>
      </c>
      <c r="N10" s="37">
        <f>K10*M10</f>
        <v>3.8060000000000004E-4</v>
      </c>
      <c r="O10" s="14" t="s">
        <v>66</v>
      </c>
      <c r="P10" s="54">
        <f>-2.4*10^-9</f>
        <v>-2.4E-9</v>
      </c>
    </row>
    <row r="11" spans="1:25" x14ac:dyDescent="0.25">
      <c r="A11" s="79"/>
      <c r="B11" s="79"/>
      <c r="C11" s="80"/>
      <c r="D11" s="24" t="s">
        <v>58</v>
      </c>
      <c r="E11" s="26">
        <f>(I10*E10)/(C10-I10)</f>
        <v>8913.04347826087</v>
      </c>
      <c r="K11" s="24">
        <f>132*10^-6</f>
        <v>1.3199999999999998E-4</v>
      </c>
      <c r="L11" s="85"/>
      <c r="M11" s="49">
        <v>1.6719999999999999</v>
      </c>
      <c r="N11" s="37">
        <f>K11*M11</f>
        <v>2.2070399999999995E-4</v>
      </c>
      <c r="O11" s="14" t="s">
        <v>65</v>
      </c>
      <c r="P11" s="54">
        <f>-1.5*10^-9</f>
        <v>-1.5000000000000002E-9</v>
      </c>
    </row>
    <row r="12" spans="1:25" x14ac:dyDescent="0.25">
      <c r="N12" s="52"/>
      <c r="O12" s="14" t="s">
        <v>67</v>
      </c>
      <c r="P12" s="55">
        <f>70*10^-6</f>
        <v>6.9999999999999994E-5</v>
      </c>
    </row>
    <row r="13" spans="1:25" s="23" customFormat="1" x14ac:dyDescent="0.25">
      <c r="D13" s="23" t="s">
        <v>95</v>
      </c>
      <c r="N13" s="53"/>
      <c r="P13" s="56"/>
      <c r="Q13" s="22"/>
      <c r="R13" s="22"/>
      <c r="S13" s="22" t="s">
        <v>70</v>
      </c>
      <c r="T13" s="22"/>
      <c r="U13" s="22"/>
      <c r="V13" s="22"/>
      <c r="W13" s="22" t="s">
        <v>71</v>
      </c>
      <c r="X13" s="22"/>
      <c r="Y13" s="22"/>
    </row>
    <row r="14" spans="1:25" x14ac:dyDescent="0.25">
      <c r="N14" s="52"/>
      <c r="P14" s="54"/>
    </row>
    <row r="15" spans="1:25" x14ac:dyDescent="0.25">
      <c r="A15" s="79" t="s">
        <v>41</v>
      </c>
      <c r="B15" s="79"/>
      <c r="C15" s="80">
        <v>4.2</v>
      </c>
      <c r="D15" s="24" t="s">
        <v>59</v>
      </c>
      <c r="E15" s="34">
        <f>H15+H16 - (I7*(H15+H16))/C15</f>
        <v>5158.730158730159</v>
      </c>
      <c r="G15" s="24" t="s">
        <v>60</v>
      </c>
      <c r="H15" s="30">
        <v>10000</v>
      </c>
      <c r="K15" s="24">
        <f>168*10^-6</f>
        <v>1.6799999999999999E-4</v>
      </c>
      <c r="L15" s="79" t="s">
        <v>6</v>
      </c>
      <c r="M15" s="49"/>
      <c r="N15" s="36">
        <f>K15*M15</f>
        <v>0</v>
      </c>
      <c r="O15" s="14" t="s">
        <v>66</v>
      </c>
      <c r="P15" s="54">
        <f>-3*10^-9</f>
        <v>-3.0000000000000004E-9</v>
      </c>
    </row>
    <row r="16" spans="1:25" x14ac:dyDescent="0.25">
      <c r="A16" s="79"/>
      <c r="B16" s="79"/>
      <c r="C16" s="80"/>
      <c r="D16" s="24" t="s">
        <v>58</v>
      </c>
      <c r="E16" s="34">
        <f>H15-E15</f>
        <v>4841.269841269841</v>
      </c>
      <c r="G16" s="24" t="s">
        <v>56</v>
      </c>
      <c r="H16" s="30">
        <v>15000</v>
      </c>
      <c r="K16" s="24">
        <f>128*10^-6</f>
        <v>1.2799999999999999E-4</v>
      </c>
      <c r="L16" s="79"/>
      <c r="M16" s="49"/>
      <c r="N16" s="36">
        <f t="shared" ref="N16" si="1">K16*M16</f>
        <v>0</v>
      </c>
      <c r="O16" s="14" t="s">
        <v>65</v>
      </c>
      <c r="P16" s="54">
        <f>-2*10^-9</f>
        <v>-2.0000000000000001E-9</v>
      </c>
      <c r="R16" s="14" t="s">
        <v>72</v>
      </c>
    </row>
    <row r="17" spans="1:22" x14ac:dyDescent="0.25">
      <c r="K17" s="24"/>
      <c r="L17" s="24"/>
      <c r="M17" s="49"/>
      <c r="N17" s="36"/>
      <c r="O17" s="14" t="s">
        <v>67</v>
      </c>
      <c r="P17" s="55">
        <f>504*10^-6</f>
        <v>5.04E-4</v>
      </c>
      <c r="R17" s="33">
        <f>11*10^-3</f>
        <v>1.0999999999999999E-2</v>
      </c>
      <c r="V17" s="33">
        <f>-12.5*10^-3</f>
        <v>-1.2500000000000001E-2</v>
      </c>
    </row>
    <row r="18" spans="1:22" x14ac:dyDescent="0.25">
      <c r="A18" s="79" t="s">
        <v>42</v>
      </c>
      <c r="B18" s="79"/>
      <c r="C18" s="80">
        <v>3.2</v>
      </c>
      <c r="D18" s="24" t="s">
        <v>63</v>
      </c>
      <c r="E18" s="34">
        <f>H20+H18 - I10*(H18+H19+H20) / C18</f>
        <v>3404.1666666666642</v>
      </c>
      <c r="G18" s="24" t="s">
        <v>61</v>
      </c>
      <c r="H18" s="30">
        <v>10000</v>
      </c>
      <c r="K18" s="24">
        <f>55*10^-6</f>
        <v>5.4999999999999995E-5</v>
      </c>
      <c r="L18" s="79" t="s">
        <v>6</v>
      </c>
      <c r="M18" s="49"/>
      <c r="N18" s="36">
        <f>K18*M10</f>
        <v>1.21E-4</v>
      </c>
      <c r="P18" s="54"/>
    </row>
    <row r="19" spans="1:22" x14ac:dyDescent="0.25">
      <c r="A19" s="79"/>
      <c r="B19" s="79"/>
      <c r="C19" s="80"/>
      <c r="D19" s="24" t="s">
        <v>64</v>
      </c>
      <c r="E19" s="34">
        <f>H18-E18</f>
        <v>6595.8333333333358</v>
      </c>
      <c r="G19" s="31" t="s">
        <v>43</v>
      </c>
      <c r="H19" s="32">
        <v>33300</v>
      </c>
      <c r="K19" s="24">
        <f>42*10^-6</f>
        <v>4.1999999999999998E-5</v>
      </c>
      <c r="L19" s="79"/>
      <c r="M19" s="49"/>
      <c r="N19" s="36">
        <f>K19*M11</f>
        <v>7.0223999999999997E-5</v>
      </c>
      <c r="O19" s="14" t="s">
        <v>66</v>
      </c>
      <c r="P19" s="54">
        <f>-2.4*10^-9</f>
        <v>-2.4E-9</v>
      </c>
    </row>
    <row r="20" spans="1:22" x14ac:dyDescent="0.25">
      <c r="G20" s="31" t="s">
        <v>44</v>
      </c>
      <c r="H20" s="32">
        <v>33300</v>
      </c>
      <c r="O20" s="14" t="s">
        <v>65</v>
      </c>
      <c r="P20" s="54">
        <f>-1.5*10^-9</f>
        <v>-1.5000000000000002E-9</v>
      </c>
    </row>
    <row r="21" spans="1:22" x14ac:dyDescent="0.25">
      <c r="A21" s="25" t="s">
        <v>20</v>
      </c>
      <c r="D21" s="14" t="s">
        <v>57</v>
      </c>
      <c r="E21" s="33" t="s">
        <v>55</v>
      </c>
      <c r="O21" s="14" t="s">
        <v>67</v>
      </c>
      <c r="P21" s="55">
        <f>70*10^-6</f>
        <v>6.9999999999999994E-5</v>
      </c>
    </row>
    <row r="22" spans="1:22" x14ac:dyDescent="0.25">
      <c r="A22" s="24"/>
    </row>
    <row r="23" spans="1:22" x14ac:dyDescent="0.25">
      <c r="A23" s="27" t="s">
        <v>52</v>
      </c>
    </row>
    <row r="25" spans="1:22" x14ac:dyDescent="0.25">
      <c r="B25" s="14" t="s">
        <v>87</v>
      </c>
      <c r="E25" s="57" t="s">
        <v>91</v>
      </c>
    </row>
    <row r="26" spans="1:22" x14ac:dyDescent="0.25">
      <c r="A26" s="24"/>
      <c r="B26" s="24"/>
      <c r="C26" s="24"/>
      <c r="D26" s="24"/>
      <c r="E26" s="81" t="s">
        <v>28</v>
      </c>
      <c r="F26" s="82"/>
      <c r="G26" s="82"/>
      <c r="H26" s="83"/>
      <c r="J26" s="81" t="s">
        <v>75</v>
      </c>
      <c r="K26" s="82"/>
      <c r="L26" s="82"/>
      <c r="M26" s="82"/>
      <c r="N26" s="83"/>
    </row>
    <row r="27" spans="1:22" ht="18.75" x14ac:dyDescent="0.25">
      <c r="A27" s="24" t="s">
        <v>77</v>
      </c>
      <c r="B27" s="41" t="s">
        <v>82</v>
      </c>
      <c r="C27" s="41" t="s">
        <v>79</v>
      </c>
      <c r="D27" s="41" t="s">
        <v>13</v>
      </c>
      <c r="E27" s="31" t="s">
        <v>86</v>
      </c>
      <c r="F27" s="24" t="s">
        <v>78</v>
      </c>
      <c r="G27" s="81" t="s">
        <v>76</v>
      </c>
      <c r="H27" s="83"/>
      <c r="J27" s="81" t="s">
        <v>80</v>
      </c>
      <c r="K27" s="83"/>
      <c r="L27" s="81" t="s">
        <v>81</v>
      </c>
      <c r="M27" s="83"/>
      <c r="N27" s="24" t="s">
        <v>39</v>
      </c>
    </row>
    <row r="28" spans="1:22" x14ac:dyDescent="0.25">
      <c r="A28" s="24">
        <v>10</v>
      </c>
      <c r="B28" s="24">
        <v>3.2</v>
      </c>
      <c r="C28" s="24">
        <v>0.94699999999999995</v>
      </c>
      <c r="D28" s="24">
        <v>7.85</v>
      </c>
      <c r="E28" s="24">
        <v>0.14899999999999999</v>
      </c>
      <c r="F28" s="24">
        <v>0.70099999999999996</v>
      </c>
      <c r="G28" s="24">
        <f>115*10^-3</f>
        <v>0.115</v>
      </c>
      <c r="H28" s="84">
        <f>13*10^-3</f>
        <v>1.3000000000000001E-2</v>
      </c>
      <c r="I28" s="42">
        <f>B28+C28+D28</f>
        <v>11.997</v>
      </c>
      <c r="J28" s="24">
        <f>7.25*10^-3</f>
        <v>7.2500000000000004E-3</v>
      </c>
      <c r="K28" s="24">
        <f>6.67*10^-3</f>
        <v>6.6699999999999997E-3</v>
      </c>
      <c r="L28" s="24">
        <f>-2.2*10^-3</f>
        <v>-2.2000000000000001E-3</v>
      </c>
      <c r="M28" s="36">
        <f>-1.61*10^-3</f>
        <v>-1.6100000000000001E-3</v>
      </c>
      <c r="N28" s="24">
        <v>7</v>
      </c>
    </row>
    <row r="29" spans="1:22" x14ac:dyDescent="0.25">
      <c r="A29" s="24">
        <v>1</v>
      </c>
      <c r="B29" s="24">
        <v>3.2</v>
      </c>
      <c r="C29" s="24">
        <v>0.35699999999999998</v>
      </c>
      <c r="D29" s="24">
        <v>8.4</v>
      </c>
      <c r="E29" s="24">
        <v>0.66300000000000003</v>
      </c>
      <c r="F29" s="24">
        <v>0.76500000000000001</v>
      </c>
      <c r="G29" s="24">
        <f>420*10^-3</f>
        <v>0.42</v>
      </c>
      <c r="H29" s="85"/>
      <c r="I29" s="42">
        <f>B29+C29+D29</f>
        <v>11.957000000000001</v>
      </c>
      <c r="J29" s="24">
        <f>9.2*10^-3</f>
        <v>9.1999999999999998E-3</v>
      </c>
      <c r="K29" s="24">
        <f>6.67*10^-3</f>
        <v>6.6699999999999997E-3</v>
      </c>
      <c r="L29" s="24">
        <f>-4*10^-3</f>
        <v>-4.0000000000000001E-3</v>
      </c>
      <c r="M29" s="36">
        <f>-1.61*10^-3</f>
        <v>-1.6100000000000001E-3</v>
      </c>
      <c r="N29" s="24">
        <v>7</v>
      </c>
    </row>
    <row r="30" spans="1:22" x14ac:dyDescent="0.25">
      <c r="B30" s="33"/>
      <c r="C30" s="33"/>
      <c r="F30" s="33"/>
    </row>
    <row r="31" spans="1:22" x14ac:dyDescent="0.25">
      <c r="D31" s="57" t="s">
        <v>96</v>
      </c>
    </row>
    <row r="33" spans="1:12" s="38" customFormat="1" x14ac:dyDescent="0.25">
      <c r="D33" s="43" t="s">
        <v>83</v>
      </c>
    </row>
    <row r="35" spans="1:12" x14ac:dyDescent="0.25">
      <c r="B35" s="3" t="s">
        <v>0</v>
      </c>
      <c r="C35" s="7">
        <f>Біполяр!B13</f>
        <v>0.5</v>
      </c>
      <c r="D35" s="3" t="s">
        <v>6</v>
      </c>
    </row>
    <row r="36" spans="1:12" x14ac:dyDescent="0.25">
      <c r="B36" s="44" t="s">
        <v>2</v>
      </c>
      <c r="C36" s="45">
        <f>Біполяр!B4</f>
        <v>12</v>
      </c>
      <c r="D36" s="44" t="s">
        <v>3</v>
      </c>
    </row>
    <row r="37" spans="1:12" ht="18.75" x14ac:dyDescent="0.25">
      <c r="B37" s="31" t="s">
        <v>79</v>
      </c>
      <c r="C37" s="40">
        <f>C36-D28-B28</f>
        <v>0.95000000000000018</v>
      </c>
      <c r="D37" s="44" t="s">
        <v>3</v>
      </c>
    </row>
    <row r="38" spans="1:12" x14ac:dyDescent="0.25">
      <c r="B38" s="24" t="s">
        <v>74</v>
      </c>
      <c r="C38" s="24">
        <f>C37/C35</f>
        <v>1.9000000000000004</v>
      </c>
      <c r="D38" s="24" t="s">
        <v>84</v>
      </c>
      <c r="F38" s="14" t="s">
        <v>92</v>
      </c>
      <c r="G38" s="14" t="s">
        <v>88</v>
      </c>
    </row>
    <row r="39" spans="1:12" ht="18.75" x14ac:dyDescent="0.25">
      <c r="B39" s="24" t="s">
        <v>85</v>
      </c>
      <c r="C39" s="24">
        <f>C35*C35*C38</f>
        <v>0.47500000000000009</v>
      </c>
      <c r="D39" s="24" t="s">
        <v>7</v>
      </c>
      <c r="F39" s="14">
        <v>0.6</v>
      </c>
      <c r="G39" s="14">
        <f>C39/F39</f>
        <v>0.79166666666666685</v>
      </c>
      <c r="H39" s="14" t="s">
        <v>7</v>
      </c>
    </row>
    <row r="41" spans="1:12" x14ac:dyDescent="0.25">
      <c r="B41" s="14" t="s">
        <v>93</v>
      </c>
      <c r="C41" s="14">
        <v>1</v>
      </c>
      <c r="D41" s="14" t="s">
        <v>16</v>
      </c>
    </row>
    <row r="42" spans="1:12" x14ac:dyDescent="0.25">
      <c r="B42" s="14" t="s">
        <v>90</v>
      </c>
      <c r="C42" s="14">
        <v>0.5</v>
      </c>
      <c r="D42" s="14" t="s">
        <v>7</v>
      </c>
      <c r="F42" s="57" t="s">
        <v>94</v>
      </c>
    </row>
    <row r="43" spans="1:12" x14ac:dyDescent="0.25">
      <c r="B43" s="14" t="s">
        <v>74</v>
      </c>
      <c r="C43" s="14">
        <f>C42/C41/C41</f>
        <v>0.5</v>
      </c>
      <c r="D43" s="14" t="s">
        <v>84</v>
      </c>
    </row>
    <row r="45" spans="1:12" x14ac:dyDescent="0.25">
      <c r="A45" s="50"/>
      <c r="B45" s="50" t="s">
        <v>87</v>
      </c>
      <c r="C45" s="50"/>
      <c r="D45" s="50"/>
      <c r="E45" s="57" t="s">
        <v>99</v>
      </c>
      <c r="F45" s="50"/>
      <c r="G45" s="50" t="s">
        <v>100</v>
      </c>
      <c r="H45" s="50"/>
    </row>
    <row r="46" spans="1:12" x14ac:dyDescent="0.25">
      <c r="A46" s="51"/>
      <c r="B46" s="51"/>
      <c r="C46" s="51"/>
      <c r="D46" s="51"/>
      <c r="E46" s="79" t="s">
        <v>28</v>
      </c>
      <c r="F46" s="79"/>
      <c r="G46" s="79"/>
    </row>
    <row r="47" spans="1:12" ht="18.75" x14ac:dyDescent="0.25">
      <c r="A47" s="51" t="s">
        <v>77</v>
      </c>
      <c r="B47" s="41" t="s">
        <v>82</v>
      </c>
      <c r="C47" s="41" t="s">
        <v>79</v>
      </c>
      <c r="D47" s="41" t="s">
        <v>13</v>
      </c>
      <c r="E47" s="31" t="s">
        <v>86</v>
      </c>
      <c r="F47" s="51" t="s">
        <v>78</v>
      </c>
      <c r="G47" s="58" t="s">
        <v>76</v>
      </c>
      <c r="L47" s="14" t="s">
        <v>151</v>
      </c>
    </row>
    <row r="48" spans="1:12" x14ac:dyDescent="0.25">
      <c r="A48" s="40">
        <v>9.36</v>
      </c>
      <c r="B48" s="51">
        <v>3.2</v>
      </c>
      <c r="C48" s="51">
        <v>8.68</v>
      </c>
      <c r="D48" s="51">
        <v>0.12</v>
      </c>
      <c r="E48" s="51">
        <v>0.871</v>
      </c>
      <c r="F48" s="51">
        <v>0.99</v>
      </c>
      <c r="G48" s="51">
        <v>-0.92600000000000005</v>
      </c>
      <c r="H48" s="59">
        <f>B48+C48+D48</f>
        <v>11.999999999999998</v>
      </c>
      <c r="L48" s="14">
        <f>(12-D48-B48) / A48</f>
        <v>0.92735042735042739</v>
      </c>
    </row>
    <row r="49" spans="1:10" s="50" customFormat="1" x14ac:dyDescent="0.25">
      <c r="A49" s="40">
        <v>9.36</v>
      </c>
      <c r="B49" s="51">
        <v>4.2</v>
      </c>
      <c r="C49" s="51">
        <v>5.53</v>
      </c>
      <c r="D49" s="51">
        <v>2.2599999999999998</v>
      </c>
      <c r="E49" s="51">
        <v>-1.4590000000000001</v>
      </c>
      <c r="F49" s="51">
        <v>0.80700000000000005</v>
      </c>
      <c r="G49" s="51">
        <v>-0.59</v>
      </c>
      <c r="H49" s="42">
        <f>B49+C49+D49</f>
        <v>11.99</v>
      </c>
      <c r="J49" s="50" t="s">
        <v>98</v>
      </c>
    </row>
    <row r="50" spans="1:10" s="50" customFormat="1" x14ac:dyDescent="0.25">
      <c r="A50" s="40"/>
      <c r="B50" s="51"/>
      <c r="C50" s="51"/>
      <c r="D50" s="51"/>
      <c r="E50" s="51"/>
      <c r="F50" s="51"/>
      <c r="G50" s="51"/>
      <c r="H50" s="42"/>
    </row>
    <row r="51" spans="1:10" x14ac:dyDescent="0.25">
      <c r="A51" s="40">
        <v>2</v>
      </c>
      <c r="B51" s="51">
        <v>3.206</v>
      </c>
      <c r="C51" s="51">
        <v>7.93</v>
      </c>
      <c r="D51" s="51">
        <v>0.85499999999999998</v>
      </c>
      <c r="E51" s="51">
        <v>0.38100000000000001</v>
      </c>
      <c r="F51" s="51">
        <v>1.2370000000000001</v>
      </c>
      <c r="G51" s="51">
        <v>-3.9550000000000001</v>
      </c>
      <c r="H51" s="42">
        <f>B51+C51+D51</f>
        <v>11.991</v>
      </c>
      <c r="J51" s="14" t="s">
        <v>97</v>
      </c>
    </row>
    <row r="52" spans="1:10" x14ac:dyDescent="0.25">
      <c r="A52" s="40">
        <v>2</v>
      </c>
      <c r="B52" s="51">
        <v>4.2</v>
      </c>
      <c r="C52" s="51">
        <v>2.2749999999999999</v>
      </c>
      <c r="D52" s="51">
        <v>5.52</v>
      </c>
      <c r="E52" s="51">
        <v>-4.6399999999999997</v>
      </c>
      <c r="F52" s="51">
        <v>0.88300000000000001</v>
      </c>
      <c r="G52" s="51">
        <v>-1.137</v>
      </c>
      <c r="H52" s="42">
        <f>B52+C52+D52</f>
        <v>11.994999999999999</v>
      </c>
    </row>
    <row r="63" spans="1:10" x14ac:dyDescent="0.25">
      <c r="C63" s="14" t="s">
        <v>146</v>
      </c>
    </row>
    <row r="64" spans="1:10" x14ac:dyDescent="0.25">
      <c r="A64" s="71"/>
      <c r="B64" s="71"/>
      <c r="C64" s="71"/>
      <c r="D64" s="71"/>
      <c r="E64" s="81" t="s">
        <v>28</v>
      </c>
      <c r="F64" s="82"/>
      <c r="G64" s="82"/>
      <c r="H64" s="83"/>
    </row>
    <row r="65" spans="1:13" ht="18.75" x14ac:dyDescent="0.25">
      <c r="A65" s="71" t="s">
        <v>77</v>
      </c>
      <c r="B65" s="41" t="s">
        <v>82</v>
      </c>
      <c r="C65" s="41" t="s">
        <v>79</v>
      </c>
      <c r="D65" s="41" t="s">
        <v>13</v>
      </c>
      <c r="E65" s="31" t="s">
        <v>86</v>
      </c>
      <c r="F65" s="71" t="s">
        <v>78</v>
      </c>
      <c r="G65" s="81" t="s">
        <v>76</v>
      </c>
      <c r="H65" s="83"/>
      <c r="I65" s="14" t="s">
        <v>2</v>
      </c>
    </row>
    <row r="66" spans="1:13" x14ac:dyDescent="0.25">
      <c r="A66" s="71" t="s">
        <v>147</v>
      </c>
      <c r="B66" s="71">
        <v>4.17</v>
      </c>
      <c r="C66" s="71">
        <v>0.94699999999999995</v>
      </c>
      <c r="D66" s="71">
        <v>7.85</v>
      </c>
      <c r="E66" s="71">
        <v>0.14899999999999999</v>
      </c>
      <c r="F66" s="71">
        <v>0.70099999999999996</v>
      </c>
      <c r="G66" s="71">
        <f>115*10^-3</f>
        <v>0.115</v>
      </c>
      <c r="H66" s="84">
        <f>13*10^-3</f>
        <v>1.3000000000000001E-2</v>
      </c>
      <c r="I66" s="14">
        <v>9.91</v>
      </c>
    </row>
    <row r="67" spans="1:13" x14ac:dyDescent="0.25">
      <c r="A67" s="71">
        <v>1</v>
      </c>
      <c r="B67" s="71">
        <v>3.2</v>
      </c>
      <c r="C67" s="71">
        <v>0.35699999999999998</v>
      </c>
      <c r="D67" s="71">
        <v>8.4</v>
      </c>
      <c r="E67" s="71">
        <v>0.66300000000000003</v>
      </c>
      <c r="F67" s="71">
        <v>0.76500000000000001</v>
      </c>
      <c r="G67" s="71">
        <f>420*10^-3</f>
        <v>0.42</v>
      </c>
      <c r="H67" s="85"/>
    </row>
    <row r="69" spans="1:13" x14ac:dyDescent="0.25">
      <c r="D69" s="14">
        <v>5.68</v>
      </c>
      <c r="F69" s="14">
        <v>4.16</v>
      </c>
    </row>
    <row r="73" spans="1:13" x14ac:dyDescent="0.25">
      <c r="B73" s="2"/>
      <c r="C73" s="2" t="s">
        <v>144</v>
      </c>
      <c r="D73" s="2"/>
      <c r="J73" s="14" t="s">
        <v>152</v>
      </c>
    </row>
    <row r="74" spans="1:13" x14ac:dyDescent="0.25">
      <c r="B74" s="78" t="s">
        <v>143</v>
      </c>
      <c r="C74" s="78"/>
      <c r="D74" s="78"/>
      <c r="G74" s="14">
        <v>9.36</v>
      </c>
      <c r="I74" s="14">
        <f>G48*G48*A48</f>
        <v>8.0259753600000003</v>
      </c>
      <c r="J74" s="14">
        <f>I74/0.6</f>
        <v>13.376625600000001</v>
      </c>
      <c r="K74" s="14" t="s">
        <v>148</v>
      </c>
      <c r="M74" s="57" t="s">
        <v>99</v>
      </c>
    </row>
    <row r="75" spans="1:13" x14ac:dyDescent="0.25">
      <c r="B75" s="76" t="s">
        <v>37</v>
      </c>
      <c r="C75" s="76" t="s">
        <v>38</v>
      </c>
      <c r="D75" s="76" t="s">
        <v>51</v>
      </c>
      <c r="G75" s="96"/>
    </row>
    <row r="76" spans="1:13" x14ac:dyDescent="0.25">
      <c r="B76" s="1" t="s">
        <v>2</v>
      </c>
      <c r="C76" s="6">
        <v>12</v>
      </c>
      <c r="D76" s="1" t="s">
        <v>3</v>
      </c>
    </row>
    <row r="77" spans="1:13" x14ac:dyDescent="0.25">
      <c r="B77" s="1" t="s">
        <v>4</v>
      </c>
      <c r="C77" s="6">
        <v>5</v>
      </c>
      <c r="D77" s="1" t="s">
        <v>3</v>
      </c>
      <c r="H77" s="14" t="s">
        <v>149</v>
      </c>
      <c r="I77" s="14" t="s">
        <v>150</v>
      </c>
    </row>
    <row r="78" spans="1:13" x14ac:dyDescent="0.25">
      <c r="B78" s="8" t="s">
        <v>15</v>
      </c>
      <c r="C78" s="76">
        <f>13.07*10^-3</f>
        <v>1.307E-2</v>
      </c>
      <c r="D78" s="76" t="s">
        <v>16</v>
      </c>
    </row>
    <row r="79" spans="1:13" x14ac:dyDescent="0.25">
      <c r="B79" s="8" t="s">
        <v>12</v>
      </c>
      <c r="C79" s="76">
        <v>0.72</v>
      </c>
      <c r="D79" s="76" t="s">
        <v>3</v>
      </c>
    </row>
    <row r="80" spans="1:13" x14ac:dyDescent="0.25">
      <c r="B80" s="76" t="s">
        <v>13</v>
      </c>
      <c r="C80" s="7">
        <v>0.5</v>
      </c>
      <c r="D80" s="76" t="s">
        <v>3</v>
      </c>
    </row>
    <row r="81" spans="2:4" x14ac:dyDescent="0.25">
      <c r="B81" s="76"/>
      <c r="C81" s="7"/>
      <c r="D81" s="76">
        <v>25</v>
      </c>
    </row>
    <row r="82" spans="2:4" x14ac:dyDescent="0.25">
      <c r="B82" s="2"/>
      <c r="C82" s="2"/>
      <c r="D82" s="2"/>
    </row>
    <row r="83" spans="2:4" x14ac:dyDescent="0.25">
      <c r="B83" s="1" t="s">
        <v>140</v>
      </c>
      <c r="C83" s="1">
        <v>4.2</v>
      </c>
      <c r="D83" s="1" t="s">
        <v>3</v>
      </c>
    </row>
    <row r="84" spans="2:4" x14ac:dyDescent="0.25">
      <c r="B84" s="11" t="s">
        <v>25</v>
      </c>
      <c r="C84" s="9">
        <v>2</v>
      </c>
      <c r="D84" s="1" t="s">
        <v>5</v>
      </c>
    </row>
    <row r="85" spans="2:4" x14ac:dyDescent="0.25">
      <c r="B85" s="76" t="s">
        <v>0</v>
      </c>
      <c r="C85" s="7">
        <f>C84/2</f>
        <v>1</v>
      </c>
      <c r="D85" s="76" t="s">
        <v>6</v>
      </c>
    </row>
    <row r="86" spans="2:4" x14ac:dyDescent="0.25">
      <c r="B86" s="4" t="s">
        <v>9</v>
      </c>
      <c r="C86" s="4">
        <f>(C77-C79)/C78</f>
        <v>327.46748278500382</v>
      </c>
      <c r="D86" s="4" t="s">
        <v>1</v>
      </c>
    </row>
    <row r="87" spans="2:4" x14ac:dyDescent="0.25">
      <c r="B87" s="4" t="s">
        <v>8</v>
      </c>
      <c r="C87" s="12">
        <f>(C76-C83-C80)/C85</f>
        <v>7.3</v>
      </c>
      <c r="D87" s="4" t="s">
        <v>1</v>
      </c>
    </row>
    <row r="88" spans="2:4" x14ac:dyDescent="0.25">
      <c r="B88" s="10"/>
      <c r="C88" s="2"/>
      <c r="D88" s="2"/>
    </row>
    <row r="89" spans="2:4" x14ac:dyDescent="0.25">
      <c r="B89" s="78" t="s">
        <v>115</v>
      </c>
      <c r="C89" s="78"/>
      <c r="D89" s="78"/>
    </row>
    <row r="90" spans="2:4" x14ac:dyDescent="0.25">
      <c r="B90" s="76" t="s">
        <v>18</v>
      </c>
      <c r="C90" s="76" t="s">
        <v>17</v>
      </c>
      <c r="D90" s="76" t="s">
        <v>19</v>
      </c>
    </row>
    <row r="91" spans="2:4" x14ac:dyDescent="0.25">
      <c r="B91" s="95">
        <f>((C76-C83-C80)^2) / C87</f>
        <v>7.3</v>
      </c>
      <c r="C91" s="95">
        <f>C85*(C76-C80-C83)</f>
        <v>7.3</v>
      </c>
      <c r="D91" s="95">
        <f>C85*C85*C87</f>
        <v>7.3</v>
      </c>
    </row>
    <row r="92" spans="2:4" x14ac:dyDescent="0.25">
      <c r="B92" s="2"/>
      <c r="C92" s="2"/>
      <c r="D92" s="2"/>
    </row>
    <row r="93" spans="2:4" x14ac:dyDescent="0.25">
      <c r="B93" s="2"/>
      <c r="C93" s="2" t="s">
        <v>152</v>
      </c>
      <c r="D93" s="2"/>
    </row>
    <row r="94" spans="2:4" x14ac:dyDescent="0.25">
      <c r="B94" s="2"/>
      <c r="C94" s="2">
        <f>C91/0.6</f>
        <v>12.166666666666666</v>
      </c>
      <c r="D94" s="2" t="s">
        <v>7</v>
      </c>
    </row>
  </sheetData>
  <mergeCells count="25">
    <mergeCell ref="B74:D74"/>
    <mergeCell ref="B89:D89"/>
    <mergeCell ref="E64:H64"/>
    <mergeCell ref="G65:H65"/>
    <mergeCell ref="H66:H67"/>
    <mergeCell ref="J27:K27"/>
    <mergeCell ref="L27:M27"/>
    <mergeCell ref="G27:H27"/>
    <mergeCell ref="E26:H26"/>
    <mergeCell ref="E46:G46"/>
    <mergeCell ref="H28:H29"/>
    <mergeCell ref="J26:N26"/>
    <mergeCell ref="O5:Q5"/>
    <mergeCell ref="L7:L8"/>
    <mergeCell ref="L10:L11"/>
    <mergeCell ref="A18:B19"/>
    <mergeCell ref="C18:C19"/>
    <mergeCell ref="L15:L16"/>
    <mergeCell ref="L18:L19"/>
    <mergeCell ref="A7:B8"/>
    <mergeCell ref="A10:B11"/>
    <mergeCell ref="C7:C8"/>
    <mergeCell ref="C10:C11"/>
    <mergeCell ref="A15:B16"/>
    <mergeCell ref="C15:C1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16.5703125" style="2" bestFit="1" customWidth="1"/>
    <col min="2" max="2" width="16" style="2" customWidth="1"/>
    <col min="3" max="16384" width="9.140625" style="2"/>
  </cols>
  <sheetData>
    <row r="1" spans="1:4" x14ac:dyDescent="0.25">
      <c r="A1" s="44" t="s">
        <v>106</v>
      </c>
      <c r="B1" s="44">
        <v>0.4</v>
      </c>
      <c r="C1" s="44" t="s">
        <v>107</v>
      </c>
    </row>
    <row r="2" spans="1:4" x14ac:dyDescent="0.25">
      <c r="A2" s="44" t="s">
        <v>101</v>
      </c>
      <c r="B2" s="44">
        <f>PI()*B1*B1/4</f>
        <v>0.12566370614359174</v>
      </c>
      <c r="C2" s="44" t="s">
        <v>108</v>
      </c>
    </row>
    <row r="3" spans="1:4" x14ac:dyDescent="0.25">
      <c r="A3" s="44" t="s">
        <v>102</v>
      </c>
      <c r="B3" s="44">
        <v>0.6</v>
      </c>
      <c r="C3" s="44" t="s">
        <v>16</v>
      </c>
    </row>
    <row r="4" spans="1:4" x14ac:dyDescent="0.25">
      <c r="A4" s="44"/>
      <c r="B4" s="44"/>
      <c r="C4" s="44"/>
    </row>
    <row r="5" spans="1:4" x14ac:dyDescent="0.25">
      <c r="A5" s="44" t="s">
        <v>105</v>
      </c>
      <c r="B5" s="60">
        <f>B3/B2</f>
        <v>4.7746482927568596</v>
      </c>
      <c r="C5" s="87" t="s">
        <v>104</v>
      </c>
      <c r="D5" s="88" t="str">
        <f>IF((B3/B2) &lt; 5.5,"ОК", "ОПАСНО")</f>
        <v>ОК</v>
      </c>
    </row>
    <row r="6" spans="1:4" x14ac:dyDescent="0.25">
      <c r="A6" s="44" t="s">
        <v>103</v>
      </c>
      <c r="B6" s="1">
        <v>6</v>
      </c>
      <c r="C6" s="87"/>
      <c r="D6" s="88"/>
    </row>
  </sheetData>
  <mergeCells count="2">
    <mergeCell ref="C5:C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19" zoomScaleNormal="100" workbookViewId="0">
      <selection activeCell="C26" sqref="C26"/>
    </sheetView>
  </sheetViews>
  <sheetFormatPr defaultRowHeight="15" x14ac:dyDescent="0.25"/>
  <cols>
    <col min="1" max="1" width="15.140625" style="63" bestFit="1" customWidth="1"/>
    <col min="2" max="3" width="9.140625" style="63"/>
    <col min="4" max="4" width="11.28515625" style="63" bestFit="1" customWidth="1"/>
    <col min="5" max="8" width="9.140625" style="63"/>
    <col min="9" max="9" width="10.28515625" style="63" bestFit="1" customWidth="1"/>
    <col min="10" max="16384" width="9.140625" style="63"/>
  </cols>
  <sheetData>
    <row r="1" spans="1:14" x14ac:dyDescent="0.25">
      <c r="A1" s="68"/>
      <c r="B1" s="68"/>
      <c r="C1" s="68" t="s">
        <v>113</v>
      </c>
      <c r="D1" s="68"/>
      <c r="E1" s="68"/>
      <c r="F1" s="68"/>
      <c r="G1" s="68"/>
      <c r="N1" s="63" t="s">
        <v>118</v>
      </c>
    </row>
    <row r="2" spans="1:14" x14ac:dyDescent="0.25">
      <c r="A2" s="68"/>
      <c r="B2" s="68"/>
      <c r="C2" s="68" t="s">
        <v>110</v>
      </c>
      <c r="D2" s="68"/>
      <c r="E2" s="68"/>
      <c r="F2" s="68"/>
      <c r="G2" s="68"/>
    </row>
    <row r="3" spans="1:14" x14ac:dyDescent="0.25">
      <c r="A3" s="68"/>
      <c r="B3" s="68"/>
      <c r="C3" s="68" t="s">
        <v>109</v>
      </c>
      <c r="D3" s="68"/>
      <c r="E3" s="68"/>
      <c r="F3" s="68"/>
      <c r="G3" s="68"/>
    </row>
    <row r="4" spans="1:14" x14ac:dyDescent="0.25">
      <c r="A4" s="68"/>
      <c r="B4" s="68"/>
      <c r="C4" s="68" t="s">
        <v>111</v>
      </c>
      <c r="D4" s="68"/>
      <c r="E4" s="68"/>
      <c r="F4" s="68"/>
      <c r="G4" s="68"/>
    </row>
    <row r="5" spans="1:14" x14ac:dyDescent="0.25">
      <c r="A5" s="68"/>
      <c r="B5" s="68"/>
      <c r="C5" s="68" t="s">
        <v>112</v>
      </c>
      <c r="D5" s="68"/>
      <c r="E5" s="68"/>
      <c r="F5" s="68"/>
      <c r="G5" s="68"/>
    </row>
    <row r="6" spans="1:14" x14ac:dyDescent="0.25">
      <c r="A6" s="68"/>
      <c r="B6" s="68"/>
      <c r="C6" s="68" t="s">
        <v>114</v>
      </c>
      <c r="D6" s="68"/>
      <c r="E6" s="68"/>
      <c r="F6" s="68"/>
      <c r="G6" s="68"/>
    </row>
    <row r="7" spans="1:14" x14ac:dyDescent="0.25">
      <c r="A7" s="68"/>
      <c r="B7" s="68"/>
      <c r="C7" s="68"/>
      <c r="D7" s="68"/>
      <c r="E7" s="68"/>
      <c r="F7" s="68"/>
      <c r="G7" s="68"/>
    </row>
    <row r="8" spans="1:14" x14ac:dyDescent="0.25">
      <c r="A8" s="89" t="s">
        <v>138</v>
      </c>
      <c r="B8" s="89"/>
      <c r="C8" s="89"/>
      <c r="D8" s="89"/>
      <c r="E8" s="89"/>
    </row>
    <row r="9" spans="1:14" x14ac:dyDescent="0.25">
      <c r="A9" s="66" t="s">
        <v>130</v>
      </c>
      <c r="B9" s="66" t="s">
        <v>120</v>
      </c>
      <c r="C9" s="66" t="s">
        <v>121</v>
      </c>
      <c r="D9" s="66" t="s">
        <v>51</v>
      </c>
    </row>
    <row r="10" spans="1:14" x14ac:dyDescent="0.25">
      <c r="A10" s="66" t="s">
        <v>119</v>
      </c>
      <c r="B10" s="65">
        <v>3.6</v>
      </c>
      <c r="C10" s="65">
        <v>4.2</v>
      </c>
      <c r="D10" s="65" t="s">
        <v>3</v>
      </c>
      <c r="E10" s="64"/>
    </row>
    <row r="11" spans="1:14" x14ac:dyDescent="0.25">
      <c r="A11" s="66" t="s">
        <v>122</v>
      </c>
      <c r="B11" s="70">
        <v>0.7</v>
      </c>
      <c r="C11" s="70">
        <v>0.72</v>
      </c>
      <c r="D11" s="65" t="s">
        <v>5</v>
      </c>
      <c r="E11" s="64"/>
    </row>
    <row r="12" spans="1:14" x14ac:dyDescent="0.25">
      <c r="A12" s="66" t="s">
        <v>131</v>
      </c>
      <c r="B12" s="70">
        <f>B11*0.1</f>
        <v>6.9999999999999993E-2</v>
      </c>
      <c r="C12" s="70">
        <f>C11*1.5</f>
        <v>1.08</v>
      </c>
      <c r="D12" s="65" t="s">
        <v>16</v>
      </c>
      <c r="E12" s="64"/>
    </row>
    <row r="13" spans="1:14" x14ac:dyDescent="0.25">
      <c r="A13" s="66" t="s">
        <v>133</v>
      </c>
      <c r="B13" s="67">
        <f>C10/B12</f>
        <v>60.000000000000007</v>
      </c>
      <c r="C13" s="70">
        <f>C10/C12</f>
        <v>3.8888888888888888</v>
      </c>
      <c r="D13" s="65" t="s">
        <v>1</v>
      </c>
      <c r="E13" s="64"/>
    </row>
    <row r="14" spans="1:14" x14ac:dyDescent="0.25">
      <c r="A14" s="66" t="s">
        <v>132</v>
      </c>
      <c r="B14" s="65">
        <f>B10*B12</f>
        <v>0.252</v>
      </c>
      <c r="C14" s="65">
        <f>C10*C12</f>
        <v>4.5360000000000005</v>
      </c>
      <c r="D14" s="65" t="s">
        <v>7</v>
      </c>
      <c r="E14" s="64"/>
    </row>
    <row r="15" spans="1:14" x14ac:dyDescent="0.25">
      <c r="C15" s="64"/>
      <c r="D15" s="64"/>
      <c r="E15" s="64"/>
    </row>
    <row r="16" spans="1:14" x14ac:dyDescent="0.25">
      <c r="B16" s="63" t="s">
        <v>139</v>
      </c>
    </row>
    <row r="18" spans="1:13" x14ac:dyDescent="0.25">
      <c r="A18" s="65" t="s">
        <v>125</v>
      </c>
      <c r="B18" s="66"/>
      <c r="C18" s="65" t="s">
        <v>126</v>
      </c>
      <c r="D18" s="65" t="s">
        <v>1</v>
      </c>
      <c r="E18" s="65" t="s">
        <v>3</v>
      </c>
    </row>
    <row r="19" spans="1:13" x14ac:dyDescent="0.25">
      <c r="A19" s="65"/>
      <c r="B19" s="65" t="s">
        <v>127</v>
      </c>
      <c r="C19" s="65" t="s">
        <v>128</v>
      </c>
      <c r="D19" s="69">
        <v>14960</v>
      </c>
      <c r="E19" s="67">
        <v>0</v>
      </c>
    </row>
    <row r="20" spans="1:13" x14ac:dyDescent="0.25">
      <c r="A20" s="65"/>
      <c r="B20" s="65" t="s">
        <v>128</v>
      </c>
      <c r="C20" s="65" t="s">
        <v>127</v>
      </c>
      <c r="D20" s="69">
        <v>14960</v>
      </c>
      <c r="E20" s="67">
        <v>0</v>
      </c>
    </row>
    <row r="21" spans="1:13" x14ac:dyDescent="0.25">
      <c r="A21" s="65" t="s">
        <v>127</v>
      </c>
      <c r="B21" s="65"/>
      <c r="C21" s="65" t="s">
        <v>128</v>
      </c>
      <c r="D21" s="69" t="s">
        <v>129</v>
      </c>
      <c r="E21" s="67">
        <v>3.92</v>
      </c>
    </row>
    <row r="22" spans="1:13" x14ac:dyDescent="0.25">
      <c r="A22" s="65" t="s">
        <v>128</v>
      </c>
      <c r="B22" s="65"/>
      <c r="C22" s="65" t="s">
        <v>127</v>
      </c>
      <c r="D22" s="65">
        <v>98.2</v>
      </c>
      <c r="E22" s="67">
        <v>-3.92</v>
      </c>
      <c r="F22" s="64"/>
      <c r="G22" s="64"/>
      <c r="H22" s="64"/>
      <c r="I22" s="64"/>
      <c r="J22" s="64"/>
    </row>
    <row r="23" spans="1:13" x14ac:dyDescent="0.25">
      <c r="A23" s="65" t="s">
        <v>128</v>
      </c>
      <c r="B23" s="65" t="s">
        <v>127</v>
      </c>
      <c r="C23" s="65"/>
      <c r="D23" s="69">
        <f>-3.42*10^6</f>
        <v>-3420000</v>
      </c>
      <c r="E23" s="67">
        <v>-3.92</v>
      </c>
      <c r="F23" s="64"/>
      <c r="G23" s="64"/>
      <c r="H23" s="64"/>
      <c r="I23" s="64"/>
      <c r="J23" s="64"/>
      <c r="M23" s="63" t="s">
        <v>124</v>
      </c>
    </row>
    <row r="24" spans="1:13" x14ac:dyDescent="0.25">
      <c r="A24" s="65" t="s">
        <v>127</v>
      </c>
      <c r="B24" s="65" t="s">
        <v>128</v>
      </c>
      <c r="C24" s="65"/>
      <c r="D24" s="69" t="s">
        <v>129</v>
      </c>
      <c r="E24" s="67">
        <v>3.92</v>
      </c>
      <c r="F24" s="64"/>
      <c r="G24" s="64"/>
      <c r="H24" s="64"/>
      <c r="I24" s="64"/>
      <c r="J24" s="64"/>
      <c r="M24" s="63" t="s">
        <v>123</v>
      </c>
    </row>
    <row r="26" spans="1:13" x14ac:dyDescent="0.25">
      <c r="A26" s="66" t="s">
        <v>128</v>
      </c>
      <c r="B26" s="66" t="s">
        <v>136</v>
      </c>
      <c r="C26" s="66" t="s">
        <v>127</v>
      </c>
      <c r="D26" s="66">
        <v>98.7</v>
      </c>
      <c r="E26" s="66">
        <v>4.1500000000000004</v>
      </c>
      <c r="F26" s="66" t="s">
        <v>135</v>
      </c>
    </row>
    <row r="27" spans="1:13" x14ac:dyDescent="0.25">
      <c r="A27" s="66" t="s">
        <v>128</v>
      </c>
      <c r="B27" s="66" t="s">
        <v>137</v>
      </c>
      <c r="C27" s="66" t="s">
        <v>127</v>
      </c>
      <c r="D27" s="66">
        <v>95.9</v>
      </c>
      <c r="E27" s="66">
        <v>3.89</v>
      </c>
      <c r="F27" s="66" t="s">
        <v>134</v>
      </c>
    </row>
    <row r="29" spans="1:13" x14ac:dyDescent="0.25">
      <c r="A29" s="66" t="s">
        <v>119</v>
      </c>
      <c r="B29" s="65">
        <v>3.7</v>
      </c>
      <c r="C29" s="65">
        <v>4.2</v>
      </c>
      <c r="D29" s="65" t="s">
        <v>3</v>
      </c>
    </row>
    <row r="30" spans="1:13" x14ac:dyDescent="0.25">
      <c r="A30" s="66" t="s">
        <v>122</v>
      </c>
      <c r="B30" s="90">
        <v>1.5</v>
      </c>
      <c r="C30" s="91"/>
      <c r="D30" s="65" t="s">
        <v>5</v>
      </c>
    </row>
  </sheetData>
  <mergeCells count="2">
    <mergeCell ref="A8:E8"/>
    <mergeCell ref="B30:C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8"/>
  <sheetViews>
    <sheetView workbookViewId="0">
      <selection activeCell="C8" sqref="C8"/>
    </sheetView>
  </sheetViews>
  <sheetFormatPr defaultRowHeight="15" x14ac:dyDescent="0.25"/>
  <sheetData>
    <row r="8" spans="2:3" x14ac:dyDescent="0.25">
      <c r="B8" s="8" t="s">
        <v>15</v>
      </c>
      <c r="C8" s="3">
        <f>13.652*10^-3</f>
        <v>1.3651999999999999E-2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D38" sqref="D38"/>
    </sheetView>
  </sheetViews>
  <sheetFormatPr defaultRowHeight="15" x14ac:dyDescent="0.25"/>
  <cols>
    <col min="1" max="1" width="14.7109375" bestFit="1" customWidth="1"/>
    <col min="2" max="3" width="5" bestFit="1" customWidth="1"/>
    <col min="4" max="4" width="48.28515625" bestFit="1" customWidth="1"/>
    <col min="5" max="5" width="14.7109375" bestFit="1" customWidth="1"/>
    <col min="6" max="6" width="11" bestFit="1" customWidth="1"/>
    <col min="7" max="7" width="49.85546875" bestFit="1" customWidth="1"/>
    <col min="8" max="8" width="12.42578125" bestFit="1" customWidth="1"/>
    <col min="9" max="9" width="6.140625" bestFit="1" customWidth="1"/>
  </cols>
  <sheetData>
    <row r="1" spans="1:9" x14ac:dyDescent="0.25">
      <c r="A1" t="s">
        <v>2</v>
      </c>
      <c r="B1">
        <v>12</v>
      </c>
      <c r="C1" t="s">
        <v>3</v>
      </c>
    </row>
    <row r="2" spans="1:9" x14ac:dyDescent="0.25">
      <c r="A2" t="s">
        <v>40</v>
      </c>
      <c r="B2">
        <v>4.17</v>
      </c>
      <c r="C2" t="s">
        <v>3</v>
      </c>
    </row>
    <row r="4" spans="1:9" x14ac:dyDescent="0.25">
      <c r="A4" t="s">
        <v>145</v>
      </c>
      <c r="B4">
        <v>4.9800000000000004</v>
      </c>
      <c r="C4" t="s">
        <v>3</v>
      </c>
    </row>
    <row r="6" spans="1:9" x14ac:dyDescent="0.25">
      <c r="A6" t="s">
        <v>13</v>
      </c>
    </row>
    <row r="7" spans="1:9" x14ac:dyDescent="0.25">
      <c r="A7" t="s">
        <v>4</v>
      </c>
    </row>
    <row r="11" spans="1:9" ht="15.75" x14ac:dyDescent="0.25">
      <c r="A11" s="72"/>
      <c r="B11" s="72"/>
      <c r="C11" s="72"/>
      <c r="D11" s="72"/>
      <c r="E11" s="72"/>
      <c r="F11" s="72"/>
      <c r="G11" s="35" t="s">
        <v>62</v>
      </c>
      <c r="H11" s="72"/>
      <c r="I11" s="72"/>
    </row>
    <row r="12" spans="1:9" ht="15.75" x14ac:dyDescent="0.25">
      <c r="A12" s="73" t="s">
        <v>2</v>
      </c>
      <c r="B12" s="73">
        <v>12</v>
      </c>
      <c r="C12" s="72"/>
      <c r="D12" s="72"/>
      <c r="E12" s="72"/>
      <c r="F12" s="72"/>
      <c r="G12" s="72"/>
      <c r="H12" s="72"/>
      <c r="I12" s="72"/>
    </row>
    <row r="13" spans="1:9" ht="15.75" x14ac:dyDescent="0.25">
      <c r="A13" s="73" t="s">
        <v>40</v>
      </c>
      <c r="B13" s="73">
        <v>5</v>
      </c>
      <c r="C13" s="72"/>
      <c r="D13" s="72"/>
      <c r="E13" s="72"/>
      <c r="F13" s="72"/>
      <c r="G13" s="72"/>
      <c r="H13" s="72"/>
      <c r="I13" s="72"/>
    </row>
    <row r="14" spans="1:9" ht="15.75" x14ac:dyDescent="0.25">
      <c r="A14" s="22"/>
      <c r="B14" s="22"/>
      <c r="C14" s="22"/>
      <c r="D14" s="22" t="s">
        <v>69</v>
      </c>
      <c r="E14" s="39"/>
      <c r="F14" s="22"/>
      <c r="G14" s="22"/>
      <c r="H14" s="22"/>
      <c r="I14" s="22"/>
    </row>
    <row r="15" spans="1:9" ht="15.75" x14ac:dyDescent="0.25">
      <c r="A15" s="72"/>
      <c r="B15" s="72"/>
      <c r="C15" s="72"/>
      <c r="D15" s="72"/>
      <c r="E15" s="15"/>
      <c r="F15" s="72"/>
      <c r="G15" s="29">
        <v>1</v>
      </c>
      <c r="H15" s="73" t="s">
        <v>45</v>
      </c>
      <c r="I15" s="73">
        <v>5</v>
      </c>
    </row>
    <row r="16" spans="1:9" ht="15.75" x14ac:dyDescent="0.25">
      <c r="A16" s="72"/>
      <c r="B16" s="72"/>
      <c r="C16" s="72"/>
      <c r="D16" s="72"/>
      <c r="E16" s="72"/>
      <c r="F16" s="72"/>
      <c r="G16" s="72"/>
      <c r="H16" s="72"/>
      <c r="I16" s="72"/>
    </row>
    <row r="17" spans="1:9" ht="15.75" x14ac:dyDescent="0.25">
      <c r="A17" s="79" t="s">
        <v>41</v>
      </c>
      <c r="B17" s="79"/>
      <c r="C17" s="92">
        <v>4.2</v>
      </c>
      <c r="D17" s="73" t="s">
        <v>59</v>
      </c>
      <c r="E17" s="74">
        <v>8.4</v>
      </c>
      <c r="F17" s="72" t="s">
        <v>53</v>
      </c>
      <c r="G17" s="28" t="s">
        <v>46</v>
      </c>
      <c r="H17" s="73" t="s">
        <v>48</v>
      </c>
      <c r="I17" s="37">
        <f>I15*2/3</f>
        <v>3.3333333333333335</v>
      </c>
    </row>
    <row r="18" spans="1:9" ht="15.75" x14ac:dyDescent="0.25">
      <c r="A18" s="79"/>
      <c r="B18" s="79"/>
      <c r="C18" s="92"/>
      <c r="D18" s="73" t="s">
        <v>58</v>
      </c>
      <c r="E18" s="77">
        <f>(I17*E17)/(C17-I17)</f>
        <v>32.307692307692314</v>
      </c>
      <c r="F18" s="72"/>
      <c r="G18" s="72"/>
      <c r="H18" s="72"/>
      <c r="I18" s="72"/>
    </row>
    <row r="19" spans="1:9" ht="15.75" x14ac:dyDescent="0.25">
      <c r="A19" s="72"/>
      <c r="B19" s="72"/>
      <c r="C19" s="72"/>
      <c r="D19" s="72"/>
      <c r="E19" s="72"/>
      <c r="F19" s="72"/>
      <c r="G19" s="72"/>
      <c r="H19" s="72"/>
      <c r="I19" s="72"/>
    </row>
    <row r="20" spans="1:9" ht="15.75" x14ac:dyDescent="0.25">
      <c r="A20" s="79" t="s">
        <v>42</v>
      </c>
      <c r="B20" s="79"/>
      <c r="C20" s="93">
        <v>3.2</v>
      </c>
      <c r="D20" s="73" t="s">
        <v>59</v>
      </c>
      <c r="E20" s="74">
        <v>7970</v>
      </c>
      <c r="F20" s="72" t="s">
        <v>54</v>
      </c>
      <c r="G20" s="28" t="s">
        <v>47</v>
      </c>
      <c r="H20" s="73" t="s">
        <v>49</v>
      </c>
      <c r="I20" s="37">
        <f>I15/3</f>
        <v>1.6666666666666667</v>
      </c>
    </row>
    <row r="21" spans="1:9" ht="15.75" x14ac:dyDescent="0.25">
      <c r="A21" s="79"/>
      <c r="B21" s="79"/>
      <c r="C21" s="94"/>
      <c r="D21" s="73" t="s">
        <v>58</v>
      </c>
      <c r="E21" s="26">
        <f>(I20*E20)/(C20-I20)</f>
        <v>8663.04347826087</v>
      </c>
      <c r="F21" s="72"/>
      <c r="G21" s="72"/>
      <c r="H21" s="72"/>
      <c r="I21" s="72"/>
    </row>
    <row r="22" spans="1:9" ht="15.75" x14ac:dyDescent="0.25">
      <c r="A22" s="72"/>
      <c r="B22" s="72"/>
      <c r="C22" s="72"/>
      <c r="D22" s="72"/>
      <c r="E22" s="72"/>
      <c r="F22" s="72"/>
      <c r="G22" s="72"/>
      <c r="H22" s="72"/>
      <c r="I22" s="72"/>
    </row>
    <row r="23" spans="1:9" ht="15.75" x14ac:dyDescent="0.25">
      <c r="A23" s="23"/>
      <c r="B23" s="23"/>
      <c r="C23" s="23"/>
      <c r="D23" s="23" t="s">
        <v>95</v>
      </c>
      <c r="E23" s="23"/>
      <c r="F23" s="23"/>
      <c r="G23" s="23"/>
      <c r="H23" s="23"/>
      <c r="I23" s="23"/>
    </row>
    <row r="24" spans="1:9" ht="15.75" x14ac:dyDescent="0.25">
      <c r="A24" s="72"/>
      <c r="B24" s="72"/>
      <c r="C24" s="72"/>
      <c r="D24" s="72"/>
      <c r="E24" s="72"/>
      <c r="F24" s="72"/>
      <c r="G24" s="72"/>
      <c r="H24" s="72"/>
      <c r="I24" s="72"/>
    </row>
    <row r="25" spans="1:9" ht="15.75" x14ac:dyDescent="0.25">
      <c r="A25" s="79" t="s">
        <v>41</v>
      </c>
      <c r="B25" s="79"/>
      <c r="C25" s="92">
        <v>4.2</v>
      </c>
      <c r="D25" s="73" t="s">
        <v>59</v>
      </c>
      <c r="E25" s="34">
        <f>H25+H26 - (I17*(H25+H26))/C25</f>
        <v>5158.730158730159</v>
      </c>
      <c r="F25" s="72"/>
      <c r="G25" s="73" t="s">
        <v>60</v>
      </c>
      <c r="H25" s="30">
        <v>10000</v>
      </c>
      <c r="I25" s="72"/>
    </row>
    <row r="26" spans="1:9" ht="15.75" x14ac:dyDescent="0.25">
      <c r="A26" s="79"/>
      <c r="B26" s="79"/>
      <c r="C26" s="92"/>
      <c r="D26" s="73" t="s">
        <v>58</v>
      </c>
      <c r="E26" s="34">
        <f>H25-E25</f>
        <v>4841.269841269841</v>
      </c>
      <c r="F26" s="72"/>
      <c r="G26" s="73" t="s">
        <v>56</v>
      </c>
      <c r="H26" s="30">
        <v>15000</v>
      </c>
      <c r="I26" s="72"/>
    </row>
    <row r="27" spans="1:9" ht="15.75" x14ac:dyDescent="0.25">
      <c r="A27" s="72"/>
      <c r="B27" s="72"/>
      <c r="C27" s="72"/>
      <c r="D27" s="72"/>
      <c r="E27" s="72"/>
      <c r="F27" s="72"/>
      <c r="G27" s="72"/>
      <c r="H27" s="72"/>
      <c r="I27" s="72"/>
    </row>
    <row r="28" spans="1:9" ht="15.75" x14ac:dyDescent="0.25">
      <c r="A28" s="79" t="s">
        <v>42</v>
      </c>
      <c r="B28" s="79"/>
      <c r="C28" s="92">
        <v>3.2</v>
      </c>
      <c r="D28" s="73" t="s">
        <v>63</v>
      </c>
      <c r="E28" s="34">
        <f>H30+H28 - I20*(H28+H29+H30) / C28</f>
        <v>3404.1666666666642</v>
      </c>
      <c r="F28" s="72"/>
      <c r="G28" s="73" t="s">
        <v>61</v>
      </c>
      <c r="H28" s="30">
        <v>10000</v>
      </c>
      <c r="I28" s="72"/>
    </row>
    <row r="29" spans="1:9" ht="15.75" x14ac:dyDescent="0.25">
      <c r="A29" s="79"/>
      <c r="B29" s="79"/>
      <c r="C29" s="92"/>
      <c r="D29" s="73" t="s">
        <v>64</v>
      </c>
      <c r="E29" s="34">
        <f>H28-E28</f>
        <v>6595.8333333333358</v>
      </c>
      <c r="F29" s="72"/>
      <c r="G29" s="31" t="s">
        <v>43</v>
      </c>
      <c r="H29" s="32">
        <v>33300</v>
      </c>
      <c r="I29" s="72"/>
    </row>
    <row r="30" spans="1:9" ht="15.75" x14ac:dyDescent="0.25">
      <c r="A30" s="72"/>
      <c r="B30" s="72"/>
      <c r="C30" s="72"/>
      <c r="D30" s="72"/>
      <c r="E30" s="72"/>
      <c r="F30" s="72"/>
      <c r="G30" s="31" t="s">
        <v>44</v>
      </c>
      <c r="H30" s="32">
        <v>33300</v>
      </c>
      <c r="I30" s="72"/>
    </row>
    <row r="31" spans="1:9" ht="15.75" x14ac:dyDescent="0.25">
      <c r="A31" s="74" t="s">
        <v>20</v>
      </c>
      <c r="B31" s="72"/>
      <c r="C31" s="72"/>
      <c r="D31" s="72" t="s">
        <v>57</v>
      </c>
      <c r="E31" s="33" t="s">
        <v>55</v>
      </c>
      <c r="F31" s="72"/>
      <c r="G31" s="72"/>
      <c r="H31" s="72"/>
      <c r="I31" s="72"/>
    </row>
    <row r="32" spans="1:9" ht="15.75" x14ac:dyDescent="0.25">
      <c r="A32" s="73"/>
      <c r="B32" s="72"/>
      <c r="C32" s="72"/>
      <c r="D32" s="72"/>
      <c r="E32" s="72"/>
      <c r="F32" s="72"/>
      <c r="G32" s="72"/>
      <c r="H32" s="72"/>
      <c r="I32" s="72"/>
    </row>
    <row r="33" spans="1:9" ht="15.75" x14ac:dyDescent="0.25">
      <c r="A33" s="27" t="s">
        <v>52</v>
      </c>
      <c r="B33" s="72"/>
      <c r="C33" s="72"/>
      <c r="D33" s="72"/>
      <c r="E33" s="72"/>
      <c r="F33" s="72"/>
      <c r="G33" s="72"/>
      <c r="H33" s="72"/>
      <c r="I33" s="72"/>
    </row>
    <row r="38" spans="1:9" x14ac:dyDescent="0.25">
      <c r="C38">
        <v>4.17</v>
      </c>
    </row>
  </sheetData>
  <mergeCells count="8">
    <mergeCell ref="A28:B29"/>
    <mergeCell ref="C28:C29"/>
    <mergeCell ref="A17:B18"/>
    <mergeCell ref="C17:C18"/>
    <mergeCell ref="A20:B21"/>
    <mergeCell ref="C20:C21"/>
    <mergeCell ref="A25:B26"/>
    <mergeCell ref="C25:C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Біполяр</vt:lpstr>
      <vt:lpstr>Дільник</vt:lpstr>
      <vt:lpstr>Провідники</vt:lpstr>
      <vt:lpstr>Аккумулятор</vt:lpstr>
      <vt:lpstr>Скріни</vt:lpstr>
      <vt:lpstr>Перевірка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2018-05-10T12:13:15Z</dcterms:modified>
</cp:coreProperties>
</file>