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5"/>
  </bookViews>
  <sheets>
    <sheet name="Біполяр" sheetId="1" r:id="rId1"/>
    <sheet name="Дільник" sheetId="3" r:id="rId2"/>
    <sheet name="Провідники" sheetId="4" r:id="rId3"/>
    <sheet name="Аккумулятор" sheetId="5" r:id="rId4"/>
    <sheet name="Скріни" sheetId="2" r:id="rId5"/>
    <sheet name="Перевірка" sheetId="6" r:id="rId6"/>
    <sheet name="Лист1" sheetId="7" r:id="rId7"/>
    <sheet name="Лист2" sheetId="8" r:id="rId8"/>
  </sheets>
  <calcPr calcId="145621"/>
</workbook>
</file>

<file path=xl/calcChain.xml><?xml version="1.0" encoding="utf-8"?>
<calcChain xmlns="http://schemas.openxmlformats.org/spreadsheetml/2006/main">
  <c r="B7" i="1" l="1"/>
  <c r="B16" i="1" s="1"/>
  <c r="B15" i="1"/>
  <c r="E55" i="3"/>
  <c r="Q50" i="7"/>
  <c r="Q51" i="7" s="1"/>
  <c r="Q52" i="7" s="1"/>
  <c r="Q53" i="7" s="1"/>
  <c r="Q54" i="7" s="1"/>
  <c r="Q49" i="7"/>
  <c r="Q48" i="7"/>
  <c r="Q47" i="7"/>
  <c r="P49" i="7"/>
  <c r="P50" i="7"/>
  <c r="P51" i="7"/>
  <c r="P52" i="7"/>
  <c r="P53" i="7"/>
  <c r="P54" i="7"/>
  <c r="P48" i="7"/>
  <c r="B17" i="1" l="1"/>
  <c r="A21" i="1" s="1"/>
  <c r="B21" i="1"/>
  <c r="B24" i="1" s="1"/>
  <c r="B17" i="8"/>
  <c r="B20" i="8" s="1"/>
  <c r="B19" i="8" s="1"/>
  <c r="F21" i="8"/>
  <c r="J17" i="8"/>
  <c r="B7" i="8"/>
  <c r="B10" i="8"/>
  <c r="D33" i="7"/>
  <c r="E38" i="7"/>
  <c r="F38" i="7"/>
  <c r="C21" i="1" l="1"/>
  <c r="D38" i="7"/>
  <c r="D32" i="7"/>
  <c r="D31" i="7"/>
  <c r="D30" i="7"/>
  <c r="O23" i="7"/>
  <c r="O22" i="7"/>
  <c r="Z19" i="7"/>
  <c r="J13" i="7"/>
  <c r="L114" i="6" l="1"/>
  <c r="L101" i="6" l="1"/>
  <c r="L102" i="6"/>
  <c r="K101" i="6"/>
  <c r="L100" i="6" l="1"/>
  <c r="K100" i="6"/>
  <c r="O92" i="6"/>
  <c r="H92" i="6"/>
  <c r="H95" i="6"/>
  <c r="I85" i="6" l="1"/>
  <c r="E86" i="6" s="1"/>
  <c r="E83" i="6"/>
  <c r="I82" i="6"/>
  <c r="M60" i="6"/>
  <c r="B59" i="6"/>
  <c r="C77" i="3" l="1"/>
  <c r="B77" i="3"/>
  <c r="B78" i="3" s="1"/>
  <c r="D69" i="3"/>
  <c r="C54" i="3" l="1"/>
  <c r="C53" i="3"/>
  <c r="C42" i="3"/>
  <c r="E14" i="1"/>
  <c r="E20" i="1" s="1"/>
  <c r="M9" i="6" l="1"/>
  <c r="B9" i="6"/>
  <c r="B8" i="6"/>
  <c r="C69" i="3"/>
  <c r="B69" i="3"/>
  <c r="I29" i="3"/>
  <c r="J29" i="3"/>
  <c r="K29" i="3"/>
  <c r="I30" i="3"/>
  <c r="J30" i="3"/>
  <c r="K30" i="3"/>
  <c r="M30" i="3"/>
  <c r="L30" i="3"/>
  <c r="M29" i="3"/>
  <c r="L29" i="3"/>
  <c r="B70" i="3" l="1"/>
  <c r="I34" i="6" l="1"/>
  <c r="I31" i="6"/>
  <c r="E32" i="6" s="1"/>
  <c r="E35" i="6" l="1"/>
  <c r="C14" i="5" l="1"/>
  <c r="B14" i="5"/>
  <c r="C12" i="5"/>
  <c r="C13" i="5" s="1"/>
  <c r="B12" i="5"/>
  <c r="B13" i="5" s="1"/>
  <c r="D23" i="5"/>
  <c r="B5" i="4" l="1"/>
  <c r="D5" i="4"/>
  <c r="B2" i="4"/>
  <c r="L92" i="3"/>
  <c r="H96" i="3"/>
  <c r="H93" i="3"/>
  <c r="H95" i="3"/>
  <c r="H92" i="3"/>
  <c r="R28" i="3" l="1"/>
  <c r="P28" i="3"/>
  <c r="S28" i="3"/>
  <c r="Q28" i="3"/>
  <c r="P12" i="3"/>
  <c r="P11" i="3"/>
  <c r="P10" i="3"/>
  <c r="P8" i="3"/>
  <c r="P7" i="3"/>
  <c r="P6" i="3"/>
  <c r="P21" i="3"/>
  <c r="P20" i="3"/>
  <c r="P19" i="3"/>
  <c r="V17" i="3"/>
  <c r="R17" i="3"/>
  <c r="P17" i="3"/>
  <c r="P16" i="3"/>
  <c r="P15" i="3"/>
  <c r="K16" i="3"/>
  <c r="N16" i="3" s="1"/>
  <c r="K15" i="3"/>
  <c r="N15" i="3" s="1"/>
  <c r="K19" i="3"/>
  <c r="N19" i="3" s="1"/>
  <c r="K18" i="3"/>
  <c r="N18" i="3" s="1"/>
  <c r="K11" i="3"/>
  <c r="N11" i="3" s="1"/>
  <c r="K10" i="3"/>
  <c r="N10" i="3" s="1"/>
  <c r="K8" i="3"/>
  <c r="N8" i="3" s="1"/>
  <c r="K7" i="3"/>
  <c r="N7" i="3" s="1"/>
  <c r="I10" i="3"/>
  <c r="E11" i="3" s="1"/>
  <c r="I7" i="3"/>
  <c r="E8" i="3" s="1"/>
  <c r="E15" i="3" l="1"/>
  <c r="E16" i="3" s="1"/>
  <c r="E18" i="3"/>
  <c r="E19" i="3" s="1"/>
  <c r="C8" i="2"/>
</calcChain>
</file>

<file path=xl/comments1.xml><?xml version="1.0" encoding="utf-8"?>
<comments xmlns="http://schemas.openxmlformats.org/spreadsheetml/2006/main">
  <authors>
    <author>Bramory</author>
  </authors>
  <commentList>
    <comment ref="B7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(струм при Uбе(нас) ).
дивимось скріни симуляції.
</t>
        </r>
      </text>
    </comment>
  </commentList>
</comments>
</file>

<file path=xl/comments2.xml><?xml version="1.0" encoding="utf-8"?>
<comments xmlns="http://schemas.openxmlformats.org/spreadsheetml/2006/main">
  <authors>
    <author>Bramory</author>
  </authors>
  <commentList>
    <comment ref="E18" authorId="0">
      <text>
        <r>
          <rPr>
            <b/>
            <sz val="9"/>
            <color indexed="81"/>
            <rFont val="Tahoma"/>
            <family val="2"/>
            <charset val="204"/>
          </rPr>
          <t>Bramory:</t>
        </r>
        <r>
          <rPr>
            <sz val="9"/>
            <color indexed="81"/>
            <rFont val="Tahoma"/>
            <family val="2"/>
            <charset val="204"/>
          </rPr>
          <t xml:space="preserve">
Задавши відносно схеми R1 та R3 розраховуємо тільки потенцометр.
</t>
        </r>
      </text>
    </comment>
    <comment ref="H19" authorId="0">
      <text>
        <r>
          <rPr>
            <b/>
            <sz val="9"/>
            <color indexed="81"/>
            <rFont val="Tahoma"/>
            <family val="2"/>
            <charset val="204"/>
          </rPr>
          <t>Bramory:</t>
        </r>
        <r>
          <rPr>
            <sz val="9"/>
            <color indexed="81"/>
            <rFont val="Tahoma"/>
            <family val="2"/>
            <charset val="204"/>
          </rPr>
          <t xml:space="preserve">
не можливо використовувати номінали зі схеми. Вони некоректні.
</t>
        </r>
      </text>
    </comment>
    <comment ref="H20" authorId="0">
      <text>
        <r>
          <rPr>
            <b/>
            <sz val="9"/>
            <color indexed="81"/>
            <rFont val="Tahoma"/>
            <family val="2"/>
            <charset val="204"/>
          </rPr>
          <t>Bramory:</t>
        </r>
        <r>
          <rPr>
            <sz val="9"/>
            <color indexed="81"/>
            <rFont val="Tahoma"/>
            <family val="2"/>
            <charset val="204"/>
          </rPr>
          <t xml:space="preserve">
не можливо використовувати номінали зі схеми. Вони некоректні.
</t>
        </r>
      </text>
    </comment>
  </commentList>
</comments>
</file>

<file path=xl/comments3.xml><?xml version="1.0" encoding="utf-8"?>
<comments xmlns="http://schemas.openxmlformats.org/spreadsheetml/2006/main">
  <authors>
    <author>Bramory</author>
  </authors>
  <commentList>
    <comment ref="C8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(струм при Uбе(нас) ).
дивимось скріни симуляції.
</t>
        </r>
      </text>
    </comment>
  </commentList>
</comments>
</file>

<file path=xl/sharedStrings.xml><?xml version="1.0" encoding="utf-8"?>
<sst xmlns="http://schemas.openxmlformats.org/spreadsheetml/2006/main" count="608" uniqueCount="230">
  <si>
    <t>Iзаряду</t>
  </si>
  <si>
    <t>Om</t>
  </si>
  <si>
    <t>Uживл</t>
  </si>
  <si>
    <t>V</t>
  </si>
  <si>
    <t>Uбе</t>
  </si>
  <si>
    <t>Ah</t>
  </si>
  <si>
    <t>A</t>
  </si>
  <si>
    <t>W</t>
  </si>
  <si>
    <t>Rк</t>
  </si>
  <si>
    <t>Rб</t>
  </si>
  <si>
    <t>Uбе(нас)</t>
  </si>
  <si>
    <t>Uке</t>
  </si>
  <si>
    <t>(даташит або експериментально знайти Uбе, коли Uке спадає до 0,3V)</t>
  </si>
  <si>
    <t>Iб(нас)</t>
  </si>
  <si>
    <t>А</t>
  </si>
  <si>
    <t>I*U</t>
  </si>
  <si>
    <t>U^2/ Rk</t>
  </si>
  <si>
    <t>I^2 * Rk</t>
  </si>
  <si>
    <t>задаємо</t>
  </si>
  <si>
    <t>отримуємо</t>
  </si>
  <si>
    <t>(даташит  аккума)</t>
  </si>
  <si>
    <t>Эмність</t>
  </si>
  <si>
    <t>даташит</t>
  </si>
  <si>
    <t>BD139</t>
  </si>
  <si>
    <t>Vceo</t>
  </si>
  <si>
    <t>Vebo</t>
  </si>
  <si>
    <t>Ic</t>
  </si>
  <si>
    <t>Vce(sat)</t>
  </si>
  <si>
    <t>Vbe</t>
  </si>
  <si>
    <t>hFE</t>
  </si>
  <si>
    <t>коеф підсилення Бета, для активного режиму</t>
  </si>
  <si>
    <t>-</t>
  </si>
  <si>
    <t>param</t>
  </si>
  <si>
    <t>Value</t>
  </si>
  <si>
    <t>U</t>
  </si>
  <si>
    <t>Uбатареї</t>
  </si>
  <si>
    <t>Верх поріг</t>
  </si>
  <si>
    <t>Нижній поріг</t>
  </si>
  <si>
    <t>R1</t>
  </si>
  <si>
    <t>R3</t>
  </si>
  <si>
    <t>Uтаймера</t>
  </si>
  <si>
    <t>2/3 таймера</t>
  </si>
  <si>
    <t>1/3 таймера</t>
  </si>
  <si>
    <t>THRESHOLD</t>
  </si>
  <si>
    <t>TRIGGER</t>
  </si>
  <si>
    <t>(В даташиті для Uке = 0.3 V зі статичної х-ки (або 0 V, відмінності будуть незначні) або практично)</t>
  </si>
  <si>
    <t>Unit</t>
  </si>
  <si>
    <t>розраховуємо</t>
  </si>
  <si>
    <t>OUT 0 при</t>
  </si>
  <si>
    <t>OUT 1 при</t>
  </si>
  <si>
    <t>Потенціометр</t>
  </si>
  <si>
    <t>R6</t>
  </si>
  <si>
    <t>Rpot</t>
  </si>
  <si>
    <t>Rdown</t>
  </si>
  <si>
    <t>Rup</t>
  </si>
  <si>
    <t>Rpot1</t>
  </si>
  <si>
    <t>Rpot2</t>
  </si>
  <si>
    <t>Потрібно забезпечити малий струм розряду  ???</t>
  </si>
  <si>
    <t>RpotUp</t>
  </si>
  <si>
    <t>RpotDown</t>
  </si>
  <si>
    <t>TRIG</t>
  </si>
  <si>
    <t>THRS</t>
  </si>
  <si>
    <t>OUT</t>
  </si>
  <si>
    <t>Струми портів</t>
  </si>
  <si>
    <t>Задаємось резисторами</t>
  </si>
  <si>
    <t>перехідний процес при ввімкненні</t>
  </si>
  <si>
    <t>та вимкненні</t>
  </si>
  <si>
    <t>імпульс</t>
  </si>
  <si>
    <t>Струми дільника</t>
  </si>
  <si>
    <t>R</t>
  </si>
  <si>
    <t>LM7805</t>
  </si>
  <si>
    <t>Iке, А</t>
  </si>
  <si>
    <t>R, Ом</t>
  </si>
  <si>
    <t>Uбе, V</t>
  </si>
  <si>
    <r>
      <t>U</t>
    </r>
    <r>
      <rPr>
        <vertAlign val="subscript"/>
        <sz val="12"/>
        <color theme="1"/>
        <rFont val="Calibri"/>
        <family val="2"/>
        <charset val="204"/>
        <scheme val="minor"/>
      </rPr>
      <t>R</t>
    </r>
  </si>
  <si>
    <t>in, A</t>
  </si>
  <si>
    <t>out, A</t>
  </si>
  <si>
    <r>
      <t>U</t>
    </r>
    <r>
      <rPr>
        <vertAlign val="subscript"/>
        <sz val="12"/>
        <color theme="1"/>
        <rFont val="Calibri"/>
        <family val="2"/>
        <charset val="204"/>
        <scheme val="minor"/>
      </rPr>
      <t>battery</t>
    </r>
  </si>
  <si>
    <t>Ом</t>
  </si>
  <si>
    <r>
      <t>U</t>
    </r>
    <r>
      <rPr>
        <vertAlign val="subscript"/>
        <sz val="12"/>
        <color theme="1"/>
        <rFont val="Calibri"/>
        <family val="2"/>
        <charset val="204"/>
        <scheme val="minor"/>
      </rPr>
      <t>rб</t>
    </r>
  </si>
  <si>
    <t>Виміри в симуляції</t>
  </si>
  <si>
    <t>розрахунок Резисторів біполярного транзистора в ключовому режимі</t>
  </si>
  <si>
    <t>P</t>
  </si>
  <si>
    <t>Iке</t>
  </si>
  <si>
    <t>Задаємось СХЕМОЮ з потенціометрами та R(i)</t>
  </si>
  <si>
    <t>заряд до 4,44! За 0,6 мс</t>
  </si>
  <si>
    <t>заряд до 4,2044 за 1,08 мс</t>
  </si>
  <si>
    <t>бар'єрний режим</t>
  </si>
  <si>
    <t>виглядає краще</t>
  </si>
  <si>
    <t>Переріз</t>
  </si>
  <si>
    <t>Струм</t>
  </si>
  <si>
    <t>Допустимо</t>
  </si>
  <si>
    <t xml:space="preserve"> А/mm^2</t>
  </si>
  <si>
    <t>нагрузка</t>
  </si>
  <si>
    <t>Товщина</t>
  </si>
  <si>
    <t>мм</t>
  </si>
  <si>
    <t xml:space="preserve"> мм^2</t>
  </si>
  <si>
    <t>Що відбувається в схемі з вкл живленням без аккумулятора?</t>
  </si>
  <si>
    <t>Який характер струму потрібен для заряду за методом CC/CV, тобто наша схема відповідає цьому?</t>
  </si>
  <si>
    <t>Який опір аккумулятора, як він змінюється під час заряду?</t>
  </si>
  <si>
    <t>Який зробити захист від помилкового включення полярності акумулятора?</t>
  </si>
  <si>
    <t>Яка напруга живлення потрібна для заряду? (чи 12 В хороший вибір)</t>
  </si>
  <si>
    <t>Який струм розряду аккумулятора при викл гілці заряду?</t>
  </si>
  <si>
    <t>Pk, W</t>
  </si>
  <si>
    <t>???</t>
  </si>
  <si>
    <t>https://tuta.ua/ua/akkumulyator-siemens-eba-510-720-mah-batareya-original-li-ion/</t>
  </si>
  <si>
    <t>Напруга</t>
  </si>
  <si>
    <t>Min</t>
  </si>
  <si>
    <t>Max</t>
  </si>
  <si>
    <t>Ємність</t>
  </si>
  <si>
    <t>https://www.subtel.es/en/Charger-for-Siemens-A51-A72-A52-A55-Power-Supply-111252.html?force_sid=8ictpsabvo9mu3jguuqb6qcq62</t>
  </si>
  <si>
    <t>Зарядка для аккума</t>
  </si>
  <si>
    <t>"+"</t>
  </si>
  <si>
    <t>"-"</t>
  </si>
  <si>
    <t>к</t>
  </si>
  <si>
    <t>ч</t>
  </si>
  <si>
    <t>L</t>
  </si>
  <si>
    <t>Parametr</t>
  </si>
  <si>
    <t>І навантаження</t>
  </si>
  <si>
    <t>Pн</t>
  </si>
  <si>
    <t>Rн</t>
  </si>
  <si>
    <t>старый</t>
  </si>
  <si>
    <t>новый</t>
  </si>
  <si>
    <t>BL214</t>
  </si>
  <si>
    <t>BL203</t>
  </si>
  <si>
    <t>EBA-510</t>
  </si>
  <si>
    <t>Проверка параметров аккамуляторов</t>
  </si>
  <si>
    <t>Umax_Volt</t>
  </si>
  <si>
    <t>Практично</t>
  </si>
  <si>
    <t>Vcc_555</t>
  </si>
  <si>
    <t>Ватт</t>
  </si>
  <si>
    <t>струм</t>
  </si>
  <si>
    <t>0,8 на базу</t>
  </si>
  <si>
    <t>Irb, А</t>
  </si>
  <si>
    <t>Живлення</t>
  </si>
  <si>
    <t>Pбе</t>
  </si>
  <si>
    <t>Pке</t>
  </si>
  <si>
    <t>Pr</t>
  </si>
  <si>
    <t>#</t>
  </si>
  <si>
    <t>?</t>
  </si>
  <si>
    <t>без</t>
  </si>
  <si>
    <t>з</t>
  </si>
  <si>
    <t>провідниками</t>
  </si>
  <si>
    <t>В</t>
  </si>
  <si>
    <t>Uin</t>
  </si>
  <si>
    <t>Uout</t>
  </si>
  <si>
    <t>Iб</t>
  </si>
  <si>
    <t>NE_555</t>
  </si>
  <si>
    <t>плаває</t>
  </si>
  <si>
    <t>без живлення</t>
  </si>
  <si>
    <t>Практика</t>
  </si>
  <si>
    <t>мультиметр червоний</t>
  </si>
  <si>
    <t>Теорія</t>
  </si>
  <si>
    <t>Розрахунок схеми для курсової схеми</t>
  </si>
  <si>
    <t>Енергоспоживання схеми взагалом, таймера, стабілізатора, біполяра</t>
  </si>
  <si>
    <t>Потужність, що розсіюється на біполярі, резисторі - чи потрібен РАДІАТОР!</t>
  </si>
  <si>
    <t>Розрахунок загального опору паралельно з'єднаних резисторів</t>
  </si>
  <si>
    <t>Загальний</t>
  </si>
  <si>
    <t>1/R</t>
  </si>
  <si>
    <t>Загальний кошторис, з урахуванням оптимызацій та додаткових матеріалів для зборки.</t>
  </si>
  <si>
    <t>(живл - батарея - Uвс) / Iзаряду</t>
  </si>
  <si>
    <t>(Umin - Uбе)/ Iзаряду.                        Umin - різниця потенціалів при повному заряді батареї</t>
  </si>
  <si>
    <t>(згідно даташита аккума Iзаряду = 0,5 С)  С - ємність (mAh).</t>
  </si>
  <si>
    <t xml:space="preserve">(перехід в режим насичення) </t>
  </si>
  <si>
    <t>Pc</t>
  </si>
  <si>
    <t>із запасом беремо</t>
  </si>
  <si>
    <t>(при більшій Uбе(нас) більш різко привідкривається (зменш опір між вс) )</t>
  </si>
  <si>
    <t>Напруги</t>
  </si>
  <si>
    <t>Uke &lt; 300 mV</t>
  </si>
  <si>
    <t>Ube &gt; 830 mV</t>
  </si>
  <si>
    <t>Калькулятор дільника</t>
  </si>
  <si>
    <t>R2</t>
  </si>
  <si>
    <t>Uвих</t>
  </si>
  <si>
    <t>Uвх</t>
  </si>
  <si>
    <t>Vo</t>
  </si>
  <si>
    <t>Vxx</t>
  </si>
  <si>
    <t>Io</t>
  </si>
  <si>
    <t>Vcc</t>
  </si>
  <si>
    <t>LAMPA</t>
  </si>
  <si>
    <t>250ma</t>
  </si>
  <si>
    <t>6V</t>
  </si>
  <si>
    <t>опір</t>
  </si>
  <si>
    <t>Ur</t>
  </si>
  <si>
    <t>Iрозряд</t>
  </si>
  <si>
    <t>Iteor</t>
  </si>
  <si>
    <t>Ubattery</t>
  </si>
  <si>
    <t>time</t>
  </si>
  <si>
    <t>Iзаряд</t>
  </si>
  <si>
    <t>практично</t>
  </si>
  <si>
    <t>теоретично</t>
  </si>
  <si>
    <t>||</t>
  </si>
  <si>
    <t>on</t>
  </si>
  <si>
    <t>off</t>
  </si>
  <si>
    <t>№</t>
  </si>
  <si>
    <t>Р</t>
  </si>
  <si>
    <t>min</t>
  </si>
  <si>
    <t>18_00</t>
  </si>
  <si>
    <t>Time</t>
  </si>
  <si>
    <t>Voltage</t>
  </si>
  <si>
    <t>желтый</t>
  </si>
  <si>
    <t>синий маленький</t>
  </si>
  <si>
    <t>синий большой</t>
  </si>
  <si>
    <t>R_num</t>
  </si>
  <si>
    <t>вх</t>
  </si>
  <si>
    <t>вих</t>
  </si>
  <si>
    <t>ку</t>
  </si>
  <si>
    <t>практика</t>
  </si>
  <si>
    <t>теория</t>
  </si>
  <si>
    <t>номинал</t>
  </si>
  <si>
    <t>вид</t>
  </si>
  <si>
    <t>Желтый мой</t>
  </si>
  <si>
    <t>(1+4) 2</t>
  </si>
  <si>
    <t>1 + R2/ R1</t>
  </si>
  <si>
    <t>U = Vcc *(1-e^(-t/RC))</t>
  </si>
  <si>
    <t>e</t>
  </si>
  <si>
    <t>t</t>
  </si>
  <si>
    <t>C</t>
  </si>
  <si>
    <t>RC</t>
  </si>
  <si>
    <t>F</t>
  </si>
  <si>
    <t>time in exp</t>
  </si>
  <si>
    <t>sec</t>
  </si>
  <si>
    <t>2.718</t>
  </si>
  <si>
    <t>change</t>
  </si>
  <si>
    <t>TIME</t>
  </si>
  <si>
    <t>in "e"</t>
  </si>
  <si>
    <t>x</t>
  </si>
  <si>
    <t>y</t>
  </si>
  <si>
    <t>Верхній поріг</t>
  </si>
  <si>
    <t>нижче</t>
  </si>
  <si>
    <t>вище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</si>
</sst>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0"/>
    <numFmt numFmtId="166" formatCode="0.000"/>
    <numFmt numFmtId="167" formatCode="0.0000000000"/>
    <numFmt numFmtId="168" formatCode="0.0000000000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vertAlign val="subscript"/>
      <sz val="12"/>
      <color theme="1"/>
      <name val="Calibri"/>
      <family val="2"/>
      <charset val="204"/>
      <scheme val="minor"/>
    </font>
    <font>
      <sz val="12"/>
      <color theme="2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28"/>
      <color theme="1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1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3" borderId="1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0" fontId="3" fillId="0" borderId="0" xfId="0" applyFont="1" applyAlignment="1">
      <alignment horizontal="center" vertical="center"/>
    </xf>
    <xf numFmtId="16" fontId="3" fillId="0" borderId="0" xfId="0" applyNumberFormat="1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3" borderId="3" xfId="0" applyNumberFormat="1" applyFill="1" applyBorder="1" applyAlignment="1">
      <alignment horizontal="center" vertical="center"/>
    </xf>
    <xf numFmtId="2" fontId="1" fillId="3" borderId="3" xfId="0" applyNumberFormat="1" applyFont="1" applyFill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16" fontId="3" fillId="3" borderId="0" xfId="0" applyNumberFormat="1" applyFont="1" applyFill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66" fontId="3" fillId="2" borderId="0" xfId="0" applyNumberFormat="1" applyFont="1" applyFill="1" applyAlignment="1">
      <alignment horizontal="center" vertical="center"/>
    </xf>
    <xf numFmtId="167" fontId="3" fillId="0" borderId="0" xfId="0" applyNumberFormat="1" applyFont="1" applyAlignment="1">
      <alignment horizontal="center" vertical="center"/>
    </xf>
    <xf numFmtId="167" fontId="3" fillId="0" borderId="0" xfId="0" applyNumberFormat="1" applyFont="1" applyBorder="1" applyAlignment="1">
      <alignment horizontal="center" vertical="center"/>
    </xf>
    <xf numFmtId="167" fontId="3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1" xfId="0" applyFont="1" applyBorder="1" applyAlignment="1">
      <alignment vertical="center"/>
    </xf>
    <xf numFmtId="2" fontId="3" fillId="5" borderId="0" xfId="0" applyNumberFormat="1" applyFont="1" applyFill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left"/>
    </xf>
    <xf numFmtId="166" fontId="0" fillId="0" borderId="1" xfId="0" applyNumberFormat="1" applyBorder="1" applyAlignment="1">
      <alignment horizontal="center"/>
    </xf>
    <xf numFmtId="2" fontId="1" fillId="2" borderId="3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166" fontId="3" fillId="0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1" fontId="0" fillId="9" borderId="1" xfId="0" applyNumberForma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164" fontId="0" fillId="0" borderId="3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3" fillId="0" borderId="0" xfId="0" applyNumberFormat="1" applyFont="1" applyBorder="1" applyAlignment="1">
      <alignment vertical="center"/>
    </xf>
    <xf numFmtId="0" fontId="0" fillId="0" borderId="0" xfId="0" applyFill="1" applyBorder="1" applyAlignment="1">
      <alignment horizontal="left" vertical="center"/>
    </xf>
    <xf numFmtId="2" fontId="0" fillId="0" borderId="2" xfId="0" applyNumberFormat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166" fontId="3" fillId="12" borderId="1" xfId="0" applyNumberFormat="1" applyFont="1" applyFill="1" applyBorder="1" applyAlignment="1">
      <alignment horizontal="center" vertical="center"/>
    </xf>
    <xf numFmtId="0" fontId="0" fillId="10" borderId="3" xfId="0" applyFill="1" applyBorder="1" applyAlignment="1">
      <alignment vertical="center"/>
    </xf>
    <xf numFmtId="0" fontId="0" fillId="6" borderId="3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11" borderId="3" xfId="0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168" fontId="0" fillId="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168" fontId="0" fillId="0" borderId="1" xfId="0" applyNumberForma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1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3" fillId="3" borderId="4" xfId="0" applyNumberFormat="1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name>Апроксимація</c:name>
            <c:trendlineType val="linear"/>
            <c:dispRSqr val="0"/>
            <c:dispEq val="0"/>
          </c:trendline>
          <c:xVal>
            <c:numRef>
              <c:f>Біполяр!$O$64:$O$69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Біполяр!$N$64:$N$69</c:f>
              <c:numCache>
                <c:formatCode>General</c:formatCode>
                <c:ptCount val="6"/>
                <c:pt idx="0">
                  <c:v>3.65</c:v>
                </c:pt>
                <c:pt idx="1">
                  <c:v>3.77</c:v>
                </c:pt>
                <c:pt idx="2">
                  <c:v>3.83</c:v>
                </c:pt>
                <c:pt idx="3">
                  <c:v>3.9529999999999998</c:v>
                </c:pt>
                <c:pt idx="4">
                  <c:v>3.99</c:v>
                </c:pt>
                <c:pt idx="5">
                  <c:v>4.01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02944"/>
        <c:axId val="66408832"/>
      </c:scatterChart>
      <c:valAx>
        <c:axId val="6640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408832"/>
        <c:crosses val="autoZero"/>
        <c:crossBetween val="midCat"/>
      </c:valAx>
      <c:valAx>
        <c:axId val="6640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402944"/>
        <c:crosses val="autoZero"/>
        <c:crossBetween val="midCat"/>
      </c:valAx>
    </c:plotArea>
    <c:legend>
      <c:legendPos val="b"/>
      <c:legendEntry>
        <c:idx val="0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Лист1!$N$30</c:f>
              <c:strCache>
                <c:ptCount val="1"/>
                <c:pt idx="0">
                  <c:v>Voltage</c:v>
                </c:pt>
              </c:strCache>
            </c:strRef>
          </c:tx>
          <c:cat>
            <c:numRef>
              <c:f>Лист1!$P$31:$P$44</c:f>
              <c:numCache>
                <c:formatCode>h:mm</c:formatCode>
                <c:ptCount val="14"/>
                <c:pt idx="0">
                  <c:v>0.75277777777777777</c:v>
                </c:pt>
                <c:pt idx="1">
                  <c:v>0.75694444444444453</c:v>
                </c:pt>
                <c:pt idx="2">
                  <c:v>0.76180555555555562</c:v>
                </c:pt>
                <c:pt idx="3">
                  <c:v>0.76388888888888884</c:v>
                </c:pt>
                <c:pt idx="4">
                  <c:v>0.76736111111111116</c:v>
                </c:pt>
                <c:pt idx="5">
                  <c:v>0.77083333333333337</c:v>
                </c:pt>
                <c:pt idx="6">
                  <c:v>0.77777777777777779</c:v>
                </c:pt>
                <c:pt idx="7">
                  <c:v>0.78125</c:v>
                </c:pt>
                <c:pt idx="8">
                  <c:v>0.78472222222222221</c:v>
                </c:pt>
                <c:pt idx="9">
                  <c:v>0.79166666666666663</c:v>
                </c:pt>
                <c:pt idx="10">
                  <c:v>0.79861111111111116</c:v>
                </c:pt>
                <c:pt idx="11">
                  <c:v>0.80555555555555547</c:v>
                </c:pt>
                <c:pt idx="12">
                  <c:v>0.8125</c:v>
                </c:pt>
                <c:pt idx="13">
                  <c:v>0.81944444444444453</c:v>
                </c:pt>
              </c:numCache>
            </c:numRef>
          </c:cat>
          <c:val>
            <c:numRef>
              <c:f>Лист1!$N$31:$N$44</c:f>
              <c:numCache>
                <c:formatCode>0.000</c:formatCode>
                <c:ptCount val="14"/>
                <c:pt idx="0">
                  <c:v>3.9369999999999998</c:v>
                </c:pt>
                <c:pt idx="1">
                  <c:v>3.94</c:v>
                </c:pt>
                <c:pt idx="2">
                  <c:v>3.96</c:v>
                </c:pt>
                <c:pt idx="3">
                  <c:v>3.96</c:v>
                </c:pt>
                <c:pt idx="4">
                  <c:v>3.98</c:v>
                </c:pt>
                <c:pt idx="5">
                  <c:v>3.98</c:v>
                </c:pt>
                <c:pt idx="6">
                  <c:v>3.9860000000000002</c:v>
                </c:pt>
                <c:pt idx="7">
                  <c:v>3.99</c:v>
                </c:pt>
                <c:pt idx="8">
                  <c:v>3.9990000000000001</c:v>
                </c:pt>
                <c:pt idx="9" formatCode="General">
                  <c:v>4.01</c:v>
                </c:pt>
                <c:pt idx="10" formatCode="General">
                  <c:v>4.03</c:v>
                </c:pt>
                <c:pt idx="11" formatCode="General">
                  <c:v>4.05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464768"/>
        <c:axId val="66474752"/>
      </c:lineChart>
      <c:catAx>
        <c:axId val="66464768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66474752"/>
        <c:crosses val="autoZero"/>
        <c:auto val="1"/>
        <c:lblAlgn val="ctr"/>
        <c:lblOffset val="100"/>
        <c:noMultiLvlLbl val="0"/>
      </c:catAx>
      <c:valAx>
        <c:axId val="66474752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66464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Лист1!$O$47:$O$54</c:f>
              <c:numCache>
                <c:formatCode>h:mm</c:formatCode>
                <c:ptCount val="8"/>
                <c:pt idx="0">
                  <c:v>0.63541666666666663</c:v>
                </c:pt>
                <c:pt idx="1">
                  <c:v>0.64027777777777783</c:v>
                </c:pt>
                <c:pt idx="2">
                  <c:v>0.64236111111111105</c:v>
                </c:pt>
                <c:pt idx="3">
                  <c:v>0.64861111111111114</c:v>
                </c:pt>
                <c:pt idx="4">
                  <c:v>0.65277777777777779</c:v>
                </c:pt>
                <c:pt idx="5">
                  <c:v>0.65694444444444444</c:v>
                </c:pt>
                <c:pt idx="6">
                  <c:v>0.66111111111111109</c:v>
                </c:pt>
                <c:pt idx="7">
                  <c:v>0.66666666666666663</c:v>
                </c:pt>
              </c:numCache>
            </c:numRef>
          </c:xVal>
          <c:yVal>
            <c:numRef>
              <c:f>Лист1!$N$47:$N$54</c:f>
              <c:numCache>
                <c:formatCode>General</c:formatCode>
                <c:ptCount val="8"/>
                <c:pt idx="0">
                  <c:v>3.83</c:v>
                </c:pt>
                <c:pt idx="1">
                  <c:v>3.9529999999999998</c:v>
                </c:pt>
                <c:pt idx="2">
                  <c:v>3.99</c:v>
                </c:pt>
                <c:pt idx="3">
                  <c:v>4.01</c:v>
                </c:pt>
                <c:pt idx="4">
                  <c:v>4.03</c:v>
                </c:pt>
                <c:pt idx="5">
                  <c:v>4.07</c:v>
                </c:pt>
                <c:pt idx="6">
                  <c:v>4.08</c:v>
                </c:pt>
                <c:pt idx="7">
                  <c:v>4.1100000000000003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96000"/>
        <c:axId val="66497536"/>
      </c:scatterChart>
      <c:valAx>
        <c:axId val="66496000"/>
        <c:scaling>
          <c:orientation val="minMax"/>
        </c:scaling>
        <c:delete val="0"/>
        <c:axPos val="b"/>
        <c:majorGridlines/>
        <c:numFmt formatCode="h:mm" sourceLinked="1"/>
        <c:majorTickMark val="out"/>
        <c:minorTickMark val="none"/>
        <c:tickLblPos val="nextTo"/>
        <c:crossAx val="66497536"/>
        <c:crosses val="autoZero"/>
        <c:crossBetween val="midCat"/>
      </c:valAx>
      <c:valAx>
        <c:axId val="66497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49600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34016</xdr:colOff>
      <xdr:row>17</xdr:row>
      <xdr:rowOff>122463</xdr:rowOff>
    </xdr:from>
    <xdr:to>
      <xdr:col>22</xdr:col>
      <xdr:colOff>484153</xdr:colOff>
      <xdr:row>41</xdr:row>
      <xdr:rowOff>46964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1873" t="14931" r="667"/>
        <a:stretch/>
      </xdr:blipFill>
      <xdr:spPr>
        <a:xfrm>
          <a:off x="12239623" y="3170463"/>
          <a:ext cx="5348709" cy="4496501"/>
        </a:xfrm>
        <a:prstGeom prst="rect">
          <a:avLst/>
        </a:prstGeom>
      </xdr:spPr>
    </xdr:pic>
    <xdr:clientData/>
  </xdr:twoCellAnchor>
  <xdr:twoCellAnchor editAs="oneCell">
    <xdr:from>
      <xdr:col>14</xdr:col>
      <xdr:colOff>23583</xdr:colOff>
      <xdr:row>1</xdr:row>
      <xdr:rowOff>0</xdr:rowOff>
    </xdr:from>
    <xdr:to>
      <xdr:col>22</xdr:col>
      <xdr:colOff>393040</xdr:colOff>
      <xdr:row>16</xdr:row>
      <xdr:rowOff>190119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29190" y="190500"/>
          <a:ext cx="5268029" cy="3047619"/>
        </a:xfrm>
        <a:prstGeom prst="rect">
          <a:avLst/>
        </a:prstGeom>
      </xdr:spPr>
    </xdr:pic>
    <xdr:clientData/>
  </xdr:twoCellAnchor>
  <xdr:twoCellAnchor editAs="oneCell">
    <xdr:from>
      <xdr:col>9</xdr:col>
      <xdr:colOff>726062</xdr:colOff>
      <xdr:row>49</xdr:row>
      <xdr:rowOff>108857</xdr:rowOff>
    </xdr:from>
    <xdr:to>
      <xdr:col>22</xdr:col>
      <xdr:colOff>180715</xdr:colOff>
      <xdr:row>53</xdr:row>
      <xdr:rowOff>185433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332955" y="9633857"/>
          <a:ext cx="7727796" cy="838576"/>
        </a:xfrm>
        <a:prstGeom prst="rect">
          <a:avLst/>
        </a:prstGeom>
      </xdr:spPr>
    </xdr:pic>
    <xdr:clientData/>
  </xdr:twoCellAnchor>
  <xdr:twoCellAnchor>
    <xdr:from>
      <xdr:col>4</xdr:col>
      <xdr:colOff>557892</xdr:colOff>
      <xdr:row>56</xdr:row>
      <xdr:rowOff>77559</xdr:rowOff>
    </xdr:from>
    <xdr:to>
      <xdr:col>12</xdr:col>
      <xdr:colOff>13607</xdr:colOff>
      <xdr:row>70</xdr:row>
      <xdr:rowOff>153759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565439</xdr:colOff>
      <xdr:row>13</xdr:row>
      <xdr:rowOff>1848</xdr:rowOff>
    </xdr:from>
    <xdr:to>
      <xdr:col>27</xdr:col>
      <xdr:colOff>456844</xdr:colOff>
      <xdr:row>21</xdr:row>
      <xdr:rowOff>29213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64666" y="2703484"/>
          <a:ext cx="3865418" cy="1689911"/>
        </a:xfrm>
        <a:prstGeom prst="rect">
          <a:avLst/>
        </a:prstGeom>
      </xdr:spPr>
    </xdr:pic>
    <xdr:clientData/>
  </xdr:twoCellAnchor>
  <xdr:twoCellAnchor editAs="oneCell">
    <xdr:from>
      <xdr:col>18</xdr:col>
      <xdr:colOff>466726</xdr:colOff>
      <xdr:row>13</xdr:row>
      <xdr:rowOff>97491</xdr:rowOff>
    </xdr:from>
    <xdr:to>
      <xdr:col>19</xdr:col>
      <xdr:colOff>314214</xdr:colOff>
      <xdr:row>21</xdr:row>
      <xdr:rowOff>126065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14520" y="2719667"/>
          <a:ext cx="2290371" cy="1642222"/>
        </a:xfrm>
        <a:prstGeom prst="rect">
          <a:avLst/>
        </a:prstGeom>
      </xdr:spPr>
    </xdr:pic>
    <xdr:clientData/>
  </xdr:twoCellAnchor>
  <xdr:twoCellAnchor editAs="oneCell">
    <xdr:from>
      <xdr:col>4</xdr:col>
      <xdr:colOff>784413</xdr:colOff>
      <xdr:row>36</xdr:row>
      <xdr:rowOff>179295</xdr:rowOff>
    </xdr:from>
    <xdr:to>
      <xdr:col>12</xdr:col>
      <xdr:colOff>329162</xdr:colOff>
      <xdr:row>49</xdr:row>
      <xdr:rowOff>42832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37531" y="7474324"/>
          <a:ext cx="6828572" cy="248571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0</xdr:rowOff>
    </xdr:from>
    <xdr:to>
      <xdr:col>14</xdr:col>
      <xdr:colOff>551779</xdr:colOff>
      <xdr:row>28</xdr:row>
      <xdr:rowOff>27905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0" y="0"/>
          <a:ext cx="5371429" cy="53619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9525</xdr:colOff>
      <xdr:row>2</xdr:row>
      <xdr:rowOff>160804</xdr:rowOff>
    </xdr:from>
    <xdr:to>
      <xdr:col>20</xdr:col>
      <xdr:colOff>312950</xdr:colOff>
      <xdr:row>19</xdr:row>
      <xdr:rowOff>27907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05525" y="541804"/>
          <a:ext cx="6399425" cy="3105603"/>
        </a:xfrm>
        <a:prstGeom prst="rect">
          <a:avLst/>
        </a:prstGeom>
      </xdr:spPr>
    </xdr:pic>
    <xdr:clientData/>
  </xdr:twoCellAnchor>
  <xdr:twoCellAnchor editAs="oneCell">
    <xdr:from>
      <xdr:col>11</xdr:col>
      <xdr:colOff>123825</xdr:colOff>
      <xdr:row>24</xdr:row>
      <xdr:rowOff>114300</xdr:rowOff>
    </xdr:from>
    <xdr:to>
      <xdr:col>15</xdr:col>
      <xdr:colOff>533044</xdr:colOff>
      <xdr:row>30</xdr:row>
      <xdr:rowOff>161776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29425" y="4495800"/>
          <a:ext cx="2847619" cy="119047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85725</xdr:colOff>
      <xdr:row>0</xdr:row>
      <xdr:rowOff>0</xdr:rowOff>
    </xdr:from>
    <xdr:to>
      <xdr:col>13</xdr:col>
      <xdr:colOff>352009</xdr:colOff>
      <xdr:row>15</xdr:row>
      <xdr:rowOff>40822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4525" y="0"/>
          <a:ext cx="6362284" cy="2898322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16</xdr:row>
      <xdr:rowOff>9525</xdr:rowOff>
    </xdr:from>
    <xdr:to>
      <xdr:col>19</xdr:col>
      <xdr:colOff>333375</xdr:colOff>
      <xdr:row>39</xdr:row>
      <xdr:rowOff>66422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3057525"/>
          <a:ext cx="10058400" cy="44383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295275</xdr:colOff>
      <xdr:row>29</xdr:row>
      <xdr:rowOff>71437</xdr:rowOff>
    </xdr:from>
    <xdr:to>
      <xdr:col>23</xdr:col>
      <xdr:colOff>600075</xdr:colOff>
      <xdr:row>43</xdr:row>
      <xdr:rowOff>147637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714375</xdr:colOff>
      <xdr:row>44</xdr:row>
      <xdr:rowOff>61912</xdr:rowOff>
    </xdr:from>
    <xdr:to>
      <xdr:col>12</xdr:col>
      <xdr:colOff>476250</xdr:colOff>
      <xdr:row>58</xdr:row>
      <xdr:rowOff>138112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74"/>
  <sheetViews>
    <sheetView zoomScale="70" zoomScaleNormal="70" workbookViewId="0">
      <selection activeCell="B35" sqref="B30:B35"/>
    </sheetView>
  </sheetViews>
  <sheetFormatPr defaultRowHeight="15" x14ac:dyDescent="0.25"/>
  <cols>
    <col min="1" max="1" width="11.28515625" style="2" bestFit="1" customWidth="1"/>
    <col min="2" max="2" width="18.140625" style="2" bestFit="1" customWidth="1"/>
    <col min="3" max="3" width="7.85546875" style="2" bestFit="1" customWidth="1"/>
    <col min="4" max="4" width="92.140625" style="2" bestFit="1" customWidth="1"/>
    <col min="5" max="5" width="15.5703125" style="2" bestFit="1" customWidth="1"/>
    <col min="6" max="6" width="11.140625" style="2" bestFit="1" customWidth="1"/>
    <col min="7" max="7" width="7.85546875" style="2" bestFit="1" customWidth="1"/>
    <col min="8" max="8" width="4" style="2" bestFit="1" customWidth="1"/>
    <col min="9" max="9" width="5.7109375" style="5" bestFit="1" customWidth="1"/>
    <col min="10" max="10" width="21.85546875" style="2" bestFit="1" customWidth="1"/>
    <col min="11" max="11" width="5.28515625" style="2" customWidth="1"/>
    <col min="12" max="12" width="5" style="2" customWidth="1"/>
    <col min="13" max="16384" width="9.140625" style="2"/>
  </cols>
  <sheetData>
    <row r="1" spans="1:10" s="43" customFormat="1" x14ac:dyDescent="0.25">
      <c r="D1" s="43" t="s">
        <v>81</v>
      </c>
      <c r="I1" s="44"/>
    </row>
    <row r="2" spans="1:10" x14ac:dyDescent="0.25">
      <c r="A2" s="150" t="s">
        <v>128</v>
      </c>
      <c r="B2" s="150"/>
      <c r="C2" s="150"/>
      <c r="D2" s="10"/>
      <c r="E2" s="16" t="s">
        <v>23</v>
      </c>
      <c r="F2" s="3" t="s">
        <v>32</v>
      </c>
    </row>
    <row r="3" spans="1:10" x14ac:dyDescent="0.25">
      <c r="A3" s="142" t="s">
        <v>32</v>
      </c>
      <c r="B3" s="142" t="s">
        <v>33</v>
      </c>
      <c r="C3" s="142" t="s">
        <v>46</v>
      </c>
      <c r="D3" s="20"/>
      <c r="E3" s="17">
        <v>80</v>
      </c>
      <c r="F3" s="1" t="s">
        <v>24</v>
      </c>
      <c r="G3" s="5"/>
    </row>
    <row r="4" spans="1:10" x14ac:dyDescent="0.25">
      <c r="A4" s="1" t="s">
        <v>2</v>
      </c>
      <c r="B4" s="6">
        <v>10</v>
      </c>
      <c r="C4" s="1" t="s">
        <v>3</v>
      </c>
      <c r="D4" s="20"/>
      <c r="E4" s="98"/>
      <c r="F4" s="78"/>
      <c r="G4" s="5"/>
    </row>
    <row r="5" spans="1:10" x14ac:dyDescent="0.25">
      <c r="A5" s="1" t="s">
        <v>145</v>
      </c>
      <c r="B5" s="97">
        <v>5.0999999999999996</v>
      </c>
      <c r="C5" s="1" t="s">
        <v>3</v>
      </c>
      <c r="D5" s="21" t="s">
        <v>12</v>
      </c>
      <c r="E5" s="90">
        <v>0.5</v>
      </c>
      <c r="F5" s="73" t="s">
        <v>28</v>
      </c>
      <c r="H5" s="17">
        <v>5</v>
      </c>
      <c r="I5" s="1" t="s">
        <v>25</v>
      </c>
    </row>
    <row r="6" spans="1:10" x14ac:dyDescent="0.25">
      <c r="A6" s="4" t="s">
        <v>4</v>
      </c>
      <c r="B6" s="12">
        <v>0.8</v>
      </c>
      <c r="C6" s="4" t="s">
        <v>3</v>
      </c>
      <c r="D6" s="21" t="s">
        <v>45</v>
      </c>
      <c r="E6" s="16"/>
      <c r="F6" s="3" t="s">
        <v>14</v>
      </c>
    </row>
    <row r="7" spans="1:10" x14ac:dyDescent="0.25">
      <c r="A7" s="8" t="s">
        <v>13</v>
      </c>
      <c r="B7" s="72">
        <f>7*10^-3</f>
        <v>7.0000000000000001E-3</v>
      </c>
      <c r="C7" s="142" t="s">
        <v>14</v>
      </c>
      <c r="D7" s="21" t="s">
        <v>163</v>
      </c>
      <c r="E7" s="16">
        <v>0.5</v>
      </c>
      <c r="F7" s="3" t="s">
        <v>28</v>
      </c>
    </row>
    <row r="8" spans="1:10" x14ac:dyDescent="0.25">
      <c r="A8" s="8" t="s">
        <v>10</v>
      </c>
      <c r="B8" s="72">
        <v>0.72</v>
      </c>
      <c r="C8" s="142" t="s">
        <v>3</v>
      </c>
      <c r="D8" s="21" t="s">
        <v>166</v>
      </c>
      <c r="E8" s="16">
        <v>0.5</v>
      </c>
      <c r="F8" s="3" t="s">
        <v>27</v>
      </c>
      <c r="I8" s="13"/>
    </row>
    <row r="9" spans="1:10" x14ac:dyDescent="0.25">
      <c r="A9" s="8" t="s">
        <v>11</v>
      </c>
      <c r="B9" s="72">
        <v>0.3</v>
      </c>
      <c r="C9" s="142" t="s">
        <v>3</v>
      </c>
      <c r="D9" s="21"/>
      <c r="E9" s="16"/>
      <c r="F9" s="8"/>
      <c r="I9" s="5">
        <v>119</v>
      </c>
      <c r="J9" s="2" t="s">
        <v>151</v>
      </c>
    </row>
    <row r="10" spans="1:10" x14ac:dyDescent="0.25">
      <c r="A10" s="142"/>
      <c r="B10" s="7"/>
      <c r="C10" s="142"/>
      <c r="D10" s="21" t="s">
        <v>30</v>
      </c>
      <c r="E10" s="90">
        <v>250</v>
      </c>
      <c r="F10" s="8" t="s">
        <v>29</v>
      </c>
    </row>
    <row r="11" spans="1:10" x14ac:dyDescent="0.25">
      <c r="D11" s="10"/>
      <c r="G11" s="5"/>
    </row>
    <row r="12" spans="1:10" x14ac:dyDescent="0.25">
      <c r="D12" s="10"/>
      <c r="G12" s="5"/>
    </row>
    <row r="13" spans="1:10" x14ac:dyDescent="0.25">
      <c r="A13" s="1" t="s">
        <v>127</v>
      </c>
      <c r="B13" s="1">
        <v>4.2</v>
      </c>
      <c r="C13" s="1" t="s">
        <v>3</v>
      </c>
      <c r="D13" s="21" t="s">
        <v>20</v>
      </c>
      <c r="E13" s="18" t="s">
        <v>31</v>
      </c>
      <c r="F13" s="1" t="s">
        <v>5</v>
      </c>
    </row>
    <row r="14" spans="1:10" x14ac:dyDescent="0.25">
      <c r="A14" s="11" t="s">
        <v>21</v>
      </c>
      <c r="B14" s="9">
        <v>1</v>
      </c>
      <c r="C14" s="1" t="s">
        <v>5</v>
      </c>
      <c r="D14" s="21" t="s">
        <v>162</v>
      </c>
      <c r="E14" s="19" t="e">
        <f>#REF!</f>
        <v>#REF!</v>
      </c>
      <c r="F14" s="7" t="s">
        <v>26</v>
      </c>
    </row>
    <row r="15" spans="1:10" x14ac:dyDescent="0.25">
      <c r="A15" s="142" t="s">
        <v>0</v>
      </c>
      <c r="B15" s="7">
        <f>B14/2</f>
        <v>0.5</v>
      </c>
      <c r="C15" s="142" t="s">
        <v>6</v>
      </c>
      <c r="D15" s="21" t="s">
        <v>161</v>
      </c>
      <c r="E15" s="66" t="s">
        <v>31</v>
      </c>
      <c r="F15" s="4" t="s">
        <v>1</v>
      </c>
    </row>
    <row r="16" spans="1:10" x14ac:dyDescent="0.25">
      <c r="A16" s="4" t="s">
        <v>9</v>
      </c>
      <c r="B16" s="12">
        <f>(B5-B13-B6)/B7</f>
        <v>14.285714285714203</v>
      </c>
      <c r="C16" s="4" t="s">
        <v>1</v>
      </c>
      <c r="D16" s="21" t="s">
        <v>160</v>
      </c>
      <c r="E16" s="66" t="s">
        <v>31</v>
      </c>
      <c r="F16" s="4" t="s">
        <v>1</v>
      </c>
    </row>
    <row r="17" spans="1:7" x14ac:dyDescent="0.25">
      <c r="A17" s="4" t="s">
        <v>8</v>
      </c>
      <c r="B17" s="12">
        <f>(B4-B13-B9)/B15</f>
        <v>11</v>
      </c>
      <c r="C17" s="4" t="s">
        <v>1</v>
      </c>
      <c r="D17" s="10"/>
      <c r="G17" s="5"/>
    </row>
    <row r="18" spans="1:7" x14ac:dyDescent="0.25">
      <c r="A18" s="10"/>
      <c r="B18" s="144"/>
      <c r="C18" s="144"/>
      <c r="D18" s="10"/>
    </row>
    <row r="19" spans="1:7" x14ac:dyDescent="0.25">
      <c r="A19" s="150" t="s">
        <v>103</v>
      </c>
      <c r="B19" s="150"/>
      <c r="C19" s="150"/>
      <c r="D19" s="10"/>
      <c r="E19" s="3" t="s">
        <v>164</v>
      </c>
      <c r="F19" s="3"/>
    </row>
    <row r="20" spans="1:7" x14ac:dyDescent="0.25">
      <c r="A20" s="142" t="s">
        <v>16</v>
      </c>
      <c r="B20" s="142" t="s">
        <v>15</v>
      </c>
      <c r="C20" s="142" t="s">
        <v>17</v>
      </c>
      <c r="D20" s="10"/>
      <c r="E20" s="3" t="e">
        <f>E14*3</f>
        <v>#REF!</v>
      </c>
      <c r="F20" s="3" t="s">
        <v>7</v>
      </c>
    </row>
    <row r="21" spans="1:7" x14ac:dyDescent="0.25">
      <c r="A21" s="72">
        <f>((B4-B13-B9)^2) / B17</f>
        <v>2.75</v>
      </c>
      <c r="B21" s="72">
        <f>B15*(B4-B9-B13)</f>
        <v>2.7499999999999996</v>
      </c>
      <c r="C21" s="72">
        <f>B15*B15*B17</f>
        <v>2.75</v>
      </c>
    </row>
    <row r="22" spans="1:7" x14ac:dyDescent="0.25">
      <c r="E22" s="58"/>
    </row>
    <row r="23" spans="1:7" x14ac:dyDescent="0.25">
      <c r="B23" s="144" t="s">
        <v>165</v>
      </c>
      <c r="C23" s="144"/>
    </row>
    <row r="24" spans="1:7" x14ac:dyDescent="0.25">
      <c r="B24" s="144">
        <f>B21/0.6</f>
        <v>4.583333333333333</v>
      </c>
      <c r="C24" s="144" t="s">
        <v>7</v>
      </c>
    </row>
    <row r="25" spans="1:7" x14ac:dyDescent="0.25">
      <c r="B25" s="147"/>
      <c r="C25" s="147"/>
    </row>
    <row r="26" spans="1:7" x14ac:dyDescent="0.25">
      <c r="A26" s="1" t="s">
        <v>18</v>
      </c>
    </row>
    <row r="27" spans="1:7" x14ac:dyDescent="0.25">
      <c r="A27" s="8" t="s">
        <v>22</v>
      </c>
    </row>
    <row r="28" spans="1:7" x14ac:dyDescent="0.25">
      <c r="A28" s="4" t="s">
        <v>19</v>
      </c>
    </row>
    <row r="56" spans="6:17" x14ac:dyDescent="0.25">
      <c r="F56" s="148"/>
    </row>
    <row r="63" spans="6:17" x14ac:dyDescent="0.25">
      <c r="N63" s="146" t="s">
        <v>3</v>
      </c>
      <c r="O63" s="146" t="s">
        <v>195</v>
      </c>
    </row>
    <row r="64" spans="6:17" x14ac:dyDescent="0.25">
      <c r="M64" s="145"/>
      <c r="N64" s="146">
        <v>3.65</v>
      </c>
      <c r="O64" s="146">
        <v>0</v>
      </c>
      <c r="P64" s="149"/>
      <c r="Q64" s="149"/>
    </row>
    <row r="65" spans="6:17" x14ac:dyDescent="0.25">
      <c r="M65" s="145"/>
      <c r="N65" s="146">
        <v>3.77</v>
      </c>
      <c r="O65" s="146">
        <v>10</v>
      </c>
      <c r="P65" s="149"/>
      <c r="Q65" s="149"/>
    </row>
    <row r="66" spans="6:17" x14ac:dyDescent="0.25">
      <c r="F66" s="145">
        <v>0.63055555555555554</v>
      </c>
      <c r="G66" s="2">
        <v>4.07</v>
      </c>
      <c r="N66" s="146">
        <v>3.83</v>
      </c>
      <c r="O66" s="146">
        <v>20</v>
      </c>
      <c r="P66" s="149"/>
      <c r="Q66" s="149"/>
    </row>
    <row r="67" spans="6:17" x14ac:dyDescent="0.25">
      <c r="F67" s="145">
        <v>0.63888888888888895</v>
      </c>
      <c r="G67" s="2">
        <v>4.1399999999999997</v>
      </c>
      <c r="N67" s="146">
        <v>3.9529999999999998</v>
      </c>
      <c r="O67" s="146">
        <v>30</v>
      </c>
      <c r="P67" s="149"/>
      <c r="Q67" s="149"/>
    </row>
    <row r="68" spans="6:17" x14ac:dyDescent="0.25">
      <c r="F68" s="145">
        <v>0.64861111111111114</v>
      </c>
      <c r="G68" s="2">
        <v>4.16</v>
      </c>
      <c r="N68" s="146">
        <v>3.99</v>
      </c>
      <c r="O68" s="146">
        <v>40</v>
      </c>
      <c r="P68" s="149"/>
      <c r="Q68" s="149"/>
    </row>
    <row r="69" spans="6:17" x14ac:dyDescent="0.25">
      <c r="N69" s="146">
        <v>4.01</v>
      </c>
      <c r="O69" s="146">
        <v>50</v>
      </c>
      <c r="P69" s="149"/>
      <c r="Q69" s="149"/>
    </row>
    <row r="70" spans="6:17" x14ac:dyDescent="0.25">
      <c r="H70" s="2">
        <v>4.1500000000000004</v>
      </c>
      <c r="I70" s="5">
        <v>4.4400000000000004</v>
      </c>
      <c r="P70" s="149"/>
      <c r="Q70" s="149"/>
    </row>
    <row r="71" spans="6:17" x14ac:dyDescent="0.25">
      <c r="P71" s="149"/>
      <c r="Q71" s="149"/>
    </row>
    <row r="72" spans="6:17" x14ac:dyDescent="0.25">
      <c r="P72" s="149"/>
      <c r="Q72" s="149"/>
    </row>
    <row r="73" spans="6:17" x14ac:dyDescent="0.25">
      <c r="P73" s="149"/>
      <c r="Q73" s="149"/>
    </row>
    <row r="74" spans="6:17" x14ac:dyDescent="0.25">
      <c r="F74" s="145"/>
    </row>
  </sheetData>
  <mergeCells count="2">
    <mergeCell ref="A2:C2"/>
    <mergeCell ref="A19:C19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01"/>
  <sheetViews>
    <sheetView topLeftCell="A16" zoomScale="55" zoomScaleNormal="55" workbookViewId="0">
      <selection activeCell="D44" sqref="D44"/>
    </sheetView>
  </sheetViews>
  <sheetFormatPr defaultRowHeight="15.75" x14ac:dyDescent="0.25"/>
  <cols>
    <col min="1" max="1" width="15.140625" style="14" bestFit="1" customWidth="1"/>
    <col min="2" max="2" width="8" style="14" bestFit="1" customWidth="1"/>
    <col min="3" max="3" width="17.28515625" style="14" bestFit="1" customWidth="1"/>
    <col min="4" max="4" width="14.28515625" style="14" customWidth="1"/>
    <col min="5" max="5" width="15" style="14" bestFit="1" customWidth="1"/>
    <col min="6" max="6" width="11.28515625" style="14" bestFit="1" customWidth="1"/>
    <col min="7" max="7" width="19.28515625" style="14" customWidth="1"/>
    <col min="8" max="8" width="12.85546875" style="14" bestFit="1" customWidth="1"/>
    <col min="9" max="9" width="9.42578125" style="14" bestFit="1" customWidth="1"/>
    <col min="10" max="10" width="8.85546875" style="14" bestFit="1" customWidth="1"/>
    <col min="11" max="11" width="18.140625" style="14" bestFit="1" customWidth="1"/>
    <col min="12" max="12" width="14.28515625" style="14" bestFit="1" customWidth="1"/>
    <col min="13" max="13" width="8.42578125" style="14" bestFit="1" customWidth="1"/>
    <col min="14" max="15" width="15" style="14" bestFit="1" customWidth="1"/>
    <col min="16" max="16" width="18.140625" style="14" bestFit="1" customWidth="1"/>
    <col min="17" max="17" width="8.7109375" style="14" bestFit="1" customWidth="1"/>
    <col min="18" max="18" width="9.140625" style="14"/>
    <col min="19" max="19" width="36.5703125" style="14" bestFit="1" customWidth="1"/>
    <col min="20" max="21" width="9.140625" style="14"/>
    <col min="22" max="22" width="8.85546875" style="14" bestFit="1" customWidth="1"/>
    <col min="23" max="23" width="14.28515625" style="14" bestFit="1" customWidth="1"/>
    <col min="24" max="16384" width="9.140625" style="14"/>
  </cols>
  <sheetData>
    <row r="1" spans="1:25" x14ac:dyDescent="0.25">
      <c r="G1" s="35" t="s">
        <v>57</v>
      </c>
    </row>
    <row r="2" spans="1:25" x14ac:dyDescent="0.25">
      <c r="A2" s="24" t="s">
        <v>2</v>
      </c>
      <c r="B2" s="24">
        <v>12</v>
      </c>
    </row>
    <row r="3" spans="1:25" x14ac:dyDescent="0.25">
      <c r="A3" s="24" t="s">
        <v>35</v>
      </c>
      <c r="B3" s="24">
        <v>4.2</v>
      </c>
    </row>
    <row r="4" spans="1:25" s="22" customFormat="1" x14ac:dyDescent="0.25">
      <c r="D4" s="22" t="s">
        <v>64</v>
      </c>
      <c r="E4" s="38"/>
    </row>
    <row r="5" spans="1:25" x14ac:dyDescent="0.25">
      <c r="E5" s="15"/>
      <c r="G5" s="29">
        <v>1</v>
      </c>
      <c r="H5" s="24" t="s">
        <v>40</v>
      </c>
      <c r="I5" s="24">
        <v>6</v>
      </c>
      <c r="O5" s="154" t="s">
        <v>63</v>
      </c>
      <c r="P5" s="154"/>
      <c r="Q5" s="154"/>
    </row>
    <row r="6" spans="1:25" x14ac:dyDescent="0.25">
      <c r="K6" s="14" t="s">
        <v>68</v>
      </c>
      <c r="M6" s="14" t="s">
        <v>34</v>
      </c>
      <c r="N6" s="45" t="s">
        <v>82</v>
      </c>
      <c r="O6" s="14" t="s">
        <v>61</v>
      </c>
      <c r="P6" s="51">
        <f>-3*10^-9</f>
        <v>-3.0000000000000004E-9</v>
      </c>
    </row>
    <row r="7" spans="1:25" x14ac:dyDescent="0.25">
      <c r="A7" s="152" t="s">
        <v>227</v>
      </c>
      <c r="B7" s="152"/>
      <c r="C7" s="157">
        <v>4.2</v>
      </c>
      <c r="D7" s="24" t="s">
        <v>54</v>
      </c>
      <c r="E7" s="25">
        <v>8000</v>
      </c>
      <c r="F7" s="14" t="s">
        <v>48</v>
      </c>
      <c r="G7" s="28" t="s">
        <v>41</v>
      </c>
      <c r="H7" s="24" t="s">
        <v>43</v>
      </c>
      <c r="I7" s="37">
        <f>I5*2/3</f>
        <v>4</v>
      </c>
      <c r="K7" s="24">
        <f>300*10^-6</f>
        <v>2.9999999999999997E-4</v>
      </c>
      <c r="L7" s="155" t="s">
        <v>6</v>
      </c>
      <c r="M7" s="46">
        <v>3.3330000000000002</v>
      </c>
      <c r="N7" s="37">
        <f>K7*M7</f>
        <v>9.9989999999999996E-4</v>
      </c>
      <c r="O7" s="14" t="s">
        <v>60</v>
      </c>
      <c r="P7" s="51">
        <f>-2*10^-9</f>
        <v>-2.0000000000000001E-9</v>
      </c>
    </row>
    <row r="8" spans="1:25" x14ac:dyDescent="0.25">
      <c r="A8" s="152"/>
      <c r="B8" s="152"/>
      <c r="C8" s="157"/>
      <c r="D8" s="24" t="s">
        <v>53</v>
      </c>
      <c r="E8" s="26">
        <f>(I7*E7)/(C7-I7)</f>
        <v>159999.99999999985</v>
      </c>
      <c r="I8" s="14" t="s">
        <v>229</v>
      </c>
      <c r="K8" s="24">
        <f>400*10^-6</f>
        <v>3.9999999999999996E-4</v>
      </c>
      <c r="L8" s="156"/>
      <c r="M8" s="46">
        <v>2.548</v>
      </c>
      <c r="N8" s="37">
        <f t="shared" ref="N8" si="0">K8*M8</f>
        <v>1.0191999999999998E-3</v>
      </c>
      <c r="O8" s="14" t="s">
        <v>62</v>
      </c>
      <c r="P8" s="52">
        <f>504*10^-6</f>
        <v>5.04E-4</v>
      </c>
      <c r="V8" s="33"/>
    </row>
    <row r="9" spans="1:25" x14ac:dyDescent="0.25">
      <c r="K9" s="24"/>
      <c r="L9" s="24"/>
      <c r="M9" s="46"/>
      <c r="N9" s="37"/>
      <c r="P9" s="51"/>
    </row>
    <row r="10" spans="1:25" x14ac:dyDescent="0.25">
      <c r="A10" s="152" t="s">
        <v>37</v>
      </c>
      <c r="B10" s="152"/>
      <c r="C10" s="157">
        <v>4</v>
      </c>
      <c r="D10" s="24" t="s">
        <v>54</v>
      </c>
      <c r="E10" s="143">
        <v>7970</v>
      </c>
      <c r="F10" s="14" t="s">
        <v>49</v>
      </c>
      <c r="G10" s="28" t="s">
        <v>42</v>
      </c>
      <c r="H10" s="24" t="s">
        <v>44</v>
      </c>
      <c r="I10" s="37">
        <f>I5/3</f>
        <v>2</v>
      </c>
      <c r="K10" s="24">
        <f>173*10^-6</f>
        <v>1.73E-4</v>
      </c>
      <c r="L10" s="155" t="s">
        <v>6</v>
      </c>
      <c r="M10" s="46">
        <v>2.2000000000000002</v>
      </c>
      <c r="N10" s="37">
        <f>K10*M10</f>
        <v>3.8060000000000004E-4</v>
      </c>
      <c r="O10" s="14" t="s">
        <v>61</v>
      </c>
      <c r="P10" s="51">
        <f>-2.4*10^-9</f>
        <v>-2.4E-9</v>
      </c>
    </row>
    <row r="11" spans="1:25" x14ac:dyDescent="0.25">
      <c r="A11" s="152"/>
      <c r="B11" s="152"/>
      <c r="C11" s="157"/>
      <c r="D11" s="24" t="s">
        <v>53</v>
      </c>
      <c r="E11" s="26">
        <f>(I10*E10)/(C10-I10)</f>
        <v>7970</v>
      </c>
      <c r="I11" s="14" t="s">
        <v>228</v>
      </c>
      <c r="K11" s="24">
        <f>132*10^-6</f>
        <v>1.3199999999999998E-4</v>
      </c>
      <c r="L11" s="156"/>
      <c r="M11" s="46">
        <v>1.6719999999999999</v>
      </c>
      <c r="N11" s="37">
        <f>K11*M11</f>
        <v>2.2070399999999995E-4</v>
      </c>
      <c r="O11" s="14" t="s">
        <v>60</v>
      </c>
      <c r="P11" s="51">
        <f>-1.5*10^-9</f>
        <v>-1.5000000000000002E-9</v>
      </c>
    </row>
    <row r="12" spans="1:25" x14ac:dyDescent="0.25">
      <c r="N12" s="49"/>
      <c r="O12" s="14" t="s">
        <v>62</v>
      </c>
      <c r="P12" s="52">
        <f>70*10^-6</f>
        <v>6.9999999999999994E-5</v>
      </c>
    </row>
    <row r="13" spans="1:25" s="23" customFormat="1" x14ac:dyDescent="0.25">
      <c r="D13" s="23" t="s">
        <v>84</v>
      </c>
      <c r="N13" s="50"/>
      <c r="P13" s="53"/>
      <c r="Q13" s="22"/>
      <c r="R13" s="22"/>
      <c r="S13" s="22" t="s">
        <v>65</v>
      </c>
      <c r="T13" s="22"/>
      <c r="U13" s="22"/>
      <c r="V13" s="22"/>
      <c r="W13" s="22" t="s">
        <v>66</v>
      </c>
      <c r="X13" s="22"/>
      <c r="Y13" s="22"/>
    </row>
    <row r="14" spans="1:25" x14ac:dyDescent="0.25">
      <c r="N14" s="49"/>
      <c r="P14" s="51"/>
    </row>
    <row r="15" spans="1:25" x14ac:dyDescent="0.25">
      <c r="A15" s="152" t="s">
        <v>36</v>
      </c>
      <c r="B15" s="152"/>
      <c r="C15" s="157">
        <v>4.2</v>
      </c>
      <c r="D15" s="24" t="s">
        <v>54</v>
      </c>
      <c r="E15" s="34">
        <f>H15+H16 - (I7*(H15+H16))/C15</f>
        <v>1190.4761904761908</v>
      </c>
      <c r="G15" s="24" t="s">
        <v>55</v>
      </c>
      <c r="H15" s="30">
        <v>10000</v>
      </c>
      <c r="K15" s="24">
        <f>168*10^-6</f>
        <v>1.6799999999999999E-4</v>
      </c>
      <c r="L15" s="152" t="s">
        <v>6</v>
      </c>
      <c r="M15" s="46"/>
      <c r="N15" s="36">
        <f>K15*M15</f>
        <v>0</v>
      </c>
      <c r="O15" s="14" t="s">
        <v>61</v>
      </c>
      <c r="P15" s="51">
        <f>-3*10^-9</f>
        <v>-3.0000000000000004E-9</v>
      </c>
    </row>
    <row r="16" spans="1:25" x14ac:dyDescent="0.25">
      <c r="A16" s="152"/>
      <c r="B16" s="152"/>
      <c r="C16" s="157"/>
      <c r="D16" s="24" t="s">
        <v>53</v>
      </c>
      <c r="E16" s="34">
        <f>H15-E15</f>
        <v>8809.5238095238092</v>
      </c>
      <c r="G16" s="24" t="s">
        <v>51</v>
      </c>
      <c r="H16" s="30">
        <v>15000</v>
      </c>
      <c r="K16" s="24">
        <f>128*10^-6</f>
        <v>1.2799999999999999E-4</v>
      </c>
      <c r="L16" s="152"/>
      <c r="M16" s="46"/>
      <c r="N16" s="36">
        <f t="shared" ref="N16" si="1">K16*M16</f>
        <v>0</v>
      </c>
      <c r="O16" s="14" t="s">
        <v>60</v>
      </c>
      <c r="P16" s="51">
        <f>-2*10^-9</f>
        <v>-2.0000000000000001E-9</v>
      </c>
      <c r="R16" s="14" t="s">
        <v>67</v>
      </c>
    </row>
    <row r="17" spans="1:22" x14ac:dyDescent="0.25">
      <c r="K17" s="24"/>
      <c r="L17" s="24"/>
      <c r="M17" s="46"/>
      <c r="N17" s="36"/>
      <c r="O17" s="14" t="s">
        <v>62</v>
      </c>
      <c r="P17" s="52">
        <f>504*10^-6</f>
        <v>5.04E-4</v>
      </c>
      <c r="R17" s="33">
        <f>11*10^-3</f>
        <v>1.0999999999999999E-2</v>
      </c>
      <c r="V17" s="33">
        <f>-12.5*10^-3</f>
        <v>-1.2500000000000001E-2</v>
      </c>
    </row>
    <row r="18" spans="1:22" x14ac:dyDescent="0.25">
      <c r="A18" s="152" t="s">
        <v>37</v>
      </c>
      <c r="B18" s="152"/>
      <c r="C18" s="157">
        <v>3.2</v>
      </c>
      <c r="D18" s="24" t="s">
        <v>58</v>
      </c>
      <c r="E18" s="34">
        <f>H20+H18 - I10*(H18+H19+H20) / C18</f>
        <v>-4575</v>
      </c>
      <c r="G18" s="24" t="s">
        <v>56</v>
      </c>
      <c r="H18" s="30">
        <v>10000</v>
      </c>
      <c r="K18" s="24">
        <f>55*10^-6</f>
        <v>5.4999999999999995E-5</v>
      </c>
      <c r="L18" s="152" t="s">
        <v>6</v>
      </c>
      <c r="M18" s="46"/>
      <c r="N18" s="36">
        <f>K18*M10</f>
        <v>1.21E-4</v>
      </c>
      <c r="P18" s="51"/>
    </row>
    <row r="19" spans="1:22" x14ac:dyDescent="0.25">
      <c r="A19" s="152"/>
      <c r="B19" s="152"/>
      <c r="C19" s="157"/>
      <c r="D19" s="24" t="s">
        <v>59</v>
      </c>
      <c r="E19" s="34">
        <f>H18-E18</f>
        <v>14575</v>
      </c>
      <c r="G19" s="31" t="s">
        <v>38</v>
      </c>
      <c r="H19" s="32">
        <v>33300</v>
      </c>
      <c r="K19" s="24">
        <f>42*10^-6</f>
        <v>4.1999999999999998E-5</v>
      </c>
      <c r="L19" s="152"/>
      <c r="M19" s="46"/>
      <c r="N19" s="36">
        <f>K19*M11</f>
        <v>7.0223999999999997E-5</v>
      </c>
      <c r="O19" s="14" t="s">
        <v>61</v>
      </c>
      <c r="P19" s="51">
        <f>-2.4*10^-9</f>
        <v>-2.4E-9</v>
      </c>
    </row>
    <row r="20" spans="1:22" x14ac:dyDescent="0.25">
      <c r="G20" s="31" t="s">
        <v>39</v>
      </c>
      <c r="H20" s="32">
        <v>33300</v>
      </c>
      <c r="O20" s="14" t="s">
        <v>60</v>
      </c>
      <c r="P20" s="51">
        <f>-1.5*10^-9</f>
        <v>-1.5000000000000002E-9</v>
      </c>
    </row>
    <row r="21" spans="1:22" x14ac:dyDescent="0.25">
      <c r="A21" s="25" t="s">
        <v>18</v>
      </c>
      <c r="D21" s="14" t="s">
        <v>52</v>
      </c>
      <c r="E21" s="33" t="s">
        <v>50</v>
      </c>
      <c r="O21" s="14" t="s">
        <v>62</v>
      </c>
      <c r="P21" s="52">
        <f>70*10^-6</f>
        <v>6.9999999999999994E-5</v>
      </c>
    </row>
    <row r="22" spans="1:22" x14ac:dyDescent="0.25">
      <c r="A22" s="24"/>
    </row>
    <row r="23" spans="1:22" x14ac:dyDescent="0.25">
      <c r="A23" s="27" t="s">
        <v>47</v>
      </c>
    </row>
    <row r="25" spans="1:22" x14ac:dyDescent="0.25">
      <c r="B25" s="14" t="s">
        <v>80</v>
      </c>
      <c r="E25" s="54"/>
    </row>
    <row r="26" spans="1:22" x14ac:dyDescent="0.25">
      <c r="A26" s="67"/>
      <c r="B26" s="67"/>
      <c r="C26" s="67"/>
      <c r="D26" s="67"/>
      <c r="E26" s="152" t="s">
        <v>23</v>
      </c>
      <c r="F26" s="152"/>
      <c r="G26" s="152"/>
      <c r="H26" s="152"/>
      <c r="I26" s="152" t="s">
        <v>7</v>
      </c>
      <c r="J26" s="152"/>
      <c r="K26" s="152"/>
      <c r="L26" s="152" t="s">
        <v>167</v>
      </c>
      <c r="M26" s="152"/>
      <c r="P26" s="68" t="s">
        <v>70</v>
      </c>
      <c r="Q26" s="69"/>
      <c r="R26" s="69"/>
      <c r="S26" s="69"/>
      <c r="T26" s="70"/>
    </row>
    <row r="27" spans="1:22" ht="18.75" x14ac:dyDescent="0.25">
      <c r="A27" s="67" t="s">
        <v>72</v>
      </c>
      <c r="B27" s="40" t="s">
        <v>77</v>
      </c>
      <c r="C27" s="40" t="s">
        <v>74</v>
      </c>
      <c r="D27" s="40" t="s">
        <v>11</v>
      </c>
      <c r="E27" s="79" t="s">
        <v>79</v>
      </c>
      <c r="F27" s="79" t="s">
        <v>73</v>
      </c>
      <c r="G27" s="83" t="s">
        <v>71</v>
      </c>
      <c r="H27" s="55" t="s">
        <v>133</v>
      </c>
      <c r="I27" s="67" t="s">
        <v>135</v>
      </c>
      <c r="J27" s="67" t="s">
        <v>136</v>
      </c>
      <c r="K27" s="67" t="s">
        <v>137</v>
      </c>
      <c r="L27" s="67" t="s">
        <v>134</v>
      </c>
      <c r="M27" s="67" t="s">
        <v>62</v>
      </c>
      <c r="P27" s="68" t="s">
        <v>75</v>
      </c>
      <c r="Q27" s="70"/>
      <c r="R27" s="68" t="s">
        <v>76</v>
      </c>
      <c r="S27" s="70"/>
      <c r="T27" s="67" t="s">
        <v>34</v>
      </c>
    </row>
    <row r="28" spans="1:22" x14ac:dyDescent="0.25">
      <c r="A28" s="67" t="s">
        <v>132</v>
      </c>
      <c r="B28" s="67"/>
      <c r="C28" s="67"/>
      <c r="D28" s="67"/>
      <c r="E28" s="67"/>
      <c r="F28" s="67"/>
      <c r="G28" s="67"/>
      <c r="H28" s="84"/>
      <c r="I28" s="37"/>
      <c r="J28" s="37"/>
      <c r="K28" s="37"/>
      <c r="L28" s="67"/>
      <c r="M28" s="67"/>
      <c r="P28" s="67">
        <f>7.25*10^-3</f>
        <v>7.2500000000000004E-3</v>
      </c>
      <c r="Q28" s="67">
        <f>6.67*10^-3</f>
        <v>6.6699999999999997E-3</v>
      </c>
      <c r="R28" s="67">
        <f>-2.2*10^-3</f>
        <v>-2.2000000000000001E-3</v>
      </c>
      <c r="S28" s="36">
        <f>-1.61*10^-3</f>
        <v>-1.6100000000000001E-3</v>
      </c>
      <c r="T28" s="67">
        <v>7</v>
      </c>
    </row>
    <row r="29" spans="1:22" s="71" customFormat="1" x14ac:dyDescent="0.25">
      <c r="A29" s="82">
        <v>6</v>
      </c>
      <c r="B29" s="67">
        <v>3.2</v>
      </c>
      <c r="C29" s="67">
        <v>8.7110000000000003</v>
      </c>
      <c r="D29" s="67">
        <v>7.9000000000000001E-2</v>
      </c>
      <c r="E29" s="67">
        <v>0.44400000000000001</v>
      </c>
      <c r="F29" s="67">
        <v>0.91100000000000003</v>
      </c>
      <c r="G29" s="67">
        <v>0.58099999999999996</v>
      </c>
      <c r="H29" s="37">
        <v>7.4999999999999997E-2</v>
      </c>
      <c r="I29" s="37">
        <f t="shared" ref="I29:I30" si="2">H29*E29</f>
        <v>3.3299999999999996E-2</v>
      </c>
      <c r="J29" s="37">
        <f t="shared" ref="J29:J30" si="3">G29*D29</f>
        <v>4.5898999999999995E-2</v>
      </c>
      <c r="K29" s="37">
        <f t="shared" ref="K29:K30" si="4">G29*C29</f>
        <v>5.0610910000000002</v>
      </c>
      <c r="L29" s="40">
        <f>B29+C29+D29</f>
        <v>11.990000000000002</v>
      </c>
      <c r="M29" s="79">
        <f>E29+F29</f>
        <v>1.355</v>
      </c>
      <c r="P29" s="67"/>
      <c r="Q29" s="67"/>
      <c r="R29" s="67"/>
      <c r="S29" s="36"/>
      <c r="T29" s="67"/>
    </row>
    <row r="30" spans="1:22" s="71" customFormat="1" x14ac:dyDescent="0.25">
      <c r="A30" s="4">
        <v>15</v>
      </c>
      <c r="B30" s="67">
        <v>4.2</v>
      </c>
      <c r="C30" s="67">
        <v>5.7</v>
      </c>
      <c r="D30" s="67">
        <v>2.1</v>
      </c>
      <c r="E30" s="67">
        <v>1.6E-2</v>
      </c>
      <c r="F30" s="67">
        <v>0.77300000000000002</v>
      </c>
      <c r="G30" s="67">
        <v>0.38300000000000001</v>
      </c>
      <c r="H30" s="37">
        <v>2.5300000000000001E-3</v>
      </c>
      <c r="I30" s="37">
        <f t="shared" si="2"/>
        <v>4.0480000000000005E-5</v>
      </c>
      <c r="J30" s="37">
        <f t="shared" si="3"/>
        <v>0.80430000000000001</v>
      </c>
      <c r="K30" s="37">
        <f t="shared" si="4"/>
        <v>2.1831</v>
      </c>
      <c r="L30" s="40">
        <f>B30+C30+D30</f>
        <v>12</v>
      </c>
      <c r="M30" s="79">
        <f>E30+F30</f>
        <v>0.78900000000000003</v>
      </c>
      <c r="P30" s="67"/>
      <c r="Q30" s="67"/>
      <c r="R30" s="67"/>
      <c r="S30" s="36"/>
      <c r="T30" s="67"/>
    </row>
    <row r="31" spans="1:22" s="71" customFormat="1" x14ac:dyDescent="0.25">
      <c r="A31" s="80"/>
      <c r="B31" s="81"/>
      <c r="D31" s="54"/>
      <c r="P31" s="67"/>
      <c r="Q31" s="67"/>
      <c r="R31" s="67"/>
      <c r="S31" s="36"/>
      <c r="T31" s="67"/>
    </row>
    <row r="32" spans="1:22" x14ac:dyDescent="0.25">
      <c r="A32" s="80"/>
      <c r="B32" s="81"/>
      <c r="C32" s="71"/>
      <c r="D32" s="54"/>
      <c r="E32" s="71"/>
      <c r="F32" s="71"/>
      <c r="G32" s="71"/>
      <c r="H32" s="71"/>
      <c r="I32" s="71"/>
      <c r="J32" s="71"/>
      <c r="K32" s="71"/>
      <c r="L32" s="71"/>
      <c r="M32" s="71"/>
      <c r="P32" s="67"/>
      <c r="Q32" s="67"/>
      <c r="R32" s="67"/>
      <c r="S32" s="36"/>
      <c r="T32" s="67"/>
    </row>
    <row r="33" spans="1:15" s="71" customFormat="1" x14ac:dyDescent="0.25">
      <c r="A33" s="80"/>
      <c r="B33" s="81"/>
      <c r="C33" s="153" t="s">
        <v>173</v>
      </c>
      <c r="D33" s="104"/>
      <c r="E33" s="14"/>
      <c r="F33" s="14"/>
      <c r="L33" s="33"/>
      <c r="M33" s="33"/>
      <c r="N33" s="100"/>
      <c r="O33" s="33"/>
    </row>
    <row r="34" spans="1:15" x14ac:dyDescent="0.25">
      <c r="A34" s="80"/>
      <c r="B34" s="81"/>
      <c r="C34" s="153"/>
      <c r="D34" s="75" t="s">
        <v>38</v>
      </c>
      <c r="E34" s="85"/>
      <c r="F34" s="87"/>
      <c r="G34" s="71"/>
      <c r="H34" s="71"/>
      <c r="I34" s="71"/>
      <c r="J34" s="71"/>
      <c r="K34" s="71"/>
      <c r="L34" s="33"/>
      <c r="M34" s="33"/>
      <c r="N34" s="100"/>
    </row>
    <row r="35" spans="1:15" x14ac:dyDescent="0.25">
      <c r="A35" s="101" t="s">
        <v>170</v>
      </c>
      <c r="B35" s="81"/>
      <c r="C35" s="153"/>
      <c r="D35" s="74"/>
      <c r="G35" s="71"/>
      <c r="H35" s="71"/>
      <c r="I35" s="71"/>
      <c r="J35" s="71"/>
      <c r="K35" s="71"/>
      <c r="L35" s="33"/>
      <c r="M35" s="33"/>
      <c r="N35" s="100"/>
    </row>
    <row r="36" spans="1:15" s="71" customFormat="1" x14ac:dyDescent="0.25">
      <c r="A36" s="14"/>
      <c r="C36" s="153"/>
      <c r="D36" s="31" t="s">
        <v>171</v>
      </c>
      <c r="E36" s="102"/>
      <c r="F36" s="10" t="s">
        <v>172</v>
      </c>
      <c r="H36" s="14"/>
      <c r="I36" s="14"/>
      <c r="J36" s="14"/>
      <c r="K36" s="14"/>
      <c r="L36" s="33"/>
      <c r="M36" s="33"/>
      <c r="N36" s="33"/>
    </row>
    <row r="37" spans="1:15" s="71" customFormat="1" x14ac:dyDescent="0.25">
      <c r="A37" s="85"/>
      <c r="C37" s="153"/>
      <c r="D37" s="103"/>
      <c r="E37" s="86"/>
      <c r="F37" s="80"/>
      <c r="H37" s="85"/>
      <c r="I37" s="85"/>
      <c r="J37" s="85"/>
      <c r="K37" s="85"/>
      <c r="L37" s="85"/>
      <c r="M37" s="85"/>
    </row>
    <row r="38" spans="1:15" s="71" customFormat="1" x14ac:dyDescent="0.25">
      <c r="A38" s="14"/>
      <c r="H38" s="14"/>
      <c r="I38" s="14"/>
      <c r="J38" s="14"/>
      <c r="K38" s="14"/>
      <c r="L38" s="14"/>
      <c r="M38" s="14"/>
    </row>
    <row r="39" spans="1:15" s="71" customFormat="1" x14ac:dyDescent="0.25">
      <c r="A39" s="14"/>
      <c r="B39" s="1" t="s">
        <v>173</v>
      </c>
      <c r="C39" s="77">
        <v>5</v>
      </c>
      <c r="H39" s="14"/>
      <c r="I39" s="14"/>
      <c r="J39" s="14"/>
      <c r="K39" s="14"/>
      <c r="L39" s="14"/>
      <c r="M39" s="14"/>
    </row>
    <row r="40" spans="1:15" s="71" customFormat="1" x14ac:dyDescent="0.25">
      <c r="A40" s="14"/>
      <c r="B40" s="1" t="s">
        <v>172</v>
      </c>
      <c r="C40" s="77">
        <v>3.3330000000000002</v>
      </c>
      <c r="H40" s="14"/>
      <c r="I40" s="14"/>
      <c r="J40" s="14"/>
      <c r="K40" s="14"/>
      <c r="L40" s="14"/>
      <c r="M40" s="14"/>
    </row>
    <row r="41" spans="1:15" x14ac:dyDescent="0.25">
      <c r="B41" s="77" t="s">
        <v>38</v>
      </c>
      <c r="C41" s="77">
        <v>1000</v>
      </c>
      <c r="D41" s="80"/>
    </row>
    <row r="42" spans="1:15" s="85" customFormat="1" x14ac:dyDescent="0.25">
      <c r="A42" s="14"/>
      <c r="B42" s="27" t="s">
        <v>171</v>
      </c>
      <c r="C42" s="26">
        <f xml:space="preserve"> (C40*C41) / (C39-C40)</f>
        <v>1999.400119976005</v>
      </c>
      <c r="D42" s="33"/>
      <c r="E42" s="14"/>
      <c r="F42" s="14"/>
      <c r="G42" s="14"/>
      <c r="H42" s="14"/>
      <c r="I42" s="14"/>
      <c r="J42" s="14"/>
      <c r="K42" s="14"/>
      <c r="L42" s="14"/>
      <c r="M42" s="14"/>
    </row>
    <row r="43" spans="1:15" x14ac:dyDescent="0.25">
      <c r="B43" s="33"/>
      <c r="C43" s="33"/>
    </row>
    <row r="50" spans="1:13" x14ac:dyDescent="0.25">
      <c r="B50" s="105" t="s">
        <v>174</v>
      </c>
      <c r="C50" s="105">
        <v>6</v>
      </c>
    </row>
    <row r="51" spans="1:13" x14ac:dyDescent="0.25">
      <c r="B51" s="105" t="s">
        <v>175</v>
      </c>
      <c r="C51" s="105">
        <v>5</v>
      </c>
    </row>
    <row r="52" spans="1:13" x14ac:dyDescent="0.25">
      <c r="B52" s="105" t="s">
        <v>38</v>
      </c>
      <c r="C52" s="105">
        <v>1000</v>
      </c>
    </row>
    <row r="53" spans="1:13" x14ac:dyDescent="0.25">
      <c r="A53" s="47"/>
      <c r="B53" s="27" t="s">
        <v>171</v>
      </c>
      <c r="C53" s="34">
        <f>(C50-C51) / (C51/C52+C54)</f>
        <v>100</v>
      </c>
      <c r="D53" s="47"/>
      <c r="E53" s="47"/>
      <c r="F53" s="47"/>
      <c r="G53" s="47"/>
      <c r="H53" s="47"/>
      <c r="I53" s="47"/>
      <c r="J53" s="47"/>
      <c r="K53" s="47"/>
      <c r="L53" s="47"/>
      <c r="M53" s="47"/>
    </row>
    <row r="54" spans="1:13" x14ac:dyDescent="0.25">
      <c r="A54" s="47"/>
      <c r="B54" s="105" t="s">
        <v>176</v>
      </c>
      <c r="C54" s="106">
        <f>5*10^-3</f>
        <v>5.0000000000000001E-3</v>
      </c>
      <c r="D54" s="47"/>
      <c r="E54" s="47"/>
      <c r="F54" s="47"/>
      <c r="G54" s="47"/>
      <c r="H54" s="47"/>
      <c r="I54" s="47"/>
      <c r="J54" s="47"/>
      <c r="K54" s="47"/>
      <c r="L54" s="47"/>
      <c r="M54" s="47"/>
    </row>
    <row r="55" spans="1:13" x14ac:dyDescent="0.25">
      <c r="E55" s="14">
        <f>1/0.01</f>
        <v>100</v>
      </c>
    </row>
    <row r="58" spans="1:13" s="47" customFormat="1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</row>
    <row r="59" spans="1:13" s="47" customFormat="1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</row>
    <row r="66" spans="1:11" x14ac:dyDescent="0.25">
      <c r="A66" s="152" t="s">
        <v>156</v>
      </c>
      <c r="B66" s="152"/>
      <c r="C66" s="152"/>
      <c r="D66" s="152"/>
      <c r="E66" s="152"/>
      <c r="F66" s="152"/>
      <c r="G66" s="152"/>
      <c r="H66" s="152"/>
      <c r="I66" s="152"/>
      <c r="J66" s="152"/>
      <c r="K66" s="152"/>
    </row>
    <row r="67" spans="1:11" x14ac:dyDescent="0.25">
      <c r="A67" s="75" t="s">
        <v>138</v>
      </c>
      <c r="B67" s="75">
        <v>1</v>
      </c>
      <c r="C67" s="75">
        <v>2</v>
      </c>
      <c r="D67" s="75">
        <v>3</v>
      </c>
      <c r="E67" s="75">
        <v>4</v>
      </c>
      <c r="F67" s="75">
        <v>5</v>
      </c>
      <c r="G67" s="75">
        <v>6</v>
      </c>
      <c r="H67" s="75">
        <v>7</v>
      </c>
      <c r="I67" s="75">
        <v>8</v>
      </c>
      <c r="J67" s="75">
        <v>9</v>
      </c>
      <c r="K67" s="75">
        <v>10</v>
      </c>
    </row>
    <row r="68" spans="1:11" x14ac:dyDescent="0.25">
      <c r="A68" s="75" t="s">
        <v>69</v>
      </c>
      <c r="B68" s="75">
        <v>46.7</v>
      </c>
      <c r="C68" s="75">
        <v>46.8</v>
      </c>
      <c r="D68" s="75">
        <v>46.5</v>
      </c>
      <c r="E68" s="75"/>
      <c r="F68" s="75"/>
      <c r="G68" s="75"/>
      <c r="H68" s="75"/>
      <c r="I68" s="75"/>
      <c r="J68" s="75"/>
      <c r="K68" s="75"/>
    </row>
    <row r="69" spans="1:11" x14ac:dyDescent="0.25">
      <c r="A69" s="75" t="s">
        <v>158</v>
      </c>
      <c r="B69" s="75">
        <f>1/B68</f>
        <v>2.1413276231263382E-2</v>
      </c>
      <c r="C69" s="75">
        <f t="shared" ref="C69:D69" si="5">1/C68</f>
        <v>2.1367521367521368E-2</v>
      </c>
      <c r="D69" s="75">
        <f t="shared" si="5"/>
        <v>2.1505376344086023E-2</v>
      </c>
      <c r="E69" s="75"/>
      <c r="F69" s="75"/>
      <c r="G69" s="75"/>
      <c r="H69" s="75"/>
      <c r="I69" s="75"/>
      <c r="J69" s="75"/>
      <c r="K69" s="75"/>
    </row>
    <row r="70" spans="1:11" x14ac:dyDescent="0.25">
      <c r="A70" s="75" t="s">
        <v>157</v>
      </c>
      <c r="B70" s="151">
        <f>1/SUM(B69:K69)</f>
        <v>15.555444330668525</v>
      </c>
      <c r="C70" s="151"/>
      <c r="D70" s="151"/>
      <c r="E70" s="151"/>
      <c r="F70" s="151"/>
      <c r="G70" s="151"/>
      <c r="H70" s="151"/>
      <c r="I70" s="151"/>
      <c r="J70" s="151"/>
      <c r="K70" s="151"/>
    </row>
    <row r="74" spans="1:11" x14ac:dyDescent="0.25">
      <c r="A74" s="152" t="s">
        <v>156</v>
      </c>
      <c r="B74" s="152"/>
      <c r="C74" s="152"/>
      <c r="D74" s="152"/>
      <c r="E74" s="152"/>
      <c r="F74" s="152"/>
      <c r="G74" s="152"/>
      <c r="H74" s="152"/>
      <c r="I74" s="152"/>
      <c r="J74" s="152"/>
      <c r="K74" s="152"/>
    </row>
    <row r="75" spans="1:11" x14ac:dyDescent="0.25">
      <c r="A75" s="111" t="s">
        <v>138</v>
      </c>
      <c r="B75" s="111">
        <v>1</v>
      </c>
      <c r="C75" s="111">
        <v>2</v>
      </c>
      <c r="D75" s="111">
        <v>3</v>
      </c>
      <c r="E75" s="111">
        <v>4</v>
      </c>
      <c r="F75" s="111">
        <v>5</v>
      </c>
      <c r="G75" s="111">
        <v>6</v>
      </c>
      <c r="H75" s="111">
        <v>7</v>
      </c>
      <c r="I75" s="111">
        <v>8</v>
      </c>
      <c r="J75" s="111">
        <v>9</v>
      </c>
      <c r="K75" s="111">
        <v>10</v>
      </c>
    </row>
    <row r="76" spans="1:11" x14ac:dyDescent="0.25">
      <c r="A76" s="111" t="s">
        <v>69</v>
      </c>
      <c r="B76" s="111">
        <v>5</v>
      </c>
      <c r="C76" s="111">
        <v>10</v>
      </c>
      <c r="D76" s="111"/>
      <c r="E76" s="111"/>
      <c r="F76" s="111"/>
      <c r="G76" s="111"/>
      <c r="H76" s="111"/>
      <c r="I76" s="111"/>
      <c r="J76" s="111"/>
      <c r="K76" s="111"/>
    </row>
    <row r="77" spans="1:11" x14ac:dyDescent="0.25">
      <c r="A77" s="111" t="s">
        <v>158</v>
      </c>
      <c r="B77" s="111">
        <f>1/B76</f>
        <v>0.2</v>
      </c>
      <c r="C77" s="111">
        <f t="shared" ref="C77" si="6">1/C76</f>
        <v>0.1</v>
      </c>
      <c r="D77" s="111"/>
      <c r="E77" s="111"/>
      <c r="F77" s="111"/>
      <c r="G77" s="111"/>
      <c r="H77" s="111"/>
      <c r="I77" s="111"/>
      <c r="J77" s="111"/>
      <c r="K77" s="111"/>
    </row>
    <row r="78" spans="1:11" x14ac:dyDescent="0.25">
      <c r="A78" s="111" t="s">
        <v>157</v>
      </c>
      <c r="B78" s="151">
        <f>1/SUM(B77:K77)</f>
        <v>3.333333333333333</v>
      </c>
      <c r="C78" s="151"/>
      <c r="D78" s="151"/>
      <c r="E78" s="151"/>
      <c r="F78" s="151"/>
      <c r="G78" s="151"/>
      <c r="H78" s="151"/>
      <c r="I78" s="151"/>
      <c r="J78" s="151"/>
      <c r="K78" s="151"/>
    </row>
    <row r="89" spans="1:12" x14ac:dyDescent="0.25">
      <c r="A89" s="47"/>
      <c r="B89" s="47" t="s">
        <v>80</v>
      </c>
      <c r="C89" s="47"/>
      <c r="D89" s="47"/>
      <c r="E89" s="54" t="s">
        <v>87</v>
      </c>
      <c r="F89" s="47"/>
      <c r="G89" s="47" t="s">
        <v>88</v>
      </c>
      <c r="H89" s="47"/>
    </row>
    <row r="90" spans="1:12" x14ac:dyDescent="0.25">
      <c r="A90" s="48"/>
      <c r="B90" s="48"/>
      <c r="C90" s="48"/>
      <c r="D90" s="48"/>
      <c r="E90" s="152" t="s">
        <v>23</v>
      </c>
      <c r="F90" s="152"/>
      <c r="G90" s="152"/>
    </row>
    <row r="91" spans="1:12" ht="18.75" x14ac:dyDescent="0.25">
      <c r="A91" s="48" t="s">
        <v>72</v>
      </c>
      <c r="B91" s="40" t="s">
        <v>77</v>
      </c>
      <c r="C91" s="40" t="s">
        <v>74</v>
      </c>
      <c r="D91" s="40" t="s">
        <v>11</v>
      </c>
      <c r="E91" s="31" t="s">
        <v>79</v>
      </c>
      <c r="F91" s="48" t="s">
        <v>73</v>
      </c>
      <c r="G91" s="55" t="s">
        <v>71</v>
      </c>
      <c r="L91" s="14" t="s">
        <v>131</v>
      </c>
    </row>
    <row r="92" spans="1:12" x14ac:dyDescent="0.25">
      <c r="A92" s="39">
        <v>9.36</v>
      </c>
      <c r="B92" s="48">
        <v>3.2</v>
      </c>
      <c r="C92" s="48">
        <v>8.68</v>
      </c>
      <c r="D92" s="48">
        <v>0.12</v>
      </c>
      <c r="E92" s="48">
        <v>0.871</v>
      </c>
      <c r="F92" s="48">
        <v>0.99</v>
      </c>
      <c r="G92" s="48">
        <v>-0.92600000000000005</v>
      </c>
      <c r="H92" s="56">
        <f>B92+C92+D92</f>
        <v>11.999999999999998</v>
      </c>
      <c r="L92" s="14">
        <f>(12-D92-B92) / A92</f>
        <v>0.92735042735042739</v>
      </c>
    </row>
    <row r="93" spans="1:12" x14ac:dyDescent="0.25">
      <c r="A93" s="39">
        <v>9.36</v>
      </c>
      <c r="B93" s="48">
        <v>4.2</v>
      </c>
      <c r="C93" s="48">
        <v>5.53</v>
      </c>
      <c r="D93" s="48">
        <v>2.2599999999999998</v>
      </c>
      <c r="E93" s="48">
        <v>-1.4590000000000001</v>
      </c>
      <c r="F93" s="48">
        <v>0.80700000000000005</v>
      </c>
      <c r="G93" s="48">
        <v>-0.59</v>
      </c>
      <c r="H93" s="41">
        <f>B93+C93+D93</f>
        <v>11.99</v>
      </c>
      <c r="I93" s="47"/>
      <c r="J93" s="47" t="s">
        <v>86</v>
      </c>
      <c r="K93" s="47"/>
      <c r="L93" s="47"/>
    </row>
    <row r="94" spans="1:12" x14ac:dyDescent="0.25">
      <c r="A94" s="39"/>
      <c r="B94" s="48"/>
      <c r="C94" s="48"/>
      <c r="D94" s="48"/>
      <c r="E94" s="48"/>
      <c r="F94" s="48"/>
      <c r="G94" s="48"/>
      <c r="H94" s="41"/>
      <c r="I94" s="47"/>
      <c r="J94" s="47"/>
      <c r="K94" s="47"/>
      <c r="L94" s="47"/>
    </row>
    <row r="95" spans="1:12" x14ac:dyDescent="0.25">
      <c r="A95" s="39">
        <v>2</v>
      </c>
      <c r="B95" s="48">
        <v>3.206</v>
      </c>
      <c r="C95" s="48">
        <v>7.93</v>
      </c>
      <c r="D95" s="48">
        <v>0.85499999999999998</v>
      </c>
      <c r="E95" s="48">
        <v>0.38100000000000001</v>
      </c>
      <c r="F95" s="48">
        <v>1.2370000000000001</v>
      </c>
      <c r="G95" s="48">
        <v>-3.9550000000000001</v>
      </c>
      <c r="H95" s="41">
        <f>B95+C95+D95</f>
        <v>11.991</v>
      </c>
      <c r="J95" s="14" t="s">
        <v>85</v>
      </c>
    </row>
    <row r="96" spans="1:12" x14ac:dyDescent="0.25">
      <c r="A96" s="39">
        <v>2</v>
      </c>
      <c r="B96" s="48">
        <v>4.2</v>
      </c>
      <c r="C96" s="48">
        <v>2.2749999999999999</v>
      </c>
      <c r="D96" s="48">
        <v>5.52</v>
      </c>
      <c r="E96" s="48">
        <v>-4.6399999999999997</v>
      </c>
      <c r="F96" s="48">
        <v>0.88300000000000001</v>
      </c>
      <c r="G96" s="48">
        <v>-1.137</v>
      </c>
      <c r="H96" s="41">
        <f>B96+C96+D96</f>
        <v>11.994999999999999</v>
      </c>
    </row>
    <row r="100" spans="13:13" x14ac:dyDescent="0.25">
      <c r="M100" s="47"/>
    </row>
    <row r="101" spans="13:13" x14ac:dyDescent="0.25">
      <c r="M101" s="47"/>
    </row>
  </sheetData>
  <mergeCells count="22">
    <mergeCell ref="O5:Q5"/>
    <mergeCell ref="L7:L8"/>
    <mergeCell ref="L10:L11"/>
    <mergeCell ref="A18:B19"/>
    <mergeCell ref="C18:C19"/>
    <mergeCell ref="L15:L16"/>
    <mergeCell ref="L18:L19"/>
    <mergeCell ref="A7:B8"/>
    <mergeCell ref="A10:B11"/>
    <mergeCell ref="C7:C8"/>
    <mergeCell ref="C10:C11"/>
    <mergeCell ref="A15:B16"/>
    <mergeCell ref="C15:C16"/>
    <mergeCell ref="B70:K70"/>
    <mergeCell ref="E90:G90"/>
    <mergeCell ref="L26:M26"/>
    <mergeCell ref="I26:K26"/>
    <mergeCell ref="A66:K66"/>
    <mergeCell ref="C33:C37"/>
    <mergeCell ref="E26:H26"/>
    <mergeCell ref="A74:K74"/>
    <mergeCell ref="B78:K78"/>
  </mergeCells>
  <pageMargins left="0.7" right="0.7" top="0.75" bottom="0.75" header="0.3" footer="0.3"/>
  <pageSetup paperSize="0" orientation="portrait" horizontalDpi="0" verticalDpi="0" copie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24" sqref="B24"/>
    </sheetView>
  </sheetViews>
  <sheetFormatPr defaultRowHeight="15" x14ac:dyDescent="0.25"/>
  <cols>
    <col min="1" max="1" width="16.5703125" style="2" bestFit="1" customWidth="1"/>
    <col min="2" max="2" width="16" style="2" customWidth="1"/>
    <col min="3" max="16384" width="9.140625" style="2"/>
  </cols>
  <sheetData>
    <row r="1" spans="1:4" x14ac:dyDescent="0.25">
      <c r="A1" s="42" t="s">
        <v>94</v>
      </c>
      <c r="B1" s="42">
        <v>0.4</v>
      </c>
      <c r="C1" s="42" t="s">
        <v>95</v>
      </c>
    </row>
    <row r="2" spans="1:4" x14ac:dyDescent="0.25">
      <c r="A2" s="42" t="s">
        <v>89</v>
      </c>
      <c r="B2" s="42">
        <f>PI()*B1*B1/4</f>
        <v>0.12566370614359174</v>
      </c>
      <c r="C2" s="42" t="s">
        <v>96</v>
      </c>
    </row>
    <row r="3" spans="1:4" x14ac:dyDescent="0.25">
      <c r="A3" s="42" t="s">
        <v>90</v>
      </c>
      <c r="B3" s="42">
        <v>0.6</v>
      </c>
      <c r="C3" s="42" t="s">
        <v>14</v>
      </c>
    </row>
    <row r="4" spans="1:4" x14ac:dyDescent="0.25">
      <c r="A4" s="42"/>
      <c r="B4" s="42"/>
      <c r="C4" s="42"/>
    </row>
    <row r="5" spans="1:4" x14ac:dyDescent="0.25">
      <c r="A5" s="42" t="s">
        <v>93</v>
      </c>
      <c r="B5" s="57">
        <f>B3/B2</f>
        <v>4.7746482927568596</v>
      </c>
      <c r="C5" s="158" t="s">
        <v>92</v>
      </c>
      <c r="D5" s="159" t="str">
        <f>IF((B3/B2) &lt; 5.5,"ОК", "ОПАСНО")</f>
        <v>ОК</v>
      </c>
    </row>
    <row r="6" spans="1:4" x14ac:dyDescent="0.25">
      <c r="A6" s="42" t="s">
        <v>91</v>
      </c>
      <c r="B6" s="1">
        <v>6</v>
      </c>
      <c r="C6" s="158"/>
      <c r="D6" s="159"/>
    </row>
  </sheetData>
  <mergeCells count="2">
    <mergeCell ref="C5:C6"/>
    <mergeCell ref="D5:D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zoomScaleNormal="100" workbookViewId="0">
      <selection activeCell="F34" sqref="F34"/>
    </sheetView>
  </sheetViews>
  <sheetFormatPr defaultRowHeight="15" x14ac:dyDescent="0.25"/>
  <cols>
    <col min="1" max="1" width="15.140625" style="59" bestFit="1" customWidth="1"/>
    <col min="2" max="3" width="9.140625" style="59"/>
    <col min="4" max="4" width="11.28515625" style="59" bestFit="1" customWidth="1"/>
    <col min="5" max="8" width="9.140625" style="59"/>
    <col min="9" max="9" width="10.28515625" style="59" bestFit="1" customWidth="1"/>
    <col min="10" max="16384" width="9.140625" style="59"/>
  </cols>
  <sheetData>
    <row r="1" spans="1:14" x14ac:dyDescent="0.25">
      <c r="A1" s="64"/>
      <c r="B1" s="64"/>
      <c r="C1" s="64" t="s">
        <v>101</v>
      </c>
      <c r="D1" s="64"/>
      <c r="E1" s="64"/>
      <c r="F1" s="64"/>
      <c r="G1" s="64"/>
      <c r="N1" s="59" t="s">
        <v>105</v>
      </c>
    </row>
    <row r="2" spans="1:14" x14ac:dyDescent="0.25">
      <c r="A2" s="64"/>
      <c r="B2" s="64"/>
      <c r="C2" s="64" t="s">
        <v>98</v>
      </c>
      <c r="D2" s="64"/>
      <c r="E2" s="64"/>
      <c r="F2" s="64"/>
      <c r="G2" s="64"/>
    </row>
    <row r="3" spans="1:14" x14ac:dyDescent="0.25">
      <c r="A3" s="64"/>
      <c r="B3" s="64"/>
      <c r="C3" s="64" t="s">
        <v>97</v>
      </c>
      <c r="D3" s="64"/>
      <c r="E3" s="64"/>
      <c r="F3" s="64"/>
      <c r="G3" s="64"/>
    </row>
    <row r="4" spans="1:14" x14ac:dyDescent="0.25">
      <c r="A4" s="64"/>
      <c r="B4" s="64"/>
      <c r="C4" s="64" t="s">
        <v>99</v>
      </c>
      <c r="D4" s="64"/>
      <c r="E4" s="64"/>
      <c r="F4" s="64"/>
      <c r="G4" s="64"/>
    </row>
    <row r="5" spans="1:14" x14ac:dyDescent="0.25">
      <c r="A5" s="64"/>
      <c r="B5" s="64"/>
      <c r="C5" s="64" t="s">
        <v>100</v>
      </c>
      <c r="D5" s="64"/>
      <c r="E5" s="64"/>
      <c r="F5" s="64"/>
      <c r="G5" s="64"/>
    </row>
    <row r="6" spans="1:14" x14ac:dyDescent="0.25">
      <c r="A6" s="64"/>
      <c r="B6" s="64"/>
      <c r="C6" s="64" t="s">
        <v>102</v>
      </c>
      <c r="D6" s="64"/>
      <c r="E6" s="64"/>
      <c r="F6" s="64"/>
      <c r="G6" s="64"/>
    </row>
    <row r="7" spans="1:14" x14ac:dyDescent="0.25">
      <c r="A7" s="64"/>
      <c r="B7" s="64"/>
      <c r="C7" s="64"/>
      <c r="D7" s="64"/>
      <c r="E7" s="64"/>
      <c r="F7" s="64"/>
      <c r="G7" s="64"/>
    </row>
    <row r="8" spans="1:14" x14ac:dyDescent="0.25">
      <c r="A8" s="160" t="s">
        <v>125</v>
      </c>
      <c r="B8" s="160"/>
      <c r="C8" s="160"/>
      <c r="D8" s="160"/>
      <c r="E8" s="160"/>
    </row>
    <row r="9" spans="1:14" x14ac:dyDescent="0.25">
      <c r="A9" s="62" t="s">
        <v>117</v>
      </c>
      <c r="B9" s="62" t="s">
        <v>107</v>
      </c>
      <c r="C9" s="62" t="s">
        <v>108</v>
      </c>
      <c r="D9" s="62" t="s">
        <v>46</v>
      </c>
    </row>
    <row r="10" spans="1:14" x14ac:dyDescent="0.25">
      <c r="A10" s="62" t="s">
        <v>106</v>
      </c>
      <c r="B10" s="61">
        <v>3.6</v>
      </c>
      <c r="C10" s="61">
        <v>4.2</v>
      </c>
      <c r="D10" s="61" t="s">
        <v>3</v>
      </c>
      <c r="E10" s="60"/>
    </row>
    <row r="11" spans="1:14" x14ac:dyDescent="0.25">
      <c r="A11" s="62" t="s">
        <v>109</v>
      </c>
      <c r="B11" s="65">
        <v>0.7</v>
      </c>
      <c r="C11" s="65">
        <v>0.72</v>
      </c>
      <c r="D11" s="61" t="s">
        <v>5</v>
      </c>
      <c r="E11" s="60"/>
    </row>
    <row r="12" spans="1:14" x14ac:dyDescent="0.25">
      <c r="A12" s="62" t="s">
        <v>118</v>
      </c>
      <c r="B12" s="65">
        <f>B11*0.1</f>
        <v>6.9999999999999993E-2</v>
      </c>
      <c r="C12" s="65">
        <f>C11*1.5</f>
        <v>1.08</v>
      </c>
      <c r="D12" s="61" t="s">
        <v>14</v>
      </c>
      <c r="E12" s="60"/>
    </row>
    <row r="13" spans="1:14" x14ac:dyDescent="0.25">
      <c r="A13" s="62" t="s">
        <v>120</v>
      </c>
      <c r="B13" s="63">
        <f>C10/B12</f>
        <v>60.000000000000007</v>
      </c>
      <c r="C13" s="65">
        <f>C10/C12</f>
        <v>3.8888888888888888</v>
      </c>
      <c r="D13" s="61" t="s">
        <v>1</v>
      </c>
      <c r="E13" s="60"/>
    </row>
    <row r="14" spans="1:14" x14ac:dyDescent="0.25">
      <c r="A14" s="62" t="s">
        <v>119</v>
      </c>
      <c r="B14" s="61">
        <f>B10*B12</f>
        <v>0.252</v>
      </c>
      <c r="C14" s="61">
        <f>C10*C12</f>
        <v>4.5360000000000005</v>
      </c>
      <c r="D14" s="61" t="s">
        <v>7</v>
      </c>
      <c r="E14" s="60"/>
    </row>
    <row r="15" spans="1:14" x14ac:dyDescent="0.25">
      <c r="C15" s="60"/>
      <c r="D15" s="60"/>
      <c r="E15" s="60"/>
    </row>
    <row r="16" spans="1:14" x14ac:dyDescent="0.25">
      <c r="B16" s="59" t="s">
        <v>126</v>
      </c>
    </row>
    <row r="18" spans="1:13" x14ac:dyDescent="0.25">
      <c r="A18" s="61" t="s">
        <v>112</v>
      </c>
      <c r="B18" s="62"/>
      <c r="C18" s="61" t="s">
        <v>113</v>
      </c>
      <c r="D18" s="92" t="s">
        <v>1</v>
      </c>
      <c r="E18" s="61" t="s">
        <v>3</v>
      </c>
    </row>
    <row r="19" spans="1:13" x14ac:dyDescent="0.25">
      <c r="A19" s="61"/>
      <c r="B19" s="61" t="s">
        <v>114</v>
      </c>
      <c r="C19" s="61" t="s">
        <v>115</v>
      </c>
      <c r="D19" s="93">
        <v>14960</v>
      </c>
      <c r="E19" s="63">
        <v>0</v>
      </c>
    </row>
    <row r="20" spans="1:13" x14ac:dyDescent="0.25">
      <c r="A20" s="61"/>
      <c r="B20" s="61" t="s">
        <v>115</v>
      </c>
      <c r="C20" s="61" t="s">
        <v>114</v>
      </c>
      <c r="D20" s="93">
        <v>14960</v>
      </c>
      <c r="E20" s="63">
        <v>0</v>
      </c>
    </row>
    <row r="21" spans="1:13" x14ac:dyDescent="0.25">
      <c r="A21" s="61" t="s">
        <v>114</v>
      </c>
      <c r="B21" s="61"/>
      <c r="C21" s="61" t="s">
        <v>115</v>
      </c>
      <c r="D21" s="93" t="s">
        <v>116</v>
      </c>
      <c r="E21" s="63">
        <v>3.92</v>
      </c>
    </row>
    <row r="22" spans="1:13" x14ac:dyDescent="0.25">
      <c r="A22" s="61" t="s">
        <v>115</v>
      </c>
      <c r="B22" s="61"/>
      <c r="C22" s="61" t="s">
        <v>114</v>
      </c>
      <c r="D22" s="92">
        <v>98.2</v>
      </c>
      <c r="E22" s="63">
        <v>-3.92</v>
      </c>
      <c r="F22" s="60"/>
      <c r="G22" s="60"/>
      <c r="H22" s="60"/>
      <c r="I22" s="60"/>
      <c r="J22" s="60"/>
    </row>
    <row r="23" spans="1:13" x14ac:dyDescent="0.25">
      <c r="A23" s="61" t="s">
        <v>115</v>
      </c>
      <c r="B23" s="61" t="s">
        <v>114</v>
      </c>
      <c r="C23" s="61"/>
      <c r="D23" s="93">
        <f>-3.42*10^6</f>
        <v>-3420000</v>
      </c>
      <c r="E23" s="63">
        <v>-3.92</v>
      </c>
      <c r="F23" s="60"/>
      <c r="G23" s="60"/>
      <c r="H23" s="60"/>
      <c r="I23" s="60"/>
      <c r="J23" s="60"/>
      <c r="M23" s="59" t="s">
        <v>111</v>
      </c>
    </row>
    <row r="24" spans="1:13" x14ac:dyDescent="0.25">
      <c r="A24" s="61" t="s">
        <v>114</v>
      </c>
      <c r="B24" s="61" t="s">
        <v>115</v>
      </c>
      <c r="C24" s="61"/>
      <c r="D24" s="93" t="s">
        <v>116</v>
      </c>
      <c r="E24" s="63">
        <v>3.92</v>
      </c>
      <c r="F24" s="60"/>
      <c r="G24" s="60"/>
      <c r="H24" s="60"/>
      <c r="I24" s="60"/>
      <c r="J24" s="60"/>
      <c r="M24" s="59" t="s">
        <v>110</v>
      </c>
    </row>
    <row r="25" spans="1:13" x14ac:dyDescent="0.25">
      <c r="D25" s="94"/>
    </row>
    <row r="26" spans="1:13" x14ac:dyDescent="0.25">
      <c r="A26" s="62" t="s">
        <v>115</v>
      </c>
      <c r="B26" s="62" t="s">
        <v>123</v>
      </c>
      <c r="C26" s="62" t="s">
        <v>114</v>
      </c>
      <c r="D26" s="95">
        <v>98.7</v>
      </c>
      <c r="E26" s="62">
        <v>4.1500000000000004</v>
      </c>
      <c r="F26" s="62" t="s">
        <v>122</v>
      </c>
    </row>
    <row r="27" spans="1:13" x14ac:dyDescent="0.25">
      <c r="A27" s="62" t="s">
        <v>115</v>
      </c>
      <c r="B27" s="62" t="s">
        <v>124</v>
      </c>
      <c r="C27" s="62" t="s">
        <v>114</v>
      </c>
      <c r="D27" s="95">
        <v>95.9</v>
      </c>
      <c r="E27" s="62">
        <v>3.89</v>
      </c>
      <c r="F27" s="62" t="s">
        <v>121</v>
      </c>
    </row>
    <row r="29" spans="1:13" x14ac:dyDescent="0.25">
      <c r="A29" s="62" t="s">
        <v>106</v>
      </c>
      <c r="B29" s="61">
        <v>3.7</v>
      </c>
      <c r="C29" s="61">
        <v>4.2</v>
      </c>
      <c r="D29" s="61" t="s">
        <v>3</v>
      </c>
    </row>
    <row r="30" spans="1:13" x14ac:dyDescent="0.25">
      <c r="A30" s="62" t="s">
        <v>109</v>
      </c>
      <c r="B30" s="161">
        <v>1.5</v>
      </c>
      <c r="C30" s="162"/>
      <c r="D30" s="61" t="s">
        <v>5</v>
      </c>
    </row>
  </sheetData>
  <mergeCells count="2">
    <mergeCell ref="A8:E8"/>
    <mergeCell ref="B30:C30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8:C20"/>
  <sheetViews>
    <sheetView zoomScaleNormal="100" workbookViewId="0">
      <selection activeCell="C26" sqref="C26"/>
    </sheetView>
  </sheetViews>
  <sheetFormatPr defaultRowHeight="15" x14ac:dyDescent="0.25"/>
  <sheetData>
    <row r="8" spans="2:3" x14ac:dyDescent="0.25">
      <c r="B8" s="8" t="s">
        <v>13</v>
      </c>
      <c r="C8" s="3">
        <f>13.652*10^-3</f>
        <v>1.3651999999999999E-2</v>
      </c>
    </row>
    <row r="19" spans="2:2" x14ac:dyDescent="0.25">
      <c r="B19" t="s">
        <v>169</v>
      </c>
    </row>
    <row r="20" spans="2:2" x14ac:dyDescent="0.25">
      <c r="B20" t="s">
        <v>168</v>
      </c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5"/>
  <sheetViews>
    <sheetView tabSelected="1" topLeftCell="A40" workbookViewId="0">
      <selection activeCell="I12" sqref="I12"/>
    </sheetView>
  </sheetViews>
  <sheetFormatPr defaultRowHeight="15" x14ac:dyDescent="0.25"/>
  <cols>
    <col min="1" max="1" width="14.7109375" style="2" bestFit="1" customWidth="1"/>
    <col min="2" max="2" width="9" style="2" bestFit="1" customWidth="1"/>
    <col min="3" max="3" width="5" style="2" bestFit="1" customWidth="1"/>
    <col min="4" max="4" width="25.28515625" style="2" bestFit="1" customWidth="1"/>
    <col min="5" max="5" width="14.7109375" style="2" bestFit="1" customWidth="1"/>
    <col min="6" max="6" width="11" style="2" bestFit="1" customWidth="1"/>
    <col min="7" max="7" width="13.85546875" style="2" bestFit="1" customWidth="1"/>
    <col min="8" max="8" width="12.42578125" style="2" bestFit="1" customWidth="1"/>
    <col min="9" max="9" width="7" style="2" bestFit="1" customWidth="1"/>
    <col min="10" max="10" width="9.140625" style="2"/>
    <col min="11" max="11" width="7.5703125" style="2" bestFit="1" customWidth="1"/>
    <col min="12" max="12" width="9" style="2" bestFit="1" customWidth="1"/>
    <col min="13" max="13" width="6" style="2" bestFit="1" customWidth="1"/>
    <col min="14" max="14" width="4.85546875" style="2" bestFit="1" customWidth="1"/>
    <col min="15" max="15" width="4" style="2" bestFit="1" customWidth="1"/>
    <col min="16" max="16" width="13.85546875" style="2" bestFit="1" customWidth="1"/>
    <col min="17" max="17" width="5" style="2" bestFit="1" customWidth="1"/>
    <col min="18" max="18" width="13.85546875" style="2" bestFit="1" customWidth="1"/>
    <col min="19" max="20" width="9.140625" style="2"/>
    <col min="21" max="21" width="49.85546875" style="2" bestFit="1" customWidth="1"/>
    <col min="22" max="16384" width="9.140625" style="2"/>
  </cols>
  <sheetData>
    <row r="1" spans="1:21" ht="15.75" x14ac:dyDescent="0.25">
      <c r="G1" s="75" t="s">
        <v>2</v>
      </c>
      <c r="H1" s="75">
        <v>12</v>
      </c>
      <c r="K1" s="177"/>
      <c r="L1" s="177"/>
      <c r="M1" s="177"/>
      <c r="N1" s="177"/>
      <c r="U1" s="35" t="s">
        <v>57</v>
      </c>
    </row>
    <row r="2" spans="1:21" ht="15.75" x14ac:dyDescent="0.25">
      <c r="A2" s="150" t="s">
        <v>150</v>
      </c>
      <c r="B2" s="150"/>
      <c r="C2" s="150"/>
      <c r="D2" s="150"/>
      <c r="E2" s="76"/>
      <c r="F2" s="76"/>
      <c r="G2" s="75" t="s">
        <v>35</v>
      </c>
      <c r="H2" s="75">
        <v>4.2</v>
      </c>
      <c r="I2" s="76"/>
      <c r="L2" s="150" t="s">
        <v>152</v>
      </c>
      <c r="M2" s="150"/>
      <c r="N2" s="150"/>
      <c r="O2" s="150"/>
    </row>
    <row r="3" spans="1:21" x14ac:dyDescent="0.25">
      <c r="A3" s="171" t="s">
        <v>134</v>
      </c>
      <c r="B3" s="172"/>
      <c r="C3" s="172"/>
      <c r="D3" s="108"/>
      <c r="L3" s="171" t="s">
        <v>134</v>
      </c>
      <c r="M3" s="172"/>
      <c r="N3" s="172"/>
      <c r="O3" s="108"/>
    </row>
    <row r="4" spans="1:21" x14ac:dyDescent="0.25">
      <c r="A4" s="73" t="s">
        <v>2</v>
      </c>
      <c r="B4" s="8">
        <v>9.92</v>
      </c>
      <c r="C4" s="73" t="s">
        <v>3</v>
      </c>
      <c r="D4" s="73">
        <v>10</v>
      </c>
      <c r="L4" s="73" t="s">
        <v>2</v>
      </c>
      <c r="M4" s="8">
        <v>9.92</v>
      </c>
      <c r="N4" s="73" t="s">
        <v>3</v>
      </c>
      <c r="O4" s="73">
        <v>10</v>
      </c>
    </row>
    <row r="5" spans="1:21" x14ac:dyDescent="0.25">
      <c r="A5" s="73" t="s">
        <v>35</v>
      </c>
      <c r="B5" s="73">
        <v>3.91</v>
      </c>
      <c r="C5" s="73" t="s">
        <v>3</v>
      </c>
      <c r="D5" s="73"/>
      <c r="L5" s="73" t="s">
        <v>35</v>
      </c>
      <c r="M5" s="73">
        <v>3.91</v>
      </c>
      <c r="N5" s="73" t="s">
        <v>3</v>
      </c>
      <c r="O5" s="73">
        <v>3.9209999999999998</v>
      </c>
    </row>
    <row r="6" spans="1:21" x14ac:dyDescent="0.25">
      <c r="A6" s="173" t="s">
        <v>23</v>
      </c>
      <c r="B6" s="174"/>
      <c r="C6" s="174"/>
      <c r="D6" s="107"/>
      <c r="L6" s="173" t="s">
        <v>23</v>
      </c>
      <c r="M6" s="174"/>
      <c r="N6" s="174"/>
      <c r="O6" s="107"/>
    </row>
    <row r="7" spans="1:21" x14ac:dyDescent="0.25">
      <c r="A7" s="73" t="s">
        <v>83</v>
      </c>
      <c r="B7" s="73">
        <v>0</v>
      </c>
      <c r="C7" s="73" t="s">
        <v>14</v>
      </c>
      <c r="D7" s="73"/>
      <c r="L7" s="73" t="s">
        <v>83</v>
      </c>
      <c r="M7" s="72">
        <v>0.187</v>
      </c>
      <c r="N7" s="73" t="s">
        <v>14</v>
      </c>
      <c r="O7" s="73"/>
    </row>
    <row r="8" spans="1:21" x14ac:dyDescent="0.25">
      <c r="A8" s="73" t="s">
        <v>146</v>
      </c>
      <c r="B8" s="73">
        <f>3*10^-6</f>
        <v>3.0000000000000001E-6</v>
      </c>
      <c r="C8" s="73" t="s">
        <v>14</v>
      </c>
      <c r="D8" s="73"/>
      <c r="E8" s="2" t="s">
        <v>149</v>
      </c>
      <c r="L8" s="73" t="s">
        <v>146</v>
      </c>
      <c r="M8" s="72">
        <v>2.5319999999999999E-2</v>
      </c>
      <c r="N8" s="73" t="s">
        <v>14</v>
      </c>
      <c r="O8" s="73"/>
      <c r="P8" s="2" t="s">
        <v>149</v>
      </c>
    </row>
    <row r="9" spans="1:21" x14ac:dyDescent="0.25">
      <c r="A9" s="73" t="s">
        <v>11</v>
      </c>
      <c r="B9" s="73">
        <f>2.4*10^-3</f>
        <v>2.3999999999999998E-3</v>
      </c>
      <c r="C9" s="73" t="s">
        <v>3</v>
      </c>
      <c r="D9" s="73"/>
      <c r="E9" s="73">
        <v>3.35</v>
      </c>
      <c r="L9" s="73" t="s">
        <v>11</v>
      </c>
      <c r="M9" s="72">
        <f>32*10^-3</f>
        <v>3.2000000000000001E-2</v>
      </c>
      <c r="N9" s="73" t="s">
        <v>3</v>
      </c>
      <c r="O9" s="73"/>
      <c r="P9" s="73"/>
    </row>
    <row r="10" spans="1:21" x14ac:dyDescent="0.25">
      <c r="A10" s="73" t="s">
        <v>4</v>
      </c>
      <c r="B10" s="73">
        <v>0.48299999999999998</v>
      </c>
      <c r="C10" s="73" t="s">
        <v>3</v>
      </c>
      <c r="D10" s="73"/>
      <c r="E10" s="73">
        <v>3.52</v>
      </c>
      <c r="L10" s="73" t="s">
        <v>4</v>
      </c>
      <c r="M10" s="72">
        <v>0.80800000000000005</v>
      </c>
      <c r="N10" s="73" t="s">
        <v>3</v>
      </c>
      <c r="O10" s="73"/>
      <c r="P10" s="73"/>
    </row>
    <row r="11" spans="1:21" x14ac:dyDescent="0.25">
      <c r="A11" s="175" t="s">
        <v>70</v>
      </c>
      <c r="B11" s="176"/>
      <c r="C11" s="176"/>
      <c r="D11" s="109"/>
      <c r="L11" s="175" t="s">
        <v>70</v>
      </c>
      <c r="M11" s="176"/>
      <c r="N11" s="176"/>
      <c r="O11" s="109"/>
    </row>
    <row r="12" spans="1:21" x14ac:dyDescent="0.25">
      <c r="A12" s="73" t="s">
        <v>144</v>
      </c>
      <c r="B12" s="73">
        <v>9.92</v>
      </c>
      <c r="C12" s="73" t="s">
        <v>3</v>
      </c>
      <c r="D12" s="73"/>
      <c r="L12" s="73" t="s">
        <v>144</v>
      </c>
      <c r="M12" s="73">
        <v>9.92</v>
      </c>
      <c r="N12" s="73" t="s">
        <v>3</v>
      </c>
      <c r="O12" s="73"/>
    </row>
    <row r="13" spans="1:21" x14ac:dyDescent="0.25">
      <c r="A13" s="73" t="s">
        <v>145</v>
      </c>
      <c r="B13" s="73">
        <v>4.99</v>
      </c>
      <c r="C13" s="73" t="s">
        <v>3</v>
      </c>
      <c r="D13" s="73"/>
      <c r="L13" s="73" t="s">
        <v>145</v>
      </c>
      <c r="M13" s="73">
        <v>5</v>
      </c>
      <c r="N13" s="73" t="s">
        <v>3</v>
      </c>
      <c r="O13" s="73"/>
    </row>
    <row r="14" spans="1:21" x14ac:dyDescent="0.25">
      <c r="A14" s="168" t="s">
        <v>147</v>
      </c>
      <c r="B14" s="169"/>
      <c r="C14" s="169"/>
      <c r="D14" s="110"/>
      <c r="L14" s="168" t="s">
        <v>147</v>
      </c>
      <c r="M14" s="169"/>
      <c r="N14" s="169"/>
      <c r="O14" s="110"/>
    </row>
    <row r="15" spans="1:21" x14ac:dyDescent="0.25">
      <c r="A15" s="73" t="s">
        <v>129</v>
      </c>
      <c r="B15" s="73">
        <v>4.9800000000000004</v>
      </c>
      <c r="C15" s="73" t="s">
        <v>3</v>
      </c>
      <c r="D15" s="73"/>
      <c r="L15" s="73" t="s">
        <v>129</v>
      </c>
      <c r="M15" s="73">
        <v>4.8499999999999996</v>
      </c>
      <c r="N15" s="73" t="s">
        <v>3</v>
      </c>
      <c r="O15" s="73"/>
    </row>
    <row r="16" spans="1:21" s="99" customFormat="1" ht="15" customHeight="1" x14ac:dyDescent="0.25">
      <c r="A16" s="4" t="s">
        <v>61</v>
      </c>
      <c r="B16" s="4">
        <v>3.91</v>
      </c>
      <c r="C16" s="4" t="s">
        <v>3</v>
      </c>
      <c r="D16" s="4"/>
      <c r="L16" s="4" t="s">
        <v>61</v>
      </c>
      <c r="M16" s="4">
        <v>3.1070000000000002</v>
      </c>
      <c r="N16" s="4" t="s">
        <v>3</v>
      </c>
      <c r="O16" s="4"/>
    </row>
    <row r="17" spans="1:25" ht="15" customHeight="1" x14ac:dyDescent="0.25">
      <c r="A17" s="78" t="s">
        <v>60</v>
      </c>
      <c r="B17" s="73">
        <v>1.62</v>
      </c>
      <c r="C17" s="73" t="s">
        <v>3</v>
      </c>
      <c r="D17" s="73"/>
      <c r="L17" s="78" t="s">
        <v>60</v>
      </c>
      <c r="M17" s="73">
        <v>1.629</v>
      </c>
      <c r="N17" s="73" t="s">
        <v>3</v>
      </c>
      <c r="O17" s="73"/>
    </row>
    <row r="18" spans="1:25" s="99" customFormat="1" x14ac:dyDescent="0.25">
      <c r="A18" s="4" t="s">
        <v>62</v>
      </c>
      <c r="B18" s="4">
        <v>4.43</v>
      </c>
      <c r="C18" s="4" t="s">
        <v>3</v>
      </c>
      <c r="D18" s="4"/>
      <c r="L18" s="4" t="s">
        <v>62</v>
      </c>
      <c r="M18" s="4">
        <v>4.8499999999999996</v>
      </c>
      <c r="N18" s="4" t="s">
        <v>3</v>
      </c>
      <c r="O18" s="4"/>
    </row>
    <row r="19" spans="1:25" ht="15" customHeight="1" x14ac:dyDescent="0.25">
      <c r="K19" s="10"/>
      <c r="L19" s="10"/>
      <c r="M19" s="10"/>
      <c r="N19" s="10"/>
      <c r="O19" s="10"/>
      <c r="V19" s="73"/>
      <c r="W19" s="73"/>
      <c r="X19" s="73"/>
      <c r="Y19" s="73"/>
    </row>
    <row r="20" spans="1:25" ht="15" customHeight="1" x14ac:dyDescent="0.25"/>
    <row r="21" spans="1:25" ht="15.75" x14ac:dyDescent="0.25">
      <c r="A21" s="76"/>
      <c r="B21" s="76"/>
      <c r="C21" s="76"/>
    </row>
    <row r="22" spans="1:25" ht="15.75" x14ac:dyDescent="0.25">
      <c r="B22" s="76"/>
      <c r="C22" s="76"/>
      <c r="D22" s="2" t="s">
        <v>179</v>
      </c>
      <c r="E22" s="2" t="s">
        <v>180</v>
      </c>
    </row>
    <row r="23" spans="1:25" ht="15.75" x14ac:dyDescent="0.25">
      <c r="B23" s="76"/>
      <c r="C23" s="76"/>
    </row>
    <row r="24" spans="1:25" ht="15.75" x14ac:dyDescent="0.25">
      <c r="B24" s="76"/>
      <c r="C24" s="76"/>
    </row>
    <row r="28" spans="1:25" ht="15.75" x14ac:dyDescent="0.25">
      <c r="A28" s="22"/>
      <c r="B28" s="22"/>
      <c r="C28" s="22"/>
      <c r="D28" s="22" t="s">
        <v>64</v>
      </c>
      <c r="E28" s="38"/>
      <c r="F28" s="22"/>
      <c r="G28" s="22"/>
      <c r="H28" s="22"/>
      <c r="I28" s="22"/>
      <c r="K28" s="165" t="s">
        <v>8</v>
      </c>
      <c r="L28" s="73">
        <v>15.7</v>
      </c>
      <c r="M28" s="73">
        <v>25.2</v>
      </c>
      <c r="N28" s="73" t="s">
        <v>78</v>
      </c>
    </row>
    <row r="29" spans="1:25" ht="15.75" x14ac:dyDescent="0.25">
      <c r="A29" s="76"/>
      <c r="B29" s="76"/>
      <c r="C29" s="76"/>
      <c r="D29" s="76"/>
      <c r="E29" s="15"/>
      <c r="F29" s="76"/>
      <c r="G29" s="29">
        <v>1</v>
      </c>
      <c r="H29" s="75" t="s">
        <v>40</v>
      </c>
      <c r="I29" s="75">
        <v>5</v>
      </c>
      <c r="K29" s="165"/>
      <c r="L29" s="150">
        <v>15</v>
      </c>
      <c r="M29" s="150"/>
      <c r="N29" s="73" t="s">
        <v>130</v>
      </c>
    </row>
    <row r="30" spans="1:25" ht="15.75" x14ac:dyDescent="0.25">
      <c r="A30" s="76"/>
      <c r="B30" s="76"/>
      <c r="C30" s="88" t="s">
        <v>139</v>
      </c>
      <c r="D30" s="76"/>
      <c r="E30" s="76"/>
      <c r="F30" s="76"/>
      <c r="G30" s="76"/>
      <c r="H30" s="76"/>
      <c r="I30" s="76"/>
      <c r="K30" s="165"/>
      <c r="L30" s="73" t="s">
        <v>140</v>
      </c>
      <c r="M30" s="73" t="s">
        <v>141</v>
      </c>
      <c r="N30" s="150"/>
    </row>
    <row r="31" spans="1:25" ht="15.75" x14ac:dyDescent="0.25">
      <c r="A31" s="152" t="s">
        <v>36</v>
      </c>
      <c r="B31" s="152"/>
      <c r="C31" s="170">
        <v>4.2</v>
      </c>
      <c r="D31" s="75" t="s">
        <v>54</v>
      </c>
      <c r="E31" s="77">
        <v>8400</v>
      </c>
      <c r="F31" s="76" t="s">
        <v>48</v>
      </c>
      <c r="G31" s="28" t="s">
        <v>41</v>
      </c>
      <c r="H31" s="75" t="s">
        <v>43</v>
      </c>
      <c r="I31" s="37">
        <f>I29*2/3</f>
        <v>3.3333333333333335</v>
      </c>
      <c r="K31" s="165"/>
      <c r="L31" s="150" t="s">
        <v>142</v>
      </c>
      <c r="M31" s="150"/>
      <c r="N31" s="150"/>
    </row>
    <row r="32" spans="1:25" ht="15.75" x14ac:dyDescent="0.25">
      <c r="A32" s="152"/>
      <c r="B32" s="152"/>
      <c r="C32" s="170"/>
      <c r="D32" s="75" t="s">
        <v>53</v>
      </c>
      <c r="E32" s="26">
        <f>(I31*E31)/(C31-I31)</f>
        <v>32307.692307692305</v>
      </c>
      <c r="F32" s="76"/>
      <c r="G32" s="76"/>
      <c r="H32" s="76"/>
      <c r="I32" s="76"/>
      <c r="K32" s="165"/>
      <c r="L32" s="166"/>
      <c r="M32" s="167"/>
      <c r="N32" s="73" t="s">
        <v>143</v>
      </c>
    </row>
    <row r="33" spans="1:16" ht="15.75" x14ac:dyDescent="0.25">
      <c r="A33" s="76"/>
      <c r="B33" s="76"/>
      <c r="C33" s="76"/>
      <c r="D33" s="76"/>
      <c r="E33" s="76"/>
      <c r="F33" s="76"/>
      <c r="G33" s="76"/>
      <c r="H33" s="76"/>
      <c r="I33" s="76"/>
      <c r="K33" s="165"/>
      <c r="L33" s="166"/>
      <c r="M33" s="167"/>
      <c r="N33" s="73" t="s">
        <v>14</v>
      </c>
    </row>
    <row r="34" spans="1:16" ht="15.75" x14ac:dyDescent="0.25">
      <c r="A34" s="152" t="s">
        <v>37</v>
      </c>
      <c r="B34" s="152"/>
      <c r="C34" s="163">
        <v>4</v>
      </c>
      <c r="D34" s="75" t="s">
        <v>54</v>
      </c>
      <c r="E34" s="77">
        <v>7970</v>
      </c>
      <c r="F34" s="76" t="s">
        <v>49</v>
      </c>
      <c r="G34" s="28" t="s">
        <v>42</v>
      </c>
      <c r="H34" s="75" t="s">
        <v>44</v>
      </c>
      <c r="I34" s="37">
        <f>I29/3</f>
        <v>1.6666666666666667</v>
      </c>
      <c r="K34" s="165" t="s">
        <v>9</v>
      </c>
      <c r="L34" s="73" t="s">
        <v>31</v>
      </c>
      <c r="M34" s="73">
        <v>5</v>
      </c>
      <c r="N34" s="73" t="s">
        <v>78</v>
      </c>
      <c r="O34" s="2" t="s">
        <v>104</v>
      </c>
      <c r="P34" s="91" t="s">
        <v>148</v>
      </c>
    </row>
    <row r="35" spans="1:16" ht="15.75" x14ac:dyDescent="0.25">
      <c r="A35" s="152"/>
      <c r="B35" s="152"/>
      <c r="C35" s="164"/>
      <c r="D35" s="75" t="s">
        <v>53</v>
      </c>
      <c r="E35" s="26">
        <f>(I34*E34)/(C34-I34)</f>
        <v>5692.857142857144</v>
      </c>
      <c r="F35" s="76"/>
      <c r="G35" s="89"/>
      <c r="H35" s="76"/>
      <c r="I35" s="76"/>
      <c r="K35" s="165"/>
      <c r="L35" s="150">
        <v>0.25</v>
      </c>
      <c r="M35" s="150"/>
      <c r="N35" s="73" t="s">
        <v>130</v>
      </c>
    </row>
    <row r="36" spans="1:16" ht="15.75" x14ac:dyDescent="0.25">
      <c r="A36" s="76"/>
      <c r="B36" s="76"/>
      <c r="C36" s="76"/>
      <c r="D36" s="76"/>
      <c r="E36" s="76"/>
      <c r="F36" s="76"/>
      <c r="G36" s="76"/>
      <c r="H36" s="76"/>
      <c r="I36" s="76"/>
      <c r="K36" s="165"/>
      <c r="L36" s="73" t="s">
        <v>140</v>
      </c>
      <c r="M36" s="73" t="s">
        <v>141</v>
      </c>
      <c r="N36" s="150"/>
    </row>
    <row r="37" spans="1:16" x14ac:dyDescent="0.25">
      <c r="K37" s="165"/>
      <c r="L37" s="150" t="s">
        <v>142</v>
      </c>
      <c r="M37" s="150"/>
      <c r="N37" s="150"/>
    </row>
    <row r="38" spans="1:16" x14ac:dyDescent="0.25">
      <c r="K38" s="165"/>
      <c r="L38" s="166" t="s">
        <v>31</v>
      </c>
      <c r="M38" s="167"/>
      <c r="N38" s="73" t="s">
        <v>143</v>
      </c>
    </row>
    <row r="39" spans="1:16" ht="15.75" x14ac:dyDescent="0.25">
      <c r="E39" s="77" t="s">
        <v>18</v>
      </c>
      <c r="K39" s="165"/>
      <c r="L39" s="166" t="s">
        <v>31</v>
      </c>
      <c r="M39" s="167"/>
      <c r="N39" s="73" t="s">
        <v>14</v>
      </c>
    </row>
    <row r="40" spans="1:16" ht="15.75" x14ac:dyDescent="0.25">
      <c r="E40" s="75"/>
    </row>
    <row r="41" spans="1:16" ht="15.75" x14ac:dyDescent="0.25">
      <c r="E41" s="27" t="s">
        <v>47</v>
      </c>
    </row>
    <row r="50" spans="1:18" x14ac:dyDescent="0.25">
      <c r="B50" s="99"/>
      <c r="C50" s="99"/>
      <c r="D50" s="99"/>
      <c r="E50" s="99"/>
      <c r="F50" s="99" t="s">
        <v>178</v>
      </c>
      <c r="G50" s="99"/>
      <c r="H50" s="99"/>
      <c r="I50" s="99"/>
      <c r="J50" s="99"/>
      <c r="K50" s="99"/>
      <c r="L50" s="99"/>
      <c r="M50" s="99"/>
      <c r="N50" s="99"/>
      <c r="O50" s="99"/>
    </row>
    <row r="52" spans="1:18" ht="15.75" x14ac:dyDescent="0.25">
      <c r="A52" s="118"/>
      <c r="B52" s="118"/>
      <c r="C52" s="118"/>
      <c r="D52" s="118"/>
      <c r="E52" s="118"/>
      <c r="F52" s="118"/>
      <c r="G52" s="114" t="s">
        <v>2</v>
      </c>
      <c r="H52" s="114">
        <v>12</v>
      </c>
      <c r="I52" s="118"/>
      <c r="J52" s="118"/>
      <c r="K52" s="177"/>
      <c r="L52" s="177"/>
      <c r="M52" s="177"/>
      <c r="N52" s="177"/>
      <c r="O52" s="118"/>
      <c r="P52" s="118"/>
      <c r="Q52" s="118"/>
      <c r="R52" s="118"/>
    </row>
    <row r="53" spans="1:18" ht="15.75" x14ac:dyDescent="0.25">
      <c r="A53" s="150" t="s">
        <v>150</v>
      </c>
      <c r="B53" s="150"/>
      <c r="C53" s="150"/>
      <c r="D53" s="150"/>
      <c r="E53" s="115"/>
      <c r="F53" s="115"/>
      <c r="G53" s="114" t="s">
        <v>35</v>
      </c>
      <c r="H53" s="114">
        <v>4.2</v>
      </c>
      <c r="I53" s="115"/>
      <c r="J53" s="118"/>
      <c r="K53" s="118"/>
      <c r="L53" s="150" t="s">
        <v>152</v>
      </c>
      <c r="M53" s="150"/>
      <c r="N53" s="150"/>
      <c r="O53" s="150"/>
      <c r="P53" s="118"/>
      <c r="Q53" s="118"/>
      <c r="R53" s="118"/>
    </row>
    <row r="54" spans="1:18" x14ac:dyDescent="0.25">
      <c r="A54" s="171" t="s">
        <v>134</v>
      </c>
      <c r="B54" s="172"/>
      <c r="C54" s="172"/>
      <c r="D54" s="108"/>
      <c r="E54" s="118"/>
      <c r="F54" s="118"/>
      <c r="G54" s="118"/>
      <c r="H54" s="118"/>
      <c r="I54" s="118"/>
      <c r="J54" s="118"/>
      <c r="K54" s="118"/>
      <c r="L54" s="171" t="s">
        <v>134</v>
      </c>
      <c r="M54" s="172"/>
      <c r="N54" s="172"/>
      <c r="O54" s="108"/>
      <c r="P54" s="118"/>
      <c r="Q54" s="118"/>
      <c r="R54" s="118"/>
    </row>
    <row r="55" spans="1:18" x14ac:dyDescent="0.25">
      <c r="A55" s="112" t="s">
        <v>2</v>
      </c>
      <c r="B55" s="8">
        <v>9.92</v>
      </c>
      <c r="C55" s="112" t="s">
        <v>3</v>
      </c>
      <c r="D55" s="112">
        <v>10</v>
      </c>
      <c r="E55" s="118"/>
      <c r="F55" s="118"/>
      <c r="G55" s="118"/>
      <c r="H55" s="118"/>
      <c r="I55" s="118"/>
      <c r="J55" s="118"/>
      <c r="K55" s="118"/>
      <c r="L55" s="112" t="s">
        <v>2</v>
      </c>
      <c r="M55" s="8">
        <v>9.92</v>
      </c>
      <c r="N55" s="112" t="s">
        <v>3</v>
      </c>
      <c r="O55" s="112">
        <v>10</v>
      </c>
      <c r="P55" s="118"/>
      <c r="Q55" s="118"/>
      <c r="R55" s="118"/>
    </row>
    <row r="56" spans="1:18" x14ac:dyDescent="0.25">
      <c r="A56" s="112" t="s">
        <v>35</v>
      </c>
      <c r="B56" s="112">
        <v>3.91</v>
      </c>
      <c r="C56" s="112" t="s">
        <v>3</v>
      </c>
      <c r="D56" s="112"/>
      <c r="E56" s="118"/>
      <c r="F56" s="118"/>
      <c r="G56" s="118"/>
      <c r="H56" s="118"/>
      <c r="I56" s="118"/>
      <c r="J56" s="118"/>
      <c r="K56" s="118"/>
      <c r="L56" s="112" t="s">
        <v>35</v>
      </c>
      <c r="M56" s="112">
        <v>3.91</v>
      </c>
      <c r="N56" s="112" t="s">
        <v>3</v>
      </c>
      <c r="O56" s="112">
        <v>3.9209999999999998</v>
      </c>
      <c r="P56" s="118"/>
      <c r="Q56" s="118"/>
      <c r="R56" s="118"/>
    </row>
    <row r="57" spans="1:18" x14ac:dyDescent="0.25">
      <c r="A57" s="173" t="s">
        <v>23</v>
      </c>
      <c r="B57" s="174"/>
      <c r="C57" s="174"/>
      <c r="D57" s="107"/>
      <c r="E57" s="118"/>
      <c r="F57" s="118"/>
      <c r="G57" s="118"/>
      <c r="H57" s="118"/>
      <c r="I57" s="118"/>
      <c r="J57" s="118"/>
      <c r="K57" s="118"/>
      <c r="L57" s="173" t="s">
        <v>23</v>
      </c>
      <c r="M57" s="174"/>
      <c r="N57" s="174"/>
      <c r="O57" s="107"/>
      <c r="P57" s="118"/>
      <c r="Q57" s="118"/>
      <c r="R57" s="118"/>
    </row>
    <row r="58" spans="1:18" x14ac:dyDescent="0.25">
      <c r="A58" s="112" t="s">
        <v>83</v>
      </c>
      <c r="B58" s="112">
        <v>0</v>
      </c>
      <c r="C58" s="112" t="s">
        <v>14</v>
      </c>
      <c r="D58" s="112"/>
      <c r="E58" s="118"/>
      <c r="F58" s="118"/>
      <c r="G58" s="118"/>
      <c r="H58" s="118"/>
      <c r="I58" s="118"/>
      <c r="J58" s="118"/>
      <c r="K58" s="118"/>
      <c r="L58" s="112" t="s">
        <v>83</v>
      </c>
      <c r="M58" s="72">
        <v>0.187</v>
      </c>
      <c r="N58" s="112" t="s">
        <v>14</v>
      </c>
      <c r="O58" s="112"/>
      <c r="P58" s="118"/>
      <c r="Q58" s="118"/>
      <c r="R58" s="118"/>
    </row>
    <row r="59" spans="1:18" x14ac:dyDescent="0.25">
      <c r="A59" s="112" t="s">
        <v>146</v>
      </c>
      <c r="B59" s="112">
        <f>3*10^-6</f>
        <v>3.0000000000000001E-6</v>
      </c>
      <c r="C59" s="112" t="s">
        <v>14</v>
      </c>
      <c r="D59" s="112"/>
      <c r="E59" s="118" t="s">
        <v>149</v>
      </c>
      <c r="F59" s="118"/>
      <c r="G59" s="118"/>
      <c r="H59" s="118"/>
      <c r="I59" s="118"/>
      <c r="J59" s="118"/>
      <c r="K59" s="118"/>
      <c r="L59" s="112" t="s">
        <v>146</v>
      </c>
      <c r="M59" s="72">
        <v>2.5319999999999999E-2</v>
      </c>
      <c r="N59" s="112" t="s">
        <v>14</v>
      </c>
      <c r="O59" s="112"/>
      <c r="P59" s="118" t="s">
        <v>149</v>
      </c>
      <c r="Q59" s="118"/>
      <c r="R59" s="118"/>
    </row>
    <row r="60" spans="1:18" x14ac:dyDescent="0.25">
      <c r="A60" s="112" t="s">
        <v>11</v>
      </c>
      <c r="B60" s="112">
        <v>6.23</v>
      </c>
      <c r="C60" s="112" t="s">
        <v>3</v>
      </c>
      <c r="D60" s="112"/>
      <c r="E60" s="112">
        <v>3.35</v>
      </c>
      <c r="F60" s="118"/>
      <c r="G60" s="118"/>
      <c r="H60" s="118"/>
      <c r="I60" s="118"/>
      <c r="J60" s="118"/>
      <c r="K60" s="118"/>
      <c r="L60" s="112" t="s">
        <v>11</v>
      </c>
      <c r="M60" s="72">
        <f>32*10^-3</f>
        <v>3.2000000000000001E-2</v>
      </c>
      <c r="N60" s="112" t="s">
        <v>3</v>
      </c>
      <c r="O60" s="112"/>
      <c r="P60" s="112"/>
      <c r="Q60" s="118"/>
      <c r="R60" s="118"/>
    </row>
    <row r="61" spans="1:18" x14ac:dyDescent="0.25">
      <c r="A61" s="112" t="s">
        <v>4</v>
      </c>
      <c r="B61" s="112">
        <v>0.56999999999999995</v>
      </c>
      <c r="C61" s="112" t="s">
        <v>3</v>
      </c>
      <c r="D61" s="112"/>
      <c r="E61" s="112">
        <v>3.52</v>
      </c>
      <c r="F61" s="118"/>
      <c r="G61" s="118"/>
      <c r="H61" s="118"/>
      <c r="I61" s="118"/>
      <c r="J61" s="118"/>
      <c r="K61" s="118"/>
      <c r="L61" s="112" t="s">
        <v>4</v>
      </c>
      <c r="M61" s="72">
        <v>0.80800000000000005</v>
      </c>
      <c r="N61" s="112" t="s">
        <v>3</v>
      </c>
      <c r="O61" s="112"/>
      <c r="P61" s="112"/>
      <c r="Q61" s="118"/>
      <c r="R61" s="118"/>
    </row>
    <row r="62" spans="1:18" x14ac:dyDescent="0.25">
      <c r="A62" s="175" t="s">
        <v>70</v>
      </c>
      <c r="B62" s="176"/>
      <c r="C62" s="176"/>
      <c r="D62" s="109"/>
      <c r="E62" s="118"/>
      <c r="F62" s="118"/>
      <c r="G62" s="118"/>
      <c r="H62" s="118"/>
      <c r="I62" s="118"/>
      <c r="J62" s="118"/>
      <c r="K62" s="118"/>
      <c r="L62" s="175" t="s">
        <v>70</v>
      </c>
      <c r="M62" s="176"/>
      <c r="N62" s="176"/>
      <c r="O62" s="109"/>
      <c r="P62" s="118"/>
      <c r="Q62" s="118"/>
      <c r="R62" s="118"/>
    </row>
    <row r="63" spans="1:18" x14ac:dyDescent="0.25">
      <c r="A63" s="112" t="s">
        <v>144</v>
      </c>
      <c r="B63" s="112">
        <v>9.92</v>
      </c>
      <c r="C63" s="112" t="s">
        <v>3</v>
      </c>
      <c r="D63" s="112"/>
      <c r="E63" s="118"/>
      <c r="F63" s="118"/>
      <c r="G63" s="118"/>
      <c r="H63" s="118"/>
      <c r="I63" s="118"/>
      <c r="J63" s="118"/>
      <c r="K63" s="118"/>
      <c r="L63" s="112" t="s">
        <v>144</v>
      </c>
      <c r="M63" s="112">
        <v>9.92</v>
      </c>
      <c r="N63" s="112" t="s">
        <v>3</v>
      </c>
      <c r="O63" s="112"/>
      <c r="P63" s="118"/>
      <c r="Q63" s="118"/>
      <c r="R63" s="118"/>
    </row>
    <row r="64" spans="1:18" x14ac:dyDescent="0.25">
      <c r="A64" s="112" t="s">
        <v>145</v>
      </c>
      <c r="B64" s="112">
        <v>4.99</v>
      </c>
      <c r="C64" s="112" t="s">
        <v>3</v>
      </c>
      <c r="D64" s="112"/>
      <c r="E64" s="118"/>
      <c r="F64" s="118"/>
      <c r="G64" s="118"/>
      <c r="H64" s="118"/>
      <c r="I64" s="118"/>
      <c r="J64" s="118"/>
      <c r="K64" s="118"/>
      <c r="L64" s="112" t="s">
        <v>145</v>
      </c>
      <c r="M64" s="112">
        <v>5</v>
      </c>
      <c r="N64" s="112" t="s">
        <v>3</v>
      </c>
      <c r="O64" s="112"/>
      <c r="P64" s="118"/>
      <c r="Q64" s="118"/>
      <c r="R64" s="118"/>
    </row>
    <row r="65" spans="1:18" x14ac:dyDescent="0.25">
      <c r="A65" s="168" t="s">
        <v>147</v>
      </c>
      <c r="B65" s="169"/>
      <c r="C65" s="169"/>
      <c r="D65" s="110"/>
      <c r="E65" s="118"/>
      <c r="F65" s="118"/>
      <c r="G65" s="118"/>
      <c r="H65" s="118"/>
      <c r="I65" s="118"/>
      <c r="J65" s="118"/>
      <c r="K65" s="118"/>
      <c r="L65" s="168" t="s">
        <v>147</v>
      </c>
      <c r="M65" s="169"/>
      <c r="N65" s="169"/>
      <c r="O65" s="110"/>
      <c r="P65" s="118"/>
      <c r="Q65" s="118"/>
      <c r="R65" s="118"/>
    </row>
    <row r="66" spans="1:18" x14ac:dyDescent="0.25">
      <c r="A66" s="112" t="s">
        <v>129</v>
      </c>
      <c r="B66" s="112">
        <v>4.9800000000000004</v>
      </c>
      <c r="C66" s="112" t="s">
        <v>3</v>
      </c>
      <c r="D66" s="112"/>
      <c r="E66" s="118"/>
      <c r="F66" s="118"/>
      <c r="G66" s="118"/>
      <c r="H66" s="118"/>
      <c r="I66" s="118"/>
      <c r="J66" s="118"/>
      <c r="K66" s="118"/>
      <c r="L66" s="112" t="s">
        <v>129</v>
      </c>
      <c r="M66" s="112">
        <v>4.8499999999999996</v>
      </c>
      <c r="N66" s="112" t="s">
        <v>3</v>
      </c>
      <c r="O66" s="112"/>
      <c r="P66" s="118"/>
      <c r="Q66" s="118"/>
      <c r="R66" s="118"/>
    </row>
    <row r="67" spans="1:18" x14ac:dyDescent="0.25">
      <c r="A67" s="4" t="s">
        <v>61</v>
      </c>
      <c r="B67" s="4">
        <v>3.91</v>
      </c>
      <c r="C67" s="4" t="s">
        <v>3</v>
      </c>
      <c r="D67" s="4"/>
      <c r="E67" s="99"/>
      <c r="F67" s="99"/>
      <c r="G67" s="99"/>
      <c r="H67" s="99"/>
      <c r="I67" s="99"/>
      <c r="J67" s="99"/>
      <c r="K67" s="99"/>
      <c r="L67" s="4" t="s">
        <v>61</v>
      </c>
      <c r="M67" s="4">
        <v>3.1070000000000002</v>
      </c>
      <c r="N67" s="4" t="s">
        <v>3</v>
      </c>
      <c r="O67" s="4"/>
      <c r="P67" s="99"/>
      <c r="Q67" s="99"/>
      <c r="R67" s="99"/>
    </row>
    <row r="68" spans="1:18" x14ac:dyDescent="0.25">
      <c r="A68" s="117" t="s">
        <v>60</v>
      </c>
      <c r="B68" s="112">
        <v>1.62</v>
      </c>
      <c r="C68" s="112" t="s">
        <v>3</v>
      </c>
      <c r="D68" s="112"/>
      <c r="E68" s="118"/>
      <c r="F68" s="118"/>
      <c r="G68" s="118"/>
      <c r="H68" s="118"/>
      <c r="I68" s="118"/>
      <c r="J68" s="118"/>
      <c r="K68" s="118"/>
      <c r="L68" s="117" t="s">
        <v>60</v>
      </c>
      <c r="M68" s="112">
        <v>1.629</v>
      </c>
      <c r="N68" s="112" t="s">
        <v>3</v>
      </c>
      <c r="O68" s="112"/>
      <c r="P68" s="118"/>
      <c r="Q68" s="118"/>
      <c r="R68" s="118"/>
    </row>
    <row r="69" spans="1:18" x14ac:dyDescent="0.25">
      <c r="A69" s="4" t="s">
        <v>62</v>
      </c>
      <c r="B69" s="4">
        <v>4.43</v>
      </c>
      <c r="C69" s="4" t="s">
        <v>3</v>
      </c>
      <c r="D69" s="4"/>
      <c r="E69" s="99"/>
      <c r="F69" s="99"/>
      <c r="G69" s="99"/>
      <c r="H69" s="99"/>
      <c r="I69" s="99"/>
      <c r="J69" s="99"/>
      <c r="K69" s="99"/>
      <c r="L69" s="4" t="s">
        <v>62</v>
      </c>
      <c r="M69" s="4">
        <v>4.8499999999999996</v>
      </c>
      <c r="N69" s="4" t="s">
        <v>3</v>
      </c>
      <c r="O69" s="4"/>
      <c r="P69" s="99"/>
      <c r="Q69" s="99"/>
      <c r="R69" s="99"/>
    </row>
    <row r="70" spans="1:18" x14ac:dyDescent="0.25">
      <c r="A70" s="118"/>
      <c r="B70" s="118"/>
      <c r="C70" s="118"/>
      <c r="D70" s="118"/>
      <c r="E70" s="118"/>
      <c r="F70" s="118"/>
      <c r="G70" s="118"/>
      <c r="H70" s="118"/>
      <c r="I70" s="118"/>
      <c r="J70" s="118"/>
      <c r="K70" s="10"/>
      <c r="L70" s="10"/>
      <c r="M70" s="10"/>
      <c r="N70" s="10"/>
      <c r="O70" s="10"/>
      <c r="P70" s="118"/>
      <c r="Q70" s="118"/>
      <c r="R70" s="118"/>
    </row>
    <row r="71" spans="1:18" x14ac:dyDescent="0.25">
      <c r="A71" s="118"/>
      <c r="B71" s="118"/>
      <c r="C71" s="118"/>
      <c r="D71" s="118"/>
      <c r="E71" s="118"/>
      <c r="F71" s="118"/>
      <c r="G71" s="118"/>
      <c r="H71" s="118"/>
      <c r="I71" s="118"/>
      <c r="J71" s="118"/>
      <c r="K71" s="118"/>
      <c r="L71" s="118"/>
      <c r="M71" s="118"/>
      <c r="N71" s="118"/>
      <c r="O71" s="118"/>
      <c r="P71" s="118"/>
      <c r="Q71" s="118"/>
      <c r="R71" s="118"/>
    </row>
    <row r="72" spans="1:18" ht="15.75" x14ac:dyDescent="0.25">
      <c r="A72" s="115"/>
      <c r="B72" s="115"/>
      <c r="C72" s="115"/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</row>
    <row r="73" spans="1:18" ht="15.75" x14ac:dyDescent="0.25">
      <c r="A73" s="118"/>
      <c r="B73" s="115"/>
      <c r="C73" s="115"/>
      <c r="D73" s="118"/>
      <c r="E73" s="118"/>
      <c r="F73" s="118"/>
      <c r="G73" s="118"/>
      <c r="H73" s="118"/>
      <c r="I73" s="118"/>
      <c r="J73" s="118"/>
      <c r="K73" s="118"/>
      <c r="L73" s="118"/>
      <c r="M73" s="118"/>
      <c r="N73" s="118"/>
      <c r="O73" s="118"/>
      <c r="P73" s="118"/>
      <c r="Q73" s="118"/>
      <c r="R73" s="118"/>
    </row>
    <row r="74" spans="1:18" ht="15.75" x14ac:dyDescent="0.25">
      <c r="A74" s="118"/>
      <c r="B74" s="115"/>
      <c r="C74" s="115"/>
      <c r="D74" s="118"/>
      <c r="E74" s="118"/>
      <c r="F74" s="118"/>
      <c r="G74" s="118"/>
      <c r="H74" s="118"/>
      <c r="I74" s="118"/>
      <c r="J74" s="118"/>
      <c r="K74" s="118"/>
      <c r="L74" s="118"/>
      <c r="M74" s="118"/>
      <c r="N74" s="118"/>
      <c r="O74" s="118"/>
      <c r="P74" s="118"/>
      <c r="Q74" s="118"/>
      <c r="R74" s="118"/>
    </row>
    <row r="75" spans="1:18" ht="15.75" x14ac:dyDescent="0.25">
      <c r="A75" s="118"/>
      <c r="B75" s="115"/>
      <c r="C75" s="115"/>
      <c r="D75" s="118"/>
      <c r="E75" s="118"/>
      <c r="F75" s="118"/>
      <c r="G75" s="118"/>
      <c r="H75" s="118"/>
      <c r="I75" s="118"/>
      <c r="J75" s="118"/>
      <c r="K75" s="118"/>
      <c r="L75" s="118"/>
      <c r="M75" s="118"/>
      <c r="N75" s="118"/>
      <c r="O75" s="118"/>
      <c r="P75" s="118"/>
      <c r="Q75" s="118"/>
      <c r="R75" s="118"/>
    </row>
    <row r="76" spans="1:18" x14ac:dyDescent="0.25">
      <c r="A76" s="118"/>
      <c r="B76" s="118"/>
      <c r="C76" s="118"/>
      <c r="D76" s="118"/>
      <c r="E76" s="118"/>
      <c r="F76" s="118"/>
      <c r="G76" s="118"/>
      <c r="H76" s="118"/>
      <c r="I76" s="118"/>
      <c r="J76" s="118"/>
      <c r="K76" s="118"/>
      <c r="L76" s="118"/>
      <c r="M76" s="118"/>
      <c r="N76" s="118"/>
      <c r="O76" s="118"/>
      <c r="P76" s="118"/>
      <c r="Q76" s="118"/>
      <c r="R76" s="118"/>
    </row>
    <row r="77" spans="1:18" x14ac:dyDescent="0.25">
      <c r="A77" s="118"/>
      <c r="B77" s="118"/>
      <c r="C77" s="118"/>
      <c r="D77" s="118"/>
      <c r="E77" s="118"/>
      <c r="F77" s="118"/>
      <c r="G77" s="118"/>
      <c r="H77" s="118"/>
      <c r="I77" s="118"/>
      <c r="J77" s="118"/>
      <c r="K77" s="118"/>
      <c r="L77" s="118"/>
      <c r="M77" s="118"/>
      <c r="N77" s="118"/>
      <c r="O77" s="118"/>
      <c r="P77" s="118"/>
      <c r="Q77" s="118"/>
      <c r="R77" s="118"/>
    </row>
    <row r="78" spans="1:18" x14ac:dyDescent="0.25">
      <c r="A78" s="118"/>
      <c r="B78" s="118"/>
      <c r="C78" s="118"/>
      <c r="D78" s="118"/>
      <c r="E78" s="118"/>
      <c r="F78" s="118"/>
      <c r="G78" s="118"/>
      <c r="H78" s="118"/>
      <c r="I78" s="118"/>
      <c r="J78" s="118"/>
      <c r="K78" s="118"/>
      <c r="L78" s="118"/>
      <c r="M78" s="118"/>
      <c r="N78" s="118"/>
      <c r="O78" s="118"/>
      <c r="P78" s="118"/>
      <c r="Q78" s="118"/>
      <c r="R78" s="118"/>
    </row>
    <row r="79" spans="1:18" ht="15.75" x14ac:dyDescent="0.25">
      <c r="A79" s="22"/>
      <c r="B79" s="22"/>
      <c r="C79" s="22"/>
      <c r="D79" s="22" t="s">
        <v>64</v>
      </c>
      <c r="E79" s="38"/>
      <c r="F79" s="22"/>
      <c r="G79" s="22"/>
      <c r="H79" s="22"/>
      <c r="I79" s="22"/>
      <c r="J79" s="118"/>
      <c r="K79" s="165" t="s">
        <v>8</v>
      </c>
      <c r="L79" s="112">
        <v>15.7</v>
      </c>
      <c r="M79" s="112">
        <v>25.2</v>
      </c>
      <c r="N79" s="112" t="s">
        <v>78</v>
      </c>
      <c r="O79" s="118"/>
      <c r="P79" s="118"/>
      <c r="Q79" s="118"/>
      <c r="R79" s="118"/>
    </row>
    <row r="80" spans="1:18" ht="15.75" x14ac:dyDescent="0.25">
      <c r="A80" s="115"/>
      <c r="B80" s="115"/>
      <c r="C80" s="115"/>
      <c r="D80" s="115"/>
      <c r="E80" s="15"/>
      <c r="F80" s="115"/>
      <c r="G80" s="29">
        <v>1</v>
      </c>
      <c r="H80" s="114" t="s">
        <v>40</v>
      </c>
      <c r="I80" s="114">
        <v>5</v>
      </c>
      <c r="J80" s="118"/>
      <c r="K80" s="165"/>
      <c r="L80" s="150">
        <v>15</v>
      </c>
      <c r="M80" s="150"/>
      <c r="N80" s="112" t="s">
        <v>130</v>
      </c>
      <c r="O80" s="118"/>
      <c r="P80" s="118"/>
      <c r="Q80" s="118"/>
      <c r="R80" s="118"/>
    </row>
    <row r="81" spans="1:18" ht="15.75" x14ac:dyDescent="0.25">
      <c r="A81" s="115"/>
      <c r="B81" s="115"/>
      <c r="C81" s="88" t="s">
        <v>139</v>
      </c>
      <c r="D81" s="115"/>
      <c r="E81" s="115"/>
      <c r="F81" s="115"/>
      <c r="G81" s="115"/>
      <c r="H81" s="115"/>
      <c r="I81" s="115"/>
      <c r="J81" s="118"/>
      <c r="K81" s="165"/>
      <c r="L81" s="112" t="s">
        <v>140</v>
      </c>
      <c r="M81" s="112" t="s">
        <v>141</v>
      </c>
      <c r="N81" s="150"/>
      <c r="O81" s="118"/>
      <c r="P81" s="118"/>
      <c r="Q81" s="118"/>
      <c r="R81" s="118"/>
    </row>
    <row r="82" spans="1:18" ht="15.75" x14ac:dyDescent="0.25">
      <c r="A82" s="152" t="s">
        <v>36</v>
      </c>
      <c r="B82" s="152"/>
      <c r="C82" s="170">
        <v>4.2</v>
      </c>
      <c r="D82" s="114" t="s">
        <v>54</v>
      </c>
      <c r="E82" s="116">
        <v>8400</v>
      </c>
      <c r="F82" s="115" t="s">
        <v>48</v>
      </c>
      <c r="G82" s="28" t="s">
        <v>41</v>
      </c>
      <c r="H82" s="114" t="s">
        <v>43</v>
      </c>
      <c r="I82" s="113">
        <f>I80*2/3</f>
        <v>3.3333333333333335</v>
      </c>
      <c r="J82" s="118"/>
      <c r="K82" s="165"/>
      <c r="L82" s="150" t="s">
        <v>142</v>
      </c>
      <c r="M82" s="150"/>
      <c r="N82" s="150"/>
      <c r="O82" s="118"/>
      <c r="P82" s="118"/>
      <c r="Q82" s="118"/>
      <c r="R82" s="118"/>
    </row>
    <row r="83" spans="1:18" ht="15.75" x14ac:dyDescent="0.25">
      <c r="A83" s="152"/>
      <c r="B83" s="152"/>
      <c r="C83" s="170"/>
      <c r="D83" s="114" t="s">
        <v>53</v>
      </c>
      <c r="E83" s="26">
        <f>(I82*E82)/(C82-I82)</f>
        <v>32307.692307692305</v>
      </c>
      <c r="F83" s="115"/>
      <c r="G83" s="115"/>
      <c r="H83" s="115"/>
      <c r="I83" s="115"/>
      <c r="J83" s="118"/>
      <c r="K83" s="165"/>
      <c r="L83" s="166"/>
      <c r="M83" s="167"/>
      <c r="N83" s="112" t="s">
        <v>143</v>
      </c>
      <c r="O83" s="118"/>
      <c r="P83" s="118"/>
      <c r="Q83" s="118"/>
      <c r="R83" s="118"/>
    </row>
    <row r="84" spans="1:18" ht="15.75" x14ac:dyDescent="0.25">
      <c r="A84" s="115"/>
      <c r="B84" s="115"/>
      <c r="C84" s="115"/>
      <c r="D84" s="115"/>
      <c r="E84" s="115"/>
      <c r="F84" s="115"/>
      <c r="G84" s="115"/>
      <c r="H84" s="115"/>
      <c r="I84" s="115"/>
      <c r="J84" s="118"/>
      <c r="K84" s="165"/>
      <c r="L84" s="166"/>
      <c r="M84" s="167"/>
      <c r="N84" s="112" t="s">
        <v>14</v>
      </c>
      <c r="O84" s="118"/>
      <c r="P84" s="118"/>
      <c r="Q84" s="118"/>
      <c r="R84" s="118"/>
    </row>
    <row r="85" spans="1:18" ht="15.75" x14ac:dyDescent="0.25">
      <c r="A85" s="152" t="s">
        <v>37</v>
      </c>
      <c r="B85" s="152"/>
      <c r="C85" s="163">
        <v>4</v>
      </c>
      <c r="D85" s="114" t="s">
        <v>54</v>
      </c>
      <c r="E85" s="116">
        <v>7970</v>
      </c>
      <c r="F85" s="115" t="s">
        <v>49</v>
      </c>
      <c r="G85" s="28" t="s">
        <v>42</v>
      </c>
      <c r="H85" s="114" t="s">
        <v>44</v>
      </c>
      <c r="I85" s="113">
        <f>I80/3</f>
        <v>1.6666666666666667</v>
      </c>
      <c r="J85" s="118"/>
      <c r="K85" s="165" t="s">
        <v>9</v>
      </c>
      <c r="L85" s="112" t="s">
        <v>31</v>
      </c>
      <c r="M85" s="112">
        <v>5</v>
      </c>
      <c r="N85" s="112" t="s">
        <v>78</v>
      </c>
      <c r="O85" s="118" t="s">
        <v>104</v>
      </c>
      <c r="P85" s="91" t="s">
        <v>148</v>
      </c>
      <c r="Q85" s="118"/>
      <c r="R85" s="118"/>
    </row>
    <row r="86" spans="1:18" ht="15.75" x14ac:dyDescent="0.25">
      <c r="A86" s="152"/>
      <c r="B86" s="152"/>
      <c r="C86" s="164"/>
      <c r="D86" s="114" t="s">
        <v>53</v>
      </c>
      <c r="E86" s="26">
        <f>(I85*E85)/(C85-I85)</f>
        <v>5692.857142857144</v>
      </c>
      <c r="F86" s="115"/>
      <c r="G86" s="89"/>
      <c r="H86" s="115"/>
      <c r="I86" s="115"/>
      <c r="J86" s="118"/>
      <c r="K86" s="165"/>
      <c r="L86" s="150">
        <v>0.25</v>
      </c>
      <c r="M86" s="150"/>
      <c r="N86" s="112" t="s">
        <v>130</v>
      </c>
      <c r="O86" s="118"/>
      <c r="P86" s="118"/>
      <c r="Q86" s="118"/>
      <c r="R86" s="118"/>
    </row>
    <row r="87" spans="1:18" ht="15.75" x14ac:dyDescent="0.25">
      <c r="A87" s="115"/>
      <c r="B87" s="115"/>
      <c r="C87" s="115"/>
      <c r="D87" s="115"/>
      <c r="E87" s="115"/>
      <c r="F87" s="115"/>
      <c r="G87" s="115"/>
      <c r="H87" s="115"/>
      <c r="I87" s="115"/>
      <c r="J87" s="118"/>
      <c r="K87" s="165"/>
      <c r="L87" s="112" t="s">
        <v>140</v>
      </c>
      <c r="M87" s="112" t="s">
        <v>141</v>
      </c>
      <c r="N87" s="150"/>
      <c r="O87" s="118"/>
      <c r="P87" s="118"/>
      <c r="Q87" s="118"/>
      <c r="R87" s="118"/>
    </row>
    <row r="88" spans="1:18" x14ac:dyDescent="0.25">
      <c r="A88" s="118"/>
      <c r="B88" s="118"/>
      <c r="C88" s="118"/>
      <c r="D88" s="118"/>
      <c r="E88" s="118"/>
      <c r="F88" s="118"/>
      <c r="G88" s="118"/>
      <c r="H88" s="118"/>
      <c r="I88" s="118"/>
      <c r="J88" s="118"/>
      <c r="K88" s="165"/>
      <c r="L88" s="150" t="s">
        <v>142</v>
      </c>
      <c r="M88" s="150"/>
      <c r="N88" s="150"/>
      <c r="O88" s="118"/>
      <c r="P88" s="118"/>
      <c r="Q88" s="118"/>
      <c r="R88" s="118"/>
    </row>
    <row r="89" spans="1:18" x14ac:dyDescent="0.25">
      <c r="A89" s="118"/>
      <c r="B89" s="118"/>
      <c r="C89" s="118"/>
      <c r="D89" s="118"/>
      <c r="E89" s="118"/>
      <c r="F89" s="118"/>
      <c r="G89" s="118"/>
      <c r="H89" s="118"/>
      <c r="I89" s="118"/>
      <c r="J89" s="118"/>
      <c r="K89" s="165"/>
      <c r="L89" s="166" t="s">
        <v>31</v>
      </c>
      <c r="M89" s="167"/>
      <c r="N89" s="112" t="s">
        <v>143</v>
      </c>
      <c r="O89" s="118"/>
      <c r="P89" s="118"/>
      <c r="Q89" s="118"/>
      <c r="R89" s="118"/>
    </row>
    <row r="90" spans="1:18" ht="15.75" x14ac:dyDescent="0.25">
      <c r="A90" s="118"/>
      <c r="B90" s="118"/>
      <c r="C90" s="118"/>
      <c r="D90" s="118"/>
      <c r="E90" s="116" t="s">
        <v>18</v>
      </c>
      <c r="F90" s="118"/>
      <c r="G90" s="118"/>
      <c r="H90" s="118"/>
      <c r="I90" s="118"/>
      <c r="J90" s="118"/>
      <c r="K90" s="165"/>
      <c r="L90" s="166" t="s">
        <v>31</v>
      </c>
      <c r="M90" s="167"/>
      <c r="N90" s="112" t="s">
        <v>14</v>
      </c>
      <c r="O90" s="118"/>
      <c r="P90" s="118"/>
      <c r="Q90" s="118"/>
      <c r="R90" s="118"/>
    </row>
    <row r="91" spans="1:18" ht="15.75" x14ac:dyDescent="0.25">
      <c r="A91" s="118"/>
      <c r="B91" s="118"/>
      <c r="C91" s="118"/>
      <c r="D91" s="118"/>
      <c r="E91" s="114"/>
      <c r="F91" s="118"/>
      <c r="G91" s="118" t="s">
        <v>183</v>
      </c>
      <c r="H91" s="118">
        <v>0.22</v>
      </c>
      <c r="I91" s="118" t="s">
        <v>6</v>
      </c>
      <c r="J91" s="118"/>
      <c r="K91" s="118"/>
      <c r="L91" s="118"/>
      <c r="M91" s="118"/>
      <c r="N91" s="118"/>
      <c r="O91" s="118"/>
      <c r="P91" s="118"/>
      <c r="Q91" s="118"/>
      <c r="R91" s="118"/>
    </row>
    <row r="92" spans="1:18" ht="15.75" x14ac:dyDescent="0.25">
      <c r="A92" s="118"/>
      <c r="B92" s="118"/>
      <c r="C92" s="118"/>
      <c r="D92" s="118"/>
      <c r="E92" s="27" t="s">
        <v>47</v>
      </c>
      <c r="F92" s="118"/>
      <c r="G92" s="118" t="s">
        <v>182</v>
      </c>
      <c r="H92" s="118">
        <f>O93</f>
        <v>15.555</v>
      </c>
      <c r="I92" s="118" t="s">
        <v>78</v>
      </c>
      <c r="J92" s="118"/>
      <c r="K92" s="118">
        <v>16</v>
      </c>
      <c r="L92" s="118">
        <v>21</v>
      </c>
      <c r="M92" s="118">
        <v>22</v>
      </c>
      <c r="N92" s="118"/>
      <c r="O92" s="118">
        <f>AVERAGE(K92:M92)</f>
        <v>19.666666666666668</v>
      </c>
      <c r="P92" s="118" t="s">
        <v>188</v>
      </c>
      <c r="Q92" s="118"/>
      <c r="R92" s="118"/>
    </row>
    <row r="93" spans="1:18" x14ac:dyDescent="0.25">
      <c r="G93" s="120" t="s">
        <v>183</v>
      </c>
      <c r="H93" s="2">
        <v>3.49</v>
      </c>
      <c r="I93" s="2" t="s">
        <v>3</v>
      </c>
      <c r="K93" s="2">
        <v>46.8</v>
      </c>
      <c r="L93" s="2">
        <v>46.7</v>
      </c>
      <c r="M93" s="2">
        <v>46.5</v>
      </c>
      <c r="N93" s="2" t="s">
        <v>190</v>
      </c>
      <c r="O93" s="2">
        <v>15.555</v>
      </c>
      <c r="P93" s="2" t="s">
        <v>189</v>
      </c>
    </row>
    <row r="95" spans="1:18" x14ac:dyDescent="0.25">
      <c r="G95" s="2" t="s">
        <v>184</v>
      </c>
      <c r="H95" s="2">
        <f>H93/H92</f>
        <v>0.22436515589842496</v>
      </c>
    </row>
    <row r="98" spans="5:14" x14ac:dyDescent="0.25">
      <c r="E98" s="119"/>
      <c r="F98" s="150" t="s">
        <v>185</v>
      </c>
      <c r="G98" s="150"/>
      <c r="H98" s="119"/>
      <c r="I98" s="119"/>
      <c r="J98" s="119"/>
      <c r="K98" s="119"/>
      <c r="L98" s="119"/>
    </row>
    <row r="99" spans="5:14" x14ac:dyDescent="0.25">
      <c r="E99" s="119" t="s">
        <v>193</v>
      </c>
      <c r="F99" s="119" t="s">
        <v>192</v>
      </c>
      <c r="G99" s="119" t="s">
        <v>191</v>
      </c>
      <c r="H99" s="119" t="s">
        <v>186</v>
      </c>
      <c r="I99" s="119" t="s">
        <v>181</v>
      </c>
      <c r="J99" s="119" t="s">
        <v>182</v>
      </c>
      <c r="K99" s="119" t="s">
        <v>183</v>
      </c>
      <c r="L99" s="119" t="s">
        <v>194</v>
      </c>
      <c r="N99" s="2" t="s">
        <v>195</v>
      </c>
    </row>
    <row r="100" spans="5:14" x14ac:dyDescent="0.25">
      <c r="E100" s="119">
        <v>1</v>
      </c>
      <c r="F100" s="119">
        <v>4</v>
      </c>
      <c r="G100" s="119">
        <v>3.95</v>
      </c>
      <c r="H100" s="119">
        <v>7.51</v>
      </c>
      <c r="I100" s="119">
        <v>15.555</v>
      </c>
      <c r="J100" s="119">
        <v>3.56</v>
      </c>
      <c r="K100" s="119">
        <f>J100/I100</f>
        <v>0.22886531661845066</v>
      </c>
      <c r="L100" s="119">
        <f>K100*J100</f>
        <v>0.81476052716168434</v>
      </c>
      <c r="N100" s="2">
        <v>25</v>
      </c>
    </row>
    <row r="101" spans="5:14" x14ac:dyDescent="0.25">
      <c r="E101" s="119">
        <v>2</v>
      </c>
      <c r="F101" s="119">
        <v>3.94</v>
      </c>
      <c r="G101" s="119">
        <v>3.91</v>
      </c>
      <c r="H101" s="119">
        <v>9.2899999999999991</v>
      </c>
      <c r="I101" s="121">
        <v>15.555</v>
      </c>
      <c r="J101" s="119">
        <v>3.35</v>
      </c>
      <c r="K101" s="121">
        <f>J101/I101</f>
        <v>0.21536483445837351</v>
      </c>
      <c r="L101" s="121">
        <f t="shared" ref="L101:L102" si="0">K101*J101</f>
        <v>0.7214721954355513</v>
      </c>
      <c r="N101" s="2">
        <v>14</v>
      </c>
    </row>
    <row r="102" spans="5:14" x14ac:dyDescent="0.25">
      <c r="E102" s="119">
        <v>3</v>
      </c>
      <c r="F102" s="119"/>
      <c r="G102" s="119">
        <v>3.88</v>
      </c>
      <c r="H102" s="119">
        <v>9.43</v>
      </c>
      <c r="I102" s="119"/>
      <c r="J102" s="119">
        <v>3.28</v>
      </c>
      <c r="K102" s="119"/>
      <c r="L102" s="121">
        <f t="shared" si="0"/>
        <v>0</v>
      </c>
      <c r="N102" s="2">
        <v>8</v>
      </c>
    </row>
    <row r="103" spans="5:14" x14ac:dyDescent="0.25">
      <c r="E103" s="121">
        <v>4</v>
      </c>
      <c r="F103" s="121"/>
      <c r="G103" s="121">
        <v>3.86</v>
      </c>
      <c r="H103" s="121">
        <v>9.51</v>
      </c>
      <c r="I103" s="121"/>
      <c r="J103" s="121"/>
      <c r="K103" s="121"/>
      <c r="L103" s="121"/>
      <c r="N103" s="2">
        <v>20</v>
      </c>
    </row>
    <row r="104" spans="5:14" x14ac:dyDescent="0.25">
      <c r="E104" s="121"/>
      <c r="F104" s="121"/>
      <c r="G104" s="121">
        <v>3.84</v>
      </c>
      <c r="H104" s="121">
        <v>10.11</v>
      </c>
      <c r="I104" s="121">
        <v>15.9</v>
      </c>
      <c r="J104" s="121">
        <v>3.21</v>
      </c>
      <c r="K104" s="121"/>
      <c r="L104" s="121"/>
    </row>
    <row r="105" spans="5:14" x14ac:dyDescent="0.25">
      <c r="E105" s="121"/>
      <c r="F105" s="121"/>
      <c r="G105" s="121"/>
      <c r="H105" s="121">
        <v>16.39</v>
      </c>
      <c r="I105" s="121"/>
      <c r="J105" s="121"/>
      <c r="K105" s="121"/>
      <c r="L105" s="121"/>
    </row>
    <row r="106" spans="5:14" x14ac:dyDescent="0.25">
      <c r="E106" s="121"/>
      <c r="F106" s="121"/>
      <c r="G106" s="121"/>
      <c r="H106" s="121"/>
      <c r="I106" s="121"/>
      <c r="J106" s="121"/>
      <c r="K106" s="121"/>
      <c r="L106" s="121"/>
    </row>
    <row r="107" spans="5:14" x14ac:dyDescent="0.25">
      <c r="E107" s="121"/>
      <c r="F107" s="121"/>
      <c r="G107" s="121"/>
      <c r="H107" s="121"/>
      <c r="I107" s="121"/>
      <c r="J107" s="121"/>
      <c r="K107" s="121"/>
      <c r="L107" s="121"/>
    </row>
    <row r="108" spans="5:14" x14ac:dyDescent="0.25">
      <c r="E108" s="121"/>
      <c r="F108" s="121"/>
      <c r="G108" s="121"/>
      <c r="H108" s="121"/>
      <c r="I108" s="121"/>
      <c r="J108" s="121"/>
      <c r="K108" s="121"/>
      <c r="L108" s="121"/>
    </row>
    <row r="109" spans="5:14" x14ac:dyDescent="0.25">
      <c r="E109" s="121"/>
      <c r="F109" s="121"/>
      <c r="G109" s="121"/>
      <c r="H109" s="121"/>
      <c r="I109" s="121"/>
      <c r="J109" s="121"/>
      <c r="K109" s="121"/>
      <c r="L109" s="121"/>
    </row>
    <row r="113" spans="5:12" x14ac:dyDescent="0.25">
      <c r="E113" s="122"/>
      <c r="F113" s="122"/>
      <c r="G113" s="122" t="s">
        <v>185</v>
      </c>
      <c r="H113" s="122" t="s">
        <v>186</v>
      </c>
      <c r="I113" s="122" t="s">
        <v>181</v>
      </c>
      <c r="J113" s="122" t="s">
        <v>182</v>
      </c>
      <c r="K113" s="122" t="s">
        <v>187</v>
      </c>
      <c r="L113" s="122" t="s">
        <v>194</v>
      </c>
    </row>
    <row r="114" spans="5:12" x14ac:dyDescent="0.25">
      <c r="E114" s="122">
        <v>1</v>
      </c>
      <c r="F114" s="122">
        <v>3.89</v>
      </c>
      <c r="G114" s="122">
        <v>3.89</v>
      </c>
      <c r="H114" s="122">
        <v>8.15</v>
      </c>
      <c r="I114" s="122">
        <v>15.555</v>
      </c>
      <c r="J114" s="122">
        <v>3.4</v>
      </c>
      <c r="K114" s="122">
        <v>0.22</v>
      </c>
      <c r="L114" s="122">
        <f>K114*J114</f>
        <v>0.748</v>
      </c>
    </row>
    <row r="115" spans="5:12" x14ac:dyDescent="0.25">
      <c r="E115" s="122">
        <v>2</v>
      </c>
      <c r="F115" s="122"/>
      <c r="G115" s="122">
        <v>4.2</v>
      </c>
      <c r="H115" s="122"/>
      <c r="I115" s="122"/>
      <c r="J115" s="122"/>
      <c r="K115" s="122"/>
      <c r="L115" s="122"/>
    </row>
  </sheetData>
  <mergeCells count="55">
    <mergeCell ref="F98:G98"/>
    <mergeCell ref="K1:N1"/>
    <mergeCell ref="L2:O2"/>
    <mergeCell ref="A2:D2"/>
    <mergeCell ref="A6:C6"/>
    <mergeCell ref="A3:C3"/>
    <mergeCell ref="L3:N3"/>
    <mergeCell ref="L6:N6"/>
    <mergeCell ref="N36:N37"/>
    <mergeCell ref="L37:M37"/>
    <mergeCell ref="K28:K33"/>
    <mergeCell ref="K34:K39"/>
    <mergeCell ref="L32:M32"/>
    <mergeCell ref="L33:M33"/>
    <mergeCell ref="L38:M38"/>
    <mergeCell ref="L39:M39"/>
    <mergeCell ref="A11:C11"/>
    <mergeCell ref="L35:M35"/>
    <mergeCell ref="K52:N52"/>
    <mergeCell ref="A53:D53"/>
    <mergeCell ref="L53:O53"/>
    <mergeCell ref="A31:B32"/>
    <mergeCell ref="C31:C32"/>
    <mergeCell ref="A34:B35"/>
    <mergeCell ref="C34:C35"/>
    <mergeCell ref="A14:C14"/>
    <mergeCell ref="L31:M31"/>
    <mergeCell ref="L29:M29"/>
    <mergeCell ref="N30:N31"/>
    <mergeCell ref="L11:N11"/>
    <mergeCell ref="L14:N14"/>
    <mergeCell ref="A54:C54"/>
    <mergeCell ref="L54:N54"/>
    <mergeCell ref="A57:C57"/>
    <mergeCell ref="L57:N57"/>
    <mergeCell ref="A62:C62"/>
    <mergeCell ref="L62:N62"/>
    <mergeCell ref="A65:C65"/>
    <mergeCell ref="L65:N65"/>
    <mergeCell ref="K79:K84"/>
    <mergeCell ref="L80:M80"/>
    <mergeCell ref="N81:N82"/>
    <mergeCell ref="A82:B83"/>
    <mergeCell ref="C82:C83"/>
    <mergeCell ref="L82:M82"/>
    <mergeCell ref="L83:M83"/>
    <mergeCell ref="L84:M84"/>
    <mergeCell ref="A85:B86"/>
    <mergeCell ref="C85:C86"/>
    <mergeCell ref="K85:K90"/>
    <mergeCell ref="L86:M86"/>
    <mergeCell ref="N87:N88"/>
    <mergeCell ref="L88:M88"/>
    <mergeCell ref="L89:M89"/>
    <mergeCell ref="L90:M9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4"/>
  <sheetViews>
    <sheetView topLeftCell="F34" workbookViewId="0">
      <selection activeCell="N47" sqref="N47:Q54"/>
    </sheetView>
  </sheetViews>
  <sheetFormatPr defaultRowHeight="15" x14ac:dyDescent="0.25"/>
  <cols>
    <col min="1" max="3" width="9.140625" style="127"/>
    <col min="4" max="5" width="12.5703125" style="127" bestFit="1" customWidth="1"/>
    <col min="6" max="6" width="17.28515625" style="127" bestFit="1" customWidth="1"/>
    <col min="7" max="16384" width="9.140625" style="127"/>
  </cols>
  <sheetData>
    <row r="1" spans="1:28" x14ac:dyDescent="0.25">
      <c r="A1" s="127" t="s">
        <v>153</v>
      </c>
    </row>
    <row r="2" spans="1:28" x14ac:dyDescent="0.25">
      <c r="A2" s="127" t="s">
        <v>154</v>
      </c>
    </row>
    <row r="3" spans="1:28" x14ac:dyDescent="0.25">
      <c r="A3" s="127" t="s">
        <v>155</v>
      </c>
    </row>
    <row r="4" spans="1:28" x14ac:dyDescent="0.25">
      <c r="A4" s="127" t="s">
        <v>159</v>
      </c>
    </row>
    <row r="9" spans="1:28" x14ac:dyDescent="0.25">
      <c r="O9" s="99"/>
      <c r="P9" s="99"/>
      <c r="Q9" s="99"/>
      <c r="R9" s="99"/>
      <c r="S9" s="99" t="s">
        <v>178</v>
      </c>
      <c r="T9" s="99"/>
      <c r="U9" s="99"/>
      <c r="V9" s="99"/>
      <c r="W9" s="99"/>
      <c r="X9" s="99"/>
      <c r="Y9" s="99"/>
      <c r="Z9" s="99"/>
      <c r="AA9" s="99"/>
      <c r="AB9" s="99"/>
    </row>
    <row r="11" spans="1:28" ht="15.75" x14ac:dyDescent="0.25">
      <c r="T11" s="125" t="s">
        <v>2</v>
      </c>
      <c r="U11" s="125">
        <v>12</v>
      </c>
      <c r="X11" s="177"/>
      <c r="Y11" s="177"/>
      <c r="Z11" s="177"/>
      <c r="AA11" s="177"/>
    </row>
    <row r="12" spans="1:28" ht="15.75" x14ac:dyDescent="0.25">
      <c r="C12" s="123"/>
      <c r="D12" s="123"/>
      <c r="E12" s="123" t="s">
        <v>185</v>
      </c>
      <c r="F12" s="123" t="s">
        <v>186</v>
      </c>
      <c r="G12" s="123" t="s">
        <v>181</v>
      </c>
      <c r="H12" s="123" t="s">
        <v>182</v>
      </c>
      <c r="I12" s="123" t="s">
        <v>187</v>
      </c>
      <c r="J12" s="123" t="s">
        <v>194</v>
      </c>
      <c r="N12" s="150" t="s">
        <v>150</v>
      </c>
      <c r="O12" s="150"/>
      <c r="P12" s="150"/>
      <c r="Q12" s="150"/>
      <c r="R12" s="124"/>
      <c r="S12" s="124"/>
      <c r="T12" s="125" t="s">
        <v>35</v>
      </c>
      <c r="U12" s="125">
        <v>4.2</v>
      </c>
      <c r="V12" s="124"/>
      <c r="Y12" s="150" t="s">
        <v>152</v>
      </c>
      <c r="Z12" s="150"/>
      <c r="AA12" s="150"/>
      <c r="AB12" s="150"/>
    </row>
    <row r="13" spans="1:28" x14ac:dyDescent="0.25">
      <c r="C13" s="123">
        <v>1</v>
      </c>
      <c r="D13" s="123">
        <v>3.9</v>
      </c>
      <c r="E13" s="123"/>
      <c r="F13" s="123" t="s">
        <v>196</v>
      </c>
      <c r="G13" s="123">
        <v>15.555</v>
      </c>
      <c r="H13" s="123">
        <v>0</v>
      </c>
      <c r="I13" s="123">
        <v>0.22</v>
      </c>
      <c r="J13" s="123">
        <f>I13*H13</f>
        <v>0</v>
      </c>
      <c r="N13" s="171" t="s">
        <v>134</v>
      </c>
      <c r="O13" s="172"/>
      <c r="P13" s="172"/>
      <c r="Q13" s="130"/>
      <c r="Y13" s="171" t="s">
        <v>134</v>
      </c>
      <c r="Z13" s="172"/>
      <c r="AA13" s="172"/>
      <c r="AB13" s="130"/>
    </row>
    <row r="14" spans="1:28" x14ac:dyDescent="0.25">
      <c r="C14" s="123">
        <v>2</v>
      </c>
      <c r="D14" s="123"/>
      <c r="E14" s="123">
        <v>4.2</v>
      </c>
      <c r="F14" s="123"/>
      <c r="G14" s="123"/>
      <c r="H14" s="123"/>
      <c r="I14" s="123"/>
      <c r="J14" s="123"/>
      <c r="N14" s="123" t="s">
        <v>2</v>
      </c>
      <c r="O14" s="8">
        <v>9.8000000000000007</v>
      </c>
      <c r="P14" s="123" t="s">
        <v>3</v>
      </c>
      <c r="Q14" s="123">
        <v>10</v>
      </c>
      <c r="Y14" s="123" t="s">
        <v>2</v>
      </c>
      <c r="Z14" s="8">
        <v>9.92</v>
      </c>
      <c r="AA14" s="123" t="s">
        <v>3</v>
      </c>
      <c r="AB14" s="123">
        <v>10</v>
      </c>
    </row>
    <row r="15" spans="1:28" x14ac:dyDescent="0.25">
      <c r="N15" s="123" t="s">
        <v>35</v>
      </c>
      <c r="O15" s="123">
        <v>3.9</v>
      </c>
      <c r="P15" s="123" t="s">
        <v>3</v>
      </c>
      <c r="Q15" s="123"/>
      <c r="Y15" s="123" t="s">
        <v>35</v>
      </c>
      <c r="Z15" s="123">
        <v>3.91</v>
      </c>
      <c r="AA15" s="123" t="s">
        <v>3</v>
      </c>
      <c r="AB15" s="123">
        <v>3.9209999999999998</v>
      </c>
    </row>
    <row r="16" spans="1:28" x14ac:dyDescent="0.25">
      <c r="N16" s="173" t="s">
        <v>23</v>
      </c>
      <c r="O16" s="174"/>
      <c r="P16" s="174"/>
      <c r="Q16" s="131"/>
      <c r="Y16" s="173" t="s">
        <v>23</v>
      </c>
      <c r="Z16" s="174"/>
      <c r="AA16" s="174"/>
      <c r="AB16" s="131"/>
    </row>
    <row r="17" spans="2:29" x14ac:dyDescent="0.25">
      <c r="N17" s="123" t="s">
        <v>83</v>
      </c>
      <c r="O17" s="123"/>
      <c r="P17" s="123" t="s">
        <v>14</v>
      </c>
      <c r="Q17" s="123"/>
      <c r="Y17" s="123" t="s">
        <v>83</v>
      </c>
      <c r="Z17" s="72">
        <v>0.187</v>
      </c>
      <c r="AA17" s="123" t="s">
        <v>14</v>
      </c>
      <c r="AB17" s="123"/>
    </row>
    <row r="18" spans="2:29" x14ac:dyDescent="0.25">
      <c r="N18" s="123" t="s">
        <v>146</v>
      </c>
      <c r="O18" s="123"/>
      <c r="P18" s="123" t="s">
        <v>14</v>
      </c>
      <c r="Q18" s="123"/>
      <c r="R18" s="127" t="s">
        <v>149</v>
      </c>
      <c r="Y18" s="123" t="s">
        <v>146</v>
      </c>
      <c r="Z18" s="72">
        <v>2.5319999999999999E-2</v>
      </c>
      <c r="AA18" s="123" t="s">
        <v>14</v>
      </c>
      <c r="AB18" s="123"/>
      <c r="AC18" s="127" t="s">
        <v>149</v>
      </c>
    </row>
    <row r="19" spans="2:29" x14ac:dyDescent="0.25">
      <c r="N19" s="123" t="s">
        <v>11</v>
      </c>
      <c r="O19" s="123">
        <v>0.02</v>
      </c>
      <c r="P19" s="123" t="s">
        <v>3</v>
      </c>
      <c r="Q19" s="123"/>
      <c r="R19" s="123">
        <v>3.35</v>
      </c>
      <c r="Y19" s="123" t="s">
        <v>11</v>
      </c>
      <c r="Z19" s="72">
        <f>32*10^-3</f>
        <v>3.2000000000000001E-2</v>
      </c>
      <c r="AA19" s="123" t="s">
        <v>3</v>
      </c>
      <c r="AB19" s="123"/>
      <c r="AC19" s="123"/>
    </row>
    <row r="20" spans="2:29" x14ac:dyDescent="0.25">
      <c r="N20" s="123" t="s">
        <v>4</v>
      </c>
      <c r="O20" s="123">
        <v>0.79700000000000004</v>
      </c>
      <c r="P20" s="123" t="s">
        <v>3</v>
      </c>
      <c r="Q20" s="123"/>
      <c r="R20" s="123">
        <v>3.52</v>
      </c>
      <c r="Y20" s="123" t="s">
        <v>4</v>
      </c>
      <c r="Z20" s="72">
        <v>0.80800000000000005</v>
      </c>
      <c r="AA20" s="123" t="s">
        <v>3</v>
      </c>
      <c r="AB20" s="123"/>
      <c r="AC20" s="123"/>
    </row>
    <row r="21" spans="2:29" x14ac:dyDescent="0.25">
      <c r="N21" s="175" t="s">
        <v>70</v>
      </c>
      <c r="O21" s="176"/>
      <c r="P21" s="176"/>
      <c r="Q21" s="132"/>
      <c r="Y21" s="175" t="s">
        <v>70</v>
      </c>
      <c r="Z21" s="176"/>
      <c r="AA21" s="176"/>
      <c r="AB21" s="132"/>
    </row>
    <row r="22" spans="2:29" x14ac:dyDescent="0.25">
      <c r="N22" s="123" t="s">
        <v>144</v>
      </c>
      <c r="O22" s="123">
        <f>O14</f>
        <v>9.8000000000000007</v>
      </c>
      <c r="P22" s="123" t="s">
        <v>3</v>
      </c>
      <c r="Q22" s="123"/>
      <c r="Y22" s="123" t="s">
        <v>144</v>
      </c>
      <c r="Z22" s="123">
        <v>9.92</v>
      </c>
      <c r="AA22" s="123" t="s">
        <v>3</v>
      </c>
      <c r="AB22" s="123"/>
    </row>
    <row r="23" spans="2:29" x14ac:dyDescent="0.25">
      <c r="N23" s="123" t="s">
        <v>145</v>
      </c>
      <c r="O23" s="123">
        <f>O25</f>
        <v>7.84</v>
      </c>
      <c r="P23" s="123" t="s">
        <v>3</v>
      </c>
      <c r="Q23" s="123"/>
      <c r="Y23" s="123" t="s">
        <v>145</v>
      </c>
      <c r="Z23" s="123">
        <v>5</v>
      </c>
      <c r="AA23" s="123" t="s">
        <v>3</v>
      </c>
      <c r="AB23" s="123"/>
    </row>
    <row r="24" spans="2:29" x14ac:dyDescent="0.25">
      <c r="N24" s="168" t="s">
        <v>147</v>
      </c>
      <c r="O24" s="169"/>
      <c r="P24" s="169"/>
      <c r="Q24" s="133"/>
      <c r="Y24" s="168" t="s">
        <v>147</v>
      </c>
      <c r="Z24" s="169"/>
      <c r="AA24" s="169"/>
      <c r="AB24" s="133"/>
    </row>
    <row r="25" spans="2:29" x14ac:dyDescent="0.25">
      <c r="N25" s="123" t="s">
        <v>129</v>
      </c>
      <c r="O25" s="123">
        <v>7.84</v>
      </c>
      <c r="P25" s="123" t="s">
        <v>3</v>
      </c>
      <c r="Q25" s="123">
        <v>8</v>
      </c>
      <c r="Y25" s="123" t="s">
        <v>129</v>
      </c>
      <c r="Z25" s="123">
        <v>4.8499999999999996</v>
      </c>
      <c r="AA25" s="123" t="s">
        <v>3</v>
      </c>
      <c r="AB25" s="123"/>
    </row>
    <row r="26" spans="2:29" x14ac:dyDescent="0.25">
      <c r="N26" s="4" t="s">
        <v>61</v>
      </c>
      <c r="O26" s="4">
        <v>3.75</v>
      </c>
      <c r="P26" s="4" t="s">
        <v>3</v>
      </c>
      <c r="Q26" s="4"/>
      <c r="R26" s="99"/>
      <c r="S26" s="99"/>
      <c r="T26" s="99"/>
      <c r="U26" s="99"/>
      <c r="V26" s="99"/>
      <c r="W26" s="99"/>
      <c r="X26" s="99"/>
      <c r="Y26" s="4" t="s">
        <v>61</v>
      </c>
      <c r="Z26" s="4">
        <v>3.1070000000000002</v>
      </c>
      <c r="AA26" s="4" t="s">
        <v>3</v>
      </c>
      <c r="AB26" s="4"/>
      <c r="AC26" s="99"/>
    </row>
    <row r="27" spans="2:29" x14ac:dyDescent="0.25">
      <c r="N27" s="126" t="s">
        <v>60</v>
      </c>
      <c r="O27" s="123">
        <v>2.1</v>
      </c>
      <c r="P27" s="123" t="s">
        <v>3</v>
      </c>
      <c r="Q27" s="123"/>
      <c r="Y27" s="126" t="s">
        <v>60</v>
      </c>
      <c r="Z27" s="123">
        <v>1.629</v>
      </c>
      <c r="AA27" s="123" t="s">
        <v>3</v>
      </c>
      <c r="AB27" s="123"/>
    </row>
    <row r="28" spans="2:29" x14ac:dyDescent="0.25">
      <c r="D28" s="127" t="s">
        <v>212</v>
      </c>
      <c r="N28" s="4" t="s">
        <v>62</v>
      </c>
      <c r="O28" s="4">
        <v>5.84</v>
      </c>
      <c r="P28" s="4" t="s">
        <v>3</v>
      </c>
      <c r="Q28" s="4"/>
      <c r="R28" s="99"/>
      <c r="S28" s="99"/>
      <c r="T28" s="99"/>
      <c r="U28" s="99"/>
      <c r="V28" s="99"/>
      <c r="W28" s="99"/>
      <c r="X28" s="99"/>
      <c r="Y28" s="4" t="s">
        <v>62</v>
      </c>
      <c r="Z28" s="4">
        <v>4.8499999999999996</v>
      </c>
      <c r="AA28" s="4" t="s">
        <v>3</v>
      </c>
      <c r="AB28" s="4"/>
      <c r="AC28" s="99"/>
    </row>
    <row r="29" spans="2:29" x14ac:dyDescent="0.25">
      <c r="B29" s="123"/>
      <c r="C29" s="123" t="s">
        <v>202</v>
      </c>
      <c r="D29" s="123"/>
      <c r="E29" s="123" t="s">
        <v>208</v>
      </c>
      <c r="F29" s="123" t="s">
        <v>209</v>
      </c>
      <c r="G29" s="123"/>
      <c r="H29" s="10"/>
    </row>
    <row r="30" spans="2:29" x14ac:dyDescent="0.25">
      <c r="B30" s="150" t="s">
        <v>207</v>
      </c>
      <c r="C30" s="123">
        <v>12</v>
      </c>
      <c r="D30" s="96">
        <f>1+E30/E31</f>
        <v>2.9332023575638506</v>
      </c>
      <c r="E30" s="123">
        <v>9840</v>
      </c>
      <c r="F30" s="123" t="s">
        <v>199</v>
      </c>
      <c r="G30" s="123">
        <v>1</v>
      </c>
      <c r="N30" s="123" t="s">
        <v>198</v>
      </c>
      <c r="O30" s="123"/>
      <c r="P30" s="123" t="s">
        <v>197</v>
      </c>
    </row>
    <row r="31" spans="2:29" x14ac:dyDescent="0.25">
      <c r="B31" s="150"/>
      <c r="C31" s="123">
        <v>13</v>
      </c>
      <c r="D31" s="134">
        <f>1+E30/E32</f>
        <v>2.2073619631901842</v>
      </c>
      <c r="E31" s="123">
        <v>5090</v>
      </c>
      <c r="F31" s="123" t="s">
        <v>200</v>
      </c>
      <c r="G31" s="123">
        <v>2</v>
      </c>
      <c r="N31" s="72">
        <v>3.9369999999999998</v>
      </c>
      <c r="O31" s="123">
        <v>18.07</v>
      </c>
      <c r="P31" s="129">
        <v>0.75277777777777777</v>
      </c>
    </row>
    <row r="32" spans="2:29" x14ac:dyDescent="0.25">
      <c r="B32" s="150"/>
      <c r="C32" s="123">
        <v>32</v>
      </c>
      <c r="D32" s="134">
        <f>1+E32/E31</f>
        <v>2.601178781925344</v>
      </c>
      <c r="E32" s="123">
        <v>8150</v>
      </c>
      <c r="F32" s="123" t="s">
        <v>201</v>
      </c>
      <c r="G32" s="123">
        <v>3</v>
      </c>
      <c r="N32" s="72">
        <v>3.94</v>
      </c>
      <c r="O32" s="123">
        <v>18.100000000000001</v>
      </c>
      <c r="P32" s="129">
        <v>0.75694444444444453</v>
      </c>
    </row>
    <row r="33" spans="2:17" x14ac:dyDescent="0.25">
      <c r="B33" s="123"/>
      <c r="C33" s="128" t="s">
        <v>211</v>
      </c>
      <c r="D33" s="135">
        <f>1 + (E30+E33) / (E31)</f>
        <v>3.1257367387033397</v>
      </c>
      <c r="E33" s="123">
        <v>980</v>
      </c>
      <c r="F33" s="123" t="s">
        <v>210</v>
      </c>
      <c r="G33" s="123">
        <v>4</v>
      </c>
      <c r="N33" s="72">
        <v>3.96</v>
      </c>
      <c r="O33" s="123">
        <v>18.170000000000002</v>
      </c>
      <c r="P33" s="129">
        <v>0.76180555555555562</v>
      </c>
    </row>
    <row r="34" spans="2:17" x14ac:dyDescent="0.25">
      <c r="N34" s="72">
        <v>3.96</v>
      </c>
      <c r="O34" s="123">
        <v>18.2</v>
      </c>
      <c r="P34" s="129">
        <v>0.76388888888888884</v>
      </c>
    </row>
    <row r="35" spans="2:17" x14ac:dyDescent="0.25">
      <c r="B35" s="178" t="s">
        <v>206</v>
      </c>
      <c r="C35" s="128"/>
      <c r="D35" s="128" t="s">
        <v>211</v>
      </c>
      <c r="E35" s="128">
        <v>32</v>
      </c>
      <c r="F35" s="4">
        <v>12</v>
      </c>
      <c r="N35" s="72">
        <v>3.98</v>
      </c>
      <c r="O35" s="123">
        <v>18.25</v>
      </c>
      <c r="P35" s="129">
        <v>0.76736111111111116</v>
      </c>
    </row>
    <row r="36" spans="2:17" x14ac:dyDescent="0.25">
      <c r="B36" s="179"/>
      <c r="C36" s="123" t="s">
        <v>203</v>
      </c>
      <c r="D36" s="123"/>
      <c r="E36" s="123">
        <v>3.97</v>
      </c>
      <c r="F36" s="123">
        <v>3.97</v>
      </c>
      <c r="N36" s="72">
        <v>3.98</v>
      </c>
      <c r="O36" s="123">
        <v>18.3</v>
      </c>
      <c r="P36" s="129">
        <v>0.77083333333333337</v>
      </c>
    </row>
    <row r="37" spans="2:17" x14ac:dyDescent="0.25">
      <c r="B37" s="179"/>
      <c r="C37" s="123" t="s">
        <v>204</v>
      </c>
      <c r="D37" s="123"/>
      <c r="E37" s="123">
        <v>8.77</v>
      </c>
      <c r="F37" s="123">
        <v>7.72</v>
      </c>
      <c r="N37" s="72">
        <v>3.9860000000000002</v>
      </c>
      <c r="O37" s="123">
        <v>18.399999999999999</v>
      </c>
      <c r="P37" s="129">
        <v>0.77777777777777779</v>
      </c>
    </row>
    <row r="38" spans="2:17" x14ac:dyDescent="0.25">
      <c r="B38" s="179"/>
      <c r="C38" s="123" t="s">
        <v>205</v>
      </c>
      <c r="D38" s="135" t="e">
        <f>D37/D36</f>
        <v>#DIV/0!</v>
      </c>
      <c r="E38" s="134">
        <f>E37/E36</f>
        <v>2.2090680100755664</v>
      </c>
      <c r="F38" s="96">
        <f>F37/F36</f>
        <v>1.9445843828715363</v>
      </c>
      <c r="N38" s="72">
        <v>3.99</v>
      </c>
      <c r="O38" s="123">
        <v>18.45</v>
      </c>
      <c r="P38" s="129">
        <v>0.78125</v>
      </c>
    </row>
    <row r="39" spans="2:17" x14ac:dyDescent="0.25">
      <c r="B39" s="180"/>
      <c r="C39" s="123"/>
      <c r="D39" s="123"/>
      <c r="E39" s="123"/>
      <c r="F39" s="123" t="s">
        <v>206</v>
      </c>
      <c r="N39" s="72">
        <v>3.9990000000000001</v>
      </c>
      <c r="O39" s="123">
        <v>18.5</v>
      </c>
      <c r="P39" s="129">
        <v>0.78472222222222221</v>
      </c>
    </row>
    <row r="40" spans="2:17" x14ac:dyDescent="0.25">
      <c r="N40" s="123">
        <v>4.01</v>
      </c>
      <c r="O40" s="123">
        <v>19</v>
      </c>
      <c r="P40" s="129">
        <v>0.79166666666666663</v>
      </c>
    </row>
    <row r="41" spans="2:17" x14ac:dyDescent="0.25">
      <c r="N41" s="123">
        <v>4.03</v>
      </c>
      <c r="O41" s="123">
        <v>19.100000000000001</v>
      </c>
      <c r="P41" s="129">
        <v>0.79861111111111116</v>
      </c>
    </row>
    <row r="42" spans="2:17" x14ac:dyDescent="0.25">
      <c r="N42" s="123">
        <v>4.05</v>
      </c>
      <c r="O42" s="123">
        <v>19.2</v>
      </c>
      <c r="P42" s="129">
        <v>0.80555555555555547</v>
      </c>
    </row>
    <row r="43" spans="2:17" x14ac:dyDescent="0.25">
      <c r="L43" s="127" t="s">
        <v>192</v>
      </c>
      <c r="M43" s="127">
        <v>3.98</v>
      </c>
      <c r="N43" s="123"/>
      <c r="O43" s="123">
        <v>19.3</v>
      </c>
      <c r="P43" s="129">
        <v>0.8125</v>
      </c>
    </row>
    <row r="44" spans="2:17" x14ac:dyDescent="0.25">
      <c r="N44" s="123"/>
      <c r="O44" s="123">
        <v>19.399999999999999</v>
      </c>
      <c r="P44" s="129">
        <v>0.81944444444444453</v>
      </c>
    </row>
    <row r="47" spans="2:17" x14ac:dyDescent="0.25">
      <c r="N47" s="127">
        <v>3.83</v>
      </c>
      <c r="O47" s="145">
        <v>0.63541666666666663</v>
      </c>
      <c r="P47" s="127">
        <v>0</v>
      </c>
      <c r="Q47" s="127">
        <f>P47</f>
        <v>0</v>
      </c>
    </row>
    <row r="48" spans="2:17" x14ac:dyDescent="0.25">
      <c r="N48" s="127">
        <v>3.9529999999999998</v>
      </c>
      <c r="O48" s="145">
        <v>0.64027777777777783</v>
      </c>
      <c r="P48" s="145">
        <f>O48-O47</f>
        <v>4.8611111111112049E-3</v>
      </c>
      <c r="Q48" s="145">
        <f>P47+P48</f>
        <v>4.8611111111112049E-3</v>
      </c>
    </row>
    <row r="49" spans="14:17" x14ac:dyDescent="0.25">
      <c r="N49" s="127">
        <v>3.99</v>
      </c>
      <c r="O49" s="145">
        <v>0.64236111111111105</v>
      </c>
      <c r="P49" s="145">
        <f t="shared" ref="P49:P54" si="0">O49-O48</f>
        <v>2.0833333333332149E-3</v>
      </c>
      <c r="Q49" s="145">
        <f>Q48+P49</f>
        <v>6.9444444444444198E-3</v>
      </c>
    </row>
    <row r="50" spans="14:17" x14ac:dyDescent="0.25">
      <c r="N50" s="127">
        <v>4.01</v>
      </c>
      <c r="O50" s="145">
        <v>0.64861111111111114</v>
      </c>
      <c r="P50" s="145">
        <f t="shared" si="0"/>
        <v>6.2500000000000888E-3</v>
      </c>
      <c r="Q50" s="145">
        <f t="shared" ref="Q50:Q54" si="1">Q49+P50</f>
        <v>1.3194444444444509E-2</v>
      </c>
    </row>
    <row r="51" spans="14:17" x14ac:dyDescent="0.25">
      <c r="N51" s="127">
        <v>4.03</v>
      </c>
      <c r="O51" s="145">
        <v>0.65277777777777779</v>
      </c>
      <c r="P51" s="145">
        <f t="shared" si="0"/>
        <v>4.1666666666666519E-3</v>
      </c>
      <c r="Q51" s="145">
        <f t="shared" si="1"/>
        <v>1.736111111111116E-2</v>
      </c>
    </row>
    <row r="52" spans="14:17" x14ac:dyDescent="0.25">
      <c r="N52" s="127">
        <v>4.07</v>
      </c>
      <c r="O52" s="145">
        <v>0.65694444444444444</v>
      </c>
      <c r="P52" s="145">
        <f t="shared" si="0"/>
        <v>4.1666666666666519E-3</v>
      </c>
      <c r="Q52" s="145">
        <f t="shared" si="1"/>
        <v>2.1527777777777812E-2</v>
      </c>
    </row>
    <row r="53" spans="14:17" x14ac:dyDescent="0.25">
      <c r="N53" s="127">
        <v>4.08</v>
      </c>
      <c r="O53" s="145">
        <v>0.66111111111111109</v>
      </c>
      <c r="P53" s="145">
        <f t="shared" si="0"/>
        <v>4.1666666666666519E-3</v>
      </c>
      <c r="Q53" s="145">
        <f t="shared" si="1"/>
        <v>2.5694444444444464E-2</v>
      </c>
    </row>
    <row r="54" spans="14:17" x14ac:dyDescent="0.25">
      <c r="N54" s="127">
        <v>4.1100000000000003</v>
      </c>
      <c r="O54" s="145">
        <v>0.66666666666666663</v>
      </c>
      <c r="P54" s="145">
        <f t="shared" si="0"/>
        <v>5.5555555555555358E-3</v>
      </c>
      <c r="Q54" s="145">
        <f t="shared" si="1"/>
        <v>3.125E-2</v>
      </c>
    </row>
  </sheetData>
  <mergeCells count="13">
    <mergeCell ref="B30:B32"/>
    <mergeCell ref="B35:B39"/>
    <mergeCell ref="N21:P21"/>
    <mergeCell ref="Y21:AA21"/>
    <mergeCell ref="N24:P24"/>
    <mergeCell ref="Y24:AA24"/>
    <mergeCell ref="N16:P16"/>
    <mergeCell ref="Y16:AA16"/>
    <mergeCell ref="X11:AA11"/>
    <mergeCell ref="N12:Q12"/>
    <mergeCell ref="Y12:AB12"/>
    <mergeCell ref="N13:P13"/>
    <mergeCell ref="Y13:AA13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B4" sqref="B4"/>
    </sheetView>
  </sheetViews>
  <sheetFormatPr defaultRowHeight="15" x14ac:dyDescent="0.25"/>
  <cols>
    <col min="1" max="1" width="20.140625" style="127" bestFit="1" customWidth="1"/>
    <col min="2" max="2" width="23" style="127" bestFit="1" customWidth="1"/>
    <col min="3" max="3" width="11" style="127" bestFit="1" customWidth="1"/>
    <col min="4" max="4" width="7.28515625" style="127" bestFit="1" customWidth="1"/>
    <col min="5" max="16384" width="9.140625" style="127"/>
  </cols>
  <sheetData>
    <row r="1" spans="1:4" x14ac:dyDescent="0.25">
      <c r="A1" s="127" t="s">
        <v>213</v>
      </c>
    </row>
    <row r="4" spans="1:4" x14ac:dyDescent="0.25">
      <c r="A4" s="123" t="s">
        <v>34</v>
      </c>
      <c r="B4" s="136">
        <v>3.2</v>
      </c>
      <c r="C4" s="123" t="s">
        <v>3</v>
      </c>
      <c r="D4" s="123" t="s">
        <v>222</v>
      </c>
    </row>
    <row r="5" spans="1:4" x14ac:dyDescent="0.25">
      <c r="A5" s="123" t="s">
        <v>177</v>
      </c>
      <c r="B5" s="136">
        <v>4.2</v>
      </c>
      <c r="C5" s="123" t="s">
        <v>3</v>
      </c>
      <c r="D5" s="123"/>
    </row>
    <row r="6" spans="1:4" x14ac:dyDescent="0.25">
      <c r="A6" s="123" t="s">
        <v>214</v>
      </c>
      <c r="B6" s="136" t="s">
        <v>221</v>
      </c>
      <c r="C6" s="123"/>
      <c r="D6" s="123"/>
    </row>
    <row r="7" spans="1:4" x14ac:dyDescent="0.25">
      <c r="A7" s="123" t="s">
        <v>215</v>
      </c>
      <c r="B7" s="140">
        <f xml:space="preserve"> - B8*B9* LN(1- B4/B5)</f>
        <v>10045.591677025257</v>
      </c>
      <c r="C7" s="123" t="s">
        <v>220</v>
      </c>
      <c r="D7" s="123"/>
    </row>
    <row r="8" spans="1:4" x14ac:dyDescent="0.25">
      <c r="A8" s="123" t="s">
        <v>69</v>
      </c>
      <c r="B8" s="136">
        <v>700</v>
      </c>
      <c r="C8" s="123" t="s">
        <v>1</v>
      </c>
      <c r="D8" s="123"/>
    </row>
    <row r="9" spans="1:4" x14ac:dyDescent="0.25">
      <c r="A9" s="123" t="s">
        <v>216</v>
      </c>
      <c r="B9" s="136">
        <v>10</v>
      </c>
      <c r="C9" s="123" t="s">
        <v>218</v>
      </c>
      <c r="D9" s="123"/>
    </row>
    <row r="10" spans="1:4" x14ac:dyDescent="0.25">
      <c r="A10" s="123" t="s">
        <v>217</v>
      </c>
      <c r="B10" s="4">
        <f>B8*B9</f>
        <v>7000</v>
      </c>
      <c r="C10" s="123" t="s">
        <v>223</v>
      </c>
      <c r="D10" s="123" t="s">
        <v>224</v>
      </c>
    </row>
    <row r="14" spans="1:4" x14ac:dyDescent="0.25">
      <c r="A14" s="123" t="s">
        <v>34</v>
      </c>
      <c r="B14" s="136">
        <v>3.2</v>
      </c>
      <c r="C14" s="123" t="s">
        <v>3</v>
      </c>
      <c r="D14" s="123" t="s">
        <v>222</v>
      </c>
    </row>
    <row r="15" spans="1:4" x14ac:dyDescent="0.25">
      <c r="A15" s="123" t="s">
        <v>177</v>
      </c>
      <c r="B15" s="136">
        <v>4.2</v>
      </c>
      <c r="C15" s="123" t="s">
        <v>3</v>
      </c>
      <c r="D15" s="123"/>
    </row>
    <row r="16" spans="1:4" x14ac:dyDescent="0.25">
      <c r="A16" s="123" t="s">
        <v>214</v>
      </c>
      <c r="B16" s="136" t="s">
        <v>221</v>
      </c>
      <c r="C16" s="123"/>
      <c r="D16" s="123"/>
    </row>
    <row r="17" spans="1:10" x14ac:dyDescent="0.25">
      <c r="A17" s="123" t="s">
        <v>215</v>
      </c>
      <c r="B17" s="141">
        <f>60*F21</f>
        <v>2189.1891891891892</v>
      </c>
      <c r="C17" s="123" t="s">
        <v>220</v>
      </c>
      <c r="D17" s="123"/>
      <c r="G17" s="127">
        <v>585</v>
      </c>
      <c r="I17" s="127" t="s">
        <v>225</v>
      </c>
      <c r="J17" s="127">
        <f>I18*G17/G18</f>
        <v>73.125</v>
      </c>
    </row>
    <row r="18" spans="1:10" x14ac:dyDescent="0.25">
      <c r="A18" s="123" t="s">
        <v>69</v>
      </c>
      <c r="B18" s="138">
        <v>700</v>
      </c>
      <c r="C18" s="123" t="s">
        <v>1</v>
      </c>
      <c r="D18" s="123"/>
      <c r="G18" s="127">
        <v>800</v>
      </c>
      <c r="I18" s="127">
        <v>100</v>
      </c>
    </row>
    <row r="19" spans="1:10" x14ac:dyDescent="0.25">
      <c r="A19" s="123" t="s">
        <v>216</v>
      </c>
      <c r="B19" s="139">
        <f>B20/B18</f>
        <v>2.1792536065306818</v>
      </c>
      <c r="C19" s="123" t="s">
        <v>218</v>
      </c>
      <c r="D19" s="123"/>
    </row>
    <row r="20" spans="1:10" x14ac:dyDescent="0.25">
      <c r="A20" s="123" t="s">
        <v>217</v>
      </c>
      <c r="B20" s="137">
        <f xml:space="preserve"> - B17 / ( LN(1-B14/B15)    )</f>
        <v>1525.4775245714773</v>
      </c>
      <c r="C20" s="123" t="s">
        <v>219</v>
      </c>
      <c r="D20" s="123"/>
      <c r="G20" s="127">
        <v>27</v>
      </c>
      <c r="I20" s="127">
        <v>74</v>
      </c>
    </row>
    <row r="21" spans="1:10" x14ac:dyDescent="0.25">
      <c r="F21" s="127">
        <f>G20*I21/I20</f>
        <v>36.486486486486484</v>
      </c>
      <c r="G21" s="127" t="s">
        <v>226</v>
      </c>
      <c r="I21" s="127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Біполяр</vt:lpstr>
      <vt:lpstr>Дільник</vt:lpstr>
      <vt:lpstr>Провідники</vt:lpstr>
      <vt:lpstr>Аккумулятор</vt:lpstr>
      <vt:lpstr>Скріни</vt:lpstr>
      <vt:lpstr>Перевірка</vt:lpstr>
      <vt:lpstr>Лист1</vt:lpstr>
      <vt:lpstr>Лист2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Bramory</dc:creator>
  <cp:lastModifiedBy>Bramory</cp:lastModifiedBy>
  <dcterms:created xsi:type="dcterms:W3CDTF">2018-05-05T22:10:53Z</dcterms:created>
  <dcterms:modified xsi:type="dcterms:W3CDTF">2018-06-05T19:21:32Z</dcterms:modified>
</cp:coreProperties>
</file>