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Біполяр" sheetId="1" r:id="rId1"/>
    <sheet name="Дільник" sheetId="3" r:id="rId2"/>
    <sheet name="Провідники" sheetId="4" r:id="rId3"/>
    <sheet name="Аккумулятор" sheetId="5" r:id="rId4"/>
    <sheet name="Скріни" sheetId="2" r:id="rId5"/>
    <sheet name="Перевірка" sheetId="6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I85" i="6" l="1"/>
  <c r="E86" i="6" s="1"/>
  <c r="E83" i="6"/>
  <c r="I82" i="6"/>
  <c r="M60" i="6"/>
  <c r="B59" i="6"/>
  <c r="C77" i="3" l="1"/>
  <c r="B77" i="3"/>
  <c r="B78" i="3" s="1"/>
  <c r="D69" i="3"/>
  <c r="B47" i="1" l="1"/>
  <c r="B46" i="1"/>
  <c r="C54" i="3" l="1"/>
  <c r="C53" i="3"/>
  <c r="C56" i="3" s="1"/>
  <c r="C42" i="3"/>
  <c r="E21" i="1"/>
  <c r="E15" i="1"/>
  <c r="B6" i="1"/>
  <c r="B36" i="1"/>
  <c r="B45" i="1"/>
  <c r="A51" i="1" s="1"/>
  <c r="B37" i="1"/>
  <c r="B51" i="1" l="1"/>
  <c r="B54" i="1" s="1"/>
  <c r="C51" i="1"/>
  <c r="M9" i="6"/>
  <c r="B9" i="6"/>
  <c r="B8" i="6"/>
  <c r="C69" i="3"/>
  <c r="B69" i="3"/>
  <c r="I29" i="3"/>
  <c r="J29" i="3"/>
  <c r="K29" i="3"/>
  <c r="I30" i="3"/>
  <c r="J30" i="3"/>
  <c r="K30" i="3"/>
  <c r="M30" i="3"/>
  <c r="L30" i="3"/>
  <c r="M29" i="3"/>
  <c r="L29" i="3"/>
  <c r="B70" i="3" l="1"/>
  <c r="B16" i="1"/>
  <c r="B7" i="1"/>
  <c r="I34" i="6" l="1"/>
  <c r="I31" i="6"/>
  <c r="E32" i="6" s="1"/>
  <c r="E35" i="6" l="1"/>
  <c r="C14" i="5" l="1"/>
  <c r="B14" i="5"/>
  <c r="C12" i="5"/>
  <c r="C13" i="5" s="1"/>
  <c r="B12" i="5"/>
  <c r="B13" i="5" s="1"/>
  <c r="D23" i="5"/>
  <c r="B5" i="4" l="1"/>
  <c r="D5" i="4"/>
  <c r="B2" i="4"/>
  <c r="L92" i="3"/>
  <c r="H96" i="3"/>
  <c r="H93" i="3"/>
  <c r="H95" i="3"/>
  <c r="H92" i="3"/>
  <c r="R28" i="3" l="1"/>
  <c r="P28" i="3"/>
  <c r="S28" i="3"/>
  <c r="Q28" i="3"/>
  <c r="P12" i="3"/>
  <c r="P11" i="3"/>
  <c r="P10" i="3"/>
  <c r="P8" i="3"/>
  <c r="P7" i="3"/>
  <c r="P6" i="3"/>
  <c r="P21" i="3"/>
  <c r="P20" i="3"/>
  <c r="P19" i="3"/>
  <c r="V17" i="3"/>
  <c r="R17" i="3"/>
  <c r="P17" i="3"/>
  <c r="P16" i="3"/>
  <c r="P15" i="3"/>
  <c r="K16" i="3"/>
  <c r="N16" i="3" s="1"/>
  <c r="K15" i="3"/>
  <c r="N15" i="3" s="1"/>
  <c r="K19" i="3"/>
  <c r="N19" i="3" s="1"/>
  <c r="K18" i="3"/>
  <c r="N18" i="3" s="1"/>
  <c r="K11" i="3"/>
  <c r="N11" i="3" s="1"/>
  <c r="K10" i="3"/>
  <c r="N10" i="3" s="1"/>
  <c r="K8" i="3"/>
  <c r="N8" i="3" s="1"/>
  <c r="K7" i="3"/>
  <c r="N7" i="3" s="1"/>
  <c r="I10" i="3"/>
  <c r="E11" i="3" s="1"/>
  <c r="I7" i="3"/>
  <c r="E8" i="3" s="1"/>
  <c r="E15" i="3" l="1"/>
  <c r="E16" i="3" s="1"/>
  <c r="E18" i="3"/>
  <c r="E19" i="3" s="1"/>
  <c r="C8" i="2"/>
  <c r="B15" i="1"/>
  <c r="B21" i="1" l="1"/>
  <c r="B24" i="1" s="1"/>
  <c r="B17" i="1"/>
  <c r="A21" i="1" s="1"/>
  <c r="C21" i="1" l="1"/>
</calcChain>
</file>

<file path=xl/comments1.xml><?xml version="1.0" encoding="utf-8"?>
<comments xmlns="http://schemas.openxmlformats.org/spreadsheetml/2006/main">
  <authors>
    <author>Bramory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  <comment ref="B3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</commentList>
</comments>
</file>

<file path=xl/comments3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sharedStrings.xml><?xml version="1.0" encoding="utf-8"?>
<sst xmlns="http://schemas.openxmlformats.org/spreadsheetml/2006/main" count="490" uniqueCount="183">
  <si>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</si>
  <si>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</si>
  <si>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</si>
  <si>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</si>
  <si>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</si>
  <si>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</si>
  <si>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</si>
  <si>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</si>
  <si>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</si>
  <si>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</si>
  <si>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</si>
  <si>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</si>
  <si>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</si>
  <si>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</si>
  <si>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</si>
  <si>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I*U</t>
  </si>
  <si>
    <t>U^2/ Rk</t>
  </si>
  <si>
    <t>I^2 * Rk</t>
  </si>
  <si>
    <t>задаємо</t>
  </si>
  <si>
    <t>отримуємо</t>
  </si>
  <si>
    <t>(даташит  аккума)</t>
  </si>
  <si>
    <t>Эмність</t>
  </si>
  <si>
    <t>даташит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</si>
  <si>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</si>
  <si>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</si>
  <si>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</si>
  <si>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</si>
  <si>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</si>
  <si>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</si>
  <si>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</si>
  <si>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</si>
  <si>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</si>
  <si>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</si>
  <si>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Value</t>
  </si>
  <si>
    <t>U</t>
  </si>
  <si>
    <t>Uбатареї</t>
  </si>
  <si>
    <t>Верх поріг</t>
  </si>
  <si>
    <t>Нижній поріг</t>
  </si>
  <si>
    <t>R1</t>
  </si>
  <si>
    <t>R3</t>
  </si>
  <si>
    <t>Uтаймера</t>
  </si>
  <si>
    <t>2/3 таймера</t>
  </si>
  <si>
    <t>1/3 таймера</t>
  </si>
  <si>
    <t>THRESHOLD</t>
  </si>
  <si>
    <t>TRIGGER</t>
  </si>
  <si>
    <t>(В даташиті для Uке = 0.3 V зі статичної х-ки (або 0 V, відмінності будуть незначні) або практично)</t>
  </si>
  <si>
    <t>Unit</t>
  </si>
  <si>
    <t>розраховуємо</t>
  </si>
  <si>
    <t>OUT 0 при</t>
  </si>
  <si>
    <t>OUT 1 при</t>
  </si>
  <si>
    <t>Потенціометр</t>
  </si>
  <si>
    <t>R6</t>
  </si>
  <si>
    <t>Rpot</t>
  </si>
  <si>
    <t>Rdown</t>
  </si>
  <si>
    <t>Rup</t>
  </si>
  <si>
    <t>Rpot1</t>
  </si>
  <si>
    <t>Rpot2</t>
  </si>
  <si>
    <t>Потрібно забезпечити малий струм розряду  ???</t>
  </si>
  <si>
    <t>RpotUp</t>
  </si>
  <si>
    <t>RpotDown</t>
  </si>
  <si>
    <t>TRIG</t>
  </si>
  <si>
    <t>THRS</t>
  </si>
  <si>
    <t>OUT</t>
  </si>
  <si>
    <t>Струми портів</t>
  </si>
  <si>
    <t>Задаємось резисторами</t>
  </si>
  <si>
    <t>перехідний процес при ввімкненні</t>
  </si>
  <si>
    <t>та вимкненні</t>
  </si>
  <si>
    <t>імпульс</t>
  </si>
  <si>
    <t>Струми дільника</t>
  </si>
  <si>
    <t>R</t>
  </si>
  <si>
    <t>LM7805</t>
  </si>
  <si>
    <t>Iке, А</t>
  </si>
  <si>
    <t>R, Ом</t>
  </si>
  <si>
    <t>Uбе, V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</si>
  <si>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</si>
  <si>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t>in, A</t>
  </si>
  <si>
    <t>out, A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</si>
  <si>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battery</t>
    </r>
  </si>
  <si>
    <t>Ом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</si>
  <si>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rб</t>
    </r>
  </si>
  <si>
    <t>Виміри в симуляції</t>
  </si>
  <si>
    <t>розрахунок Резисторів біполярного транзистора в ключовому режимі</t>
  </si>
  <si>
    <t>P</t>
  </si>
  <si>
    <t>Iке</t>
  </si>
  <si>
    <t>Задаємось СХЕМОЮ з потенціометрами та R(i)</t>
  </si>
  <si>
    <t>заряд до 4,44! За 0,6 мс</t>
  </si>
  <si>
    <t>заряд до 4,2044 за 1,08 мс</t>
  </si>
  <si>
    <t>бар'єрний режим</t>
  </si>
  <si>
    <t>виглядає краще</t>
  </si>
  <si>
    <t>Переріз</t>
  </si>
  <si>
    <t>Струм</t>
  </si>
  <si>
    <t>Допустимо</t>
  </si>
  <si>
    <t xml:space="preserve"> А/mm^2</t>
  </si>
  <si>
    <t>нагрузка</t>
  </si>
  <si>
    <t>Товщина</t>
  </si>
  <si>
    <t>мм</t>
  </si>
  <si>
    <t xml:space="preserve"> мм^2</t>
  </si>
  <si>
    <t>Що відбувається в схемі з вкл живленням без аккумулятора?</t>
  </si>
  <si>
    <t>Який характер струму потрібен для заряду за методом CC/CV, тобто наша схема відповідає цьому?</t>
  </si>
  <si>
    <t>Який опір аккумулятора, як він змінюється під час заряду?</t>
  </si>
  <si>
    <t>Який зробити захист від помилкового включення полярності акумулятора?</t>
  </si>
  <si>
    <t>Яка напруга живлення потрібна для заряду? (чи 12 В хороший вибір)</t>
  </si>
  <si>
    <t>Який струм розряду аккумулятора при викл гілці заряду?</t>
  </si>
  <si>
    <t>Pk, W</t>
  </si>
  <si>
    <t>???</t>
  </si>
  <si>
    <t>яка потужність?</t>
  </si>
  <si>
    <t>https://tuta.ua/ua/akkumulyator-siemens-eba-510-720-mah-batareya-original-li-ion/</t>
  </si>
  <si>
    <t>Напруга</t>
  </si>
  <si>
    <t>Min</t>
  </si>
  <si>
    <t>Max</t>
  </si>
  <si>
    <t>Ємність</t>
  </si>
  <si>
    <t>https://www.subtel.es/en/Charger-for-Siemens-A51-A72-A52-A55-Power-Supply-111252.html?force_sid=8ictpsabvo9mu3jguuqb6qcq62</t>
  </si>
  <si>
    <t>Зарядка для аккума</t>
  </si>
  <si>
    <t>"+"</t>
  </si>
  <si>
    <t>"-"</t>
  </si>
  <si>
    <t>к</t>
  </si>
  <si>
    <t>ч</t>
  </si>
  <si>
    <t>L</t>
  </si>
  <si>
    <t>Parametr</t>
  </si>
  <si>
    <t>І навантаження</t>
  </si>
  <si>
    <t>Pн</t>
  </si>
  <si>
    <t>Rн</t>
  </si>
  <si>
    <t>старый</t>
  </si>
  <si>
    <t>новый</t>
  </si>
  <si>
    <t>BL214</t>
  </si>
  <si>
    <t>BL203</t>
  </si>
  <si>
    <t>EBA-510</t>
  </si>
  <si>
    <t>Проверка параметров аккамуляторов</t>
  </si>
  <si>
    <t>Umax_Volt</t>
  </si>
  <si>
    <t>Шаблон</t>
  </si>
  <si>
    <t>Практично</t>
  </si>
  <si>
    <t>Vcc_555</t>
  </si>
  <si>
    <t>Ватт</t>
  </si>
  <si>
    <t>струм</t>
  </si>
  <si>
    <t>0,8 на базу</t>
  </si>
  <si>
    <t>Irb, А</t>
  </si>
  <si>
    <t>Живлення</t>
  </si>
  <si>
    <t>Pбе</t>
  </si>
  <si>
    <t>Pке</t>
  </si>
  <si>
    <t>Pr</t>
  </si>
  <si>
    <t>#</t>
  </si>
  <si>
    <t>?</t>
  </si>
  <si>
    <t>без</t>
  </si>
  <si>
    <t>з</t>
  </si>
  <si>
    <t>провідниками</t>
  </si>
  <si>
    <t>В</t>
  </si>
  <si>
    <t>Uin</t>
  </si>
  <si>
    <t>Uout</t>
  </si>
  <si>
    <t>Iб</t>
  </si>
  <si>
    <t>NE_555</t>
  </si>
  <si>
    <t>плаває</t>
  </si>
  <si>
    <t>без живлення</t>
  </si>
  <si>
    <t>Практика</t>
  </si>
  <si>
    <t>мультиметр червоний</t>
  </si>
  <si>
    <t>Теорія</t>
  </si>
  <si>
    <t>Розрахунок схеми для курсової схеми</t>
  </si>
  <si>
    <t>Енергоспоживання схеми взагалом, таймера, стабілізатора, біполяра</t>
  </si>
  <si>
    <t>Потужність, що розсіюється на біполярі, резисторі - чи потрібен РАДІАТОР!</t>
  </si>
  <si>
    <t>Розрахунок загального опору паралельно з'єднаних резисторів</t>
  </si>
  <si>
    <t>Загальний</t>
  </si>
  <si>
    <t>1/R</t>
  </si>
  <si>
    <t>Загальний кошторис, з урахуванням оптимызацій та додаткових матеріалів для зборки.</t>
  </si>
  <si>
    <t>(живл - батарея - Uвс) / Iзаряду</t>
  </si>
  <si>
    <t>(Umin - Uбе)/ Iзаряду.                        Umin - різниця потенціалів при повному заряді батареї</t>
  </si>
  <si>
    <t>(згідно даташита аккума Iзаряду = 0,5 С)  С - ємність (mAh).</t>
  </si>
  <si>
    <t xml:space="preserve">(перехід в режим насичення) </t>
  </si>
  <si>
    <t>Pc</t>
  </si>
  <si>
    <t>із запасом беремо</t>
  </si>
  <si>
    <t>(при більшій Uбе(нас) більш різко привідкривається (зменш опір між вс) )</t>
  </si>
  <si>
    <t>Напруги</t>
  </si>
  <si>
    <t>Uke &lt; 300 mV</t>
  </si>
  <si>
    <t>Ube &gt; 830 mV</t>
  </si>
  <si>
    <t>Калькулятор дільника</t>
  </si>
  <si>
    <t>R2</t>
  </si>
  <si>
    <t>Uвих</t>
  </si>
  <si>
    <t>Uвх</t>
  </si>
  <si>
    <t>Vo</t>
  </si>
  <si>
    <t>Vxx</t>
  </si>
  <si>
    <t>Io</t>
  </si>
  <si>
    <t>Vcc</t>
  </si>
  <si>
    <t>LAMPA</t>
  </si>
  <si>
    <t>250ma</t>
  </si>
  <si>
    <t>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</si>
</sst>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" fontId="3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5" borderId="0" xfId="0" applyNumberFormat="1" applyFon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6" fontId="3" fillId="12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34016</xdr:colOff>
      <xdr:row>18</xdr:row>
      <xdr:rowOff>122463</xdr:rowOff>
    </xdr:from>
    <xdr:to>
      <xdr:col>22</xdr:col>
      <xdr:colOff>484154</xdr:colOff>
      <xdr:row>42</xdr:row>
      <xdr:rowOff>46964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73" t="14931" r="667"/>
        <a:stretch/>
      </xdr:blipFill>
      <xdr:spPr>
        <a:xfrm>
          <a:off x="12239623" y="3170463"/>
          <a:ext cx="5348709" cy="449650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23583</xdr:colOff>
      <xdr:row>1</xdr:row>
      <xdr:rowOff>0</xdr:rowOff>
    </xdr:from>
    <xdr:to>
      <xdr:col>22</xdr:col>
      <xdr:colOff>393041</xdr:colOff>
      <xdr:row>16</xdr:row>
      <xdr:rowOff>190119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9190" y="190500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2712705</xdr:colOff>
      <xdr:row>37</xdr:row>
      <xdr:rowOff>13607</xdr:rowOff>
    </xdr:from>
    <xdr:to>
      <xdr:col>13</xdr:col>
      <xdr:colOff>126287</xdr:colOff>
      <xdr:row>41</xdr:row>
      <xdr:rowOff>90183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312" y="6681107"/>
          <a:ext cx="7727796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565439</xdr:colOff>
      <xdr:row>13</xdr:row>
      <xdr:rowOff>1848</xdr:rowOff>
    </xdr:from>
    <xdr:to>
      <xdr:col>27</xdr:col>
      <xdr:colOff>456844</xdr:colOff>
      <xdr:row>21</xdr:row>
      <xdr:rowOff>29213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666" y="2703484"/>
          <a:ext cx="3865418" cy="1689911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466726</xdr:colOff>
      <xdr:row>13</xdr:row>
      <xdr:rowOff>97491</xdr:rowOff>
    </xdr:from>
    <xdr:to>
      <xdr:col>19</xdr:col>
      <xdr:colOff>314214</xdr:colOff>
      <xdr:row>21</xdr:row>
      <xdr:rowOff>126065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520" y="2719667"/>
          <a:ext cx="2290371" cy="1642222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784413</xdr:colOff>
      <xdr:row>36</xdr:row>
      <xdr:rowOff>179295</xdr:rowOff>
    </xdr:from>
    <xdr:to>
      <xdr:col>12</xdr:col>
      <xdr:colOff>329162</xdr:colOff>
      <xdr:row>49</xdr:row>
      <xdr:rowOff>42832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7531" y="7474324"/>
          <a:ext cx="6828572" cy="2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14</xdr:col>
      <xdr:colOff>551779</xdr:colOff>
      <xdr:row>28</xdr:row>
      <xdr:rowOff>27905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0"/>
          <a:ext cx="5371429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160804</xdr:rowOff>
    </xdr:from>
    <xdr:to>
      <xdr:col>20</xdr:col>
      <xdr:colOff>312950</xdr:colOff>
      <xdr:row>19</xdr:row>
      <xdr:rowOff>27907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41804"/>
          <a:ext cx="6399425" cy="31056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114300</xdr:rowOff>
    </xdr:from>
    <xdr:to>
      <xdr:col>15</xdr:col>
      <xdr:colOff>533044</xdr:colOff>
      <xdr:row>30</xdr:row>
      <xdr:rowOff>161776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4495800"/>
          <a:ext cx="2847619" cy="11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19</xdr:col>
      <xdr:colOff>333375</xdr:colOff>
      <xdr:row>39</xdr:row>
      <xdr:rowOff>66422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057525"/>
          <a:ext cx="10058400" cy="4438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zoomScale="70" zoomScaleNormal="70" workbookViewId="0">
      <selection activeCell="B15" sqref="B15"/>
    </sheetView>
  </sheetViews>
  <sheetFormatPr defaultRowHeight="15" x14ac:dyDescent="0.25"/>
  <cols>
    <col min="1" max="1" width="11.28515625" style="2" bestFit="1" customWidth="1"/>
    <col min="2" max="2" width="9.5703125" style="2" bestFit="1" customWidth="1"/>
    <col min="3" max="3" width="7.85546875" style="2" bestFit="1" customWidth="1"/>
    <col min="4" max="4" width="85" style="2" customWidth="1"/>
    <col min="5" max="5" width="7.85546875" style="2" bestFit="1" customWidth="1"/>
    <col min="6" max="6" width="8.28515625" style="2" customWidth="1"/>
    <col min="7" max="7" width="3.5703125" style="2" customWidth="1"/>
    <col min="8" max="8" width="4" style="2" bestFit="1" customWidth="1"/>
    <col min="9" max="9" width="5.7109375" style="5" bestFit="1" customWidth="1"/>
    <col min="10" max="10" width="20.28515625" style="2" bestFit="1" customWidth="1"/>
    <col min="11" max="11" width="5.28515625" style="2" customWidth="1"/>
    <col min="12" max="12" width="5" style="2" customWidth="1"/>
    <col min="13" max="16384" width="9.140625" style="2"/>
  </cols>
  <sheetData>
    <row r="1" spans="1:10" s="43" customFormat="1" x14ac:dyDescent="0.25">
      <c r="D1" s="43" t="s">
        <v>81</v>
      </c>
      <c r="I1" s="44"/>
    </row>
    <row r="2" spans="1:10" x14ac:dyDescent="0.25">
      <c r="A2" s="121" t="s">
        <v>129</v>
      </c>
      <c r="B2" s="121"/>
      <c r="C2" s="121"/>
    </row>
    <row r="3" spans="1:10" x14ac:dyDescent="0.25">
      <c r="A3" s="59" t="s">
        <v>32</v>
      </c>
      <c r="B3" s="59" t="s">
        <v>33</v>
      </c>
      <c r="C3" s="59" t="s">
        <v>46</v>
      </c>
      <c r="D3" s="10"/>
      <c r="E3" s="16" t="s">
        <v>23</v>
      </c>
      <c r="F3" s="3" t="s">
        <v>32</v>
      </c>
    </row>
    <row r="4" spans="1:10" x14ac:dyDescent="0.25">
      <c r="A4" s="1" t="s">
        <v>2</v>
      </c>
      <c r="B4" s="6">
        <v>12</v>
      </c>
      <c r="C4" s="1" t="s">
        <v>3</v>
      </c>
      <c r="D4" s="20"/>
      <c r="E4" s="17">
        <v>80</v>
      </c>
      <c r="F4" s="1" t="s">
        <v>24</v>
      </c>
      <c r="G4" s="5"/>
    </row>
    <row r="5" spans="1:10" x14ac:dyDescent="0.25">
      <c r="A5" s="1" t="s">
        <v>147</v>
      </c>
      <c r="B5" s="99">
        <v>5</v>
      </c>
      <c r="C5" s="1" t="s">
        <v>3</v>
      </c>
      <c r="D5" s="20"/>
      <c r="E5" s="100"/>
      <c r="F5" s="79"/>
      <c r="G5" s="5"/>
    </row>
    <row r="6" spans="1:10" x14ac:dyDescent="0.25">
      <c r="A6" s="4" t="s">
        <v>4</v>
      </c>
      <c r="B6" s="98">
        <f>B5-B13</f>
        <v>0.79999999999999982</v>
      </c>
      <c r="C6" s="4" t="s">
        <v>3</v>
      </c>
      <c r="D6" s="21" t="s">
        <v>12</v>
      </c>
      <c r="E6" s="92">
        <v>0.5</v>
      </c>
      <c r="F6" s="74" t="s">
        <v>28</v>
      </c>
      <c r="H6" s="17">
        <v>5</v>
      </c>
      <c r="I6" s="1" t="s">
        <v>25</v>
      </c>
    </row>
    <row r="7" spans="1:10" x14ac:dyDescent="0.25">
      <c r="A7" s="8" t="s">
        <v>13</v>
      </c>
      <c r="B7" s="73">
        <f>13.07*10^-3</f>
        <v>1.307E-2</v>
      </c>
      <c r="C7" s="59" t="s">
        <v>14</v>
      </c>
      <c r="D7" s="21" t="s">
        <v>45</v>
      </c>
      <c r="E7" s="16"/>
      <c r="F7" s="3" t="s">
        <v>14</v>
      </c>
    </row>
    <row r="8" spans="1:10" x14ac:dyDescent="0.25">
      <c r="A8" s="8" t="s">
        <v>10</v>
      </c>
      <c r="B8" s="59">
        <v>0.72</v>
      </c>
      <c r="C8" s="59" t="s">
        <v>3</v>
      </c>
      <c r="D8" s="21" t="s">
        <v>165</v>
      </c>
      <c r="E8" s="16">
        <v>0.5</v>
      </c>
      <c r="F8" s="3" t="s">
        <v>28</v>
      </c>
    </row>
    <row r="9" spans="1:10" x14ac:dyDescent="0.25">
      <c r="A9" s="8" t="s">
        <v>11</v>
      </c>
      <c r="B9" s="7">
        <v>0.5</v>
      </c>
      <c r="C9" s="59" t="s">
        <v>3</v>
      </c>
      <c r="D9" s="21" t="s">
        <v>168</v>
      </c>
      <c r="E9" s="16">
        <v>0.5</v>
      </c>
      <c r="F9" s="3" t="s">
        <v>27</v>
      </c>
      <c r="I9" s="13"/>
    </row>
    <row r="10" spans="1:10" x14ac:dyDescent="0.25">
      <c r="A10" s="59"/>
      <c r="B10" s="7"/>
      <c r="C10" s="59"/>
      <c r="D10" s="21"/>
      <c r="E10" s="16"/>
      <c r="F10" s="8"/>
      <c r="I10" s="5">
        <v>119</v>
      </c>
      <c r="J10" s="2" t="s">
        <v>153</v>
      </c>
    </row>
    <row r="11" spans="1:10" x14ac:dyDescent="0.25">
      <c r="A11" s="10"/>
      <c r="B11" s="86"/>
      <c r="C11" s="74">
        <v>25</v>
      </c>
      <c r="D11" s="21" t="s">
        <v>30</v>
      </c>
      <c r="E11" s="92">
        <v>250</v>
      </c>
      <c r="F11" s="8" t="s">
        <v>29</v>
      </c>
    </row>
    <row r="12" spans="1:10" x14ac:dyDescent="0.25">
      <c r="D12" s="10"/>
      <c r="G12" s="5"/>
    </row>
    <row r="13" spans="1:10" x14ac:dyDescent="0.25">
      <c r="A13" s="1" t="s">
        <v>128</v>
      </c>
      <c r="B13" s="1">
        <v>4.2</v>
      </c>
      <c r="C13" s="1" t="s">
        <v>3</v>
      </c>
      <c r="D13" s="10"/>
      <c r="G13" s="5"/>
    </row>
    <row r="14" spans="1:10" x14ac:dyDescent="0.25">
      <c r="A14" s="11" t="s">
        <v>21</v>
      </c>
      <c r="B14" s="9">
        <v>1</v>
      </c>
      <c r="C14" s="1" t="s">
        <v>5</v>
      </c>
      <c r="D14" s="21" t="s">
        <v>20</v>
      </c>
      <c r="E14" s="18" t="s">
        <v>31</v>
      </c>
      <c r="F14" s="1" t="s">
        <v>5</v>
      </c>
    </row>
    <row r="15" spans="1:10" x14ac:dyDescent="0.25">
      <c r="A15" s="59" t="s">
        <v>0</v>
      </c>
      <c r="B15" s="7">
        <f>B14/2</f>
        <v>0.5</v>
      </c>
      <c r="C15" s="59" t="s">
        <v>6</v>
      </c>
      <c r="D15" s="21" t="s">
        <v>164</v>
      </c>
      <c r="E15" s="19">
        <f>B15</f>
        <v>0.5</v>
      </c>
      <c r="F15" s="7" t="s">
        <v>26</v>
      </c>
    </row>
    <row r="16" spans="1:10" x14ac:dyDescent="0.25">
      <c r="A16" s="4" t="s">
        <v>9</v>
      </c>
      <c r="B16" s="12">
        <f>(B6-B8)/B7</f>
        <v>6.1208875286916484</v>
      </c>
      <c r="C16" s="4" t="s">
        <v>1</v>
      </c>
      <c r="D16" s="21" t="s">
        <v>163</v>
      </c>
      <c r="E16" s="67" t="s">
        <v>31</v>
      </c>
      <c r="F16" s="4" t="s">
        <v>1</v>
      </c>
    </row>
    <row r="17" spans="1:7" x14ac:dyDescent="0.25">
      <c r="A17" s="4" t="s">
        <v>8</v>
      </c>
      <c r="B17" s="12">
        <f>(B4-B13-B9)/B15</f>
        <v>14.6</v>
      </c>
      <c r="C17" s="4" t="s">
        <v>1</v>
      </c>
      <c r="D17" s="21" t="s">
        <v>162</v>
      </c>
      <c r="E17" s="67" t="s">
        <v>31</v>
      </c>
      <c r="F17" s="4" t="s">
        <v>1</v>
      </c>
    </row>
    <row r="18" spans="1:7" x14ac:dyDescent="0.25">
      <c r="A18" s="10"/>
      <c r="D18" s="10"/>
      <c r="G18" s="5"/>
    </row>
    <row r="19" spans="1:7" x14ac:dyDescent="0.25">
      <c r="A19" s="121" t="s">
        <v>103</v>
      </c>
      <c r="B19" s="121"/>
      <c r="C19" s="121"/>
      <c r="D19" s="10"/>
    </row>
    <row r="20" spans="1:7" x14ac:dyDescent="0.25">
      <c r="A20" s="3" t="s">
        <v>16</v>
      </c>
      <c r="B20" s="3" t="s">
        <v>15</v>
      </c>
      <c r="C20" s="3" t="s">
        <v>17</v>
      </c>
      <c r="D20" s="10"/>
      <c r="E20" s="3" t="s">
        <v>166</v>
      </c>
      <c r="F20" s="3"/>
    </row>
    <row r="21" spans="1:7" x14ac:dyDescent="0.25">
      <c r="A21" s="73">
        <f>((B4-B13-B9)^2) / B17</f>
        <v>3.65</v>
      </c>
      <c r="B21" s="73">
        <f>B15*(B4-B9-B13)</f>
        <v>3.65</v>
      </c>
      <c r="C21" s="73">
        <f>B15*B15*B17</f>
        <v>3.65</v>
      </c>
      <c r="D21" s="10"/>
      <c r="E21" s="3">
        <f>E15*3</f>
        <v>1.5</v>
      </c>
      <c r="F21" s="3" t="s">
        <v>7</v>
      </c>
    </row>
    <row r="22" spans="1:7" x14ac:dyDescent="0.25">
      <c r="E22" s="2" t="s">
        <v>104</v>
      </c>
    </row>
    <row r="23" spans="1:7" x14ac:dyDescent="0.25">
      <c r="B23" s="2" t="s">
        <v>167</v>
      </c>
      <c r="E23" s="58" t="s">
        <v>105</v>
      </c>
    </row>
    <row r="24" spans="1:7" x14ac:dyDescent="0.25">
      <c r="B24" s="2">
        <f>B21/0.6</f>
        <v>6.083333333333333</v>
      </c>
      <c r="C24" s="2" t="s">
        <v>7</v>
      </c>
    </row>
    <row r="26" spans="1:7" x14ac:dyDescent="0.25">
      <c r="A26" s="1" t="s">
        <v>18</v>
      </c>
    </row>
    <row r="27" spans="1:7" x14ac:dyDescent="0.25">
      <c r="A27" s="8" t="s">
        <v>22</v>
      </c>
    </row>
    <row r="28" spans="1:7" x14ac:dyDescent="0.25">
      <c r="A28" s="4" t="s">
        <v>19</v>
      </c>
    </row>
    <row r="32" spans="1:7" x14ac:dyDescent="0.25">
      <c r="A32" s="121" t="s">
        <v>130</v>
      </c>
      <c r="B32" s="121"/>
      <c r="C32" s="121"/>
    </row>
    <row r="33" spans="1:3" x14ac:dyDescent="0.25">
      <c r="A33" s="74" t="s">
        <v>32</v>
      </c>
      <c r="B33" s="74" t="s">
        <v>33</v>
      </c>
      <c r="C33" s="74" t="s">
        <v>46</v>
      </c>
    </row>
    <row r="34" spans="1:3" x14ac:dyDescent="0.25">
      <c r="A34" s="1" t="s">
        <v>2</v>
      </c>
      <c r="B34" s="6">
        <v>10</v>
      </c>
      <c r="C34" s="1" t="s">
        <v>3</v>
      </c>
    </row>
    <row r="35" spans="1:3" x14ac:dyDescent="0.25">
      <c r="A35" s="1" t="s">
        <v>147</v>
      </c>
      <c r="B35" s="99">
        <v>5</v>
      </c>
      <c r="C35" s="1" t="s">
        <v>3</v>
      </c>
    </row>
    <row r="36" spans="1:3" x14ac:dyDescent="0.25">
      <c r="A36" s="4" t="s">
        <v>4</v>
      </c>
      <c r="B36" s="98">
        <f>B35-B43</f>
        <v>0.79999999999999982</v>
      </c>
      <c r="C36" s="4" t="s">
        <v>3</v>
      </c>
    </row>
    <row r="37" spans="1:3" x14ac:dyDescent="0.25">
      <c r="A37" s="8" t="s">
        <v>13</v>
      </c>
      <c r="B37" s="73">
        <f>13.07*10^-3</f>
        <v>1.307E-2</v>
      </c>
      <c r="C37" s="74" t="s">
        <v>14</v>
      </c>
    </row>
    <row r="38" spans="1:3" x14ac:dyDescent="0.25">
      <c r="A38" s="8" t="s">
        <v>10</v>
      </c>
      <c r="B38" s="73"/>
      <c r="C38" s="74" t="s">
        <v>3</v>
      </c>
    </row>
    <row r="39" spans="1:3" x14ac:dyDescent="0.25">
      <c r="A39" s="8" t="s">
        <v>11</v>
      </c>
      <c r="B39" s="73">
        <v>8.1000000000000003E-2</v>
      </c>
      <c r="C39" s="74" t="s">
        <v>3</v>
      </c>
    </row>
    <row r="40" spans="1:3" x14ac:dyDescent="0.25">
      <c r="A40" s="74"/>
      <c r="B40" s="7"/>
      <c r="C40" s="74"/>
    </row>
    <row r="41" spans="1:3" x14ac:dyDescent="0.25">
      <c r="A41" s="10"/>
      <c r="B41" s="86"/>
      <c r="C41" s="74">
        <v>25</v>
      </c>
    </row>
    <row r="43" spans="1:3" x14ac:dyDescent="0.25">
      <c r="A43" s="1" t="s">
        <v>128</v>
      </c>
      <c r="B43" s="1">
        <v>4.2</v>
      </c>
      <c r="C43" s="1" t="s">
        <v>3</v>
      </c>
    </row>
    <row r="44" spans="1:3" x14ac:dyDescent="0.25">
      <c r="A44" s="11" t="s">
        <v>21</v>
      </c>
      <c r="B44" s="9">
        <v>1</v>
      </c>
      <c r="C44" s="1" t="s">
        <v>5</v>
      </c>
    </row>
    <row r="45" spans="1:3" x14ac:dyDescent="0.25">
      <c r="A45" s="74" t="s">
        <v>0</v>
      </c>
      <c r="B45" s="7">
        <f>B44/2</f>
        <v>0.5</v>
      </c>
      <c r="C45" s="74" t="s">
        <v>6</v>
      </c>
    </row>
    <row r="46" spans="1:3" x14ac:dyDescent="0.25">
      <c r="A46" s="4" t="s">
        <v>9</v>
      </c>
      <c r="B46" s="12">
        <f>B36/B37</f>
        <v>61.208875286916587</v>
      </c>
      <c r="C46" s="4" t="s">
        <v>1</v>
      </c>
    </row>
    <row r="47" spans="1:3" x14ac:dyDescent="0.25">
      <c r="A47" s="4" t="s">
        <v>8</v>
      </c>
      <c r="B47" s="12">
        <f>(B34-B43-B39)/B45</f>
        <v>11.437999999999999</v>
      </c>
      <c r="C47" s="4" t="s">
        <v>1</v>
      </c>
    </row>
    <row r="48" spans="1:3" x14ac:dyDescent="0.25">
      <c r="A48" s="10"/>
    </row>
    <row r="49" spans="1:3" x14ac:dyDescent="0.25">
      <c r="A49" s="121" t="s">
        <v>103</v>
      </c>
      <c r="B49" s="121"/>
      <c r="C49" s="121"/>
    </row>
    <row r="50" spans="1:3" x14ac:dyDescent="0.25">
      <c r="A50" s="74" t="s">
        <v>16</v>
      </c>
      <c r="B50" s="74" t="s">
        <v>15</v>
      </c>
      <c r="C50" s="74" t="s">
        <v>17</v>
      </c>
    </row>
    <row r="51" spans="1:3" x14ac:dyDescent="0.25">
      <c r="A51" s="73">
        <f>((B34-B43-B39)^2) / B47</f>
        <v>2.8594999999999997</v>
      </c>
      <c r="B51" s="73">
        <f>B45*(B34-B39-B43)</f>
        <v>2.8595000000000002</v>
      </c>
      <c r="C51" s="73">
        <f>B45*B45*B47</f>
        <v>2.8594999999999997</v>
      </c>
    </row>
    <row r="53" spans="1:3" x14ac:dyDescent="0.25">
      <c r="B53" s="2" t="s">
        <v>167</v>
      </c>
    </row>
    <row r="54" spans="1:3" x14ac:dyDescent="0.25">
      <c r="B54" s="2">
        <f>B51/0.6</f>
        <v>4.765833333333334</v>
      </c>
      <c r="C54" s="2" t="s">
        <v>7</v>
      </c>
    </row>
  </sheetData>
  <mergeCells count="4">
    <mergeCell ref="A49:C49"/>
    <mergeCell ref="A19:C19"/>
    <mergeCell ref="A2:C2"/>
    <mergeCell ref="A32:C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abSelected="1" topLeftCell="A37" zoomScale="85" zoomScaleNormal="85" workbookViewId="0">
      <selection activeCell="D58" sqref="D58"/>
    </sheetView>
  </sheetViews>
  <sheetFormatPr defaultRowHeight="15.75" x14ac:dyDescent="0.25"/>
  <cols>
    <col min="1" max="1" width="15.140625" style="14" bestFit="1" customWidth="1"/>
    <col min="2" max="2" width="8" style="14" bestFit="1" customWidth="1"/>
    <col min="3" max="3" width="17.28515625" style="14" bestFit="1" customWidth="1"/>
    <col min="4" max="4" width="14.28515625" style="14" customWidth="1"/>
    <col min="5" max="5" width="15" style="14" bestFit="1" customWidth="1"/>
    <col min="6" max="6" width="11.28515625" style="14" bestFit="1" customWidth="1"/>
    <col min="7" max="7" width="19.28515625" style="14" customWidth="1"/>
    <col min="8" max="8" width="12.85546875" style="14" bestFit="1" customWidth="1"/>
    <col min="9" max="9" width="9.42578125" style="14" bestFit="1" customWidth="1"/>
    <col min="10" max="10" width="8.85546875" style="14" bestFit="1" customWidth="1"/>
    <col min="11" max="11" width="18.140625" style="14" bestFit="1" customWidth="1"/>
    <col min="12" max="12" width="14.28515625" style="14" bestFit="1" customWidth="1"/>
    <col min="13" max="13" width="8.42578125" style="14" bestFit="1" customWidth="1"/>
    <col min="14" max="15" width="15" style="14" bestFit="1" customWidth="1"/>
    <col min="16" max="16" width="18.140625" style="14" bestFit="1" customWidth="1"/>
    <col min="17" max="17" width="8.7109375" style="14" bestFit="1" customWidth="1"/>
    <col min="18" max="18" width="9.140625" style="14"/>
    <col min="19" max="19" width="36.5703125" style="14" bestFit="1" customWidth="1"/>
    <col min="20" max="21" width="9.140625" style="14"/>
    <col min="22" max="22" width="8.85546875" style="14" bestFit="1" customWidth="1"/>
    <col min="23" max="23" width="14.28515625" style="14" bestFit="1" customWidth="1"/>
    <col min="24" max="16384" width="9.140625" style="14"/>
  </cols>
  <sheetData>
    <row r="1" spans="1:25" x14ac:dyDescent="0.25">
      <c r="G1" s="35" t="s">
        <v>57</v>
      </c>
    </row>
    <row r="2" spans="1:25" x14ac:dyDescent="0.25">
      <c r="A2" s="24" t="s">
        <v>2</v>
      </c>
      <c r="B2" s="24">
        <v>12</v>
      </c>
    </row>
    <row r="3" spans="1:25" x14ac:dyDescent="0.25">
      <c r="A3" s="24" t="s">
        <v>35</v>
      </c>
      <c r="B3" s="24">
        <v>5</v>
      </c>
    </row>
    <row r="4" spans="1:25" s="22" customFormat="1" x14ac:dyDescent="0.25">
      <c r="D4" s="22" t="s">
        <v>64</v>
      </c>
      <c r="E4" s="38"/>
    </row>
    <row r="5" spans="1:25" x14ac:dyDescent="0.25">
      <c r="E5" s="15"/>
      <c r="G5" s="29">
        <v>1</v>
      </c>
      <c r="H5" s="24" t="s">
        <v>40</v>
      </c>
      <c r="I5" s="24">
        <v>5</v>
      </c>
      <c r="O5" s="122" t="s">
        <v>63</v>
      </c>
      <c r="P5" s="122"/>
      <c r="Q5" s="122"/>
    </row>
    <row r="6" spans="1:25" x14ac:dyDescent="0.25">
      <c r="K6" s="14" t="s">
        <v>68</v>
      </c>
      <c r="M6" s="14" t="s">
        <v>34</v>
      </c>
      <c r="N6" s="45" t="s">
        <v>82</v>
      </c>
      <c r="O6" s="14" t="s">
        <v>61</v>
      </c>
      <c r="P6" s="51">
        <f>-3*10^-9</f>
        <v>-3.0000000000000004E-9</v>
      </c>
    </row>
    <row r="7" spans="1:25" x14ac:dyDescent="0.25">
      <c r="A7" s="125" t="s">
        <v>36</v>
      </c>
      <c r="B7" s="125"/>
      <c r="C7" s="126">
        <v>4.2</v>
      </c>
      <c r="D7" s="24" t="s">
        <v>54</v>
      </c>
      <c r="E7" s="25">
        <v>8400</v>
      </c>
      <c r="F7" s="14" t="s">
        <v>48</v>
      </c>
      <c r="G7" s="28" t="s">
        <v>41</v>
      </c>
      <c r="H7" s="24" t="s">
        <v>43</v>
      </c>
      <c r="I7" s="37">
        <f>I5*2/3</f>
        <v>3.3333333333333335</v>
      </c>
      <c r="K7" s="24">
        <f>300*10^-6</f>
        <v>2.9999999999999997E-4</v>
      </c>
      <c r="L7" s="123" t="s">
        <v>6</v>
      </c>
      <c r="M7" s="46">
        <v>3.3330000000000002</v>
      </c>
      <c r="N7" s="37">
        <f>K7*M7</f>
        <v>9.9989999999999996E-4</v>
      </c>
      <c r="O7" s="14" t="s">
        <v>60</v>
      </c>
      <c r="P7" s="51">
        <f>-2*10^-9</f>
        <v>-2.0000000000000001E-9</v>
      </c>
    </row>
    <row r="8" spans="1:25" x14ac:dyDescent="0.25">
      <c r="A8" s="125"/>
      <c r="B8" s="125"/>
      <c r="C8" s="126"/>
      <c r="D8" s="24" t="s">
        <v>53</v>
      </c>
      <c r="E8" s="26">
        <f>(I7*E7)/(C7-I7)</f>
        <v>32307.692307692305</v>
      </c>
      <c r="K8" s="24">
        <f>400*10^-6</f>
        <v>3.9999999999999996E-4</v>
      </c>
      <c r="L8" s="124"/>
      <c r="M8" s="46">
        <v>2.548</v>
      </c>
      <c r="N8" s="37">
        <f t="shared" ref="N8" si="0">K8*M8</f>
        <v>1.0191999999999998E-3</v>
      </c>
      <c r="O8" s="14" t="s">
        <v>62</v>
      </c>
      <c r="P8" s="52">
        <f>504*10^-6</f>
        <v>5.04E-4</v>
      </c>
      <c r="V8" s="33"/>
    </row>
    <row r="9" spans="1:25" x14ac:dyDescent="0.25">
      <c r="K9" s="24"/>
      <c r="L9" s="24"/>
      <c r="M9" s="46"/>
      <c r="N9" s="37"/>
      <c r="P9" s="51"/>
    </row>
    <row r="10" spans="1:25" x14ac:dyDescent="0.25">
      <c r="A10" s="125" t="s">
        <v>37</v>
      </c>
      <c r="B10" s="125"/>
      <c r="C10" s="126">
        <v>4</v>
      </c>
      <c r="D10" s="24" t="s">
        <v>54</v>
      </c>
      <c r="E10" s="25">
        <v>7970</v>
      </c>
      <c r="F10" s="14" t="s">
        <v>49</v>
      </c>
      <c r="G10" s="28" t="s">
        <v>42</v>
      </c>
      <c r="H10" s="24" t="s">
        <v>44</v>
      </c>
      <c r="I10" s="37">
        <f>I5/3</f>
        <v>1.6666666666666667</v>
      </c>
      <c r="K10" s="24">
        <f>173*10^-6</f>
        <v>1.73E-4</v>
      </c>
      <c r="L10" s="123" t="s">
        <v>6</v>
      </c>
      <c r="M10" s="46">
        <v>2.2000000000000002</v>
      </c>
      <c r="N10" s="37">
        <f>K10*M10</f>
        <v>3.8060000000000004E-4</v>
      </c>
      <c r="O10" s="14" t="s">
        <v>61</v>
      </c>
      <c r="P10" s="51">
        <f>-2.4*10^-9</f>
        <v>-2.4E-9</v>
      </c>
    </row>
    <row r="11" spans="1:25" x14ac:dyDescent="0.25">
      <c r="A11" s="125"/>
      <c r="B11" s="125"/>
      <c r="C11" s="126"/>
      <c r="D11" s="24" t="s">
        <v>53</v>
      </c>
      <c r="E11" s="26">
        <f>(I10*E10)/(C10-I10)</f>
        <v>5692.857142857144</v>
      </c>
      <c r="K11" s="24">
        <f>132*10^-6</f>
        <v>1.3199999999999998E-4</v>
      </c>
      <c r="L11" s="124"/>
      <c r="M11" s="46">
        <v>1.6719999999999999</v>
      </c>
      <c r="N11" s="37">
        <f>K11*M11</f>
        <v>2.2070399999999995E-4</v>
      </c>
      <c r="O11" s="14" t="s">
        <v>60</v>
      </c>
      <c r="P11" s="51">
        <f>-1.5*10^-9</f>
        <v>-1.5000000000000002E-9</v>
      </c>
    </row>
    <row r="12" spans="1:25" x14ac:dyDescent="0.25">
      <c r="N12" s="49"/>
      <c r="O12" s="14" t="s">
        <v>62</v>
      </c>
      <c r="P12" s="52">
        <f>70*10^-6</f>
        <v>6.9999999999999994E-5</v>
      </c>
    </row>
    <row r="13" spans="1:25" s="23" customFormat="1" x14ac:dyDescent="0.25">
      <c r="D13" s="23" t="s">
        <v>84</v>
      </c>
      <c r="N13" s="50"/>
      <c r="P13" s="53"/>
      <c r="Q13" s="22"/>
      <c r="R13" s="22"/>
      <c r="S13" s="22" t="s">
        <v>65</v>
      </c>
      <c r="T13" s="22"/>
      <c r="U13" s="22"/>
      <c r="V13" s="22"/>
      <c r="W13" s="22" t="s">
        <v>66</v>
      </c>
      <c r="X13" s="22"/>
      <c r="Y13" s="22"/>
    </row>
    <row r="14" spans="1:25" x14ac:dyDescent="0.25">
      <c r="N14" s="49"/>
      <c r="P14" s="51"/>
    </row>
    <row r="15" spans="1:25" x14ac:dyDescent="0.25">
      <c r="A15" s="125" t="s">
        <v>36</v>
      </c>
      <c r="B15" s="125"/>
      <c r="C15" s="126">
        <v>4.2</v>
      </c>
      <c r="D15" s="24" t="s">
        <v>54</v>
      </c>
      <c r="E15" s="34">
        <f>H15+H16 - (I7*(H15+H16))/C15</f>
        <v>5158.730158730159</v>
      </c>
      <c r="G15" s="24" t="s">
        <v>55</v>
      </c>
      <c r="H15" s="30">
        <v>10000</v>
      </c>
      <c r="K15" s="24">
        <f>168*10^-6</f>
        <v>1.6799999999999999E-4</v>
      </c>
      <c r="L15" s="125" t="s">
        <v>6</v>
      </c>
      <c r="M15" s="46"/>
      <c r="N15" s="36">
        <f>K15*M15</f>
        <v>0</v>
      </c>
      <c r="O15" s="14" t="s">
        <v>61</v>
      </c>
      <c r="P15" s="51">
        <f>-3*10^-9</f>
        <v>-3.0000000000000004E-9</v>
      </c>
    </row>
    <row r="16" spans="1:25" x14ac:dyDescent="0.25">
      <c r="A16" s="125"/>
      <c r="B16" s="125"/>
      <c r="C16" s="126"/>
      <c r="D16" s="24" t="s">
        <v>53</v>
      </c>
      <c r="E16" s="34">
        <f>H15-E15</f>
        <v>4841.269841269841</v>
      </c>
      <c r="G16" s="24" t="s">
        <v>51</v>
      </c>
      <c r="H16" s="30">
        <v>15000</v>
      </c>
      <c r="K16" s="24">
        <f>128*10^-6</f>
        <v>1.2799999999999999E-4</v>
      </c>
      <c r="L16" s="125"/>
      <c r="M16" s="46"/>
      <c r="N16" s="36">
        <f t="shared" ref="N16" si="1">K16*M16</f>
        <v>0</v>
      </c>
      <c r="O16" s="14" t="s">
        <v>60</v>
      </c>
      <c r="P16" s="51">
        <f>-2*10^-9</f>
        <v>-2.0000000000000001E-9</v>
      </c>
      <c r="R16" s="14" t="s">
        <v>67</v>
      </c>
    </row>
    <row r="17" spans="1:22" x14ac:dyDescent="0.25">
      <c r="K17" s="24"/>
      <c r="L17" s="24"/>
      <c r="M17" s="46"/>
      <c r="N17" s="36"/>
      <c r="O17" s="14" t="s">
        <v>62</v>
      </c>
      <c r="P17" s="52">
        <f>504*10^-6</f>
        <v>5.04E-4</v>
      </c>
      <c r="R17" s="33">
        <f>11*10^-3</f>
        <v>1.0999999999999999E-2</v>
      </c>
      <c r="V17" s="33">
        <f>-12.5*10^-3</f>
        <v>-1.2500000000000001E-2</v>
      </c>
    </row>
    <row r="18" spans="1:22" x14ac:dyDescent="0.25">
      <c r="A18" s="125" t="s">
        <v>37</v>
      </c>
      <c r="B18" s="125"/>
      <c r="C18" s="126">
        <v>3.2</v>
      </c>
      <c r="D18" s="24" t="s">
        <v>58</v>
      </c>
      <c r="E18" s="34">
        <f>H20+H18 - I10*(H18+H19+H20) / C18</f>
        <v>3404.1666666666642</v>
      </c>
      <c r="G18" s="24" t="s">
        <v>56</v>
      </c>
      <c r="H18" s="30">
        <v>10000</v>
      </c>
      <c r="K18" s="24">
        <f>55*10^-6</f>
        <v>5.4999999999999995E-5</v>
      </c>
      <c r="L18" s="125" t="s">
        <v>6</v>
      </c>
      <c r="M18" s="46"/>
      <c r="N18" s="36">
        <f>K18*M10</f>
        <v>1.21E-4</v>
      </c>
      <c r="P18" s="51"/>
    </row>
    <row r="19" spans="1:22" x14ac:dyDescent="0.25">
      <c r="A19" s="125"/>
      <c r="B19" s="125"/>
      <c r="C19" s="126"/>
      <c r="D19" s="24" t="s">
        <v>59</v>
      </c>
      <c r="E19" s="34">
        <f>H18-E18</f>
        <v>6595.8333333333358</v>
      </c>
      <c r="G19" s="31" t="s">
        <v>38</v>
      </c>
      <c r="H19" s="32">
        <v>33300</v>
      </c>
      <c r="K19" s="24">
        <f>42*10^-6</f>
        <v>4.1999999999999998E-5</v>
      </c>
      <c r="L19" s="125"/>
      <c r="M19" s="46"/>
      <c r="N19" s="36">
        <f>K19*M11</f>
        <v>7.0223999999999997E-5</v>
      </c>
      <c r="O19" s="14" t="s">
        <v>61</v>
      </c>
      <c r="P19" s="51">
        <f>-2.4*10^-9</f>
        <v>-2.4E-9</v>
      </c>
    </row>
    <row r="20" spans="1:22" x14ac:dyDescent="0.25">
      <c r="G20" s="31" t="s">
        <v>39</v>
      </c>
      <c r="H20" s="32">
        <v>33300</v>
      </c>
      <c r="O20" s="14" t="s">
        <v>60</v>
      </c>
      <c r="P20" s="51">
        <f>-1.5*10^-9</f>
        <v>-1.5000000000000002E-9</v>
      </c>
    </row>
    <row r="21" spans="1:22" x14ac:dyDescent="0.25">
      <c r="A21" s="25" t="s">
        <v>18</v>
      </c>
      <c r="D21" s="14" t="s">
        <v>52</v>
      </c>
      <c r="E21" s="33" t="s">
        <v>50</v>
      </c>
      <c r="O21" s="14" t="s">
        <v>62</v>
      </c>
      <c r="P21" s="52">
        <f>70*10^-6</f>
        <v>6.9999999999999994E-5</v>
      </c>
    </row>
    <row r="22" spans="1:22" x14ac:dyDescent="0.25">
      <c r="A22" s="24"/>
    </row>
    <row r="23" spans="1:22" x14ac:dyDescent="0.25">
      <c r="A23" s="27" t="s">
        <v>47</v>
      </c>
    </row>
    <row r="25" spans="1:22" x14ac:dyDescent="0.25">
      <c r="B25" s="14" t="s">
        <v>80</v>
      </c>
      <c r="E25" s="54"/>
    </row>
    <row r="26" spans="1:22" x14ac:dyDescent="0.25">
      <c r="A26" s="68"/>
      <c r="B26" s="68"/>
      <c r="C26" s="68"/>
      <c r="D26" s="68"/>
      <c r="E26" s="125" t="s">
        <v>23</v>
      </c>
      <c r="F26" s="125"/>
      <c r="G26" s="125"/>
      <c r="H26" s="125"/>
      <c r="I26" s="125" t="s">
        <v>7</v>
      </c>
      <c r="J26" s="125"/>
      <c r="K26" s="125"/>
      <c r="L26" s="125" t="s">
        <v>169</v>
      </c>
      <c r="M26" s="125"/>
      <c r="P26" s="69" t="s">
        <v>70</v>
      </c>
      <c r="Q26" s="70"/>
      <c r="R26" s="70"/>
      <c r="S26" s="70"/>
      <c r="T26" s="71"/>
    </row>
    <row r="27" spans="1:22" ht="18.75" x14ac:dyDescent="0.25">
      <c r="A27" s="68" t="s">
        <v>72</v>
      </c>
      <c r="B27" s="40" t="s">
        <v>77</v>
      </c>
      <c r="C27" s="40" t="s">
        <v>74</v>
      </c>
      <c r="D27" s="40" t="s">
        <v>11</v>
      </c>
      <c r="E27" s="80" t="s">
        <v>79</v>
      </c>
      <c r="F27" s="80" t="s">
        <v>73</v>
      </c>
      <c r="G27" s="84" t="s">
        <v>71</v>
      </c>
      <c r="H27" s="55" t="s">
        <v>135</v>
      </c>
      <c r="I27" s="68" t="s">
        <v>137</v>
      </c>
      <c r="J27" s="68" t="s">
        <v>138</v>
      </c>
      <c r="K27" s="68" t="s">
        <v>139</v>
      </c>
      <c r="L27" s="68" t="s">
        <v>136</v>
      </c>
      <c r="M27" s="68" t="s">
        <v>62</v>
      </c>
      <c r="P27" s="69" t="s">
        <v>75</v>
      </c>
      <c r="Q27" s="71"/>
      <c r="R27" s="69" t="s">
        <v>76</v>
      </c>
      <c r="S27" s="71"/>
      <c r="T27" s="68" t="s">
        <v>34</v>
      </c>
    </row>
    <row r="28" spans="1:22" x14ac:dyDescent="0.25">
      <c r="A28" s="68" t="s">
        <v>134</v>
      </c>
      <c r="B28" s="68"/>
      <c r="C28" s="68"/>
      <c r="D28" s="68"/>
      <c r="E28" s="68"/>
      <c r="F28" s="68"/>
      <c r="G28" s="68"/>
      <c r="H28" s="85"/>
      <c r="I28" s="37"/>
      <c r="J28" s="37"/>
      <c r="K28" s="37"/>
      <c r="L28" s="68"/>
      <c r="M28" s="68"/>
      <c r="P28" s="68">
        <f>7.25*10^-3</f>
        <v>7.2500000000000004E-3</v>
      </c>
      <c r="Q28" s="68">
        <f>6.67*10^-3</f>
        <v>6.6699999999999997E-3</v>
      </c>
      <c r="R28" s="68">
        <f>-2.2*10^-3</f>
        <v>-2.2000000000000001E-3</v>
      </c>
      <c r="S28" s="36">
        <f>-1.61*10^-3</f>
        <v>-1.6100000000000001E-3</v>
      </c>
      <c r="T28" s="68">
        <v>7</v>
      </c>
    </row>
    <row r="29" spans="1:22" s="72" customFormat="1" x14ac:dyDescent="0.25">
      <c r="A29" s="83">
        <v>6</v>
      </c>
      <c r="B29" s="68">
        <v>3.2</v>
      </c>
      <c r="C29" s="68">
        <v>8.7110000000000003</v>
      </c>
      <c r="D29" s="68">
        <v>7.9000000000000001E-2</v>
      </c>
      <c r="E29" s="68">
        <v>0.44400000000000001</v>
      </c>
      <c r="F29" s="68">
        <v>0.91100000000000003</v>
      </c>
      <c r="G29" s="68">
        <v>0.58099999999999996</v>
      </c>
      <c r="H29" s="37">
        <v>7.4999999999999997E-2</v>
      </c>
      <c r="I29" s="37">
        <f t="shared" ref="I29:I30" si="2">H29*E29</f>
        <v>3.3299999999999996E-2</v>
      </c>
      <c r="J29" s="37">
        <f t="shared" ref="J29:J30" si="3">G29*D29</f>
        <v>4.5898999999999995E-2</v>
      </c>
      <c r="K29" s="37">
        <f t="shared" ref="K29:K30" si="4">G29*C29</f>
        <v>5.0610910000000002</v>
      </c>
      <c r="L29" s="40">
        <f>B29+C29+D29</f>
        <v>11.990000000000002</v>
      </c>
      <c r="M29" s="80">
        <f>E29+F29</f>
        <v>1.355</v>
      </c>
      <c r="P29" s="68"/>
      <c r="Q29" s="68"/>
      <c r="R29" s="68"/>
      <c r="S29" s="36"/>
      <c r="T29" s="68"/>
    </row>
    <row r="30" spans="1:22" s="72" customFormat="1" x14ac:dyDescent="0.25">
      <c r="A30" s="4">
        <v>15</v>
      </c>
      <c r="B30" s="68">
        <v>4.2</v>
      </c>
      <c r="C30" s="68">
        <v>5.7</v>
      </c>
      <c r="D30" s="68">
        <v>2.1</v>
      </c>
      <c r="E30" s="68">
        <v>1.6E-2</v>
      </c>
      <c r="F30" s="68">
        <v>0.77300000000000002</v>
      </c>
      <c r="G30" s="68">
        <v>0.38300000000000001</v>
      </c>
      <c r="H30" s="37">
        <v>2.5300000000000001E-3</v>
      </c>
      <c r="I30" s="37">
        <f t="shared" si="2"/>
        <v>4.0480000000000005E-5</v>
      </c>
      <c r="J30" s="37">
        <f t="shared" si="3"/>
        <v>0.80430000000000001</v>
      </c>
      <c r="K30" s="37">
        <f t="shared" si="4"/>
        <v>2.1831</v>
      </c>
      <c r="L30" s="40">
        <f>B30+C30+D30</f>
        <v>12</v>
      </c>
      <c r="M30" s="80">
        <f>E30+F30</f>
        <v>0.78900000000000003</v>
      </c>
      <c r="P30" s="68"/>
      <c r="Q30" s="68"/>
      <c r="R30" s="68"/>
      <c r="S30" s="36"/>
      <c r="T30" s="68"/>
    </row>
    <row r="31" spans="1:22" s="72" customFormat="1" x14ac:dyDescent="0.25">
      <c r="A31" s="81"/>
      <c r="B31" s="82"/>
      <c r="D31" s="54"/>
      <c r="P31" s="68"/>
      <c r="Q31" s="68"/>
      <c r="R31" s="68"/>
      <c r="S31" s="36"/>
      <c r="T31" s="68"/>
    </row>
    <row r="32" spans="1:22" x14ac:dyDescent="0.25">
      <c r="A32" s="81"/>
      <c r="B32" s="82"/>
      <c r="C32" s="72"/>
      <c r="D32" s="54"/>
      <c r="E32" s="72"/>
      <c r="F32" s="72"/>
      <c r="G32" s="72"/>
      <c r="H32" s="72"/>
      <c r="I32" s="72"/>
      <c r="J32" s="72"/>
      <c r="K32" s="72"/>
      <c r="L32" s="72"/>
      <c r="M32" s="72"/>
      <c r="P32" s="68"/>
      <c r="Q32" s="68"/>
      <c r="R32" s="68"/>
      <c r="S32" s="36"/>
      <c r="T32" s="68"/>
    </row>
    <row r="33" spans="1:15" s="72" customFormat="1" x14ac:dyDescent="0.25">
      <c r="A33" s="81"/>
      <c r="B33" s="82"/>
      <c r="C33" s="128" t="s">
        <v>175</v>
      </c>
      <c r="D33" s="106"/>
      <c r="E33" s="14"/>
      <c r="F33" s="14"/>
      <c r="L33" s="33"/>
      <c r="M33" s="33"/>
      <c r="N33" s="102"/>
      <c r="O33" s="33"/>
    </row>
    <row r="34" spans="1:15" x14ac:dyDescent="0.25">
      <c r="A34" s="81"/>
      <c r="B34" s="82"/>
      <c r="C34" s="128"/>
      <c r="D34" s="76" t="s">
        <v>38</v>
      </c>
      <c r="E34" s="87"/>
      <c r="F34" s="89"/>
      <c r="G34" s="72"/>
      <c r="H34" s="72"/>
      <c r="I34" s="72"/>
      <c r="J34" s="72"/>
      <c r="K34" s="72"/>
      <c r="L34" s="33"/>
      <c r="M34" s="33"/>
      <c r="N34" s="102"/>
    </row>
    <row r="35" spans="1:15" x14ac:dyDescent="0.25">
      <c r="A35" s="103" t="s">
        <v>172</v>
      </c>
      <c r="B35" s="82"/>
      <c r="C35" s="128"/>
      <c r="D35" s="75"/>
      <c r="G35" s="72"/>
      <c r="H35" s="72"/>
      <c r="I35" s="72"/>
      <c r="J35" s="72"/>
      <c r="K35" s="72"/>
      <c r="L35" s="33"/>
      <c r="M35" s="33"/>
      <c r="N35" s="102"/>
    </row>
    <row r="36" spans="1:15" s="72" customFormat="1" x14ac:dyDescent="0.25">
      <c r="A36" s="14"/>
      <c r="C36" s="128"/>
      <c r="D36" s="31" t="s">
        <v>173</v>
      </c>
      <c r="E36" s="104"/>
      <c r="F36" s="10" t="s">
        <v>174</v>
      </c>
      <c r="H36" s="14"/>
      <c r="I36" s="14"/>
      <c r="J36" s="14"/>
      <c r="K36" s="14"/>
      <c r="L36" s="33"/>
      <c r="M36" s="33"/>
      <c r="N36" s="33"/>
    </row>
    <row r="37" spans="1:15" s="72" customFormat="1" x14ac:dyDescent="0.25">
      <c r="A37" s="87"/>
      <c r="C37" s="128"/>
      <c r="D37" s="105"/>
      <c r="E37" s="88"/>
      <c r="F37" s="81"/>
      <c r="H37" s="87"/>
      <c r="I37" s="87"/>
      <c r="J37" s="87"/>
      <c r="K37" s="87"/>
      <c r="L37" s="87"/>
      <c r="M37" s="87"/>
    </row>
    <row r="38" spans="1:15" s="72" customFormat="1" x14ac:dyDescent="0.25">
      <c r="A38" s="14"/>
      <c r="H38" s="14"/>
      <c r="I38" s="14"/>
      <c r="J38" s="14"/>
      <c r="K38" s="14"/>
      <c r="L38" s="14"/>
      <c r="M38" s="14"/>
    </row>
    <row r="39" spans="1:15" s="72" customFormat="1" x14ac:dyDescent="0.25">
      <c r="A39" s="14"/>
      <c r="B39" s="1" t="s">
        <v>175</v>
      </c>
      <c r="C39" s="78">
        <v>5</v>
      </c>
      <c r="H39" s="14"/>
      <c r="I39" s="14"/>
      <c r="J39" s="14"/>
      <c r="K39" s="14"/>
      <c r="L39" s="14"/>
      <c r="M39" s="14"/>
    </row>
    <row r="40" spans="1:15" s="72" customFormat="1" x14ac:dyDescent="0.25">
      <c r="A40" s="14"/>
      <c r="B40" s="1" t="s">
        <v>174</v>
      </c>
      <c r="C40" s="78">
        <v>3.3330000000000002</v>
      </c>
      <c r="H40" s="14"/>
      <c r="I40" s="14"/>
      <c r="J40" s="14"/>
      <c r="K40" s="14"/>
      <c r="L40" s="14"/>
      <c r="M40" s="14"/>
    </row>
    <row r="41" spans="1:15" x14ac:dyDescent="0.25">
      <c r="B41" s="78" t="s">
        <v>38</v>
      </c>
      <c r="C41" s="78">
        <v>1000</v>
      </c>
      <c r="D41" s="81"/>
    </row>
    <row r="42" spans="1:15" s="87" customFormat="1" x14ac:dyDescent="0.25">
      <c r="A42" s="14"/>
      <c r="B42" s="27" t="s">
        <v>173</v>
      </c>
      <c r="C42" s="27">
        <f xml:space="preserve"> (C40*C41) / (C39-C40)</f>
        <v>1999.400119976005</v>
      </c>
      <c r="D42" s="33"/>
      <c r="E42" s="14"/>
      <c r="F42" s="14"/>
      <c r="G42" s="14"/>
      <c r="H42" s="14"/>
      <c r="I42" s="14"/>
      <c r="J42" s="14"/>
      <c r="K42" s="14"/>
      <c r="L42" s="14"/>
      <c r="M42" s="14"/>
    </row>
    <row r="43" spans="1:15" x14ac:dyDescent="0.25">
      <c r="B43" s="33"/>
      <c r="C43" s="33"/>
    </row>
    <row r="49" spans="1:13" x14ac:dyDescent="0.25">
      <c r="B49" s="14" t="s">
        <v>179</v>
      </c>
      <c r="C49" s="14">
        <v>10</v>
      </c>
    </row>
    <row r="50" spans="1:13" x14ac:dyDescent="0.25">
      <c r="B50" s="107" t="s">
        <v>176</v>
      </c>
      <c r="C50" s="107">
        <v>8</v>
      </c>
    </row>
    <row r="51" spans="1:13" x14ac:dyDescent="0.25">
      <c r="B51" s="107" t="s">
        <v>177</v>
      </c>
      <c r="C51" s="107">
        <v>5</v>
      </c>
    </row>
    <row r="52" spans="1:13" x14ac:dyDescent="0.25">
      <c r="B52" s="107" t="s">
        <v>38</v>
      </c>
      <c r="C52" s="107">
        <v>1000</v>
      </c>
    </row>
    <row r="53" spans="1:13" x14ac:dyDescent="0.25">
      <c r="A53" s="47"/>
      <c r="B53" s="27" t="s">
        <v>173</v>
      </c>
      <c r="C53" s="34">
        <f>(C50-C51) / (C51/C52+C54)</f>
        <v>300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</row>
    <row r="54" spans="1:13" x14ac:dyDescent="0.25">
      <c r="A54" s="47"/>
      <c r="B54" s="107" t="s">
        <v>178</v>
      </c>
      <c r="C54" s="108">
        <f>5*10^-3</f>
        <v>5.0000000000000001E-3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</row>
    <row r="56" spans="1:13" x14ac:dyDescent="0.25">
      <c r="C56" s="14">
        <f>C49/C53</f>
        <v>3.3333333333333333E-2</v>
      </c>
    </row>
    <row r="58" spans="1:13" s="47" customForma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s="47" customForma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6" spans="1:11" x14ac:dyDescent="0.25">
      <c r="A66" s="125" t="s">
        <v>158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5"/>
    </row>
    <row r="67" spans="1:11" x14ac:dyDescent="0.25">
      <c r="A67" s="76" t="s">
        <v>140</v>
      </c>
      <c r="B67" s="76">
        <v>1</v>
      </c>
      <c r="C67" s="76">
        <v>2</v>
      </c>
      <c r="D67" s="76">
        <v>3</v>
      </c>
      <c r="E67" s="76">
        <v>4</v>
      </c>
      <c r="F67" s="76">
        <v>5</v>
      </c>
      <c r="G67" s="76">
        <v>6</v>
      </c>
      <c r="H67" s="76">
        <v>7</v>
      </c>
      <c r="I67" s="76">
        <v>8</v>
      </c>
      <c r="J67" s="76">
        <v>9</v>
      </c>
      <c r="K67" s="76">
        <v>10</v>
      </c>
    </row>
    <row r="68" spans="1:11" x14ac:dyDescent="0.25">
      <c r="A68" s="76" t="s">
        <v>69</v>
      </c>
      <c r="B68" s="76">
        <v>46.7</v>
      </c>
      <c r="C68" s="76">
        <v>46.8</v>
      </c>
      <c r="D68" s="76">
        <v>46.5</v>
      </c>
      <c r="E68" s="76"/>
      <c r="F68" s="76"/>
      <c r="G68" s="76"/>
      <c r="H68" s="76"/>
      <c r="I68" s="76"/>
      <c r="J68" s="76"/>
      <c r="K68" s="76"/>
    </row>
    <row r="69" spans="1:11" x14ac:dyDescent="0.25">
      <c r="A69" s="76" t="s">
        <v>160</v>
      </c>
      <c r="B69" s="76">
        <f>1/B68</f>
        <v>2.1413276231263382E-2</v>
      </c>
      <c r="C69" s="76">
        <f t="shared" ref="C69:D69" si="5">1/C68</f>
        <v>2.1367521367521368E-2</v>
      </c>
      <c r="D69" s="76">
        <f t="shared" si="5"/>
        <v>2.1505376344086023E-2</v>
      </c>
      <c r="E69" s="76"/>
      <c r="F69" s="76"/>
      <c r="G69" s="76"/>
      <c r="H69" s="76"/>
      <c r="I69" s="76"/>
      <c r="J69" s="76"/>
      <c r="K69" s="76"/>
    </row>
    <row r="70" spans="1:11" x14ac:dyDescent="0.25">
      <c r="A70" s="76" t="s">
        <v>159</v>
      </c>
      <c r="B70" s="127">
        <f>1/SUM(B69:K69)</f>
        <v>15.555444330668525</v>
      </c>
      <c r="C70" s="127"/>
      <c r="D70" s="127"/>
      <c r="E70" s="127"/>
      <c r="F70" s="127"/>
      <c r="G70" s="127"/>
      <c r="H70" s="127"/>
      <c r="I70" s="127"/>
      <c r="J70" s="127"/>
      <c r="K70" s="127"/>
    </row>
    <row r="74" spans="1:11" x14ac:dyDescent="0.25">
      <c r="A74" s="125" t="s">
        <v>158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</row>
    <row r="75" spans="1:11" x14ac:dyDescent="0.25">
      <c r="A75" s="113" t="s">
        <v>140</v>
      </c>
      <c r="B75" s="113">
        <v>1</v>
      </c>
      <c r="C75" s="113">
        <v>2</v>
      </c>
      <c r="D75" s="113">
        <v>3</v>
      </c>
      <c r="E75" s="113">
        <v>4</v>
      </c>
      <c r="F75" s="113">
        <v>5</v>
      </c>
      <c r="G75" s="113">
        <v>6</v>
      </c>
      <c r="H75" s="113">
        <v>7</v>
      </c>
      <c r="I75" s="113">
        <v>8</v>
      </c>
      <c r="J75" s="113">
        <v>9</v>
      </c>
      <c r="K75" s="113">
        <v>10</v>
      </c>
    </row>
    <row r="76" spans="1:11" x14ac:dyDescent="0.25">
      <c r="A76" s="113" t="s">
        <v>69</v>
      </c>
      <c r="B76" s="113">
        <v>5</v>
      </c>
      <c r="C76" s="113">
        <v>10</v>
      </c>
      <c r="D76" s="113"/>
      <c r="E76" s="113"/>
      <c r="F76" s="113"/>
      <c r="G76" s="113"/>
      <c r="H76" s="113"/>
      <c r="I76" s="113"/>
      <c r="J76" s="113"/>
      <c r="K76" s="113"/>
    </row>
    <row r="77" spans="1:11" x14ac:dyDescent="0.25">
      <c r="A77" s="113" t="s">
        <v>160</v>
      </c>
      <c r="B77" s="113">
        <f>1/B76</f>
        <v>0.2</v>
      </c>
      <c r="C77" s="113">
        <f t="shared" ref="C77" si="6">1/C76</f>
        <v>0.1</v>
      </c>
      <c r="D77" s="113"/>
      <c r="E77" s="113"/>
      <c r="F77" s="113"/>
      <c r="G77" s="113"/>
      <c r="H77" s="113"/>
      <c r="I77" s="113"/>
      <c r="J77" s="113"/>
      <c r="K77" s="113"/>
    </row>
    <row r="78" spans="1:11" x14ac:dyDescent="0.25">
      <c r="A78" s="113" t="s">
        <v>159</v>
      </c>
      <c r="B78" s="127">
        <f>1/SUM(B77:K77)</f>
        <v>3.333333333333333</v>
      </c>
      <c r="C78" s="127"/>
      <c r="D78" s="127"/>
      <c r="E78" s="127"/>
      <c r="F78" s="127"/>
      <c r="G78" s="127"/>
      <c r="H78" s="127"/>
      <c r="I78" s="127"/>
      <c r="J78" s="127"/>
      <c r="K78" s="127"/>
    </row>
    <row r="89" spans="1:12" x14ac:dyDescent="0.25">
      <c r="A89" s="47"/>
      <c r="B89" s="47" t="s">
        <v>80</v>
      </c>
      <c r="C89" s="47"/>
      <c r="D89" s="47"/>
      <c r="E89" s="54" t="s">
        <v>87</v>
      </c>
      <c r="F89" s="47"/>
      <c r="G89" s="47" t="s">
        <v>88</v>
      </c>
      <c r="H89" s="47"/>
    </row>
    <row r="90" spans="1:12" x14ac:dyDescent="0.25">
      <c r="A90" s="48"/>
      <c r="B90" s="48"/>
      <c r="C90" s="48"/>
      <c r="D90" s="48"/>
      <c r="E90" s="125" t="s">
        <v>23</v>
      </c>
      <c r="F90" s="125"/>
      <c r="G90" s="125"/>
    </row>
    <row r="91" spans="1:12" ht="18.75" x14ac:dyDescent="0.25">
      <c r="A91" s="48" t="s">
        <v>72</v>
      </c>
      <c r="B91" s="40" t="s">
        <v>77</v>
      </c>
      <c r="C91" s="40" t="s">
        <v>74</v>
      </c>
      <c r="D91" s="40" t="s">
        <v>11</v>
      </c>
      <c r="E91" s="31" t="s">
        <v>79</v>
      </c>
      <c r="F91" s="48" t="s">
        <v>73</v>
      </c>
      <c r="G91" s="55" t="s">
        <v>71</v>
      </c>
      <c r="L91" s="14" t="s">
        <v>133</v>
      </c>
    </row>
    <row r="92" spans="1:12" x14ac:dyDescent="0.25">
      <c r="A92" s="39">
        <v>9.36</v>
      </c>
      <c r="B92" s="48">
        <v>3.2</v>
      </c>
      <c r="C92" s="48">
        <v>8.68</v>
      </c>
      <c r="D92" s="48">
        <v>0.12</v>
      </c>
      <c r="E92" s="48">
        <v>0.871</v>
      </c>
      <c r="F92" s="48">
        <v>0.99</v>
      </c>
      <c r="G92" s="48">
        <v>-0.92600000000000005</v>
      </c>
      <c r="H92" s="56">
        <f>B92+C92+D92</f>
        <v>11.999999999999998</v>
      </c>
      <c r="L92" s="14">
        <f>(12-D92-B92) / A92</f>
        <v>0.92735042735042739</v>
      </c>
    </row>
    <row r="93" spans="1:12" x14ac:dyDescent="0.25">
      <c r="A93" s="39">
        <v>9.36</v>
      </c>
      <c r="B93" s="48">
        <v>4.2</v>
      </c>
      <c r="C93" s="48">
        <v>5.53</v>
      </c>
      <c r="D93" s="48">
        <v>2.2599999999999998</v>
      </c>
      <c r="E93" s="48">
        <v>-1.4590000000000001</v>
      </c>
      <c r="F93" s="48">
        <v>0.80700000000000005</v>
      </c>
      <c r="G93" s="48">
        <v>-0.59</v>
      </c>
      <c r="H93" s="41">
        <f>B93+C93+D93</f>
        <v>11.99</v>
      </c>
      <c r="I93" s="47"/>
      <c r="J93" s="47" t="s">
        <v>86</v>
      </c>
      <c r="K93" s="47"/>
      <c r="L93" s="47"/>
    </row>
    <row r="94" spans="1:12" x14ac:dyDescent="0.25">
      <c r="A94" s="39"/>
      <c r="B94" s="48"/>
      <c r="C94" s="48"/>
      <c r="D94" s="48"/>
      <c r="E94" s="48"/>
      <c r="F94" s="48"/>
      <c r="G94" s="48"/>
      <c r="H94" s="41"/>
      <c r="I94" s="47"/>
      <c r="J94" s="47"/>
      <c r="K94" s="47"/>
      <c r="L94" s="47"/>
    </row>
    <row r="95" spans="1:12" x14ac:dyDescent="0.25">
      <c r="A95" s="39">
        <v>2</v>
      </c>
      <c r="B95" s="48">
        <v>3.206</v>
      </c>
      <c r="C95" s="48">
        <v>7.93</v>
      </c>
      <c r="D95" s="48">
        <v>0.85499999999999998</v>
      </c>
      <c r="E95" s="48">
        <v>0.38100000000000001</v>
      </c>
      <c r="F95" s="48">
        <v>1.2370000000000001</v>
      </c>
      <c r="G95" s="48">
        <v>-3.9550000000000001</v>
      </c>
      <c r="H95" s="41">
        <f>B95+C95+D95</f>
        <v>11.991</v>
      </c>
      <c r="J95" s="14" t="s">
        <v>85</v>
      </c>
    </row>
    <row r="96" spans="1:12" x14ac:dyDescent="0.25">
      <c r="A96" s="39">
        <v>2</v>
      </c>
      <c r="B96" s="48">
        <v>4.2</v>
      </c>
      <c r="C96" s="48">
        <v>2.2749999999999999</v>
      </c>
      <c r="D96" s="48">
        <v>5.52</v>
      </c>
      <c r="E96" s="48">
        <v>-4.6399999999999997</v>
      </c>
      <c r="F96" s="48">
        <v>0.88300000000000001</v>
      </c>
      <c r="G96" s="48">
        <v>-1.137</v>
      </c>
      <c r="H96" s="41">
        <f>B96+C96+D96</f>
        <v>11.994999999999999</v>
      </c>
    </row>
    <row r="100" spans="13:13" x14ac:dyDescent="0.25">
      <c r="M100" s="47"/>
    </row>
    <row r="101" spans="13:13" x14ac:dyDescent="0.25">
      <c r="M101" s="47"/>
    </row>
  </sheetData>
  <mergeCells count="22">
    <mergeCell ref="B70:K70"/>
    <mergeCell ref="E90:G90"/>
    <mergeCell ref="L26:M26"/>
    <mergeCell ref="I26:K26"/>
    <mergeCell ref="A66:K66"/>
    <mergeCell ref="C33:C37"/>
    <mergeCell ref="E26:H26"/>
    <mergeCell ref="A74:K74"/>
    <mergeCell ref="B78:K78"/>
    <mergeCell ref="O5:Q5"/>
    <mergeCell ref="L7:L8"/>
    <mergeCell ref="L10:L11"/>
    <mergeCell ref="A18:B19"/>
    <mergeCell ref="C18:C19"/>
    <mergeCell ref="L15:L16"/>
    <mergeCell ref="L18:L19"/>
    <mergeCell ref="A7:B8"/>
    <mergeCell ref="A10:B11"/>
    <mergeCell ref="C7:C8"/>
    <mergeCell ref="C10:C11"/>
    <mergeCell ref="A15:B16"/>
    <mergeCell ref="C15:C1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4" sqref="B24"/>
    </sheetView>
  </sheetViews>
  <sheetFormatPr defaultRowHeight="15" x14ac:dyDescent="0.25"/>
  <cols>
    <col min="1" max="1" width="16.5703125" style="2" bestFit="1" customWidth="1"/>
    <col min="2" max="2" width="16" style="2" customWidth="1"/>
    <col min="3" max="16384" width="9.140625" style="2"/>
  </cols>
  <sheetData>
    <row r="1" spans="1:4" x14ac:dyDescent="0.25">
      <c r="A1" s="42" t="s">
        <v>94</v>
      </c>
      <c r="B1" s="42">
        <v>0.4</v>
      </c>
      <c r="C1" s="42" t="s">
        <v>95</v>
      </c>
    </row>
    <row r="2" spans="1:4" x14ac:dyDescent="0.25">
      <c r="A2" s="42" t="s">
        <v>89</v>
      </c>
      <c r="B2" s="42">
        <f>PI()*B1*B1/4</f>
        <v>0.12566370614359174</v>
      </c>
      <c r="C2" s="42" t="s">
        <v>96</v>
      </c>
    </row>
    <row r="3" spans="1:4" x14ac:dyDescent="0.25">
      <c r="A3" s="42" t="s">
        <v>90</v>
      </c>
      <c r="B3" s="42">
        <v>0.6</v>
      </c>
      <c r="C3" s="42" t="s">
        <v>14</v>
      </c>
    </row>
    <row r="4" spans="1:4" x14ac:dyDescent="0.25">
      <c r="A4" s="42"/>
      <c r="B4" s="42"/>
      <c r="C4" s="42"/>
    </row>
    <row r="5" spans="1:4" x14ac:dyDescent="0.25">
      <c r="A5" s="42" t="s">
        <v>93</v>
      </c>
      <c r="B5" s="57">
        <f>B3/B2</f>
        <v>4.7746482927568596</v>
      </c>
      <c r="C5" s="129" t="s">
        <v>92</v>
      </c>
      <c r="D5" s="130" t="str">
        <f>IF((B3/B2) &lt; 5.5,"ОК", "ОПАСНО")</f>
        <v>ОК</v>
      </c>
    </row>
    <row r="6" spans="1:4" x14ac:dyDescent="0.25">
      <c r="A6" s="42" t="s">
        <v>91</v>
      </c>
      <c r="B6" s="1">
        <v>6</v>
      </c>
      <c r="C6" s="129"/>
      <c r="D6" s="130"/>
    </row>
  </sheetData>
  <mergeCells count="2">
    <mergeCell ref="C5:C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4" sqref="F34"/>
    </sheetView>
  </sheetViews>
  <sheetFormatPr defaultRowHeight="15" x14ac:dyDescent="0.25"/>
  <cols>
    <col min="1" max="1" width="15.140625" style="60" bestFit="1" customWidth="1"/>
    <col min="2" max="3" width="9.140625" style="60"/>
    <col min="4" max="4" width="11.28515625" style="60" bestFit="1" customWidth="1"/>
    <col min="5" max="8" width="9.140625" style="60"/>
    <col min="9" max="9" width="10.28515625" style="60" bestFit="1" customWidth="1"/>
    <col min="10" max="16384" width="9.140625" style="60"/>
  </cols>
  <sheetData>
    <row r="1" spans="1:14" x14ac:dyDescent="0.25">
      <c r="A1" s="65"/>
      <c r="B1" s="65"/>
      <c r="C1" s="65" t="s">
        <v>101</v>
      </c>
      <c r="D1" s="65"/>
      <c r="E1" s="65"/>
      <c r="F1" s="65"/>
      <c r="G1" s="65"/>
      <c r="N1" s="60" t="s">
        <v>106</v>
      </c>
    </row>
    <row r="2" spans="1:14" x14ac:dyDescent="0.25">
      <c r="A2" s="65"/>
      <c r="B2" s="65"/>
      <c r="C2" s="65" t="s">
        <v>98</v>
      </c>
      <c r="D2" s="65"/>
      <c r="E2" s="65"/>
      <c r="F2" s="65"/>
      <c r="G2" s="65"/>
    </row>
    <row r="3" spans="1:14" x14ac:dyDescent="0.25">
      <c r="A3" s="65"/>
      <c r="B3" s="65"/>
      <c r="C3" s="65" t="s">
        <v>97</v>
      </c>
      <c r="D3" s="65"/>
      <c r="E3" s="65"/>
      <c r="F3" s="65"/>
      <c r="G3" s="65"/>
    </row>
    <row r="4" spans="1:14" x14ac:dyDescent="0.25">
      <c r="A4" s="65"/>
      <c r="B4" s="65"/>
      <c r="C4" s="65" t="s">
        <v>99</v>
      </c>
      <c r="D4" s="65"/>
      <c r="E4" s="65"/>
      <c r="F4" s="65"/>
      <c r="G4" s="65"/>
    </row>
    <row r="5" spans="1:14" x14ac:dyDescent="0.25">
      <c r="A5" s="65"/>
      <c r="B5" s="65"/>
      <c r="C5" s="65" t="s">
        <v>100</v>
      </c>
      <c r="D5" s="65"/>
      <c r="E5" s="65"/>
      <c r="F5" s="65"/>
      <c r="G5" s="65"/>
    </row>
    <row r="6" spans="1:14" x14ac:dyDescent="0.25">
      <c r="A6" s="65"/>
      <c r="B6" s="65"/>
      <c r="C6" s="65" t="s">
        <v>102</v>
      </c>
      <c r="D6" s="65"/>
      <c r="E6" s="65"/>
      <c r="F6" s="65"/>
      <c r="G6" s="65"/>
    </row>
    <row r="7" spans="1:14" x14ac:dyDescent="0.25">
      <c r="A7" s="65"/>
      <c r="B7" s="65"/>
      <c r="C7" s="65"/>
      <c r="D7" s="65"/>
      <c r="E7" s="65"/>
      <c r="F7" s="65"/>
      <c r="G7" s="65"/>
    </row>
    <row r="8" spans="1:14" x14ac:dyDescent="0.25">
      <c r="A8" s="131" t="s">
        <v>126</v>
      </c>
      <c r="B8" s="131"/>
      <c r="C8" s="131"/>
      <c r="D8" s="131"/>
      <c r="E8" s="131"/>
    </row>
    <row r="9" spans="1:14" x14ac:dyDescent="0.25">
      <c r="A9" s="63" t="s">
        <v>118</v>
      </c>
      <c r="B9" s="63" t="s">
        <v>108</v>
      </c>
      <c r="C9" s="63" t="s">
        <v>109</v>
      </c>
      <c r="D9" s="63" t="s">
        <v>46</v>
      </c>
    </row>
    <row r="10" spans="1:14" x14ac:dyDescent="0.25">
      <c r="A10" s="63" t="s">
        <v>107</v>
      </c>
      <c r="B10" s="62">
        <v>3.6</v>
      </c>
      <c r="C10" s="62">
        <v>4.2</v>
      </c>
      <c r="D10" s="62" t="s">
        <v>3</v>
      </c>
      <c r="E10" s="61"/>
    </row>
    <row r="11" spans="1:14" x14ac:dyDescent="0.25">
      <c r="A11" s="63" t="s">
        <v>110</v>
      </c>
      <c r="B11" s="66">
        <v>0.7</v>
      </c>
      <c r="C11" s="66">
        <v>0.72</v>
      </c>
      <c r="D11" s="62" t="s">
        <v>5</v>
      </c>
      <c r="E11" s="61"/>
    </row>
    <row r="12" spans="1:14" x14ac:dyDescent="0.25">
      <c r="A12" s="63" t="s">
        <v>119</v>
      </c>
      <c r="B12" s="66">
        <f>B11*0.1</f>
        <v>6.9999999999999993E-2</v>
      </c>
      <c r="C12" s="66">
        <f>C11*1.5</f>
        <v>1.08</v>
      </c>
      <c r="D12" s="62" t="s">
        <v>14</v>
      </c>
      <c r="E12" s="61"/>
    </row>
    <row r="13" spans="1:14" x14ac:dyDescent="0.25">
      <c r="A13" s="63" t="s">
        <v>121</v>
      </c>
      <c r="B13" s="64">
        <f>C10/B12</f>
        <v>60.000000000000007</v>
      </c>
      <c r="C13" s="66">
        <f>C10/C12</f>
        <v>3.8888888888888888</v>
      </c>
      <c r="D13" s="62" t="s">
        <v>1</v>
      </c>
      <c r="E13" s="61"/>
    </row>
    <row r="14" spans="1:14" x14ac:dyDescent="0.25">
      <c r="A14" s="63" t="s">
        <v>120</v>
      </c>
      <c r="B14" s="62">
        <f>B10*B12</f>
        <v>0.252</v>
      </c>
      <c r="C14" s="62">
        <f>C10*C12</f>
        <v>4.5360000000000005</v>
      </c>
      <c r="D14" s="62" t="s">
        <v>7</v>
      </c>
      <c r="E14" s="61"/>
    </row>
    <row r="15" spans="1:14" x14ac:dyDescent="0.25">
      <c r="C15" s="61"/>
      <c r="D15" s="61"/>
      <c r="E15" s="61"/>
    </row>
    <row r="16" spans="1:14" x14ac:dyDescent="0.25">
      <c r="B16" s="60" t="s">
        <v>127</v>
      </c>
    </row>
    <row r="18" spans="1:13" x14ac:dyDescent="0.25">
      <c r="A18" s="62" t="s">
        <v>113</v>
      </c>
      <c r="B18" s="63"/>
      <c r="C18" s="62" t="s">
        <v>114</v>
      </c>
      <c r="D18" s="94" t="s">
        <v>1</v>
      </c>
      <c r="E18" s="62" t="s">
        <v>3</v>
      </c>
    </row>
    <row r="19" spans="1:13" x14ac:dyDescent="0.25">
      <c r="A19" s="62"/>
      <c r="B19" s="62" t="s">
        <v>115</v>
      </c>
      <c r="C19" s="62" t="s">
        <v>116</v>
      </c>
      <c r="D19" s="95">
        <v>14960</v>
      </c>
      <c r="E19" s="64">
        <v>0</v>
      </c>
    </row>
    <row r="20" spans="1:13" x14ac:dyDescent="0.25">
      <c r="A20" s="62"/>
      <c r="B20" s="62" t="s">
        <v>116</v>
      </c>
      <c r="C20" s="62" t="s">
        <v>115</v>
      </c>
      <c r="D20" s="95">
        <v>14960</v>
      </c>
      <c r="E20" s="64">
        <v>0</v>
      </c>
    </row>
    <row r="21" spans="1:13" x14ac:dyDescent="0.25">
      <c r="A21" s="62" t="s">
        <v>115</v>
      </c>
      <c r="B21" s="62"/>
      <c r="C21" s="62" t="s">
        <v>116</v>
      </c>
      <c r="D21" s="95" t="s">
        <v>117</v>
      </c>
      <c r="E21" s="64">
        <v>3.92</v>
      </c>
    </row>
    <row r="22" spans="1:13" x14ac:dyDescent="0.25">
      <c r="A22" s="62" t="s">
        <v>116</v>
      </c>
      <c r="B22" s="62"/>
      <c r="C22" s="62" t="s">
        <v>115</v>
      </c>
      <c r="D22" s="94">
        <v>98.2</v>
      </c>
      <c r="E22" s="64">
        <v>-3.92</v>
      </c>
      <c r="F22" s="61"/>
      <c r="G22" s="61"/>
      <c r="H22" s="61"/>
      <c r="I22" s="61"/>
      <c r="J22" s="61"/>
    </row>
    <row r="23" spans="1:13" x14ac:dyDescent="0.25">
      <c r="A23" s="62" t="s">
        <v>116</v>
      </c>
      <c r="B23" s="62" t="s">
        <v>115</v>
      </c>
      <c r="C23" s="62"/>
      <c r="D23" s="95">
        <f>-3.42*10^6</f>
        <v>-3420000</v>
      </c>
      <c r="E23" s="64">
        <v>-3.92</v>
      </c>
      <c r="F23" s="61"/>
      <c r="G23" s="61"/>
      <c r="H23" s="61"/>
      <c r="I23" s="61"/>
      <c r="J23" s="61"/>
      <c r="M23" s="60" t="s">
        <v>112</v>
      </c>
    </row>
    <row r="24" spans="1:13" x14ac:dyDescent="0.25">
      <c r="A24" s="62" t="s">
        <v>115</v>
      </c>
      <c r="B24" s="62" t="s">
        <v>116</v>
      </c>
      <c r="C24" s="62"/>
      <c r="D24" s="95" t="s">
        <v>117</v>
      </c>
      <c r="E24" s="64">
        <v>3.92</v>
      </c>
      <c r="F24" s="61"/>
      <c r="G24" s="61"/>
      <c r="H24" s="61"/>
      <c r="I24" s="61"/>
      <c r="J24" s="61"/>
      <c r="M24" s="60" t="s">
        <v>111</v>
      </c>
    </row>
    <row r="25" spans="1:13" x14ac:dyDescent="0.25">
      <c r="D25" s="96"/>
    </row>
    <row r="26" spans="1:13" x14ac:dyDescent="0.25">
      <c r="A26" s="63" t="s">
        <v>116</v>
      </c>
      <c r="B26" s="63" t="s">
        <v>124</v>
      </c>
      <c r="C26" s="63" t="s">
        <v>115</v>
      </c>
      <c r="D26" s="97">
        <v>98.7</v>
      </c>
      <c r="E26" s="63">
        <v>4.1500000000000004</v>
      </c>
      <c r="F26" s="63" t="s">
        <v>123</v>
      </c>
    </row>
    <row r="27" spans="1:13" x14ac:dyDescent="0.25">
      <c r="A27" s="63" t="s">
        <v>116</v>
      </c>
      <c r="B27" s="63" t="s">
        <v>125</v>
      </c>
      <c r="C27" s="63" t="s">
        <v>115</v>
      </c>
      <c r="D27" s="97">
        <v>95.9</v>
      </c>
      <c r="E27" s="63">
        <v>3.89</v>
      </c>
      <c r="F27" s="63" t="s">
        <v>122</v>
      </c>
    </row>
    <row r="29" spans="1:13" x14ac:dyDescent="0.25">
      <c r="A29" s="63" t="s">
        <v>107</v>
      </c>
      <c r="B29" s="62">
        <v>3.7</v>
      </c>
      <c r="C29" s="62">
        <v>4.2</v>
      </c>
      <c r="D29" s="62" t="s">
        <v>3</v>
      </c>
    </row>
    <row r="30" spans="1:13" x14ac:dyDescent="0.25">
      <c r="A30" s="63" t="s">
        <v>110</v>
      </c>
      <c r="B30" s="132">
        <v>1.5</v>
      </c>
      <c r="C30" s="133"/>
      <c r="D30" s="62" t="s">
        <v>5</v>
      </c>
    </row>
  </sheetData>
  <mergeCells count="2">
    <mergeCell ref="A8:E8"/>
    <mergeCell ref="B30:C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20"/>
  <sheetViews>
    <sheetView topLeftCell="A7" zoomScaleNormal="100" workbookViewId="0">
      <selection activeCell="B19" sqref="B19"/>
    </sheetView>
  </sheetViews>
  <sheetFormatPr defaultRowHeight="15" x14ac:dyDescent="0.25"/>
  <sheetData>
    <row r="8" spans="2:3" x14ac:dyDescent="0.25">
      <c r="B8" s="8" t="s">
        <v>13</v>
      </c>
      <c r="C8" s="3">
        <f>13.652*10^-3</f>
        <v>1.3651999999999999E-2</v>
      </c>
    </row>
    <row r="19" spans="2:2" x14ac:dyDescent="0.25">
      <c r="B19" t="s">
        <v>171</v>
      </c>
    </row>
    <row r="20" spans="2:2" x14ac:dyDescent="0.25">
      <c r="B20" t="s">
        <v>170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A16" workbookViewId="0">
      <selection activeCell="D20" sqref="D20"/>
    </sheetView>
  </sheetViews>
  <sheetFormatPr defaultRowHeight="15" x14ac:dyDescent="0.25"/>
  <cols>
    <col min="1" max="1" width="14.7109375" style="2" bestFit="1" customWidth="1"/>
    <col min="2" max="2" width="9" style="2" bestFit="1" customWidth="1"/>
    <col min="3" max="3" width="5" style="2" bestFit="1" customWidth="1"/>
    <col min="4" max="4" width="25.28515625" style="2" bestFit="1" customWidth="1"/>
    <col min="5" max="5" width="14.7109375" style="2" bestFit="1" customWidth="1"/>
    <col min="6" max="6" width="11" style="2" bestFit="1" customWidth="1"/>
    <col min="7" max="7" width="13.85546875" style="2" bestFit="1" customWidth="1"/>
    <col min="8" max="8" width="12.42578125" style="2" bestFit="1" customWidth="1"/>
    <col min="9" max="9" width="6.140625" style="2" bestFit="1" customWidth="1"/>
    <col min="10" max="10" width="9.140625" style="2"/>
    <col min="11" max="11" width="7.5703125" style="2" bestFit="1" customWidth="1"/>
    <col min="12" max="12" width="9" style="2" bestFit="1" customWidth="1"/>
    <col min="13" max="13" width="6" style="2" bestFit="1" customWidth="1"/>
    <col min="14" max="14" width="4.85546875" style="2" bestFit="1" customWidth="1"/>
    <col min="15" max="15" width="4" style="2" bestFit="1" customWidth="1"/>
    <col min="16" max="16" width="13.85546875" style="2" bestFit="1" customWidth="1"/>
    <col min="17" max="17" width="5" style="2" bestFit="1" customWidth="1"/>
    <col min="18" max="18" width="13.85546875" style="2" bestFit="1" customWidth="1"/>
    <col min="19" max="20" width="9.140625" style="2"/>
    <col min="21" max="21" width="49.85546875" style="2" bestFit="1" customWidth="1"/>
    <col min="22" max="16384" width="9.140625" style="2"/>
  </cols>
  <sheetData>
    <row r="1" spans="1:21" ht="15.75" x14ac:dyDescent="0.25">
      <c r="G1" s="76" t="s">
        <v>2</v>
      </c>
      <c r="H1" s="76">
        <v>12</v>
      </c>
      <c r="K1" s="134"/>
      <c r="L1" s="134"/>
      <c r="M1" s="134"/>
      <c r="N1" s="134"/>
      <c r="U1" s="35" t="s">
        <v>57</v>
      </c>
    </row>
    <row r="2" spans="1:21" ht="15.75" x14ac:dyDescent="0.25">
      <c r="A2" s="121" t="s">
        <v>152</v>
      </c>
      <c r="B2" s="121"/>
      <c r="C2" s="121"/>
      <c r="D2" s="121"/>
      <c r="E2" s="77"/>
      <c r="F2" s="77"/>
      <c r="G2" s="76" t="s">
        <v>35</v>
      </c>
      <c r="H2" s="76">
        <v>4.2</v>
      </c>
      <c r="I2" s="77"/>
      <c r="L2" s="121" t="s">
        <v>154</v>
      </c>
      <c r="M2" s="121"/>
      <c r="N2" s="121"/>
      <c r="O2" s="121"/>
    </row>
    <row r="3" spans="1:21" x14ac:dyDescent="0.25">
      <c r="A3" s="137" t="s">
        <v>136</v>
      </c>
      <c r="B3" s="138"/>
      <c r="C3" s="138"/>
      <c r="D3" s="110"/>
      <c r="L3" s="137" t="s">
        <v>136</v>
      </c>
      <c r="M3" s="138"/>
      <c r="N3" s="138"/>
      <c r="O3" s="110"/>
    </row>
    <row r="4" spans="1:21" x14ac:dyDescent="0.25">
      <c r="A4" s="74" t="s">
        <v>2</v>
      </c>
      <c r="B4" s="8">
        <v>9.92</v>
      </c>
      <c r="C4" s="74" t="s">
        <v>3</v>
      </c>
      <c r="D4" s="74">
        <v>10</v>
      </c>
      <c r="L4" s="74" t="s">
        <v>2</v>
      </c>
      <c r="M4" s="8">
        <v>9.92</v>
      </c>
      <c r="N4" s="74" t="s">
        <v>3</v>
      </c>
      <c r="O4" s="74">
        <v>10</v>
      </c>
    </row>
    <row r="5" spans="1:21" x14ac:dyDescent="0.25">
      <c r="A5" s="74" t="s">
        <v>35</v>
      </c>
      <c r="B5" s="74">
        <v>3.91</v>
      </c>
      <c r="C5" s="74" t="s">
        <v>3</v>
      </c>
      <c r="D5" s="74"/>
      <c r="L5" s="74" t="s">
        <v>35</v>
      </c>
      <c r="M5" s="74">
        <v>3.91</v>
      </c>
      <c r="N5" s="74" t="s">
        <v>3</v>
      </c>
      <c r="O5" s="74">
        <v>3.9209999999999998</v>
      </c>
    </row>
    <row r="6" spans="1:21" x14ac:dyDescent="0.25">
      <c r="A6" s="135" t="s">
        <v>23</v>
      </c>
      <c r="B6" s="136"/>
      <c r="C6" s="136"/>
      <c r="D6" s="109"/>
      <c r="L6" s="135" t="s">
        <v>23</v>
      </c>
      <c r="M6" s="136"/>
      <c r="N6" s="136"/>
      <c r="O6" s="109"/>
    </row>
    <row r="7" spans="1:21" x14ac:dyDescent="0.25">
      <c r="A7" s="74" t="s">
        <v>83</v>
      </c>
      <c r="B7" s="74">
        <v>0</v>
      </c>
      <c r="C7" s="74" t="s">
        <v>14</v>
      </c>
      <c r="D7" s="74"/>
      <c r="L7" s="74" t="s">
        <v>83</v>
      </c>
      <c r="M7" s="73">
        <v>0.187</v>
      </c>
      <c r="N7" s="74" t="s">
        <v>14</v>
      </c>
      <c r="O7" s="74"/>
    </row>
    <row r="8" spans="1:21" x14ac:dyDescent="0.25">
      <c r="A8" s="74" t="s">
        <v>148</v>
      </c>
      <c r="B8" s="74">
        <f>3*10^-6</f>
        <v>3.0000000000000001E-6</v>
      </c>
      <c r="C8" s="74" t="s">
        <v>14</v>
      </c>
      <c r="D8" s="74"/>
      <c r="E8" s="2" t="s">
        <v>151</v>
      </c>
      <c r="L8" s="74" t="s">
        <v>148</v>
      </c>
      <c r="M8" s="73">
        <v>2.5319999999999999E-2</v>
      </c>
      <c r="N8" s="74" t="s">
        <v>14</v>
      </c>
      <c r="O8" s="74"/>
      <c r="P8" s="2" t="s">
        <v>151</v>
      </c>
    </row>
    <row r="9" spans="1:21" x14ac:dyDescent="0.25">
      <c r="A9" s="74" t="s">
        <v>11</v>
      </c>
      <c r="B9" s="74">
        <f>2.4*10^-3</f>
        <v>2.3999999999999998E-3</v>
      </c>
      <c r="C9" s="74" t="s">
        <v>3</v>
      </c>
      <c r="D9" s="74"/>
      <c r="E9" s="74">
        <v>3.35</v>
      </c>
      <c r="L9" s="74" t="s">
        <v>11</v>
      </c>
      <c r="M9" s="73">
        <f>32*10^-3</f>
        <v>3.2000000000000001E-2</v>
      </c>
      <c r="N9" s="74" t="s">
        <v>3</v>
      </c>
      <c r="O9" s="74"/>
      <c r="P9" s="74"/>
    </row>
    <row r="10" spans="1:21" x14ac:dyDescent="0.25">
      <c r="A10" s="74" t="s">
        <v>4</v>
      </c>
      <c r="B10" s="74">
        <v>0.48299999999999998</v>
      </c>
      <c r="C10" s="74" t="s">
        <v>3</v>
      </c>
      <c r="D10" s="74"/>
      <c r="E10" s="74">
        <v>3.52</v>
      </c>
      <c r="L10" s="74" t="s">
        <v>4</v>
      </c>
      <c r="M10" s="73">
        <v>0.80800000000000005</v>
      </c>
      <c r="N10" s="74" t="s">
        <v>3</v>
      </c>
      <c r="O10" s="74"/>
      <c r="P10" s="74"/>
    </row>
    <row r="11" spans="1:21" x14ac:dyDescent="0.25">
      <c r="A11" s="142" t="s">
        <v>70</v>
      </c>
      <c r="B11" s="143"/>
      <c r="C11" s="143"/>
      <c r="D11" s="111"/>
      <c r="L11" s="142" t="s">
        <v>70</v>
      </c>
      <c r="M11" s="143"/>
      <c r="N11" s="143"/>
      <c r="O11" s="111"/>
    </row>
    <row r="12" spans="1:21" x14ac:dyDescent="0.25">
      <c r="A12" s="74" t="s">
        <v>146</v>
      </c>
      <c r="B12" s="74">
        <v>9.92</v>
      </c>
      <c r="C12" s="74" t="s">
        <v>3</v>
      </c>
      <c r="D12" s="74"/>
      <c r="L12" s="74" t="s">
        <v>146</v>
      </c>
      <c r="M12" s="74">
        <v>9.92</v>
      </c>
      <c r="N12" s="74" t="s">
        <v>3</v>
      </c>
      <c r="O12" s="74"/>
    </row>
    <row r="13" spans="1:21" x14ac:dyDescent="0.25">
      <c r="A13" s="74" t="s">
        <v>147</v>
      </c>
      <c r="B13" s="74">
        <v>4.99</v>
      </c>
      <c r="C13" s="74" t="s">
        <v>3</v>
      </c>
      <c r="D13" s="74"/>
      <c r="L13" s="74" t="s">
        <v>147</v>
      </c>
      <c r="M13" s="74">
        <v>5</v>
      </c>
      <c r="N13" s="74" t="s">
        <v>3</v>
      </c>
      <c r="O13" s="74"/>
    </row>
    <row r="14" spans="1:21" x14ac:dyDescent="0.25">
      <c r="A14" s="144" t="s">
        <v>149</v>
      </c>
      <c r="B14" s="145"/>
      <c r="C14" s="145"/>
      <c r="D14" s="112"/>
      <c r="L14" s="144" t="s">
        <v>149</v>
      </c>
      <c r="M14" s="145"/>
      <c r="N14" s="145"/>
      <c r="O14" s="112"/>
    </row>
    <row r="15" spans="1:21" x14ac:dyDescent="0.25">
      <c r="A15" s="74" t="s">
        <v>131</v>
      </c>
      <c r="B15" s="74">
        <v>4.9800000000000004</v>
      </c>
      <c r="C15" s="74" t="s">
        <v>3</v>
      </c>
      <c r="D15" s="74"/>
      <c r="L15" s="74" t="s">
        <v>131</v>
      </c>
      <c r="M15" s="74">
        <v>4.8499999999999996</v>
      </c>
      <c r="N15" s="74" t="s">
        <v>3</v>
      </c>
      <c r="O15" s="74"/>
    </row>
    <row r="16" spans="1:21" s="101" customFormat="1" ht="15" customHeight="1" x14ac:dyDescent="0.25">
      <c r="A16" s="4" t="s">
        <v>61</v>
      </c>
      <c r="B16" s="4">
        <v>3.91</v>
      </c>
      <c r="C16" s="4" t="s">
        <v>3</v>
      </c>
      <c r="D16" s="4"/>
      <c r="L16" s="4" t="s">
        <v>61</v>
      </c>
      <c r="M16" s="4">
        <v>3.1070000000000002</v>
      </c>
      <c r="N16" s="4" t="s">
        <v>3</v>
      </c>
      <c r="O16" s="4"/>
    </row>
    <row r="17" spans="1:25" ht="15" customHeight="1" x14ac:dyDescent="0.25">
      <c r="A17" s="79" t="s">
        <v>60</v>
      </c>
      <c r="B17" s="74">
        <v>1.62</v>
      </c>
      <c r="C17" s="74" t="s">
        <v>3</v>
      </c>
      <c r="D17" s="74"/>
      <c r="L17" s="79" t="s">
        <v>60</v>
      </c>
      <c r="M17" s="74">
        <v>1.629</v>
      </c>
      <c r="N17" s="74" t="s">
        <v>3</v>
      </c>
      <c r="O17" s="74"/>
    </row>
    <row r="18" spans="1:25" s="101" customFormat="1" x14ac:dyDescent="0.25">
      <c r="A18" s="4" t="s">
        <v>62</v>
      </c>
      <c r="B18" s="4">
        <v>4.43</v>
      </c>
      <c r="C18" s="4" t="s">
        <v>3</v>
      </c>
      <c r="D18" s="4"/>
      <c r="L18" s="4" t="s">
        <v>62</v>
      </c>
      <c r="M18" s="4">
        <v>4.8499999999999996</v>
      </c>
      <c r="N18" s="4" t="s">
        <v>3</v>
      </c>
      <c r="O18" s="4"/>
    </row>
    <row r="19" spans="1:25" ht="15" customHeight="1" x14ac:dyDescent="0.25">
      <c r="K19" s="10"/>
      <c r="L19" s="10"/>
      <c r="M19" s="10"/>
      <c r="N19" s="10"/>
      <c r="O19" s="10"/>
      <c r="V19" s="74"/>
      <c r="W19" s="74"/>
      <c r="X19" s="74"/>
      <c r="Y19" s="74"/>
    </row>
    <row r="20" spans="1:25" ht="15" customHeight="1" x14ac:dyDescent="0.25"/>
    <row r="21" spans="1:25" ht="15.75" x14ac:dyDescent="0.25">
      <c r="A21" s="77"/>
      <c r="B21" s="77"/>
      <c r="C21" s="77"/>
    </row>
    <row r="22" spans="1:25" ht="15.75" x14ac:dyDescent="0.25">
      <c r="B22" s="77"/>
      <c r="C22" s="77"/>
      <c r="D22" s="2" t="s">
        <v>181</v>
      </c>
      <c r="E22" s="2" t="s">
        <v>182</v>
      </c>
    </row>
    <row r="23" spans="1:25" ht="15.75" x14ac:dyDescent="0.25">
      <c r="B23" s="77"/>
      <c r="C23" s="77"/>
    </row>
    <row r="24" spans="1:25" ht="15.75" x14ac:dyDescent="0.25">
      <c r="B24" s="77"/>
      <c r="C24" s="77"/>
    </row>
    <row r="28" spans="1:25" ht="15.75" x14ac:dyDescent="0.25">
      <c r="A28" s="22"/>
      <c r="B28" s="22"/>
      <c r="C28" s="22"/>
      <c r="D28" s="22" t="s">
        <v>64</v>
      </c>
      <c r="E28" s="38"/>
      <c r="F28" s="22"/>
      <c r="G28" s="22"/>
      <c r="H28" s="22"/>
      <c r="I28" s="22"/>
      <c r="K28" s="139" t="s">
        <v>8</v>
      </c>
      <c r="L28" s="74">
        <v>15.7</v>
      </c>
      <c r="M28" s="74">
        <v>25.2</v>
      </c>
      <c r="N28" s="74" t="s">
        <v>78</v>
      </c>
    </row>
    <row r="29" spans="1:25" ht="15.75" x14ac:dyDescent="0.25">
      <c r="A29" s="77"/>
      <c r="B29" s="77"/>
      <c r="C29" s="77"/>
      <c r="D29" s="77"/>
      <c r="E29" s="15"/>
      <c r="F29" s="77"/>
      <c r="G29" s="29">
        <v>1</v>
      </c>
      <c r="H29" s="76" t="s">
        <v>40</v>
      </c>
      <c r="I29" s="76">
        <v>5</v>
      </c>
      <c r="K29" s="139"/>
      <c r="L29" s="121">
        <v>15</v>
      </c>
      <c r="M29" s="121"/>
      <c r="N29" s="74" t="s">
        <v>132</v>
      </c>
    </row>
    <row r="30" spans="1:25" ht="15.75" x14ac:dyDescent="0.25">
      <c r="A30" s="77"/>
      <c r="B30" s="77"/>
      <c r="C30" s="90" t="s">
        <v>141</v>
      </c>
      <c r="D30" s="77"/>
      <c r="E30" s="77"/>
      <c r="F30" s="77"/>
      <c r="G30" s="77"/>
      <c r="H30" s="77"/>
      <c r="I30" s="77"/>
      <c r="K30" s="139"/>
      <c r="L30" s="74" t="s">
        <v>142</v>
      </c>
      <c r="M30" s="74" t="s">
        <v>143</v>
      </c>
      <c r="N30" s="121"/>
    </row>
    <row r="31" spans="1:25" ht="15.75" x14ac:dyDescent="0.25">
      <c r="A31" s="125" t="s">
        <v>36</v>
      </c>
      <c r="B31" s="125"/>
      <c r="C31" s="146">
        <v>4.2</v>
      </c>
      <c r="D31" s="76" t="s">
        <v>54</v>
      </c>
      <c r="E31" s="78">
        <v>8400</v>
      </c>
      <c r="F31" s="77" t="s">
        <v>48</v>
      </c>
      <c r="G31" s="28" t="s">
        <v>41</v>
      </c>
      <c r="H31" s="76" t="s">
        <v>43</v>
      </c>
      <c r="I31" s="37">
        <f>I29*2/3</f>
        <v>3.3333333333333335</v>
      </c>
      <c r="K31" s="139"/>
      <c r="L31" s="121" t="s">
        <v>144</v>
      </c>
      <c r="M31" s="121"/>
      <c r="N31" s="121"/>
    </row>
    <row r="32" spans="1:25" ht="15.75" x14ac:dyDescent="0.25">
      <c r="A32" s="125"/>
      <c r="B32" s="125"/>
      <c r="C32" s="146"/>
      <c r="D32" s="76" t="s">
        <v>53</v>
      </c>
      <c r="E32" s="26">
        <f>(I31*E31)/(C31-I31)</f>
        <v>32307.692307692305</v>
      </c>
      <c r="F32" s="77"/>
      <c r="G32" s="77"/>
      <c r="H32" s="77"/>
      <c r="I32" s="77"/>
      <c r="K32" s="139"/>
      <c r="L32" s="140"/>
      <c r="M32" s="141"/>
      <c r="N32" s="74" t="s">
        <v>145</v>
      </c>
    </row>
    <row r="33" spans="1:16" ht="15.75" x14ac:dyDescent="0.25">
      <c r="A33" s="77"/>
      <c r="B33" s="77"/>
      <c r="C33" s="77"/>
      <c r="D33" s="77"/>
      <c r="E33" s="77"/>
      <c r="F33" s="77"/>
      <c r="G33" s="77"/>
      <c r="H33" s="77"/>
      <c r="I33" s="77"/>
      <c r="K33" s="139"/>
      <c r="L33" s="140"/>
      <c r="M33" s="141"/>
      <c r="N33" s="74" t="s">
        <v>14</v>
      </c>
    </row>
    <row r="34" spans="1:16" ht="15.75" x14ac:dyDescent="0.25">
      <c r="A34" s="125" t="s">
        <v>37</v>
      </c>
      <c r="B34" s="125"/>
      <c r="C34" s="147">
        <v>4</v>
      </c>
      <c r="D34" s="76" t="s">
        <v>54</v>
      </c>
      <c r="E34" s="78">
        <v>7970</v>
      </c>
      <c r="F34" s="77" t="s">
        <v>49</v>
      </c>
      <c r="G34" s="28" t="s">
        <v>42</v>
      </c>
      <c r="H34" s="76" t="s">
        <v>44</v>
      </c>
      <c r="I34" s="37">
        <f>I29/3</f>
        <v>1.6666666666666667</v>
      </c>
      <c r="K34" s="139" t="s">
        <v>9</v>
      </c>
      <c r="L34" s="74" t="s">
        <v>31</v>
      </c>
      <c r="M34" s="74">
        <v>5</v>
      </c>
      <c r="N34" s="74" t="s">
        <v>78</v>
      </c>
      <c r="O34" s="2" t="s">
        <v>104</v>
      </c>
      <c r="P34" s="93" t="s">
        <v>150</v>
      </c>
    </row>
    <row r="35" spans="1:16" ht="15.75" x14ac:dyDescent="0.25">
      <c r="A35" s="125"/>
      <c r="B35" s="125"/>
      <c r="C35" s="148"/>
      <c r="D35" s="76" t="s">
        <v>53</v>
      </c>
      <c r="E35" s="26">
        <f>(I34*E34)/(C34-I34)</f>
        <v>5692.857142857144</v>
      </c>
      <c r="F35" s="77"/>
      <c r="G35" s="91"/>
      <c r="H35" s="77"/>
      <c r="I35" s="77"/>
      <c r="K35" s="139"/>
      <c r="L35" s="121">
        <v>0.25</v>
      </c>
      <c r="M35" s="121"/>
      <c r="N35" s="74" t="s">
        <v>132</v>
      </c>
    </row>
    <row r="36" spans="1:16" ht="15.75" x14ac:dyDescent="0.25">
      <c r="A36" s="77"/>
      <c r="B36" s="77"/>
      <c r="C36" s="77"/>
      <c r="D36" s="77"/>
      <c r="E36" s="77"/>
      <c r="F36" s="77"/>
      <c r="G36" s="77"/>
      <c r="H36" s="77"/>
      <c r="I36" s="77"/>
      <c r="K36" s="139"/>
      <c r="L36" s="74" t="s">
        <v>142</v>
      </c>
      <c r="M36" s="74" t="s">
        <v>143</v>
      </c>
      <c r="N36" s="121"/>
    </row>
    <row r="37" spans="1:16" x14ac:dyDescent="0.25">
      <c r="K37" s="139"/>
      <c r="L37" s="121" t="s">
        <v>144</v>
      </c>
      <c r="M37" s="121"/>
      <c r="N37" s="121"/>
    </row>
    <row r="38" spans="1:16" x14ac:dyDescent="0.25">
      <c r="K38" s="139"/>
      <c r="L38" s="140" t="s">
        <v>31</v>
      </c>
      <c r="M38" s="141"/>
      <c r="N38" s="74" t="s">
        <v>145</v>
      </c>
    </row>
    <row r="39" spans="1:16" ht="15.75" x14ac:dyDescent="0.25">
      <c r="E39" s="78" t="s">
        <v>18</v>
      </c>
      <c r="K39" s="139"/>
      <c r="L39" s="140" t="s">
        <v>31</v>
      </c>
      <c r="M39" s="141"/>
      <c r="N39" s="74" t="s">
        <v>14</v>
      </c>
    </row>
    <row r="40" spans="1:16" ht="15.75" x14ac:dyDescent="0.25">
      <c r="E40" s="76"/>
    </row>
    <row r="41" spans="1:16" ht="15.75" x14ac:dyDescent="0.25">
      <c r="E41" s="27" t="s">
        <v>47</v>
      </c>
    </row>
    <row r="50" spans="1:18" x14ac:dyDescent="0.25">
      <c r="B50" s="101"/>
      <c r="C50" s="101"/>
      <c r="D50" s="101"/>
      <c r="E50" s="101"/>
      <c r="F50" s="101" t="s">
        <v>180</v>
      </c>
      <c r="G50" s="101"/>
      <c r="H50" s="101"/>
      <c r="I50" s="101"/>
      <c r="J50" s="101"/>
      <c r="K50" s="101"/>
      <c r="L50" s="101"/>
      <c r="M50" s="101"/>
      <c r="N50" s="101"/>
      <c r="O50" s="101"/>
    </row>
    <row r="52" spans="1:18" ht="15.75" x14ac:dyDescent="0.25">
      <c r="A52" s="120"/>
      <c r="B52" s="120"/>
      <c r="C52" s="120"/>
      <c r="D52" s="120"/>
      <c r="E52" s="120"/>
      <c r="F52" s="120"/>
      <c r="G52" s="116" t="s">
        <v>2</v>
      </c>
      <c r="H52" s="116">
        <v>12</v>
      </c>
      <c r="I52" s="120"/>
      <c r="J52" s="120"/>
      <c r="K52" s="134"/>
      <c r="L52" s="134"/>
      <c r="M52" s="134"/>
      <c r="N52" s="134"/>
      <c r="O52" s="120"/>
      <c r="P52" s="120"/>
      <c r="Q52" s="120"/>
      <c r="R52" s="120"/>
    </row>
    <row r="53" spans="1:18" ht="15.75" x14ac:dyDescent="0.25">
      <c r="A53" s="121" t="s">
        <v>152</v>
      </c>
      <c r="B53" s="121"/>
      <c r="C53" s="121"/>
      <c r="D53" s="121"/>
      <c r="E53" s="117"/>
      <c r="F53" s="117"/>
      <c r="G53" s="116" t="s">
        <v>35</v>
      </c>
      <c r="H53" s="116">
        <v>4.2</v>
      </c>
      <c r="I53" s="117"/>
      <c r="J53" s="120"/>
      <c r="K53" s="120"/>
      <c r="L53" s="121" t="s">
        <v>154</v>
      </c>
      <c r="M53" s="121"/>
      <c r="N53" s="121"/>
      <c r="O53" s="121"/>
      <c r="P53" s="120"/>
      <c r="Q53" s="120"/>
      <c r="R53" s="120"/>
    </row>
    <row r="54" spans="1:18" x14ac:dyDescent="0.25">
      <c r="A54" s="137" t="s">
        <v>136</v>
      </c>
      <c r="B54" s="138"/>
      <c r="C54" s="138"/>
      <c r="D54" s="110"/>
      <c r="E54" s="120"/>
      <c r="F54" s="120"/>
      <c r="G54" s="120"/>
      <c r="H54" s="120"/>
      <c r="I54" s="120"/>
      <c r="J54" s="120"/>
      <c r="K54" s="120"/>
      <c r="L54" s="137" t="s">
        <v>136</v>
      </c>
      <c r="M54" s="138"/>
      <c r="N54" s="138"/>
      <c r="O54" s="110"/>
      <c r="P54" s="120"/>
      <c r="Q54" s="120"/>
      <c r="R54" s="120"/>
    </row>
    <row r="55" spans="1:18" x14ac:dyDescent="0.25">
      <c r="A55" s="114" t="s">
        <v>2</v>
      </c>
      <c r="B55" s="8">
        <v>9.92</v>
      </c>
      <c r="C55" s="114" t="s">
        <v>3</v>
      </c>
      <c r="D55" s="114">
        <v>10</v>
      </c>
      <c r="E55" s="120"/>
      <c r="F55" s="120"/>
      <c r="G55" s="120"/>
      <c r="H55" s="120"/>
      <c r="I55" s="120"/>
      <c r="J55" s="120"/>
      <c r="K55" s="120"/>
      <c r="L55" s="114" t="s">
        <v>2</v>
      </c>
      <c r="M55" s="8">
        <v>9.92</v>
      </c>
      <c r="N55" s="114" t="s">
        <v>3</v>
      </c>
      <c r="O55" s="114">
        <v>10</v>
      </c>
      <c r="P55" s="120"/>
      <c r="Q55" s="120"/>
      <c r="R55" s="120"/>
    </row>
    <row r="56" spans="1:18" x14ac:dyDescent="0.25">
      <c r="A56" s="114" t="s">
        <v>35</v>
      </c>
      <c r="B56" s="114">
        <v>3.91</v>
      </c>
      <c r="C56" s="114" t="s">
        <v>3</v>
      </c>
      <c r="D56" s="114"/>
      <c r="E56" s="120"/>
      <c r="F56" s="120"/>
      <c r="G56" s="120"/>
      <c r="H56" s="120"/>
      <c r="I56" s="120"/>
      <c r="J56" s="120"/>
      <c r="K56" s="120"/>
      <c r="L56" s="114" t="s">
        <v>35</v>
      </c>
      <c r="M56" s="114">
        <v>3.91</v>
      </c>
      <c r="N56" s="114" t="s">
        <v>3</v>
      </c>
      <c r="O56" s="114">
        <v>3.9209999999999998</v>
      </c>
      <c r="P56" s="120"/>
      <c r="Q56" s="120"/>
      <c r="R56" s="120"/>
    </row>
    <row r="57" spans="1:18" x14ac:dyDescent="0.25">
      <c r="A57" s="135" t="s">
        <v>23</v>
      </c>
      <c r="B57" s="136"/>
      <c r="C57" s="136"/>
      <c r="D57" s="109"/>
      <c r="E57" s="120"/>
      <c r="F57" s="120"/>
      <c r="G57" s="120"/>
      <c r="H57" s="120"/>
      <c r="I57" s="120"/>
      <c r="J57" s="120"/>
      <c r="K57" s="120"/>
      <c r="L57" s="135" t="s">
        <v>23</v>
      </c>
      <c r="M57" s="136"/>
      <c r="N57" s="136"/>
      <c r="O57" s="109"/>
      <c r="P57" s="120"/>
      <c r="Q57" s="120"/>
      <c r="R57" s="120"/>
    </row>
    <row r="58" spans="1:18" x14ac:dyDescent="0.25">
      <c r="A58" s="114" t="s">
        <v>83</v>
      </c>
      <c r="B58" s="114">
        <v>0</v>
      </c>
      <c r="C58" s="114" t="s">
        <v>14</v>
      </c>
      <c r="D58" s="114"/>
      <c r="E58" s="120"/>
      <c r="F58" s="120"/>
      <c r="G58" s="120"/>
      <c r="H58" s="120"/>
      <c r="I58" s="120"/>
      <c r="J58" s="120"/>
      <c r="K58" s="120"/>
      <c r="L58" s="114" t="s">
        <v>83</v>
      </c>
      <c r="M58" s="73">
        <v>0.187</v>
      </c>
      <c r="N58" s="114" t="s">
        <v>14</v>
      </c>
      <c r="O58" s="114"/>
      <c r="P58" s="120"/>
      <c r="Q58" s="120"/>
      <c r="R58" s="120"/>
    </row>
    <row r="59" spans="1:18" x14ac:dyDescent="0.25">
      <c r="A59" s="114" t="s">
        <v>148</v>
      </c>
      <c r="B59" s="114">
        <f>3*10^-6</f>
        <v>3.0000000000000001E-6</v>
      </c>
      <c r="C59" s="114" t="s">
        <v>14</v>
      </c>
      <c r="D59" s="114"/>
      <c r="E59" s="120" t="s">
        <v>151</v>
      </c>
      <c r="F59" s="120"/>
      <c r="G59" s="120"/>
      <c r="H59" s="120"/>
      <c r="I59" s="120"/>
      <c r="J59" s="120"/>
      <c r="K59" s="120"/>
      <c r="L59" s="114" t="s">
        <v>148</v>
      </c>
      <c r="M59" s="73">
        <v>2.5319999999999999E-2</v>
      </c>
      <c r="N59" s="114" t="s">
        <v>14</v>
      </c>
      <c r="O59" s="114"/>
      <c r="P59" s="120" t="s">
        <v>151</v>
      </c>
      <c r="Q59" s="120"/>
      <c r="R59" s="120"/>
    </row>
    <row r="60" spans="1:18" x14ac:dyDescent="0.25">
      <c r="A60" s="114" t="s">
        <v>11</v>
      </c>
      <c r="B60" s="114">
        <v>6.23</v>
      </c>
      <c r="C60" s="114" t="s">
        <v>3</v>
      </c>
      <c r="D60" s="114"/>
      <c r="E60" s="114">
        <v>3.35</v>
      </c>
      <c r="F60" s="120"/>
      <c r="G60" s="120"/>
      <c r="H60" s="120"/>
      <c r="I60" s="120"/>
      <c r="J60" s="120"/>
      <c r="K60" s="120"/>
      <c r="L60" s="114" t="s">
        <v>11</v>
      </c>
      <c r="M60" s="73">
        <f>32*10^-3</f>
        <v>3.2000000000000001E-2</v>
      </c>
      <c r="N60" s="114" t="s">
        <v>3</v>
      </c>
      <c r="O60" s="114"/>
      <c r="P60" s="114"/>
      <c r="Q60" s="120"/>
      <c r="R60" s="120"/>
    </row>
    <row r="61" spans="1:18" x14ac:dyDescent="0.25">
      <c r="A61" s="114" t="s">
        <v>4</v>
      </c>
      <c r="B61" s="114">
        <v>0.56999999999999995</v>
      </c>
      <c r="C61" s="114" t="s">
        <v>3</v>
      </c>
      <c r="D61" s="114"/>
      <c r="E61" s="114">
        <v>3.52</v>
      </c>
      <c r="F61" s="120"/>
      <c r="G61" s="120"/>
      <c r="H61" s="120"/>
      <c r="I61" s="120"/>
      <c r="J61" s="120"/>
      <c r="K61" s="120"/>
      <c r="L61" s="114" t="s">
        <v>4</v>
      </c>
      <c r="M61" s="73">
        <v>0.80800000000000005</v>
      </c>
      <c r="N61" s="114" t="s">
        <v>3</v>
      </c>
      <c r="O61" s="114"/>
      <c r="P61" s="114"/>
      <c r="Q61" s="120"/>
      <c r="R61" s="120"/>
    </row>
    <row r="62" spans="1:18" x14ac:dyDescent="0.25">
      <c r="A62" s="142" t="s">
        <v>70</v>
      </c>
      <c r="B62" s="143"/>
      <c r="C62" s="143"/>
      <c r="D62" s="111"/>
      <c r="E62" s="120"/>
      <c r="F62" s="120"/>
      <c r="G62" s="120"/>
      <c r="H62" s="120"/>
      <c r="I62" s="120"/>
      <c r="J62" s="120"/>
      <c r="K62" s="120"/>
      <c r="L62" s="142" t="s">
        <v>70</v>
      </c>
      <c r="M62" s="143"/>
      <c r="N62" s="143"/>
      <c r="O62" s="111"/>
      <c r="P62" s="120"/>
      <c r="Q62" s="120"/>
      <c r="R62" s="120"/>
    </row>
    <row r="63" spans="1:18" x14ac:dyDescent="0.25">
      <c r="A63" s="114" t="s">
        <v>146</v>
      </c>
      <c r="B63" s="114">
        <v>9.92</v>
      </c>
      <c r="C63" s="114" t="s">
        <v>3</v>
      </c>
      <c r="D63" s="114"/>
      <c r="E63" s="120"/>
      <c r="F63" s="120"/>
      <c r="G63" s="120"/>
      <c r="H63" s="120"/>
      <c r="I63" s="120"/>
      <c r="J63" s="120"/>
      <c r="K63" s="120"/>
      <c r="L63" s="114" t="s">
        <v>146</v>
      </c>
      <c r="M63" s="114">
        <v>9.92</v>
      </c>
      <c r="N63" s="114" t="s">
        <v>3</v>
      </c>
      <c r="O63" s="114"/>
      <c r="P63" s="120"/>
      <c r="Q63" s="120"/>
      <c r="R63" s="120"/>
    </row>
    <row r="64" spans="1:18" x14ac:dyDescent="0.25">
      <c r="A64" s="114" t="s">
        <v>147</v>
      </c>
      <c r="B64" s="114">
        <v>4.99</v>
      </c>
      <c r="C64" s="114" t="s">
        <v>3</v>
      </c>
      <c r="D64" s="114"/>
      <c r="E64" s="120"/>
      <c r="F64" s="120"/>
      <c r="G64" s="120"/>
      <c r="H64" s="120"/>
      <c r="I64" s="120"/>
      <c r="J64" s="120"/>
      <c r="K64" s="120"/>
      <c r="L64" s="114" t="s">
        <v>147</v>
      </c>
      <c r="M64" s="114">
        <v>5</v>
      </c>
      <c r="N64" s="114" t="s">
        <v>3</v>
      </c>
      <c r="O64" s="114"/>
      <c r="P64" s="120"/>
      <c r="Q64" s="120"/>
      <c r="R64" s="120"/>
    </row>
    <row r="65" spans="1:18" x14ac:dyDescent="0.25">
      <c r="A65" s="144" t="s">
        <v>149</v>
      </c>
      <c r="B65" s="145"/>
      <c r="C65" s="145"/>
      <c r="D65" s="112"/>
      <c r="E65" s="120"/>
      <c r="F65" s="120"/>
      <c r="G65" s="120"/>
      <c r="H65" s="120"/>
      <c r="I65" s="120"/>
      <c r="J65" s="120"/>
      <c r="K65" s="120"/>
      <c r="L65" s="144" t="s">
        <v>149</v>
      </c>
      <c r="M65" s="145"/>
      <c r="N65" s="145"/>
      <c r="O65" s="112"/>
      <c r="P65" s="120"/>
      <c r="Q65" s="120"/>
      <c r="R65" s="120"/>
    </row>
    <row r="66" spans="1:18" x14ac:dyDescent="0.25">
      <c r="A66" s="114" t="s">
        <v>131</v>
      </c>
      <c r="B66" s="114">
        <v>4.9800000000000004</v>
      </c>
      <c r="C66" s="114" t="s">
        <v>3</v>
      </c>
      <c r="D66" s="114"/>
      <c r="E66" s="120"/>
      <c r="F66" s="120"/>
      <c r="G66" s="120"/>
      <c r="H66" s="120"/>
      <c r="I66" s="120"/>
      <c r="J66" s="120"/>
      <c r="K66" s="120"/>
      <c r="L66" s="114" t="s">
        <v>131</v>
      </c>
      <c r="M66" s="114">
        <v>4.8499999999999996</v>
      </c>
      <c r="N66" s="114" t="s">
        <v>3</v>
      </c>
      <c r="O66" s="114"/>
      <c r="P66" s="120"/>
      <c r="Q66" s="120"/>
      <c r="R66" s="120"/>
    </row>
    <row r="67" spans="1:18" x14ac:dyDescent="0.25">
      <c r="A67" s="4" t="s">
        <v>61</v>
      </c>
      <c r="B67" s="4">
        <v>3.91</v>
      </c>
      <c r="C67" s="4" t="s">
        <v>3</v>
      </c>
      <c r="D67" s="4"/>
      <c r="E67" s="101"/>
      <c r="F67" s="101"/>
      <c r="G67" s="101"/>
      <c r="H67" s="101"/>
      <c r="I67" s="101"/>
      <c r="J67" s="101"/>
      <c r="K67" s="101"/>
      <c r="L67" s="4" t="s">
        <v>61</v>
      </c>
      <c r="M67" s="4">
        <v>3.1070000000000002</v>
      </c>
      <c r="N67" s="4" t="s">
        <v>3</v>
      </c>
      <c r="O67" s="4"/>
      <c r="P67" s="101"/>
      <c r="Q67" s="101"/>
      <c r="R67" s="101"/>
    </row>
    <row r="68" spans="1:18" x14ac:dyDescent="0.25">
      <c r="A68" s="119" t="s">
        <v>60</v>
      </c>
      <c r="B68" s="114">
        <v>1.62</v>
      </c>
      <c r="C68" s="114" t="s">
        <v>3</v>
      </c>
      <c r="D68" s="114"/>
      <c r="E68" s="120"/>
      <c r="F68" s="120"/>
      <c r="G68" s="120"/>
      <c r="H68" s="120"/>
      <c r="I68" s="120"/>
      <c r="J68" s="120"/>
      <c r="K68" s="120"/>
      <c r="L68" s="119" t="s">
        <v>60</v>
      </c>
      <c r="M68" s="114">
        <v>1.629</v>
      </c>
      <c r="N68" s="114" t="s">
        <v>3</v>
      </c>
      <c r="O68" s="114"/>
      <c r="P68" s="120"/>
      <c r="Q68" s="120"/>
      <c r="R68" s="120"/>
    </row>
    <row r="69" spans="1:18" x14ac:dyDescent="0.25">
      <c r="A69" s="4" t="s">
        <v>62</v>
      </c>
      <c r="B69" s="4">
        <v>4.43</v>
      </c>
      <c r="C69" s="4" t="s">
        <v>3</v>
      </c>
      <c r="D69" s="4"/>
      <c r="E69" s="101"/>
      <c r="F69" s="101"/>
      <c r="G69" s="101"/>
      <c r="H69" s="101"/>
      <c r="I69" s="101"/>
      <c r="J69" s="101"/>
      <c r="K69" s="101"/>
      <c r="L69" s="4" t="s">
        <v>62</v>
      </c>
      <c r="M69" s="4">
        <v>4.8499999999999996</v>
      </c>
      <c r="N69" s="4" t="s">
        <v>3</v>
      </c>
      <c r="O69" s="4"/>
      <c r="P69" s="101"/>
      <c r="Q69" s="101"/>
      <c r="R69" s="101"/>
    </row>
    <row r="70" spans="1:18" x14ac:dyDescent="0.2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0"/>
      <c r="L70" s="10"/>
      <c r="M70" s="10"/>
      <c r="N70" s="10"/>
      <c r="O70" s="10"/>
      <c r="P70" s="120"/>
      <c r="Q70" s="120"/>
      <c r="R70" s="120"/>
    </row>
    <row r="71" spans="1:18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</row>
    <row r="72" spans="1:18" ht="15.75" x14ac:dyDescent="0.25">
      <c r="A72" s="117"/>
      <c r="B72" s="117"/>
      <c r="C72" s="117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</row>
    <row r="73" spans="1:18" ht="15.75" x14ac:dyDescent="0.25">
      <c r="A73" s="120"/>
      <c r="B73" s="117"/>
      <c r="C73" s="11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</row>
    <row r="74" spans="1:18" ht="15.75" x14ac:dyDescent="0.25">
      <c r="A74" s="120"/>
      <c r="B74" s="117"/>
      <c r="C74" s="117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</row>
    <row r="75" spans="1:18" ht="15.75" x14ac:dyDescent="0.25">
      <c r="A75" s="120"/>
      <c r="B75" s="117"/>
      <c r="C75" s="117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</row>
    <row r="76" spans="1:18" x14ac:dyDescent="0.25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</row>
    <row r="77" spans="1:18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1:18" x14ac:dyDescent="0.25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1:18" ht="15.75" x14ac:dyDescent="0.25">
      <c r="A79" s="22"/>
      <c r="B79" s="22"/>
      <c r="C79" s="22"/>
      <c r="D79" s="22" t="s">
        <v>64</v>
      </c>
      <c r="E79" s="38"/>
      <c r="F79" s="22"/>
      <c r="G79" s="22"/>
      <c r="H79" s="22"/>
      <c r="I79" s="22"/>
      <c r="J79" s="120"/>
      <c r="K79" s="139" t="s">
        <v>8</v>
      </c>
      <c r="L79" s="114">
        <v>15.7</v>
      </c>
      <c r="M79" s="114">
        <v>25.2</v>
      </c>
      <c r="N79" s="114" t="s">
        <v>78</v>
      </c>
      <c r="O79" s="120"/>
      <c r="P79" s="120"/>
      <c r="Q79" s="120"/>
      <c r="R79" s="120"/>
    </row>
    <row r="80" spans="1:18" ht="15.75" x14ac:dyDescent="0.25">
      <c r="A80" s="117"/>
      <c r="B80" s="117"/>
      <c r="C80" s="117"/>
      <c r="D80" s="117"/>
      <c r="E80" s="15"/>
      <c r="F80" s="117"/>
      <c r="G80" s="29">
        <v>1</v>
      </c>
      <c r="H80" s="116" t="s">
        <v>40</v>
      </c>
      <c r="I80" s="116">
        <v>5</v>
      </c>
      <c r="J80" s="120"/>
      <c r="K80" s="139"/>
      <c r="L80" s="121">
        <v>15</v>
      </c>
      <c r="M80" s="121"/>
      <c r="N80" s="114" t="s">
        <v>132</v>
      </c>
      <c r="O80" s="120"/>
      <c r="P80" s="120"/>
      <c r="Q80" s="120"/>
      <c r="R80" s="120"/>
    </row>
    <row r="81" spans="1:18" ht="15.75" x14ac:dyDescent="0.25">
      <c r="A81" s="117"/>
      <c r="B81" s="117"/>
      <c r="C81" s="90" t="s">
        <v>141</v>
      </c>
      <c r="D81" s="117"/>
      <c r="E81" s="117"/>
      <c r="F81" s="117"/>
      <c r="G81" s="117"/>
      <c r="H81" s="117"/>
      <c r="I81" s="117"/>
      <c r="J81" s="120"/>
      <c r="K81" s="139"/>
      <c r="L81" s="114" t="s">
        <v>142</v>
      </c>
      <c r="M81" s="114" t="s">
        <v>143</v>
      </c>
      <c r="N81" s="121"/>
      <c r="O81" s="120"/>
      <c r="P81" s="120"/>
      <c r="Q81" s="120"/>
      <c r="R81" s="120"/>
    </row>
    <row r="82" spans="1:18" ht="15.75" x14ac:dyDescent="0.25">
      <c r="A82" s="125" t="s">
        <v>36</v>
      </c>
      <c r="B82" s="125"/>
      <c r="C82" s="146">
        <v>4.2</v>
      </c>
      <c r="D82" s="116" t="s">
        <v>54</v>
      </c>
      <c r="E82" s="118">
        <v>8400</v>
      </c>
      <c r="F82" s="117" t="s">
        <v>48</v>
      </c>
      <c r="G82" s="28" t="s">
        <v>41</v>
      </c>
      <c r="H82" s="116" t="s">
        <v>43</v>
      </c>
      <c r="I82" s="115">
        <f>I80*2/3</f>
        <v>3.3333333333333335</v>
      </c>
      <c r="J82" s="120"/>
      <c r="K82" s="139"/>
      <c r="L82" s="121" t="s">
        <v>144</v>
      </c>
      <c r="M82" s="121"/>
      <c r="N82" s="121"/>
      <c r="O82" s="120"/>
      <c r="P82" s="120"/>
      <c r="Q82" s="120"/>
      <c r="R82" s="120"/>
    </row>
    <row r="83" spans="1:18" ht="15.75" x14ac:dyDescent="0.25">
      <c r="A83" s="125"/>
      <c r="B83" s="125"/>
      <c r="C83" s="146"/>
      <c r="D83" s="116" t="s">
        <v>53</v>
      </c>
      <c r="E83" s="26">
        <f>(I82*E82)/(C82-I82)</f>
        <v>32307.692307692305</v>
      </c>
      <c r="F83" s="117"/>
      <c r="G83" s="117"/>
      <c r="H83" s="117"/>
      <c r="I83" s="117"/>
      <c r="J83" s="120"/>
      <c r="K83" s="139"/>
      <c r="L83" s="140"/>
      <c r="M83" s="141"/>
      <c r="N83" s="114" t="s">
        <v>145</v>
      </c>
      <c r="O83" s="120"/>
      <c r="P83" s="120"/>
      <c r="Q83" s="120"/>
      <c r="R83" s="120"/>
    </row>
    <row r="84" spans="1:18" ht="15.75" x14ac:dyDescent="0.25">
      <c r="A84" s="117"/>
      <c r="B84" s="117"/>
      <c r="C84" s="117"/>
      <c r="D84" s="117"/>
      <c r="E84" s="117"/>
      <c r="F84" s="117"/>
      <c r="G84" s="117"/>
      <c r="H84" s="117"/>
      <c r="I84" s="117"/>
      <c r="J84" s="120"/>
      <c r="K84" s="139"/>
      <c r="L84" s="140"/>
      <c r="M84" s="141"/>
      <c r="N84" s="114" t="s">
        <v>14</v>
      </c>
      <c r="O84" s="120"/>
      <c r="P84" s="120"/>
      <c r="Q84" s="120"/>
      <c r="R84" s="120"/>
    </row>
    <row r="85" spans="1:18" ht="15.75" x14ac:dyDescent="0.25">
      <c r="A85" s="125" t="s">
        <v>37</v>
      </c>
      <c r="B85" s="125"/>
      <c r="C85" s="147">
        <v>4</v>
      </c>
      <c r="D85" s="116" t="s">
        <v>54</v>
      </c>
      <c r="E85" s="118">
        <v>7970</v>
      </c>
      <c r="F85" s="117" t="s">
        <v>49</v>
      </c>
      <c r="G85" s="28" t="s">
        <v>42</v>
      </c>
      <c r="H85" s="116" t="s">
        <v>44</v>
      </c>
      <c r="I85" s="115">
        <f>I80/3</f>
        <v>1.6666666666666667</v>
      </c>
      <c r="J85" s="120"/>
      <c r="K85" s="139" t="s">
        <v>9</v>
      </c>
      <c r="L85" s="114" t="s">
        <v>31</v>
      </c>
      <c r="M85" s="114">
        <v>5</v>
      </c>
      <c r="N85" s="114" t="s">
        <v>78</v>
      </c>
      <c r="O85" s="120" t="s">
        <v>104</v>
      </c>
      <c r="P85" s="93" t="s">
        <v>150</v>
      </c>
      <c r="Q85" s="120"/>
      <c r="R85" s="120"/>
    </row>
    <row r="86" spans="1:18" ht="15.75" x14ac:dyDescent="0.25">
      <c r="A86" s="125"/>
      <c r="B86" s="125"/>
      <c r="C86" s="148"/>
      <c r="D86" s="116" t="s">
        <v>53</v>
      </c>
      <c r="E86" s="26">
        <f>(I85*E85)/(C85-I85)</f>
        <v>5692.857142857144</v>
      </c>
      <c r="F86" s="117"/>
      <c r="G86" s="91"/>
      <c r="H86" s="117"/>
      <c r="I86" s="117"/>
      <c r="J86" s="120"/>
      <c r="K86" s="139"/>
      <c r="L86" s="121">
        <v>0.25</v>
      </c>
      <c r="M86" s="121"/>
      <c r="N86" s="114" t="s">
        <v>132</v>
      </c>
      <c r="O86" s="120"/>
      <c r="P86" s="120"/>
      <c r="Q86" s="120"/>
      <c r="R86" s="120"/>
    </row>
    <row r="87" spans="1:18" ht="15.75" x14ac:dyDescent="0.25">
      <c r="A87" s="117"/>
      <c r="B87" s="117"/>
      <c r="C87" s="117"/>
      <c r="D87" s="117"/>
      <c r="E87" s="117"/>
      <c r="F87" s="117"/>
      <c r="G87" s="117"/>
      <c r="H87" s="117"/>
      <c r="I87" s="117"/>
      <c r="J87" s="120"/>
      <c r="K87" s="139"/>
      <c r="L87" s="114" t="s">
        <v>142</v>
      </c>
      <c r="M87" s="114" t="s">
        <v>143</v>
      </c>
      <c r="N87" s="121"/>
      <c r="O87" s="120"/>
      <c r="P87" s="120"/>
      <c r="Q87" s="120"/>
      <c r="R87" s="120"/>
    </row>
    <row r="88" spans="1:18" x14ac:dyDescent="0.25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39"/>
      <c r="L88" s="121" t="s">
        <v>144</v>
      </c>
      <c r="M88" s="121"/>
      <c r="N88" s="121"/>
      <c r="O88" s="120"/>
      <c r="P88" s="120"/>
      <c r="Q88" s="120"/>
      <c r="R88" s="120"/>
    </row>
    <row r="89" spans="1:18" x14ac:dyDescent="0.2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39"/>
      <c r="L89" s="140" t="s">
        <v>31</v>
      </c>
      <c r="M89" s="141"/>
      <c r="N89" s="114" t="s">
        <v>145</v>
      </c>
      <c r="O89" s="120"/>
      <c r="P89" s="120"/>
      <c r="Q89" s="120"/>
      <c r="R89" s="120"/>
    </row>
    <row r="90" spans="1:18" ht="15.75" x14ac:dyDescent="0.25">
      <c r="A90" s="120"/>
      <c r="B90" s="120"/>
      <c r="C90" s="120"/>
      <c r="D90" s="120"/>
      <c r="E90" s="118" t="s">
        <v>18</v>
      </c>
      <c r="F90" s="120"/>
      <c r="G90" s="120"/>
      <c r="H90" s="120"/>
      <c r="I90" s="120"/>
      <c r="J90" s="120"/>
      <c r="K90" s="139"/>
      <c r="L90" s="140" t="s">
        <v>31</v>
      </c>
      <c r="M90" s="141"/>
      <c r="N90" s="114" t="s">
        <v>14</v>
      </c>
      <c r="O90" s="120"/>
      <c r="P90" s="120"/>
      <c r="Q90" s="120"/>
      <c r="R90" s="120"/>
    </row>
    <row r="91" spans="1:18" ht="15.75" x14ac:dyDescent="0.25">
      <c r="A91" s="120"/>
      <c r="B91" s="120"/>
      <c r="C91" s="120"/>
      <c r="D91" s="120"/>
      <c r="E91" s="116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</row>
    <row r="92" spans="1:18" ht="15.75" x14ac:dyDescent="0.25">
      <c r="A92" s="120"/>
      <c r="B92" s="120"/>
      <c r="C92" s="120"/>
      <c r="D92" s="120"/>
      <c r="E92" s="27" t="s">
        <v>47</v>
      </c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</row>
  </sheetData>
  <mergeCells count="54">
    <mergeCell ref="A85:B86"/>
    <mergeCell ref="C85:C86"/>
    <mergeCell ref="K85:K90"/>
    <mergeCell ref="L86:M86"/>
    <mergeCell ref="N87:N88"/>
    <mergeCell ref="L88:M88"/>
    <mergeCell ref="L89:M89"/>
    <mergeCell ref="L90:M90"/>
    <mergeCell ref="K79:K84"/>
    <mergeCell ref="L80:M80"/>
    <mergeCell ref="N81:N82"/>
    <mergeCell ref="A82:B83"/>
    <mergeCell ref="C82:C83"/>
    <mergeCell ref="L82:M82"/>
    <mergeCell ref="L83:M83"/>
    <mergeCell ref="L84:M84"/>
    <mergeCell ref="A57:C57"/>
    <mergeCell ref="L57:N57"/>
    <mergeCell ref="A62:C62"/>
    <mergeCell ref="L62:N62"/>
    <mergeCell ref="A65:C65"/>
    <mergeCell ref="L65:N65"/>
    <mergeCell ref="K52:N52"/>
    <mergeCell ref="A53:D53"/>
    <mergeCell ref="L53:O53"/>
    <mergeCell ref="A54:C54"/>
    <mergeCell ref="L54:N54"/>
    <mergeCell ref="L11:N11"/>
    <mergeCell ref="L14:N14"/>
    <mergeCell ref="A31:B32"/>
    <mergeCell ref="C31:C32"/>
    <mergeCell ref="A34:B35"/>
    <mergeCell ref="C34:C35"/>
    <mergeCell ref="A14:C14"/>
    <mergeCell ref="A11:C11"/>
    <mergeCell ref="L35:M35"/>
    <mergeCell ref="N36:N37"/>
    <mergeCell ref="L37:M37"/>
    <mergeCell ref="K28:K33"/>
    <mergeCell ref="K34:K39"/>
    <mergeCell ref="L32:M32"/>
    <mergeCell ref="L33:M33"/>
    <mergeCell ref="L38:M38"/>
    <mergeCell ref="L39:M39"/>
    <mergeCell ref="L31:M31"/>
    <mergeCell ref="L29:M29"/>
    <mergeCell ref="N30:N31"/>
    <mergeCell ref="K1:N1"/>
    <mergeCell ref="L2:O2"/>
    <mergeCell ref="A2:D2"/>
    <mergeCell ref="A6:C6"/>
    <mergeCell ref="A3:C3"/>
    <mergeCell ref="L3:N3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I27" sqref="I27"/>
    </sheetView>
  </sheetViews>
  <sheetFormatPr defaultRowHeight="15" x14ac:dyDescent="0.25"/>
  <sheetData>
    <row r="1" spans="1:1" x14ac:dyDescent="0.25">
      <c r="A1" t="s">
        <v>155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161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Біполяр</vt:lpstr>
      <vt:lpstr>Дільник</vt:lpstr>
      <vt:lpstr>Провідники</vt:lpstr>
      <vt:lpstr>Аккумулятор</vt:lpstr>
      <vt:lpstr>Скріни</vt:lpstr>
      <vt:lpstr>Перевірка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2018-05-24T18:23:53Z</dcterms:modified>
</cp:coreProperties>
</file>