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25" activeTab="2"/>
  </bookViews>
  <sheets>
    <sheet name="Лист1" sheetId="1" r:id="rId1"/>
    <sheet name="Измерения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41" i="3" l="1"/>
  <c r="D41" i="3"/>
  <c r="C41" i="3" s="1"/>
  <c r="E41" i="3" s="1"/>
  <c r="J29" i="3"/>
  <c r="I29" i="3"/>
  <c r="K29" i="3" s="1"/>
  <c r="D29" i="3"/>
  <c r="C29" i="3"/>
  <c r="E29" i="3" s="1"/>
  <c r="K25" i="3"/>
  <c r="I41" i="3" s="1"/>
  <c r="K41" i="3" s="1"/>
  <c r="J43" i="3" s="1"/>
  <c r="I25" i="3"/>
  <c r="E25" i="3"/>
  <c r="I20" i="3"/>
  <c r="K20" i="3" s="1"/>
  <c r="C20" i="3"/>
  <c r="E20" i="3" s="1"/>
  <c r="J19" i="3"/>
  <c r="I19" i="3"/>
  <c r="E19" i="3"/>
  <c r="F41" i="3" s="1"/>
  <c r="D19" i="3"/>
  <c r="C19" i="3"/>
  <c r="E15" i="3"/>
  <c r="D15" i="3"/>
  <c r="C15" i="3"/>
  <c r="G14" i="3"/>
  <c r="C14" i="3"/>
  <c r="G13" i="3"/>
  <c r="E13" i="3"/>
  <c r="D13" i="3"/>
  <c r="C13" i="3"/>
  <c r="G12" i="3"/>
  <c r="C12" i="3"/>
  <c r="G11" i="3"/>
  <c r="C11" i="3"/>
  <c r="E11" i="3" s="1"/>
  <c r="G10" i="3"/>
  <c r="E10" i="3"/>
  <c r="C10" i="3"/>
  <c r="G9" i="3"/>
  <c r="I9" i="3" s="1"/>
  <c r="E9" i="3"/>
  <c r="C9" i="3"/>
  <c r="G8" i="3"/>
  <c r="I8" i="3" s="1"/>
  <c r="E8" i="3"/>
  <c r="C8" i="3"/>
  <c r="G7" i="3"/>
  <c r="I7" i="3" s="1"/>
  <c r="E7" i="3"/>
  <c r="C7" i="3"/>
  <c r="G6" i="3"/>
  <c r="I6" i="3" s="1"/>
  <c r="E6" i="3"/>
  <c r="C6" i="3"/>
  <c r="N5" i="3"/>
  <c r="I5" i="3"/>
  <c r="E5" i="3"/>
  <c r="C5" i="3"/>
  <c r="J44" i="3" l="1"/>
  <c r="D12" i="3"/>
  <c r="E12" i="3" s="1"/>
  <c r="D14" i="3"/>
  <c r="E14" i="3" s="1"/>
  <c r="K19" i="3"/>
  <c r="K44" i="2"/>
  <c r="J44" i="2"/>
  <c r="F41" i="2"/>
  <c r="D41" i="2"/>
  <c r="C41" i="2" s="1"/>
  <c r="E41" i="2" s="1"/>
  <c r="K43" i="2"/>
  <c r="L41" i="2"/>
  <c r="L41" i="3" l="1"/>
  <c r="K43" i="3" s="1"/>
  <c r="K44" i="3" s="1"/>
  <c r="H13" i="3"/>
  <c r="I13" i="3" s="1"/>
  <c r="H11" i="3"/>
  <c r="I11" i="3" s="1"/>
  <c r="H12" i="3"/>
  <c r="I12" i="3" s="1"/>
  <c r="H10" i="3"/>
  <c r="I10" i="3" s="1"/>
  <c r="H14" i="3"/>
  <c r="I14" i="3" s="1"/>
  <c r="N5" i="2"/>
  <c r="J41" i="2"/>
  <c r="I29" i="2" l="1"/>
  <c r="I25" i="2"/>
  <c r="K25" i="2"/>
  <c r="I41" i="2" s="1"/>
  <c r="K41" i="2" s="1"/>
  <c r="J43" i="2" s="1"/>
  <c r="J29" i="2"/>
  <c r="G12" i="2"/>
  <c r="G13" i="2"/>
  <c r="G14" i="2"/>
  <c r="G11" i="2"/>
  <c r="G10" i="2"/>
  <c r="G9" i="2"/>
  <c r="I9" i="2" s="1"/>
  <c r="G8" i="2"/>
  <c r="I8" i="2" s="1"/>
  <c r="G7" i="2"/>
  <c r="I7" i="2" s="1"/>
  <c r="G6" i="2"/>
  <c r="I6" i="2" s="1"/>
  <c r="I20" i="2"/>
  <c r="C20" i="2"/>
  <c r="J19" i="2"/>
  <c r="I19" i="2"/>
  <c r="D19" i="2"/>
  <c r="C19" i="2"/>
  <c r="D29" i="2"/>
  <c r="C29" i="2"/>
  <c r="E25" i="2"/>
  <c r="C15" i="2"/>
  <c r="C14" i="2"/>
  <c r="C13" i="2"/>
  <c r="C12" i="2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I5" i="2"/>
  <c r="C5" i="2"/>
  <c r="E5" i="2" s="1"/>
  <c r="E19" i="2" l="1"/>
  <c r="E29" i="2"/>
  <c r="E20" i="2"/>
  <c r="K20" i="2"/>
  <c r="K29" i="2"/>
  <c r="K19" i="2"/>
  <c r="D23" i="1"/>
  <c r="C23" i="1"/>
  <c r="E19" i="1"/>
  <c r="C34" i="1" s="1"/>
  <c r="E34" i="1" s="1"/>
  <c r="H5" i="1"/>
  <c r="H6" i="1"/>
  <c r="H4" i="1"/>
  <c r="D13" i="2" l="1"/>
  <c r="E13" i="2" s="1"/>
  <c r="D15" i="2"/>
  <c r="E15" i="2" s="1"/>
  <c r="D12" i="2"/>
  <c r="E12" i="2" s="1"/>
  <c r="D14" i="2"/>
  <c r="E14" i="2" s="1"/>
  <c r="H10" i="2"/>
  <c r="I10" i="2" s="1"/>
  <c r="H14" i="2"/>
  <c r="I14" i="2" s="1"/>
  <c r="H12" i="2"/>
  <c r="I12" i="2" s="1"/>
  <c r="H13" i="2"/>
  <c r="I13" i="2" s="1"/>
  <c r="H11" i="2"/>
  <c r="I11" i="2" s="1"/>
  <c r="I26" i="1"/>
  <c r="H27" i="1"/>
  <c r="J27" i="1" s="1"/>
  <c r="H26" i="1"/>
  <c r="J26" i="1" l="1"/>
  <c r="I23" i="1"/>
  <c r="H23" i="1"/>
  <c r="J19" i="1"/>
  <c r="I34" i="1" s="1"/>
  <c r="K34" i="1" s="1"/>
  <c r="H19" i="1"/>
  <c r="F13" i="1"/>
  <c r="F12" i="1"/>
  <c r="F11" i="1"/>
  <c r="F10" i="1"/>
  <c r="F9" i="1"/>
  <c r="F8" i="1"/>
  <c r="H8" i="1" s="1"/>
  <c r="F7" i="1"/>
  <c r="H7" i="1" s="1"/>
  <c r="L34" i="1" l="1"/>
  <c r="J37" i="1" s="1"/>
  <c r="G9" i="1"/>
  <c r="H9" i="1" s="1"/>
  <c r="G12" i="1"/>
  <c r="H12" i="1" s="1"/>
  <c r="G13" i="1"/>
  <c r="H13" i="1" s="1"/>
  <c r="G10" i="1"/>
  <c r="H10" i="1" s="1"/>
  <c r="G11" i="1"/>
  <c r="H11" i="1" s="1"/>
  <c r="J23" i="1"/>
  <c r="C12" i="1"/>
  <c r="D26" i="1"/>
  <c r="C27" i="1"/>
  <c r="C26" i="1"/>
  <c r="C14" i="1"/>
  <c r="C13" i="1"/>
  <c r="C11" i="1"/>
  <c r="C10" i="1"/>
  <c r="C9" i="1"/>
  <c r="C8" i="1"/>
  <c r="E8" i="1" s="1"/>
  <c r="C7" i="1"/>
  <c r="E7" i="1" s="1"/>
  <c r="C6" i="1"/>
  <c r="E6" i="1" s="1"/>
  <c r="C5" i="1"/>
  <c r="E5" i="1" s="1"/>
  <c r="C4" i="1"/>
  <c r="E4" i="1" s="1"/>
  <c r="E27" i="1" l="1"/>
  <c r="E26" i="1"/>
  <c r="F34" i="1" s="1"/>
  <c r="F37" i="1" s="1"/>
  <c r="E23" i="1"/>
  <c r="D13" i="1" l="1"/>
  <c r="E13" i="1" s="1"/>
  <c r="D14" i="1"/>
  <c r="E14" i="1" s="1"/>
  <c r="E9" i="1"/>
  <c r="E10" i="1"/>
  <c r="D12" i="1"/>
  <c r="E12" i="1" s="1"/>
  <c r="D11" i="1"/>
  <c r="E11" i="1" s="1"/>
</calcChain>
</file>

<file path=xl/sharedStrings.xml><?xml version="1.0" encoding="utf-8"?>
<sst xmlns="http://schemas.openxmlformats.org/spreadsheetml/2006/main" count="261" uniqueCount="72">
  <si>
    <t>Spice</t>
  </si>
  <si>
    <t>Waveform</t>
  </si>
  <si>
    <t>I, A</t>
  </si>
  <si>
    <t>№</t>
  </si>
  <si>
    <t>Ic, A</t>
  </si>
  <si>
    <t>Перевірка</t>
  </si>
  <si>
    <t>Uзв, V</t>
  </si>
  <si>
    <t>off V1</t>
  </si>
  <si>
    <t>Uвс0</t>
  </si>
  <si>
    <t>вих</t>
  </si>
  <si>
    <t>вх</t>
  </si>
  <si>
    <t>амплітуда</t>
  </si>
  <si>
    <t xml:space="preserve">Uп, V </t>
  </si>
  <si>
    <t>b</t>
  </si>
  <si>
    <t>Om</t>
  </si>
  <si>
    <t>Використані компоненти</t>
  </si>
  <si>
    <t>R1</t>
  </si>
  <si>
    <t>R2</t>
  </si>
  <si>
    <t>R3</t>
  </si>
  <si>
    <t>C1</t>
  </si>
  <si>
    <t>C2</t>
  </si>
  <si>
    <t>uF</t>
  </si>
  <si>
    <t>2N7000</t>
  </si>
  <si>
    <t>Похибка, %</t>
  </si>
  <si>
    <t>збільшення Uзв на 0.05 - 0.2В збільшенням R2</t>
  </si>
  <si>
    <t>Ic0</t>
  </si>
  <si>
    <t>???</t>
  </si>
  <si>
    <t>значення амплітуди гармонічного сигналу на вході, при якій починається спотворення форми вихідного сигналу на виході</t>
  </si>
  <si>
    <t>Знайти</t>
  </si>
  <si>
    <t>Знайдене значення визначає максимальну величину змінної напруги на вході, при якій схема виходить з лінійного режиму підсилення</t>
  </si>
  <si>
    <t>Iс1(Uзв0+∆Uзв)</t>
  </si>
  <si>
    <t>∆Ic</t>
  </si>
  <si>
    <t>∆Uзв</t>
  </si>
  <si>
    <t>через дельты</t>
  </si>
  <si>
    <t>ф-ла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</si>
  <si>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</si>
  <si>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Uзв0 (R2)</t>
  </si>
  <si>
    <t>Передаточну провідність</t>
  </si>
  <si>
    <t>Ku</t>
  </si>
  <si>
    <t>амплитуды</t>
  </si>
  <si>
    <t>-R3 * Gm</t>
  </si>
  <si>
    <t>Якщо до відкриття значення перевірочні ЗАНУЛИТИ</t>
  </si>
  <si>
    <t>коеф підсил</t>
  </si>
  <si>
    <t>V</t>
  </si>
  <si>
    <t>A</t>
  </si>
  <si>
    <t>Виміри</t>
  </si>
  <si>
    <t>Вимкнули V1</t>
  </si>
  <si>
    <t>V2 = 5V</t>
  </si>
  <si>
    <t>Параметри робочої точки</t>
  </si>
  <si>
    <t>V1 = 20mV</t>
  </si>
  <si>
    <t>F = 1KHz</t>
  </si>
  <si>
    <t>Скрін вх, вих сигналів</t>
  </si>
  <si>
    <t>Завдання 3.2</t>
  </si>
  <si>
    <t>Завдання 3.3</t>
  </si>
  <si>
    <t>Скрін спотворення синусоїди</t>
  </si>
  <si>
    <t>Завдання 3.4</t>
  </si>
  <si>
    <t>порогове</t>
  </si>
  <si>
    <t>Затвор-виток</t>
  </si>
  <si>
    <t>сток</t>
  </si>
  <si>
    <t>коеф транзистора</t>
  </si>
  <si>
    <t>Використані елементи</t>
  </si>
  <si>
    <t>амплітуди</t>
  </si>
  <si>
    <t>Новое значение</t>
  </si>
  <si>
    <t>Изменение параметра</t>
  </si>
  <si>
    <t>Завдання 3.5</t>
  </si>
  <si>
    <t>Завдання 3.6</t>
  </si>
  <si>
    <t>Ku_теоретичне</t>
  </si>
  <si>
    <t>Ku_практичне</t>
  </si>
  <si>
    <t>1 вариант</t>
  </si>
  <si>
    <t>2 вариант</t>
  </si>
  <si>
    <t>Завдання 1</t>
  </si>
  <si>
    <t>Якщо до U порогового значення перевірочні ЗАНУЛИТИ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</si>
</sst>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"/>
    <numFmt numFmtId="165" formatCode="#,##0.000"/>
    <numFmt numFmtId="166" formatCode="#,##0.0"/>
    <numFmt numFmtId="167" formatCode="#,##0.000000"/>
    <numFmt numFmtId="168" formatCode="#,##0.00000000000"/>
    <numFmt numFmtId="169" formatCode="0.000"/>
    <numFmt numFmtId="170" formatCode="0.0000"/>
    <numFmt numFmtId="171" formatCode="0.00000"/>
    <numFmt numFmtId="172" formatCode="0.0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33-4F3C-945B-EFEF84527CE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33-4F3C-945B-EFEF8452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0480"/>
        <c:axId val="74182016"/>
      </c:lineChart>
      <c:catAx>
        <c:axId val="74180480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4182016"/>
        <c:crosses val="autoZero"/>
        <c:auto val="1"/>
        <c:lblAlgn val="ctr"/>
        <c:lblOffset val="100"/>
        <c:noMultiLvlLbl val="0"/>
      </c:catAx>
      <c:valAx>
        <c:axId val="7418201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41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E-4134-9EF7-3009D4EB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6896"/>
        <c:axId val="79058432"/>
      </c:scatterChart>
      <c:valAx>
        <c:axId val="7905689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058432"/>
        <c:crosses val="autoZero"/>
        <c:crossBetween val="midCat"/>
        <c:majorUnit val="0.2"/>
      </c:valAx>
      <c:valAx>
        <c:axId val="7905843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05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8272"/>
        <c:axId val="79188736"/>
      </c:lineChart>
      <c:catAx>
        <c:axId val="7915827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188736"/>
        <c:crosses val="autoZero"/>
        <c:auto val="1"/>
        <c:lblAlgn val="ctr"/>
        <c:lblOffset val="100"/>
        <c:noMultiLvlLbl val="0"/>
      </c:catAx>
      <c:valAx>
        <c:axId val="7918873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1232"/>
        <c:axId val="79265792"/>
      </c:lineChart>
      <c:catAx>
        <c:axId val="7923123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265792"/>
        <c:crosses val="autoZero"/>
        <c:auto val="1"/>
        <c:lblAlgn val="ctr"/>
        <c:lblOffset val="100"/>
        <c:noMultiLvlLbl val="0"/>
      </c:catAx>
      <c:valAx>
        <c:axId val="7926579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2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2-415C-BEE3-8D10AE33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1728"/>
        <c:axId val="79803520"/>
      </c:scatterChart>
      <c:valAx>
        <c:axId val="7980172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803520"/>
        <c:crosses val="autoZero"/>
        <c:crossBetween val="midCat"/>
        <c:majorUnit val="0.2"/>
      </c:valAx>
      <c:valAx>
        <c:axId val="7980352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8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1-4111-87C4-362949E5A6C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1-4111-87C4-362949E5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4208"/>
        <c:axId val="75780096"/>
      </c:lineChart>
      <c:catAx>
        <c:axId val="757742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780096"/>
        <c:crosses val="autoZero"/>
        <c:auto val="1"/>
        <c:lblAlgn val="ctr"/>
        <c:lblOffset val="100"/>
        <c:noMultiLvlLbl val="0"/>
      </c:catAx>
      <c:valAx>
        <c:axId val="7578009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7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4-49CF-9906-5ABC55F7618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4-49CF-9906-5ABC55F7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93536"/>
        <c:axId val="75795072"/>
      </c:lineChart>
      <c:catAx>
        <c:axId val="757935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795072"/>
        <c:crosses val="autoZero"/>
        <c:auto val="1"/>
        <c:lblAlgn val="ctr"/>
        <c:lblOffset val="100"/>
        <c:noMultiLvlLbl val="0"/>
      </c:catAx>
      <c:valAx>
        <c:axId val="7579507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7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0-4E0B-921E-8208E92832CA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0-4E0B-921E-8208E928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0608"/>
        <c:axId val="75862400"/>
      </c:lineChart>
      <c:catAx>
        <c:axId val="758606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862400"/>
        <c:crosses val="autoZero"/>
        <c:auto val="1"/>
        <c:lblAlgn val="ctr"/>
        <c:lblOffset val="100"/>
        <c:noMultiLvlLbl val="0"/>
      </c:catAx>
      <c:valAx>
        <c:axId val="7586240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8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E-4134-9EF7-3009D4EB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7312"/>
        <c:axId val="76158848"/>
      </c:scatterChart>
      <c:valAx>
        <c:axId val="7615731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6158848"/>
        <c:crosses val="autoZero"/>
        <c:crossBetween val="midCat"/>
        <c:majorUnit val="0.2"/>
      </c:valAx>
      <c:valAx>
        <c:axId val="7615884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615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7136"/>
        <c:axId val="76188672"/>
      </c:lineChart>
      <c:catAx>
        <c:axId val="761871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6188672"/>
        <c:crosses val="autoZero"/>
        <c:auto val="1"/>
        <c:lblAlgn val="ctr"/>
        <c:lblOffset val="100"/>
        <c:noMultiLvlLbl val="0"/>
      </c:catAx>
      <c:valAx>
        <c:axId val="7618867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61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9536"/>
        <c:axId val="76211328"/>
      </c:lineChart>
      <c:catAx>
        <c:axId val="762095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6211328"/>
        <c:crosses val="autoZero"/>
        <c:auto val="1"/>
        <c:lblAlgn val="ctr"/>
        <c:lblOffset val="100"/>
        <c:noMultiLvlLbl val="0"/>
      </c:catAx>
      <c:valAx>
        <c:axId val="7621132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62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0-4E0B-921E-8208E92832CA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0-4E0B-921E-8208E928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13760"/>
        <c:axId val="79015296"/>
      </c:lineChart>
      <c:catAx>
        <c:axId val="79013760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015296"/>
        <c:crosses val="autoZero"/>
        <c:auto val="1"/>
        <c:lblAlgn val="ctr"/>
        <c:lblOffset val="100"/>
        <c:noMultiLvlLbl val="0"/>
      </c:catAx>
      <c:valAx>
        <c:axId val="7901529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0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16</xdr:row>
      <xdr:rowOff>42862</xdr:rowOff>
    </xdr:from>
    <xdr:to>
      <xdr:col>22</xdr:col>
      <xdr:colOff>333374</xdr:colOff>
      <xdr:row>30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394921</xdr:colOff>
      <xdr:row>1</xdr:row>
      <xdr:rowOff>9891</xdr:rowOff>
    </xdr:from>
    <xdr:to>
      <xdr:col>22</xdr:col>
      <xdr:colOff>342900</xdr:colOff>
      <xdr:row>15</xdr:row>
      <xdr:rowOff>86091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739588</xdr:colOff>
      <xdr:row>40</xdr:row>
      <xdr:rowOff>51266</xdr:rowOff>
    </xdr:from>
    <xdr:to>
      <xdr:col>21</xdr:col>
      <xdr:colOff>33617</xdr:colOff>
      <xdr:row>63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39</xdr:row>
      <xdr:rowOff>180415</xdr:rowOff>
    </xdr:from>
    <xdr:to>
      <xdr:col>9</xdr:col>
      <xdr:colOff>302559</xdr:colOff>
      <xdr:row>64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329046</xdr:colOff>
      <xdr:row>1</xdr:row>
      <xdr:rowOff>69273</xdr:rowOff>
    </xdr:from>
    <xdr:to>
      <xdr:col>31</xdr:col>
      <xdr:colOff>220807</xdr:colOff>
      <xdr:row>17</xdr:row>
      <xdr:rowOff>135948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6637" y="259773"/>
          <a:ext cx="4740852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22</xdr:row>
      <xdr:rowOff>42862</xdr:rowOff>
    </xdr:from>
    <xdr:to>
      <xdr:col>23</xdr:col>
      <xdr:colOff>333374</xdr:colOff>
      <xdr:row>41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394921</xdr:colOff>
      <xdr:row>3</xdr:row>
      <xdr:rowOff>0</xdr:rowOff>
    </xdr:from>
    <xdr:to>
      <xdr:col>23</xdr:col>
      <xdr:colOff>342900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6721" y="259773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11</xdr:col>
      <xdr:colOff>14473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9852" y="6884433"/>
          <a:ext cx="1101445" cy="6072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12</xdr:col>
      <xdr:colOff>358590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16971" y="7095444"/>
          <a:ext cx="1703295" cy="345262"/>
        </a:xfrm>
        <a:prstGeom prst="rect">
          <a:avLst/>
        </a:prstGeom>
      </xdr:spPr>
    </xdr:pic>
    <xdr:clientData/>
  </xdr:twoCellAnchor>
  <xdr:twoCellAnchor editAs="oneCell">
    <xdr:from>
      <xdr:col>8</xdr:col>
      <xdr:colOff>643503</xdr:colOff>
      <xdr:row>44</xdr:row>
      <xdr:rowOff>156882</xdr:rowOff>
    </xdr:from>
    <xdr:to>
      <xdr:col>10</xdr:col>
      <xdr:colOff>73774</xdr:colOff>
      <xdr:row>47</xdr:row>
      <xdr:rowOff>134471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79827" y="8606117"/>
          <a:ext cx="2254153" cy="549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22</xdr:row>
      <xdr:rowOff>42862</xdr:rowOff>
    </xdr:from>
    <xdr:to>
      <xdr:col>23</xdr:col>
      <xdr:colOff>333374</xdr:colOff>
      <xdr:row>41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394921</xdr:colOff>
      <xdr:row>3</xdr:row>
      <xdr:rowOff>0</xdr:rowOff>
    </xdr:from>
    <xdr:to>
      <xdr:col>23</xdr:col>
      <xdr:colOff>342900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0696" y="571500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10</xdr:col>
      <xdr:colOff>624073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38646" y="6881071"/>
          <a:ext cx="1105927" cy="605526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11</xdr:col>
      <xdr:colOff>968190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10247" y="7092082"/>
          <a:ext cx="1707218" cy="343581"/>
        </a:xfrm>
        <a:prstGeom prst="rect">
          <a:avLst/>
        </a:prstGeom>
      </xdr:spPr>
    </xdr:pic>
    <xdr:clientData/>
  </xdr:twoCellAnchor>
  <xdr:twoCellAnchor editAs="oneCell">
    <xdr:from>
      <xdr:col>8</xdr:col>
      <xdr:colOff>643503</xdr:colOff>
      <xdr:row>44</xdr:row>
      <xdr:rowOff>156882</xdr:rowOff>
    </xdr:from>
    <xdr:to>
      <xdr:col>8</xdr:col>
      <xdr:colOff>1331074</xdr:colOff>
      <xdr:row>47</xdr:row>
      <xdr:rowOff>134471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73103" y="8605557"/>
          <a:ext cx="2249671" cy="549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zoomScale="70" zoomScaleNormal="70" workbookViewId="0">
      <selection activeCell="J23" sqref="J23"/>
    </sheetView>
  </sheetViews>
  <sheetFormatPr defaultRowHeight="15" x14ac:dyDescent="0.25"/>
  <cols>
    <col min="1" max="1" width="3.140625" style="1" bestFit="1" customWidth="1"/>
    <col min="2" max="2" width="6.5703125" style="1" bestFit="1" customWidth="1"/>
    <col min="3" max="3" width="10.28515625" style="1" bestFit="1" customWidth="1"/>
    <col min="4" max="4" width="16.42578125" style="1" customWidth="1"/>
    <col min="5" max="5" width="20.7109375" style="1" bestFit="1" customWidth="1"/>
    <col min="6" max="6" width="8.7109375" style="1" bestFit="1" customWidth="1"/>
    <col min="7" max="7" width="10.5703125" style="1" bestFit="1" customWidth="1"/>
    <col min="8" max="8" width="11.42578125" style="1" bestFit="1" customWidth="1"/>
    <col min="9" max="9" width="10.85546875" style="1" customWidth="1"/>
    <col min="10" max="10" width="14.7109375" style="1" bestFit="1" customWidth="1"/>
    <col min="11" max="11" width="24.28515625" style="13" bestFit="1" customWidth="1"/>
    <col min="12" max="12" width="7.42578125" style="13" bestFit="1" customWidth="1"/>
    <col min="13" max="13" width="4.140625" style="13" bestFit="1" customWidth="1"/>
    <col min="14" max="14" width="10.28515625" style="13" bestFit="1" customWidth="1"/>
    <col min="15" max="15" width="6.5703125" style="13" bestFit="1" customWidth="1"/>
    <col min="16" max="16" width="10.28515625" style="13" bestFit="1" customWidth="1"/>
    <col min="17" max="17" width="6.5703125" style="13" bestFit="1" customWidth="1"/>
    <col min="18" max="18" width="11.7109375" style="13" bestFit="1" customWidth="1"/>
    <col min="19" max="19" width="4" style="13" bestFit="1" customWidth="1"/>
    <col min="20" max="21" width="9.140625" style="13"/>
    <col min="22" max="16384" width="9.140625" style="1"/>
  </cols>
  <sheetData>
    <row r="1" spans="1:13" s="1" customFormat="1" x14ac:dyDescent="0.25">
      <c r="A1" s="2"/>
      <c r="B1" s="2"/>
      <c r="C1" s="2"/>
      <c r="D1" s="12" t="s">
        <v>5</v>
      </c>
      <c r="E1" s="2" t="s">
        <v>23</v>
      </c>
      <c r="F1" s="12"/>
      <c r="G1" s="12" t="s">
        <v>5</v>
      </c>
      <c r="H1" s="2" t="s">
        <v>23</v>
      </c>
      <c r="K1" s="13"/>
      <c r="L1" s="13"/>
      <c r="M1" s="13"/>
    </row>
    <row r="2" spans="1:13" s="1" customFormat="1" x14ac:dyDescent="0.25">
      <c r="A2" s="2"/>
      <c r="B2" s="2"/>
      <c r="C2" s="47" t="s">
        <v>0</v>
      </c>
      <c r="D2" s="48"/>
      <c r="E2" s="2"/>
      <c r="F2" s="45" t="s">
        <v>1</v>
      </c>
      <c r="G2" s="46"/>
      <c r="H2" s="2"/>
      <c r="K2" s="13" t="s">
        <v>15</v>
      </c>
      <c r="L2" s="13"/>
      <c r="M2" s="13"/>
    </row>
    <row r="3" spans="1:13" s="1" customFormat="1" x14ac:dyDescent="0.25">
      <c r="A3" s="2" t="s">
        <v>3</v>
      </c>
      <c r="B3" s="2" t="s">
        <v>6</v>
      </c>
      <c r="C3" s="45" t="s">
        <v>2</v>
      </c>
      <c r="D3" s="46"/>
      <c r="E3" s="2"/>
      <c r="F3" s="45" t="s">
        <v>2</v>
      </c>
      <c r="G3" s="46"/>
      <c r="H3" s="2"/>
      <c r="K3" s="13" t="s">
        <v>16</v>
      </c>
      <c r="L3" s="13">
        <v>100000</v>
      </c>
      <c r="M3" s="1" t="s">
        <v>14</v>
      </c>
    </row>
    <row r="4" spans="1:13" s="1" customFormat="1" x14ac:dyDescent="0.25">
      <c r="A4" s="8">
        <v>1</v>
      </c>
      <c r="B4" s="6">
        <v>0.2</v>
      </c>
      <c r="C4" s="14">
        <f>241*10^-15</f>
        <v>2.4100000000000003E-13</v>
      </c>
      <c r="D4" s="14">
        <v>0</v>
      </c>
      <c r="E4" s="15">
        <f>ABS((D4-C4)/C4*100)</f>
        <v>100</v>
      </c>
      <c r="F4" s="7">
        <v>0</v>
      </c>
      <c r="G4" s="7">
        <v>0</v>
      </c>
      <c r="H4" s="15" t="e">
        <f>ABS((G4-F4)/F4*100)</f>
        <v>#DIV/0!</v>
      </c>
      <c r="K4" s="13" t="s">
        <v>17</v>
      </c>
      <c r="L4" s="13">
        <v>25000</v>
      </c>
      <c r="M4" s="13"/>
    </row>
    <row r="5" spans="1:13" s="1" customFormat="1" x14ac:dyDescent="0.25">
      <c r="A5" s="8">
        <v>2</v>
      </c>
      <c r="B5" s="6">
        <v>0.4</v>
      </c>
      <c r="C5" s="14">
        <f>440*10^-15</f>
        <v>4.4000000000000004E-13</v>
      </c>
      <c r="D5" s="14">
        <v>0</v>
      </c>
      <c r="E5" s="15">
        <f t="shared" ref="E5:E14" si="0">ABS((D5-C5)/C5*100)</f>
        <v>100</v>
      </c>
      <c r="F5" s="7">
        <v>0</v>
      </c>
      <c r="G5" s="7">
        <v>0</v>
      </c>
      <c r="H5" s="15" t="e">
        <f t="shared" ref="H5:H13" si="1">ABS((G5-F5)/F5*100)</f>
        <v>#DIV/0!</v>
      </c>
      <c r="K5" s="13" t="s">
        <v>18</v>
      </c>
      <c r="L5" s="13">
        <v>900</v>
      </c>
      <c r="M5" s="13"/>
    </row>
    <row r="6" spans="1:13" s="1" customFormat="1" x14ac:dyDescent="0.25">
      <c r="A6" s="8">
        <v>3</v>
      </c>
      <c r="B6" s="6">
        <v>0.6</v>
      </c>
      <c r="C6" s="14">
        <f xml:space="preserve"> 639*10^-15</f>
        <v>6.39E-13</v>
      </c>
      <c r="D6" s="14">
        <v>0</v>
      </c>
      <c r="E6" s="15">
        <f t="shared" si="0"/>
        <v>100</v>
      </c>
      <c r="F6" s="7">
        <v>0</v>
      </c>
      <c r="G6" s="7">
        <v>0</v>
      </c>
      <c r="H6" s="15" t="e">
        <f t="shared" si="1"/>
        <v>#DIV/0!</v>
      </c>
      <c r="K6" s="13" t="s">
        <v>19</v>
      </c>
      <c r="L6" s="13">
        <v>10</v>
      </c>
      <c r="M6" s="13" t="s">
        <v>21</v>
      </c>
    </row>
    <row r="7" spans="1:13" s="1" customFormat="1" x14ac:dyDescent="0.25">
      <c r="A7" s="8">
        <v>4</v>
      </c>
      <c r="B7" s="6">
        <v>0.8</v>
      </c>
      <c r="C7" s="14">
        <f xml:space="preserve"> 839*10^-15</f>
        <v>8.3900000000000006E-13</v>
      </c>
      <c r="D7" s="14">
        <v>0</v>
      </c>
      <c r="E7" s="15">
        <f t="shared" si="0"/>
        <v>100</v>
      </c>
      <c r="F7" s="7">
        <f>0.24*10^-6</f>
        <v>2.3999999999999998E-7</v>
      </c>
      <c r="G7" s="7">
        <v>0</v>
      </c>
      <c r="H7" s="15">
        <f t="shared" si="1"/>
        <v>100</v>
      </c>
      <c r="K7" s="13" t="s">
        <v>20</v>
      </c>
      <c r="L7" s="13">
        <v>10</v>
      </c>
      <c r="M7" s="13"/>
    </row>
    <row r="8" spans="1:13" s="1" customFormat="1" x14ac:dyDescent="0.25">
      <c r="A8" s="8">
        <v>5</v>
      </c>
      <c r="B8" s="6">
        <v>1</v>
      </c>
      <c r="C8" s="14">
        <f>1.04*10^-12</f>
        <v>1.04E-12</v>
      </c>
      <c r="D8" s="14">
        <v>0</v>
      </c>
      <c r="E8" s="15">
        <f t="shared" si="0"/>
        <v>100</v>
      </c>
      <c r="F8" s="7">
        <f>4.29*10^-6</f>
        <v>4.2899999999999996E-6</v>
      </c>
      <c r="G8" s="7">
        <v>0</v>
      </c>
      <c r="H8" s="15">
        <f t="shared" si="1"/>
        <v>100</v>
      </c>
      <c r="K8" s="13" t="s">
        <v>22</v>
      </c>
      <c r="L8" s="13"/>
      <c r="M8" s="13"/>
    </row>
    <row r="9" spans="1:13" s="1" customFormat="1" x14ac:dyDescent="0.25">
      <c r="A9" s="8">
        <v>6</v>
      </c>
      <c r="B9" s="6">
        <v>1.2</v>
      </c>
      <c r="C9" s="14">
        <f>1.242*10^-12</f>
        <v>1.242E-12</v>
      </c>
      <c r="D9" s="14">
        <v>0</v>
      </c>
      <c r="E9" s="15">
        <f t="shared" si="0"/>
        <v>100</v>
      </c>
      <c r="F9" s="7">
        <f>16.79*10^-6</f>
        <v>1.6789999999999997E-5</v>
      </c>
      <c r="G9" s="7">
        <f>$J$26/2*(B9-$I$26)^2</f>
        <v>7.7899259765832855E-6</v>
      </c>
      <c r="H9" s="15">
        <f t="shared" si="1"/>
        <v>53.6037761966451</v>
      </c>
      <c r="K9" s="13"/>
      <c r="L9" s="13"/>
      <c r="M9" s="13"/>
    </row>
    <row r="10" spans="1:13" s="1" customFormat="1" x14ac:dyDescent="0.25">
      <c r="A10" s="8">
        <v>7</v>
      </c>
      <c r="B10" s="6">
        <v>1.4</v>
      </c>
      <c r="C10" s="14">
        <f>1.439*10^-12</f>
        <v>1.439E-12</v>
      </c>
      <c r="D10" s="14">
        <v>0</v>
      </c>
      <c r="E10" s="15">
        <f t="shared" si="0"/>
        <v>100</v>
      </c>
      <c r="F10" s="7">
        <f xml:space="preserve"> 1.058*10^-3</f>
        <v>1.0580000000000001E-3</v>
      </c>
      <c r="G10" s="7">
        <f>$J$26/2*(B10-$I$26)^2</f>
        <v>3.937439776398417E-3</v>
      </c>
      <c r="H10" s="15">
        <f t="shared" si="1"/>
        <v>272.15876903576719</v>
      </c>
      <c r="K10" s="13"/>
      <c r="L10" s="13"/>
      <c r="M10" s="13"/>
    </row>
    <row r="11" spans="1:13" s="1" customFormat="1" x14ac:dyDescent="0.25">
      <c r="A11" s="8">
        <v>8</v>
      </c>
      <c r="B11" s="6">
        <v>1.6</v>
      </c>
      <c r="C11" s="14">
        <f>5.193*10^-6</f>
        <v>5.1929999999999992E-6</v>
      </c>
      <c r="D11" s="14">
        <f>$E$26/2 * (B11 - $D$26)^2</f>
        <v>9.2602040816328553E-6</v>
      </c>
      <c r="E11" s="6">
        <f t="shared" si="0"/>
        <v>78.320895082473655</v>
      </c>
      <c r="F11" s="7">
        <f xml:space="preserve"> 14.3*10^-3</f>
        <v>1.43E-2</v>
      </c>
      <c r="G11" s="7">
        <f>$J$26/2*(B11-$I$26)^2</f>
        <v>1.5057007933328077E-2</v>
      </c>
      <c r="H11" s="6">
        <f t="shared" si="1"/>
        <v>5.2937617715250118</v>
      </c>
      <c r="K11" s="13"/>
      <c r="L11" s="13"/>
      <c r="M11" s="13"/>
    </row>
    <row r="12" spans="1:13" s="1" customFormat="1" x14ac:dyDescent="0.25">
      <c r="A12" s="8">
        <v>9</v>
      </c>
      <c r="B12" s="6">
        <v>1.8</v>
      </c>
      <c r="C12" s="14">
        <f xml:space="preserve"> 3.309*10^-3</f>
        <v>3.3090000000000003E-3</v>
      </c>
      <c r="D12" s="14">
        <f>$E$26/2 * (B12 - $D$26)^2</f>
        <v>3.407219387755104E-3</v>
      </c>
      <c r="E12" s="6">
        <f t="shared" si="0"/>
        <v>2.9682498566063376</v>
      </c>
      <c r="F12" s="7">
        <f xml:space="preserve"> 35.5*10^-3</f>
        <v>3.5500000000000004E-2</v>
      </c>
      <c r="G12" s="7">
        <f>$J$26/2*(B12-$I$26)^2</f>
        <v>3.3366494396765541E-2</v>
      </c>
      <c r="H12" s="6">
        <f t="shared" si="1"/>
        <v>6.0098749386886281</v>
      </c>
      <c r="K12" s="13"/>
      <c r="L12" s="13"/>
      <c r="M12" s="13"/>
    </row>
    <row r="13" spans="1:13" s="1" customFormat="1" x14ac:dyDescent="0.25">
      <c r="A13" s="8">
        <v>10</v>
      </c>
      <c r="B13" s="6">
        <v>2</v>
      </c>
      <c r="C13" s="14">
        <f xml:space="preserve"> 13.05*10^-3</f>
        <v>1.3050000000000001E-2</v>
      </c>
      <c r="D13" s="14">
        <f>$E$26/2 * (B13 - $D$26)^2</f>
        <v>1.2927627551020407E-2</v>
      </c>
      <c r="E13" s="6">
        <f t="shared" si="0"/>
        <v>0.93771991555244349</v>
      </c>
      <c r="F13" s="7">
        <f xml:space="preserve"> 62*10^-3</f>
        <v>6.2E-2</v>
      </c>
      <c r="G13" s="7">
        <f>$J$26/2*(B13-$I$26)^2</f>
        <v>5.8865899166710818E-2</v>
      </c>
      <c r="H13" s="6">
        <f t="shared" si="1"/>
        <v>5.0550013440148085</v>
      </c>
      <c r="K13" s="13"/>
      <c r="L13" s="13"/>
      <c r="M13" s="13"/>
    </row>
    <row r="14" spans="1:13" s="1" customFormat="1" x14ac:dyDescent="0.25">
      <c r="A14" s="8">
        <v>11</v>
      </c>
      <c r="B14" s="6">
        <v>2.2000000000000002</v>
      </c>
      <c r="C14" s="14">
        <f xml:space="preserve"> 28.461*10^-3</f>
        <v>2.8461E-2</v>
      </c>
      <c r="D14" s="14">
        <f>$E$26/2 * (B14 - $D$26)^2</f>
        <v>2.8570484693877563E-2</v>
      </c>
      <c r="E14" s="6">
        <f t="shared" si="0"/>
        <v>0.38468322925253157</v>
      </c>
      <c r="F14" s="7"/>
      <c r="G14" s="7"/>
      <c r="H14" s="6"/>
      <c r="K14" s="13"/>
      <c r="L14" s="13"/>
      <c r="M14" s="13"/>
    </row>
    <row r="16" spans="1:13" s="1" customFormat="1" x14ac:dyDescent="0.25">
      <c r="C16" s="9" t="s">
        <v>0</v>
      </c>
      <c r="D16" s="10"/>
      <c r="E16" s="11"/>
      <c r="H16" s="9" t="s">
        <v>1</v>
      </c>
      <c r="I16" s="10"/>
      <c r="J16" s="11"/>
      <c r="L16" s="13"/>
      <c r="M16" s="13"/>
    </row>
    <row r="17" spans="2:12" s="1" customFormat="1" x14ac:dyDescent="0.25">
      <c r="C17" s="2" t="s">
        <v>7</v>
      </c>
      <c r="D17" s="2"/>
      <c r="E17" s="8"/>
      <c r="H17" s="2" t="s">
        <v>7</v>
      </c>
      <c r="I17" s="2"/>
      <c r="J17" s="8">
        <v>900</v>
      </c>
      <c r="K17" s="1" t="s">
        <v>14</v>
      </c>
      <c r="L17" s="13"/>
    </row>
    <row r="18" spans="2:12" s="1" customFormat="1" x14ac:dyDescent="0.25">
      <c r="C18" s="2" t="s">
        <v>36</v>
      </c>
      <c r="D18" s="2" t="s">
        <v>8</v>
      </c>
      <c r="E18" s="2" t="s">
        <v>25</v>
      </c>
      <c r="H18" s="2" t="s">
        <v>36</v>
      </c>
      <c r="I18" s="2" t="s">
        <v>8</v>
      </c>
      <c r="J18" s="2" t="s">
        <v>25</v>
      </c>
      <c r="L18" s="13"/>
    </row>
    <row r="19" spans="2:12" s="1" customFormat="1" x14ac:dyDescent="0.25">
      <c r="C19" s="2">
        <v>0.83340000000000003</v>
      </c>
      <c r="D19" s="2">
        <v>5</v>
      </c>
      <c r="E19" s="16">
        <f>2.25*10^-9</f>
        <v>2.2500000000000003E-9</v>
      </c>
      <c r="H19" s="2">
        <f xml:space="preserve"> 1.282</f>
        <v>1.282</v>
      </c>
      <c r="I19" s="2">
        <v>4.18</v>
      </c>
      <c r="J19" s="2">
        <f>0.805/J17</f>
        <v>8.9444444444444445E-4</v>
      </c>
      <c r="L19" s="13"/>
    </row>
    <row r="20" spans="2:12" s="1" customFormat="1" x14ac:dyDescent="0.25">
      <c r="C20" s="3"/>
      <c r="L20" s="13"/>
    </row>
    <row r="21" spans="2:12" s="1" customFormat="1" x14ac:dyDescent="0.25">
      <c r="C21" s="2" t="s">
        <v>11</v>
      </c>
      <c r="D21" s="2"/>
      <c r="E21" s="2"/>
      <c r="H21" s="2" t="s">
        <v>11</v>
      </c>
      <c r="I21" s="2"/>
      <c r="J21" s="2"/>
      <c r="L21" s="13"/>
    </row>
    <row r="22" spans="2:12" s="1" customFormat="1" x14ac:dyDescent="0.25">
      <c r="C22" s="2" t="s">
        <v>9</v>
      </c>
      <c r="D22" s="2" t="s">
        <v>10</v>
      </c>
      <c r="E22" s="2" t="s">
        <v>42</v>
      </c>
      <c r="H22" s="2" t="s">
        <v>9</v>
      </c>
      <c r="I22" s="2" t="s">
        <v>10</v>
      </c>
      <c r="J22" s="2" t="s">
        <v>42</v>
      </c>
      <c r="L22" s="13"/>
    </row>
    <row r="23" spans="2:12" s="1" customFormat="1" x14ac:dyDescent="0.25">
      <c r="B23" s="1" t="s">
        <v>26</v>
      </c>
      <c r="C23" s="17">
        <f>50*10^-6</f>
        <v>4.9999999999999996E-5</v>
      </c>
      <c r="D23" s="17">
        <f>20*10^-3</f>
        <v>0.02</v>
      </c>
      <c r="E23" s="2">
        <f>C23/D23</f>
        <v>2.4999999999999996E-3</v>
      </c>
      <c r="H23" s="2">
        <f>0.284-0.185</f>
        <v>9.8999999999999977E-2</v>
      </c>
      <c r="I23" s="2">
        <f>23*10^-3</f>
        <v>2.3E-2</v>
      </c>
      <c r="J23" s="2">
        <f>H23/I23</f>
        <v>4.3043478260869552</v>
      </c>
      <c r="L23" s="13"/>
    </row>
    <row r="24" spans="2:12" s="1" customFormat="1" x14ac:dyDescent="0.25">
      <c r="L24" s="13"/>
    </row>
    <row r="25" spans="2:12" s="1" customFormat="1" x14ac:dyDescent="0.25">
      <c r="B25" s="2" t="s">
        <v>6</v>
      </c>
      <c r="C25" s="2" t="s">
        <v>4</v>
      </c>
      <c r="D25" s="2" t="s">
        <v>12</v>
      </c>
      <c r="E25" s="2" t="s">
        <v>13</v>
      </c>
      <c r="G25" s="2" t="s">
        <v>6</v>
      </c>
      <c r="H25" s="2" t="s">
        <v>4</v>
      </c>
      <c r="I25" s="2" t="s">
        <v>12</v>
      </c>
      <c r="J25" s="2" t="s">
        <v>13</v>
      </c>
      <c r="L25" s="13"/>
    </row>
    <row r="26" spans="2:12" s="1" customFormat="1" x14ac:dyDescent="0.25">
      <c r="B26" s="4">
        <v>1.869</v>
      </c>
      <c r="C26" s="5">
        <f xml:space="preserve"> 6*10^-3</f>
        <v>6.0000000000000001E-3</v>
      </c>
      <c r="D26" s="2">
        <f>2*B26-B27</f>
        <v>1.589</v>
      </c>
      <c r="E26" s="2">
        <f>(2 * C26) / (B26-D26)^2</f>
        <v>0.15306122448979589</v>
      </c>
      <c r="G26" s="2">
        <v>1.4490700000000001</v>
      </c>
      <c r="H26" s="5">
        <f>0.0382*G26^3-0.0858*G26^2+0.0544*G26-0.0089</f>
        <v>5.9997748362865585E-3</v>
      </c>
      <c r="I26" s="2">
        <f>2*G26-G27</f>
        <v>1.1906900000000002</v>
      </c>
      <c r="J26" s="2">
        <f>(2*H27) / (G27-I26)^2</f>
        <v>0.17974795766269536</v>
      </c>
      <c r="L26" s="13"/>
    </row>
    <row r="27" spans="2:12" s="1" customFormat="1" x14ac:dyDescent="0.25">
      <c r="B27" s="4">
        <v>2.149</v>
      </c>
      <c r="C27" s="5">
        <f xml:space="preserve"> 24*10^-3</f>
        <v>2.4E-2</v>
      </c>
      <c r="D27" s="2"/>
      <c r="E27" s="2">
        <f>(2 * C27) / (B27-D26)^2</f>
        <v>0.15306122448979589</v>
      </c>
      <c r="G27" s="2">
        <v>1.7074499999999999</v>
      </c>
      <c r="H27" s="5">
        <f>0.0382*G27^3-0.0858*G27^2+0.0544*G27-0.0089</f>
        <v>2.4000027978006454E-2</v>
      </c>
      <c r="I27" s="2"/>
      <c r="J27" s="2">
        <f>(2*H27) / (G27-I26)^2</f>
        <v>0.17974795766269536</v>
      </c>
      <c r="L27" s="13"/>
    </row>
    <row r="28" spans="2:12" s="1" customFormat="1" ht="15.75" x14ac:dyDescent="0.25">
      <c r="B28" s="1" t="s">
        <v>28</v>
      </c>
      <c r="C28" s="18" t="s">
        <v>27</v>
      </c>
      <c r="F28" s="3"/>
      <c r="G28" s="3"/>
      <c r="H28" s="3"/>
      <c r="I28" s="3"/>
      <c r="K28" s="13"/>
      <c r="L28" s="13"/>
    </row>
    <row r="29" spans="2:12" s="1" customFormat="1" ht="15.75" x14ac:dyDescent="0.25">
      <c r="B29" s="18" t="s">
        <v>29</v>
      </c>
      <c r="K29" s="13"/>
      <c r="L29" s="13"/>
    </row>
    <row r="31" spans="2:12" s="1" customFormat="1" ht="15.75" x14ac:dyDescent="0.25">
      <c r="B31" s="2"/>
      <c r="C31" s="2"/>
      <c r="D31" s="2"/>
      <c r="E31" s="2"/>
      <c r="F31" s="2"/>
      <c r="G31" s="2" t="s">
        <v>24</v>
      </c>
      <c r="H31" s="2"/>
      <c r="I31" s="2"/>
      <c r="J31" s="2"/>
      <c r="K31" s="44" t="s">
        <v>37</v>
      </c>
      <c r="L31" s="44"/>
    </row>
    <row r="32" spans="2:12" s="1" customFormat="1" x14ac:dyDescent="0.25">
      <c r="B32" s="2"/>
      <c r="C32" s="2"/>
      <c r="D32" s="2"/>
      <c r="E32" s="8" t="s">
        <v>33</v>
      </c>
      <c r="F32" s="8" t="s">
        <v>34</v>
      </c>
      <c r="G32" s="2"/>
      <c r="H32" s="2"/>
      <c r="I32" s="2"/>
      <c r="J32" s="2"/>
      <c r="K32" s="8" t="s">
        <v>33</v>
      </c>
      <c r="L32" s="8" t="s">
        <v>34</v>
      </c>
    </row>
    <row r="33" spans="2:19" s="1" customFormat="1" ht="18" x14ac:dyDescent="0.25">
      <c r="B33" s="19" t="s">
        <v>32</v>
      </c>
      <c r="C33" s="19" t="s">
        <v>31</v>
      </c>
      <c r="D33" s="2" t="s">
        <v>30</v>
      </c>
      <c r="E33" s="8" t="s">
        <v>35</v>
      </c>
      <c r="F33" s="8" t="s">
        <v>35</v>
      </c>
      <c r="G33" s="2"/>
      <c r="H33" s="19" t="s">
        <v>32</v>
      </c>
      <c r="I33" s="19" t="s">
        <v>31</v>
      </c>
      <c r="J33" s="2" t="s">
        <v>30</v>
      </c>
      <c r="K33" s="8" t="s">
        <v>35</v>
      </c>
      <c r="L33" s="8" t="s">
        <v>35</v>
      </c>
      <c r="M33" s="13"/>
      <c r="N33" s="13"/>
      <c r="O33" s="13"/>
      <c r="P33" s="13"/>
      <c r="Q33" s="13"/>
      <c r="R33" s="13"/>
      <c r="S33" s="13"/>
    </row>
    <row r="34" spans="2:19" s="1" customFormat="1" x14ac:dyDescent="0.25">
      <c r="B34" s="6">
        <v>0.2</v>
      </c>
      <c r="C34" s="2">
        <f>D34-E19</f>
        <v>-2.2500000000000003E-9</v>
      </c>
      <c r="D34" s="2"/>
      <c r="E34" s="7">
        <f>C34/B34</f>
        <v>-1.1250000000000001E-8</v>
      </c>
      <c r="F34" s="2">
        <f>E26*(C19-D26)</f>
        <v>-0.11565306122448976</v>
      </c>
      <c r="G34" s="2"/>
      <c r="H34" s="6">
        <v>0.2</v>
      </c>
      <c r="I34" s="2">
        <f>J34-J19</f>
        <v>-8.9444444444444445E-4</v>
      </c>
      <c r="J34" s="2"/>
      <c r="K34" s="7">
        <f>I34/H34</f>
        <v>-4.4722222222222221E-3</v>
      </c>
      <c r="L34" s="2">
        <f>J26*(H19-I26)</f>
        <v>1.6412786014180673E-2</v>
      </c>
      <c r="M34" s="13"/>
      <c r="N34" s="13"/>
      <c r="O34" s="13"/>
      <c r="P34" s="13"/>
      <c r="Q34" s="13"/>
      <c r="R34" s="13"/>
      <c r="S34"/>
    </row>
    <row r="36" spans="2:19" s="1" customFormat="1" x14ac:dyDescent="0.25">
      <c r="D36" s="2"/>
      <c r="E36" s="2" t="s">
        <v>39</v>
      </c>
      <c r="F36" s="20" t="s">
        <v>40</v>
      </c>
      <c r="G36" s="2"/>
      <c r="H36" s="2"/>
      <c r="I36" s="2" t="s">
        <v>39</v>
      </c>
      <c r="J36" s="20" t="s">
        <v>40</v>
      </c>
      <c r="K36" s="13"/>
      <c r="L36" s="13"/>
      <c r="M36" s="13"/>
      <c r="N36" s="13"/>
      <c r="O36" s="13"/>
      <c r="P36" s="13"/>
      <c r="Q36" s="13"/>
      <c r="R36" s="13"/>
      <c r="S36" s="13"/>
    </row>
    <row r="37" spans="2:19" s="1" customFormat="1" x14ac:dyDescent="0.25">
      <c r="D37" s="2" t="s">
        <v>38</v>
      </c>
      <c r="E37" s="2"/>
      <c r="F37" s="2">
        <f>-L5*F34</f>
        <v>104.08775510204079</v>
      </c>
      <c r="G37" s="2"/>
      <c r="H37" s="2" t="s">
        <v>38</v>
      </c>
      <c r="I37" s="2"/>
      <c r="J37" s="2">
        <f>-L34</f>
        <v>-1.6412786014180673E-2</v>
      </c>
      <c r="K37" s="13"/>
      <c r="L37" s="13"/>
      <c r="M37" s="13"/>
      <c r="N37" s="13"/>
      <c r="O37" s="13"/>
      <c r="P37" s="13"/>
      <c r="Q37" s="13"/>
      <c r="R37" s="13"/>
      <c r="S37" s="13"/>
    </row>
    <row r="38" spans="2:19" s="1" customFormat="1" x14ac:dyDescent="0.25">
      <c r="F38" s="1" t="s">
        <v>26</v>
      </c>
      <c r="J38" s="1" t="s">
        <v>26</v>
      </c>
      <c r="K38" s="13"/>
      <c r="L38" s="13"/>
      <c r="M38" s="13"/>
      <c r="N38" s="13"/>
      <c r="O38" s="13"/>
      <c r="P38" s="13"/>
      <c r="Q38" s="13"/>
      <c r="R38" s="13"/>
      <c r="S38" s="13"/>
    </row>
    <row r="68" spans="9:9" s="1" customFormat="1" x14ac:dyDescent="0.25"/>
    <row r="69" spans="9:9" s="1" customFormat="1" x14ac:dyDescent="0.25"/>
    <row r="70" spans="9:9" s="1" customFormat="1" ht="28.5" x14ac:dyDescent="0.25">
      <c r="I70" s="21" t="s">
        <v>41</v>
      </c>
    </row>
    <row r="71" spans="9:9" s="1" customFormat="1" x14ac:dyDescent="0.25"/>
    <row r="72" spans="9:9" s="1" customFormat="1" x14ac:dyDescent="0.25"/>
  </sheetData>
  <mergeCells count="5">
    <mergeCell ref="K31:L31"/>
    <mergeCell ref="C3:D3"/>
    <mergeCell ref="F3:G3"/>
    <mergeCell ref="C2:D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B1" zoomScale="85" zoomScaleNormal="85" workbookViewId="0">
      <selection activeCell="F18" sqref="A1:XFD1048576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4" s="43" customFormat="1" x14ac:dyDescent="0.25">
      <c r="B1" s="43" t="s">
        <v>70</v>
      </c>
    </row>
    <row r="2" spans="1:14" x14ac:dyDescent="0.25">
      <c r="A2" s="54" t="s">
        <v>0</v>
      </c>
      <c r="B2" s="55"/>
      <c r="C2" s="55"/>
      <c r="D2" s="55"/>
      <c r="E2" s="56"/>
      <c r="F2" s="23"/>
      <c r="G2" s="57" t="s">
        <v>1</v>
      </c>
      <c r="H2" s="57"/>
      <c r="I2" s="57"/>
      <c r="J2" s="57"/>
      <c r="K2" s="58"/>
    </row>
    <row r="3" spans="1:14" x14ac:dyDescent="0.25">
      <c r="A3" s="24"/>
      <c r="B3" s="24"/>
      <c r="C3" s="24" t="s">
        <v>45</v>
      </c>
      <c r="D3" s="24" t="s">
        <v>5</v>
      </c>
      <c r="E3" s="24" t="s">
        <v>23</v>
      </c>
      <c r="F3" s="25"/>
      <c r="G3" s="25" t="s">
        <v>45</v>
      </c>
      <c r="H3" s="25" t="s">
        <v>5</v>
      </c>
      <c r="I3" s="25" t="s">
        <v>23</v>
      </c>
      <c r="L3" s="49" t="s">
        <v>60</v>
      </c>
      <c r="M3" s="49"/>
      <c r="N3" s="49"/>
    </row>
    <row r="4" spans="1:14" x14ac:dyDescent="0.25">
      <c r="A4" s="24" t="s">
        <v>3</v>
      </c>
      <c r="B4" s="24" t="s">
        <v>6</v>
      </c>
      <c r="C4" s="52" t="s">
        <v>2</v>
      </c>
      <c r="D4" s="53"/>
      <c r="E4" s="24"/>
      <c r="F4" s="23"/>
      <c r="G4" s="52" t="s">
        <v>2</v>
      </c>
      <c r="H4" s="53"/>
      <c r="I4" s="24"/>
      <c r="L4" s="24" t="s">
        <v>16</v>
      </c>
      <c r="M4" s="24">
        <v>121500</v>
      </c>
      <c r="N4" s="24" t="s">
        <v>14</v>
      </c>
    </row>
    <row r="5" spans="1:14" x14ac:dyDescent="0.25">
      <c r="A5" s="24">
        <v>1</v>
      </c>
      <c r="B5" s="24">
        <v>0.2</v>
      </c>
      <c r="C5" s="36">
        <f>241*10^-15</f>
        <v>2.4100000000000003E-13</v>
      </c>
      <c r="D5" s="36">
        <v>0</v>
      </c>
      <c r="E5" s="24">
        <f>ABS((D5-C5)/C5*100)</f>
        <v>100</v>
      </c>
      <c r="F5" s="24"/>
      <c r="G5" s="36">
        <v>0</v>
      </c>
      <c r="H5" s="36">
        <v>0</v>
      </c>
      <c r="I5" s="24" t="e">
        <f>ABS((H5-G5)/G5*100)</f>
        <v>#DIV/0!</v>
      </c>
      <c r="L5" s="24" t="s">
        <v>17</v>
      </c>
      <c r="M5" s="24">
        <v>50600</v>
      </c>
      <c r="N5" s="24">
        <f>M5+12000</f>
        <v>62600</v>
      </c>
    </row>
    <row r="6" spans="1:14" x14ac:dyDescent="0.25">
      <c r="A6" s="24">
        <v>2</v>
      </c>
      <c r="B6" s="24">
        <v>0.4</v>
      </c>
      <c r="C6" s="36">
        <f>440*10^-15</f>
        <v>4.4000000000000004E-13</v>
      </c>
      <c r="D6" s="36">
        <v>0</v>
      </c>
      <c r="E6" s="24">
        <f t="shared" ref="E6:E15" si="0">ABS((D6-C6)/C6*100)</f>
        <v>100</v>
      </c>
      <c r="F6" s="24"/>
      <c r="G6" s="36">
        <f>0.24*10^-6</f>
        <v>2.3999999999999998E-7</v>
      </c>
      <c r="H6" s="36">
        <v>0</v>
      </c>
      <c r="I6" s="24">
        <f t="shared" ref="I6:I14" si="1">ABS((H6-G6)/G6*100)</f>
        <v>100</v>
      </c>
      <c r="L6" s="24" t="s">
        <v>18</v>
      </c>
      <c r="M6" s="24">
        <v>235</v>
      </c>
      <c r="N6" s="24"/>
    </row>
    <row r="7" spans="1:14" x14ac:dyDescent="0.25">
      <c r="A7" s="24">
        <v>3</v>
      </c>
      <c r="B7" s="24">
        <v>0.6</v>
      </c>
      <c r="C7" s="36">
        <f xml:space="preserve"> 639*10^-15</f>
        <v>6.39E-13</v>
      </c>
      <c r="D7" s="36">
        <v>0</v>
      </c>
      <c r="E7" s="24">
        <f t="shared" si="0"/>
        <v>100</v>
      </c>
      <c r="F7" s="24"/>
      <c r="G7" s="36">
        <f>4.36^-6</f>
        <v>1.4557307785137104E-4</v>
      </c>
      <c r="H7" s="36">
        <v>0</v>
      </c>
      <c r="I7" s="24">
        <f t="shared" si="1"/>
        <v>100</v>
      </c>
      <c r="L7" s="24" t="s">
        <v>19</v>
      </c>
      <c r="M7" s="24">
        <v>10</v>
      </c>
      <c r="N7" s="24" t="s">
        <v>21</v>
      </c>
    </row>
    <row r="8" spans="1:14" x14ac:dyDescent="0.25">
      <c r="A8" s="24">
        <v>4</v>
      </c>
      <c r="B8" s="24">
        <v>0.8</v>
      </c>
      <c r="C8" s="36">
        <f xml:space="preserve"> 839*10^-15</f>
        <v>8.3900000000000006E-13</v>
      </c>
      <c r="D8" s="36">
        <v>0</v>
      </c>
      <c r="E8" s="24">
        <f t="shared" si="0"/>
        <v>100</v>
      </c>
      <c r="F8" s="24"/>
      <c r="G8" s="36">
        <f>16.8*10^-6</f>
        <v>1.6799999999999998E-5</v>
      </c>
      <c r="H8" s="36">
        <v>0</v>
      </c>
      <c r="I8" s="24">
        <f t="shared" si="1"/>
        <v>100</v>
      </c>
      <c r="L8" s="24" t="s">
        <v>20</v>
      </c>
      <c r="M8" s="24">
        <v>10</v>
      </c>
      <c r="N8" s="24"/>
    </row>
    <row r="9" spans="1:14" x14ac:dyDescent="0.25">
      <c r="A9" s="24">
        <v>5</v>
      </c>
      <c r="B9" s="24">
        <v>1</v>
      </c>
      <c r="C9" s="36">
        <f>1.04*10^-12</f>
        <v>1.04E-12</v>
      </c>
      <c r="D9" s="36">
        <v>0</v>
      </c>
      <c r="E9" s="24">
        <f t="shared" si="0"/>
        <v>100</v>
      </c>
      <c r="F9" s="24"/>
      <c r="G9" s="36">
        <f>995*10^-6</f>
        <v>9.9500000000000001E-4</v>
      </c>
      <c r="H9" s="36">
        <v>0</v>
      </c>
      <c r="I9" s="24">
        <f t="shared" si="1"/>
        <v>100</v>
      </c>
      <c r="L9" s="24" t="s">
        <v>22</v>
      </c>
      <c r="M9" s="24"/>
      <c r="N9" s="24"/>
    </row>
    <row r="10" spans="1:14" x14ac:dyDescent="0.25">
      <c r="A10" s="24">
        <v>6</v>
      </c>
      <c r="B10" s="24">
        <v>1.2</v>
      </c>
      <c r="C10" s="36">
        <f>1.242*10^-12</f>
        <v>1.242E-12</v>
      </c>
      <c r="D10" s="36">
        <v>0</v>
      </c>
      <c r="E10" s="24">
        <f t="shared" si="0"/>
        <v>100</v>
      </c>
      <c r="F10" s="24"/>
      <c r="G10" s="36">
        <f>12*10^-3</f>
        <v>1.2E-2</v>
      </c>
      <c r="H10" s="36">
        <f>$K$19/2*(B10-$J$19)^2</f>
        <v>7.7899259765832855E-6</v>
      </c>
      <c r="I10" s="24">
        <f t="shared" si="1"/>
        <v>99.93508395019515</v>
      </c>
    </row>
    <row r="11" spans="1:14" x14ac:dyDescent="0.25">
      <c r="A11" s="24">
        <v>7</v>
      </c>
      <c r="B11" s="24">
        <v>1.4</v>
      </c>
      <c r="C11" s="36">
        <f>1.439*10^-12</f>
        <v>1.439E-12</v>
      </c>
      <c r="D11" s="36">
        <v>0</v>
      </c>
      <c r="E11" s="24">
        <f t="shared" si="0"/>
        <v>100</v>
      </c>
      <c r="F11" s="24"/>
      <c r="G11" s="36">
        <f xml:space="preserve"> 30.5*10^-3</f>
        <v>3.0499999999999999E-2</v>
      </c>
      <c r="H11" s="36">
        <f>$K$19/2*(B11-$J$19)^2</f>
        <v>3.937439776398417E-3</v>
      </c>
      <c r="I11" s="24">
        <f t="shared" si="1"/>
        <v>87.090361388857644</v>
      </c>
    </row>
    <row r="12" spans="1:14" x14ac:dyDescent="0.25">
      <c r="A12" s="24">
        <v>8</v>
      </c>
      <c r="B12" s="24">
        <v>1.6</v>
      </c>
      <c r="C12" s="36">
        <f>5.193*10^-6</f>
        <v>5.1929999999999992E-6</v>
      </c>
      <c r="D12" s="36">
        <f>$E$19/2 * (B12 - $D$19)^2</f>
        <v>9.2602040816328553E-6</v>
      </c>
      <c r="E12" s="24">
        <f t="shared" si="0"/>
        <v>78.320895082473655</v>
      </c>
      <c r="F12" s="24"/>
      <c r="G12" s="36">
        <f xml:space="preserve"> 48.8*10^-3</f>
        <v>4.8799999999999996E-2</v>
      </c>
      <c r="H12" s="36">
        <f>$K$19/2*(B12-$J$19)^2</f>
        <v>1.5057007933328077E-2</v>
      </c>
      <c r="I12" s="24">
        <f t="shared" si="1"/>
        <v>69.145475546458854</v>
      </c>
    </row>
    <row r="13" spans="1:14" x14ac:dyDescent="0.25">
      <c r="A13" s="24">
        <v>9</v>
      </c>
      <c r="B13" s="24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24">
        <f t="shared" si="0"/>
        <v>2.9682498566063376</v>
      </c>
      <c r="F13" s="24"/>
      <c r="G13" s="36">
        <f xml:space="preserve"> 48.8*10^-3</f>
        <v>4.8799999999999996E-2</v>
      </c>
      <c r="H13" s="36">
        <f>$K$19/2*(B13-$J$19)^2</f>
        <v>3.3366494396765541E-2</v>
      </c>
      <c r="I13" s="24">
        <f t="shared" si="1"/>
        <v>31.626036072201757</v>
      </c>
    </row>
    <row r="14" spans="1:14" x14ac:dyDescent="0.25">
      <c r="A14" s="24">
        <v>10</v>
      </c>
      <c r="B14" s="24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24">
        <f t="shared" si="0"/>
        <v>0.93771991555244349</v>
      </c>
      <c r="F14" s="24"/>
      <c r="G14" s="36">
        <f xml:space="preserve"> 49*10^-3</f>
        <v>4.9000000000000002E-2</v>
      </c>
      <c r="H14" s="36">
        <f>$K$19/2*(B14-$J$19)^2</f>
        <v>5.8865899166710818E-2</v>
      </c>
      <c r="I14" s="24">
        <f t="shared" si="1"/>
        <v>20.134488095328194</v>
      </c>
    </row>
    <row r="15" spans="1:14" x14ac:dyDescent="0.25">
      <c r="A15" s="24">
        <v>11</v>
      </c>
      <c r="B15" s="24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24">
        <f t="shared" si="0"/>
        <v>0.38468322925253157</v>
      </c>
      <c r="F15" s="24"/>
      <c r="G15" s="36"/>
      <c r="H15" s="36"/>
      <c r="I15" s="24"/>
    </row>
    <row r="16" spans="1:14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24" t="s">
        <v>6</v>
      </c>
      <c r="C18" s="24" t="s">
        <v>4</v>
      </c>
      <c r="D18" s="24" t="s">
        <v>12</v>
      </c>
      <c r="E18" s="24" t="s">
        <v>13</v>
      </c>
      <c r="F18" s="27"/>
      <c r="H18" s="24" t="s">
        <v>6</v>
      </c>
      <c r="I18" s="24" t="s">
        <v>4</v>
      </c>
      <c r="J18" s="24" t="s">
        <v>12</v>
      </c>
      <c r="K18" s="24" t="s">
        <v>13</v>
      </c>
    </row>
    <row r="19" spans="1:12" x14ac:dyDescent="0.25">
      <c r="A19" s="27"/>
      <c r="B19" s="24">
        <v>1.869</v>
      </c>
      <c r="C19" s="33">
        <f xml:space="preserve"> 6*10^-3</f>
        <v>6.0000000000000001E-3</v>
      </c>
      <c r="D19" s="24">
        <f>2*B19-B20</f>
        <v>1.589</v>
      </c>
      <c r="E19" s="35">
        <f>(2 * C19) / (B19-D19)^2</f>
        <v>0.15306122448979589</v>
      </c>
      <c r="F19" s="27"/>
      <c r="H19" s="35">
        <v>1.4490700000000001</v>
      </c>
      <c r="I19" s="33">
        <f>0.0382*H19^3-0.0858*H19^2+0.0544*H19-0.0089</f>
        <v>5.9997748362865585E-3</v>
      </c>
      <c r="J19" s="24">
        <f>2*H19-H20</f>
        <v>1.1906900000000002</v>
      </c>
      <c r="K19" s="35">
        <f>(2*I20) / (H20-J19)^2</f>
        <v>0.17974795766269536</v>
      </c>
    </row>
    <row r="20" spans="1:12" x14ac:dyDescent="0.25">
      <c r="A20" s="27"/>
      <c r="B20" s="24">
        <v>2.149</v>
      </c>
      <c r="C20" s="33">
        <f xml:space="preserve"> 24*10^-3</f>
        <v>2.4E-2</v>
      </c>
      <c r="D20" s="24"/>
      <c r="E20" s="35">
        <f>(2 * C20) / (B20-D19)^2</f>
        <v>0.15306122448979589</v>
      </c>
      <c r="F20" s="27"/>
      <c r="H20" s="35">
        <v>1.7074499999999999</v>
      </c>
      <c r="I20" s="33">
        <f>0.0382*H20^3-0.0858*H20^2+0.0544*H20-0.0089</f>
        <v>2.4000027978006454E-2</v>
      </c>
      <c r="J20" s="24"/>
      <c r="K20" s="35">
        <f>(2*I20) / (H20-J19)^2</f>
        <v>0.17974795766269536</v>
      </c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24"/>
      <c r="D23" s="24"/>
      <c r="E23" s="24"/>
      <c r="F23" s="27"/>
      <c r="I23" s="24"/>
      <c r="J23" s="24" t="s">
        <v>43</v>
      </c>
      <c r="K23" s="24" t="s">
        <v>44</v>
      </c>
    </row>
    <row r="24" spans="1:12" x14ac:dyDescent="0.25">
      <c r="C24" s="24" t="s">
        <v>36</v>
      </c>
      <c r="D24" s="24" t="s">
        <v>8</v>
      </c>
      <c r="E24" s="24" t="s">
        <v>25</v>
      </c>
      <c r="F24" s="27"/>
      <c r="I24" s="24" t="s">
        <v>36</v>
      </c>
      <c r="J24" s="24" t="s">
        <v>8</v>
      </c>
      <c r="K24" s="24" t="s">
        <v>25</v>
      </c>
    </row>
    <row r="25" spans="1:12" x14ac:dyDescent="0.25">
      <c r="C25" s="24">
        <v>0.83340000000000003</v>
      </c>
      <c r="D25" s="24">
        <v>5</v>
      </c>
      <c r="E25" s="24">
        <f>2.25*10^-9</f>
        <v>2.2500000000000003E-9</v>
      </c>
      <c r="F25" s="27"/>
      <c r="I25" s="24">
        <f xml:space="preserve"> 1.3</f>
        <v>1.3</v>
      </c>
      <c r="J25" s="24">
        <v>4.46</v>
      </c>
      <c r="K25" s="24">
        <f xml:space="preserve"> 18*10^-3</f>
        <v>1.8000000000000002E-2</v>
      </c>
    </row>
    <row r="26" spans="1:12" x14ac:dyDescent="0.25">
      <c r="C26" s="27"/>
    </row>
    <row r="27" spans="1:12" s="32" customFormat="1" x14ac:dyDescent="0.25">
      <c r="B27" s="32" t="s">
        <v>53</v>
      </c>
      <c r="C27" s="50" t="s">
        <v>61</v>
      </c>
      <c r="D27" s="51"/>
      <c r="E27" s="40"/>
      <c r="F27" s="39" t="s">
        <v>49</v>
      </c>
      <c r="G27" s="32" t="s">
        <v>47</v>
      </c>
      <c r="I27" s="50" t="s">
        <v>61</v>
      </c>
      <c r="J27" s="51"/>
      <c r="K27" s="40"/>
    </row>
    <row r="28" spans="1:12" x14ac:dyDescent="0.25">
      <c r="C28" s="24" t="s">
        <v>9</v>
      </c>
      <c r="D28" s="24" t="s">
        <v>10</v>
      </c>
      <c r="E28" s="24" t="s">
        <v>42</v>
      </c>
      <c r="F28" s="27" t="s">
        <v>50</v>
      </c>
      <c r="I28" s="24" t="s">
        <v>9</v>
      </c>
      <c r="J28" s="24" t="s">
        <v>10</v>
      </c>
      <c r="K28" s="24" t="s">
        <v>67</v>
      </c>
      <c r="L28" s="22" t="s">
        <v>51</v>
      </c>
    </row>
    <row r="29" spans="1:12" x14ac:dyDescent="0.25">
      <c r="C29" s="24">
        <f>50*10^-6</f>
        <v>4.9999999999999996E-5</v>
      </c>
      <c r="D29" s="24">
        <f>20*10^-3</f>
        <v>0.02</v>
      </c>
      <c r="E29" s="24">
        <f>C29/D29</f>
        <v>2.4999999999999996E-3</v>
      </c>
      <c r="F29" s="27"/>
      <c r="I29" s="24">
        <f>287*10^-3</f>
        <v>0.28700000000000003</v>
      </c>
      <c r="J29" s="24">
        <f>21*10^-3</f>
        <v>2.1000000000000001E-2</v>
      </c>
      <c r="K29" s="42">
        <f>I29/J29</f>
        <v>13.666666666666668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ht="15.75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ht="15.75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ht="15.75" x14ac:dyDescent="0.25">
      <c r="F38" s="59"/>
      <c r="G38" s="59"/>
    </row>
    <row r="39" spans="2:12" x14ac:dyDescent="0.25">
      <c r="B39" s="49" t="s">
        <v>63</v>
      </c>
      <c r="C39" s="49"/>
      <c r="D39" s="24" t="s">
        <v>62</v>
      </c>
      <c r="E39" s="24" t="s">
        <v>68</v>
      </c>
      <c r="F39" s="24" t="s">
        <v>69</v>
      </c>
      <c r="H39" s="52" t="s">
        <v>63</v>
      </c>
      <c r="I39" s="53"/>
      <c r="J39" s="24" t="s">
        <v>62</v>
      </c>
      <c r="K39" s="24" t="s">
        <v>68</v>
      </c>
      <c r="L39" s="24" t="s">
        <v>69</v>
      </c>
    </row>
    <row r="40" spans="2:12" ht="18" x14ac:dyDescent="0.25">
      <c r="B40" s="29" t="s">
        <v>32</v>
      </c>
      <c r="C40" s="29" t="s">
        <v>31</v>
      </c>
      <c r="D40" s="24" t="s">
        <v>30</v>
      </c>
      <c r="E40" s="24" t="s">
        <v>35</v>
      </c>
      <c r="F40" s="24" t="s">
        <v>35</v>
      </c>
      <c r="H40" s="29" t="s">
        <v>32</v>
      </c>
      <c r="I40" s="29" t="s">
        <v>31</v>
      </c>
      <c r="J40" s="24" t="s">
        <v>30</v>
      </c>
      <c r="K40" s="24" t="s">
        <v>35</v>
      </c>
      <c r="L40" s="24" t="s">
        <v>35</v>
      </c>
    </row>
    <row r="41" spans="2:12" x14ac:dyDescent="0.25">
      <c r="B41" s="24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24">
        <v>0.28000000000000003</v>
      </c>
      <c r="I41" s="34">
        <f>K25-J41</f>
        <v>3.6000000000000008E-3</v>
      </c>
      <c r="J41" s="34">
        <f>14.4*10^-3</f>
        <v>1.4400000000000001E-2</v>
      </c>
      <c r="K41" s="35">
        <f>I41/H41</f>
        <v>1.2857142857142859E-2</v>
      </c>
      <c r="L41" s="35">
        <f>K19*(I25-J19)</f>
        <v>1.9648249252109194E-2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-$M$6*K41</f>
        <v>-3.0214285714285718</v>
      </c>
      <c r="K43" s="42">
        <f>-$M$6*L41</f>
        <v>-4.617338574245661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>
        <f>(ABS($K$29+J$43))/J43 *100</f>
        <v>-352.32466509062255</v>
      </c>
      <c r="K44" s="27">
        <f>(ABS($K$29+K$43))/K43 *100</f>
        <v>-195.98580322647024</v>
      </c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ht="28.5" x14ac:dyDescent="0.25">
      <c r="J81" s="30" t="s">
        <v>71</v>
      </c>
    </row>
  </sheetData>
  <mergeCells count="10">
    <mergeCell ref="A2:E2"/>
    <mergeCell ref="G2:K2"/>
    <mergeCell ref="C4:D4"/>
    <mergeCell ref="G4:H4"/>
    <mergeCell ref="F38:G38"/>
    <mergeCell ref="L3:N3"/>
    <mergeCell ref="I27:J27"/>
    <mergeCell ref="C27:D27"/>
    <mergeCell ref="B39:C39"/>
    <mergeCell ref="H39:I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sqref="A1:XFD1048576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4" s="43" customFormat="1" x14ac:dyDescent="0.25">
      <c r="B1" s="43" t="s">
        <v>70</v>
      </c>
    </row>
    <row r="2" spans="1:14" x14ac:dyDescent="0.25">
      <c r="A2" s="54" t="s">
        <v>0</v>
      </c>
      <c r="B2" s="55"/>
      <c r="C2" s="55"/>
      <c r="D2" s="55"/>
      <c r="E2" s="56"/>
      <c r="F2" s="26"/>
      <c r="G2" s="57" t="s">
        <v>1</v>
      </c>
      <c r="H2" s="57"/>
      <c r="I2" s="57"/>
      <c r="J2" s="57"/>
      <c r="K2" s="58"/>
    </row>
    <row r="3" spans="1:14" x14ac:dyDescent="0.25">
      <c r="A3" s="31"/>
      <c r="B3" s="31"/>
      <c r="C3" s="31" t="s">
        <v>45</v>
      </c>
      <c r="D3" s="31" t="s">
        <v>5</v>
      </c>
      <c r="E3" s="31" t="s">
        <v>23</v>
      </c>
      <c r="F3" s="25"/>
      <c r="G3" s="25" t="s">
        <v>45</v>
      </c>
      <c r="H3" s="25" t="s">
        <v>5</v>
      </c>
      <c r="I3" s="25" t="s">
        <v>23</v>
      </c>
      <c r="L3" s="49" t="s">
        <v>60</v>
      </c>
      <c r="M3" s="49"/>
      <c r="N3" s="49"/>
    </row>
    <row r="4" spans="1:14" x14ac:dyDescent="0.25">
      <c r="A4" s="31" t="s">
        <v>3</v>
      </c>
      <c r="B4" s="31" t="s">
        <v>6</v>
      </c>
      <c r="C4" s="52" t="s">
        <v>2</v>
      </c>
      <c r="D4" s="53"/>
      <c r="E4" s="31"/>
      <c r="F4" s="26"/>
      <c r="G4" s="52" t="s">
        <v>2</v>
      </c>
      <c r="H4" s="53"/>
      <c r="I4" s="31"/>
      <c r="L4" s="31" t="s">
        <v>16</v>
      </c>
      <c r="M4" s="31">
        <v>121500</v>
      </c>
      <c r="N4" s="31" t="s">
        <v>14</v>
      </c>
    </row>
    <row r="5" spans="1:14" x14ac:dyDescent="0.25">
      <c r="A5" s="31">
        <v>1</v>
      </c>
      <c r="B5" s="31">
        <v>0.2</v>
      </c>
      <c r="C5" s="36">
        <f>241*10^-15</f>
        <v>2.4100000000000003E-13</v>
      </c>
      <c r="D5" s="36">
        <v>0</v>
      </c>
      <c r="E5" s="31">
        <f>ABS((D5-C5)/C5*100)</f>
        <v>100</v>
      </c>
      <c r="F5" s="31"/>
      <c r="G5" s="36">
        <v>0</v>
      </c>
      <c r="H5" s="36">
        <v>0</v>
      </c>
      <c r="I5" s="31" t="e">
        <f>ABS((H5-G5)/G5*100)</f>
        <v>#DIV/0!</v>
      </c>
      <c r="L5" s="31" t="s">
        <v>17</v>
      </c>
      <c r="M5" s="31">
        <v>50600</v>
      </c>
      <c r="N5" s="31">
        <f>M5+12000</f>
        <v>62600</v>
      </c>
    </row>
    <row r="6" spans="1:14" x14ac:dyDescent="0.25">
      <c r="A6" s="31">
        <v>2</v>
      </c>
      <c r="B6" s="31">
        <v>0.4</v>
      </c>
      <c r="C6" s="36">
        <f>440*10^-15</f>
        <v>4.4000000000000004E-13</v>
      </c>
      <c r="D6" s="36">
        <v>0</v>
      </c>
      <c r="E6" s="31">
        <f t="shared" ref="E6:E15" si="0">ABS((D6-C6)/C6*100)</f>
        <v>100</v>
      </c>
      <c r="F6" s="31"/>
      <c r="G6" s="36">
        <f>0.24*10^-6</f>
        <v>2.3999999999999998E-7</v>
      </c>
      <c r="H6" s="36">
        <v>0</v>
      </c>
      <c r="I6" s="31">
        <f t="shared" ref="I6:I14" si="1">ABS((H6-G6)/G6*100)</f>
        <v>100</v>
      </c>
      <c r="L6" s="31" t="s">
        <v>18</v>
      </c>
      <c r="M6" s="31">
        <v>235</v>
      </c>
      <c r="N6" s="31"/>
    </row>
    <row r="7" spans="1:14" x14ac:dyDescent="0.25">
      <c r="A7" s="31">
        <v>3</v>
      </c>
      <c r="B7" s="31">
        <v>0.6</v>
      </c>
      <c r="C7" s="36">
        <f xml:space="preserve"> 639*10^-15</f>
        <v>6.39E-13</v>
      </c>
      <c r="D7" s="36">
        <v>0</v>
      </c>
      <c r="E7" s="31">
        <f t="shared" si="0"/>
        <v>100</v>
      </c>
      <c r="F7" s="31"/>
      <c r="G7" s="36">
        <f>4.36^-6</f>
        <v>1.4557307785137104E-4</v>
      </c>
      <c r="H7" s="36">
        <v>0</v>
      </c>
      <c r="I7" s="31">
        <f t="shared" si="1"/>
        <v>100</v>
      </c>
      <c r="L7" s="31" t="s">
        <v>19</v>
      </c>
      <c r="M7" s="31">
        <v>10</v>
      </c>
      <c r="N7" s="31" t="s">
        <v>21</v>
      </c>
    </row>
    <row r="8" spans="1:14" x14ac:dyDescent="0.25">
      <c r="A8" s="31">
        <v>4</v>
      </c>
      <c r="B8" s="31">
        <v>0.8</v>
      </c>
      <c r="C8" s="36">
        <f xml:space="preserve"> 839*10^-15</f>
        <v>8.3900000000000006E-13</v>
      </c>
      <c r="D8" s="36">
        <v>0</v>
      </c>
      <c r="E8" s="31">
        <f t="shared" si="0"/>
        <v>100</v>
      </c>
      <c r="F8" s="31"/>
      <c r="G8" s="36">
        <f>16.8*10^-6</f>
        <v>1.6799999999999998E-5</v>
      </c>
      <c r="H8" s="36">
        <v>0</v>
      </c>
      <c r="I8" s="31">
        <f t="shared" si="1"/>
        <v>100</v>
      </c>
      <c r="L8" s="31" t="s">
        <v>20</v>
      </c>
      <c r="M8" s="31">
        <v>10</v>
      </c>
      <c r="N8" s="31"/>
    </row>
    <row r="9" spans="1:14" x14ac:dyDescent="0.25">
      <c r="A9" s="31">
        <v>5</v>
      </c>
      <c r="B9" s="31">
        <v>1</v>
      </c>
      <c r="C9" s="36">
        <f>1.04*10^-12</f>
        <v>1.04E-12</v>
      </c>
      <c r="D9" s="36">
        <v>0</v>
      </c>
      <c r="E9" s="31">
        <f t="shared" si="0"/>
        <v>100</v>
      </c>
      <c r="F9" s="31"/>
      <c r="G9" s="36">
        <f>995*10^-6</f>
        <v>9.9500000000000001E-4</v>
      </c>
      <c r="H9" s="36">
        <v>0</v>
      </c>
      <c r="I9" s="31">
        <f t="shared" si="1"/>
        <v>100</v>
      </c>
      <c r="L9" s="31" t="s">
        <v>22</v>
      </c>
      <c r="M9" s="31"/>
      <c r="N9" s="31"/>
    </row>
    <row r="10" spans="1:14" x14ac:dyDescent="0.25">
      <c r="A10" s="31">
        <v>6</v>
      </c>
      <c r="B10" s="31">
        <v>1.2</v>
      </c>
      <c r="C10" s="36">
        <f>1.242*10^-12</f>
        <v>1.242E-12</v>
      </c>
      <c r="D10" s="36">
        <v>0</v>
      </c>
      <c r="E10" s="31">
        <f t="shared" si="0"/>
        <v>100</v>
      </c>
      <c r="F10" s="31"/>
      <c r="G10" s="36">
        <f>12*10^-3</f>
        <v>1.2E-2</v>
      </c>
      <c r="H10" s="36">
        <f>$K$19/2*(B10-$J$19)^2</f>
        <v>7.7899259765832855E-6</v>
      </c>
      <c r="I10" s="31">
        <f t="shared" si="1"/>
        <v>99.93508395019515</v>
      </c>
    </row>
    <row r="11" spans="1:14" x14ac:dyDescent="0.25">
      <c r="A11" s="31">
        <v>7</v>
      </c>
      <c r="B11" s="31">
        <v>1.4</v>
      </c>
      <c r="C11" s="36">
        <f>1.439*10^-12</f>
        <v>1.439E-12</v>
      </c>
      <c r="D11" s="36">
        <v>0</v>
      </c>
      <c r="E11" s="31">
        <f t="shared" si="0"/>
        <v>100</v>
      </c>
      <c r="F11" s="31"/>
      <c r="G11" s="36">
        <f xml:space="preserve"> 30.5*10^-3</f>
        <v>3.0499999999999999E-2</v>
      </c>
      <c r="H11" s="36">
        <f>$K$19/2*(B11-$J$19)^2</f>
        <v>3.937439776398417E-3</v>
      </c>
      <c r="I11" s="31">
        <f t="shared" si="1"/>
        <v>87.090361388857644</v>
      </c>
    </row>
    <row r="12" spans="1:14" x14ac:dyDescent="0.25">
      <c r="A12" s="31">
        <v>8</v>
      </c>
      <c r="B12" s="31">
        <v>1.6</v>
      </c>
      <c r="C12" s="36">
        <f>5.193*10^-6</f>
        <v>5.1929999999999992E-6</v>
      </c>
      <c r="D12" s="36">
        <f>$E$19/2 * (B12 - $D$19)^2</f>
        <v>9.2602040816328553E-6</v>
      </c>
      <c r="E12" s="31">
        <f t="shared" si="0"/>
        <v>78.320895082473655</v>
      </c>
      <c r="F12" s="31"/>
      <c r="G12" s="36">
        <f xml:space="preserve"> 48.8*10^-3</f>
        <v>4.8799999999999996E-2</v>
      </c>
      <c r="H12" s="36">
        <f>$K$19/2*(B12-$J$19)^2</f>
        <v>1.5057007933328077E-2</v>
      </c>
      <c r="I12" s="31">
        <f t="shared" si="1"/>
        <v>69.145475546458854</v>
      </c>
    </row>
    <row r="13" spans="1:14" x14ac:dyDescent="0.25">
      <c r="A13" s="31">
        <v>9</v>
      </c>
      <c r="B13" s="31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31">
        <f t="shared" si="0"/>
        <v>2.9682498566063376</v>
      </c>
      <c r="F13" s="31"/>
      <c r="G13" s="36">
        <f xml:space="preserve"> 48.8*10^-3</f>
        <v>4.8799999999999996E-2</v>
      </c>
      <c r="H13" s="36">
        <f>$K$19/2*(B13-$J$19)^2</f>
        <v>3.3366494396765541E-2</v>
      </c>
      <c r="I13" s="31">
        <f t="shared" si="1"/>
        <v>31.626036072201757</v>
      </c>
    </row>
    <row r="14" spans="1:14" x14ac:dyDescent="0.25">
      <c r="A14" s="31">
        <v>10</v>
      </c>
      <c r="B14" s="31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31">
        <f t="shared" si="0"/>
        <v>0.93771991555244349</v>
      </c>
      <c r="F14" s="31"/>
      <c r="G14" s="36">
        <f xml:space="preserve"> 49*10^-3</f>
        <v>4.9000000000000002E-2</v>
      </c>
      <c r="H14" s="36">
        <f>$K$19/2*(B14-$J$19)^2</f>
        <v>5.8865899166710818E-2</v>
      </c>
      <c r="I14" s="31">
        <f t="shared" si="1"/>
        <v>20.134488095328194</v>
      </c>
    </row>
    <row r="15" spans="1:14" x14ac:dyDescent="0.25">
      <c r="A15" s="31">
        <v>11</v>
      </c>
      <c r="B15" s="31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31">
        <f t="shared" si="0"/>
        <v>0.38468322925253157</v>
      </c>
      <c r="F15" s="31"/>
      <c r="G15" s="36"/>
      <c r="H15" s="36"/>
      <c r="I15" s="31"/>
    </row>
    <row r="16" spans="1:14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31" t="s">
        <v>6</v>
      </c>
      <c r="C18" s="31" t="s">
        <v>4</v>
      </c>
      <c r="D18" s="31" t="s">
        <v>12</v>
      </c>
      <c r="E18" s="31" t="s">
        <v>13</v>
      </c>
      <c r="F18" s="27"/>
      <c r="H18" s="31" t="s">
        <v>6</v>
      </c>
      <c r="I18" s="31" t="s">
        <v>4</v>
      </c>
      <c r="J18" s="31" t="s">
        <v>12</v>
      </c>
      <c r="K18" s="31" t="s">
        <v>13</v>
      </c>
    </row>
    <row r="19" spans="1:12" x14ac:dyDescent="0.25">
      <c r="A19" s="27"/>
      <c r="B19" s="31">
        <v>1.869</v>
      </c>
      <c r="C19" s="33">
        <f xml:space="preserve"> 6*10^-3</f>
        <v>6.0000000000000001E-3</v>
      </c>
      <c r="D19" s="31">
        <f>2*B19-B20</f>
        <v>1.589</v>
      </c>
      <c r="E19" s="35">
        <f>(2 * C19) / (B19-D19)^2</f>
        <v>0.15306122448979589</v>
      </c>
      <c r="F19" s="27"/>
      <c r="H19" s="35">
        <v>1.4490700000000001</v>
      </c>
      <c r="I19" s="33">
        <f>0.0382*H19^3-0.0858*H19^2+0.0544*H19-0.0089</f>
        <v>5.9997748362865585E-3</v>
      </c>
      <c r="J19" s="31">
        <f>2*H19-H20</f>
        <v>1.1906900000000002</v>
      </c>
      <c r="K19" s="35">
        <f>(2*I20) / (H20-J19)^2</f>
        <v>0.17974795766269536</v>
      </c>
    </row>
    <row r="20" spans="1:12" x14ac:dyDescent="0.25">
      <c r="A20" s="27"/>
      <c r="B20" s="31">
        <v>2.149</v>
      </c>
      <c r="C20" s="33">
        <f xml:space="preserve"> 24*10^-3</f>
        <v>2.4E-2</v>
      </c>
      <c r="D20" s="31"/>
      <c r="E20" s="35">
        <f>(2 * C20) / (B20-D19)^2</f>
        <v>0.15306122448979589</v>
      </c>
      <c r="F20" s="27"/>
      <c r="H20" s="35">
        <v>1.7074499999999999</v>
      </c>
      <c r="I20" s="33">
        <f>0.0382*H20^3-0.0858*H20^2+0.0544*H20-0.0089</f>
        <v>2.4000027978006454E-2</v>
      </c>
      <c r="J20" s="31"/>
      <c r="K20" s="35">
        <f>(2*I20) / (H20-J19)^2</f>
        <v>0.17974795766269536</v>
      </c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31"/>
      <c r="D23" s="31"/>
      <c r="E23" s="31"/>
      <c r="F23" s="27"/>
      <c r="I23" s="31"/>
      <c r="J23" s="31" t="s">
        <v>43</v>
      </c>
      <c r="K23" s="31" t="s">
        <v>44</v>
      </c>
    </row>
    <row r="24" spans="1:12" x14ac:dyDescent="0.25">
      <c r="C24" s="31" t="s">
        <v>36</v>
      </c>
      <c r="D24" s="31" t="s">
        <v>8</v>
      </c>
      <c r="E24" s="31" t="s">
        <v>25</v>
      </c>
      <c r="F24" s="27"/>
      <c r="I24" s="31" t="s">
        <v>36</v>
      </c>
      <c r="J24" s="31" t="s">
        <v>8</v>
      </c>
      <c r="K24" s="31" t="s">
        <v>25</v>
      </c>
    </row>
    <row r="25" spans="1:12" x14ac:dyDescent="0.25">
      <c r="C25" s="31">
        <v>0.83340000000000003</v>
      </c>
      <c r="D25" s="31">
        <v>5</v>
      </c>
      <c r="E25" s="31">
        <f>2.25*10^-9</f>
        <v>2.2500000000000003E-9</v>
      </c>
      <c r="F25" s="27"/>
      <c r="I25" s="31">
        <f xml:space="preserve"> 1.3</f>
        <v>1.3</v>
      </c>
      <c r="J25" s="31">
        <v>4.46</v>
      </c>
      <c r="K25" s="31">
        <f xml:space="preserve"> 18*10^-3</f>
        <v>1.8000000000000002E-2</v>
      </c>
    </row>
    <row r="26" spans="1:12" x14ac:dyDescent="0.25">
      <c r="C26" s="27"/>
    </row>
    <row r="27" spans="1:12" s="32" customFormat="1" x14ac:dyDescent="0.25">
      <c r="B27" s="32" t="s">
        <v>53</v>
      </c>
      <c r="C27" s="50" t="s">
        <v>61</v>
      </c>
      <c r="D27" s="51"/>
      <c r="E27" s="40"/>
      <c r="F27" s="39" t="s">
        <v>49</v>
      </c>
      <c r="G27" s="32" t="s">
        <v>47</v>
      </c>
      <c r="I27" s="50" t="s">
        <v>61</v>
      </c>
      <c r="J27" s="51"/>
      <c r="K27" s="40"/>
    </row>
    <row r="28" spans="1:12" x14ac:dyDescent="0.25">
      <c r="C28" s="31" t="s">
        <v>9</v>
      </c>
      <c r="D28" s="31" t="s">
        <v>10</v>
      </c>
      <c r="E28" s="31" t="s">
        <v>42</v>
      </c>
      <c r="F28" s="27" t="s">
        <v>50</v>
      </c>
      <c r="I28" s="31" t="s">
        <v>9</v>
      </c>
      <c r="J28" s="31" t="s">
        <v>10</v>
      </c>
      <c r="K28" s="31" t="s">
        <v>67</v>
      </c>
      <c r="L28" s="22" t="s">
        <v>51</v>
      </c>
    </row>
    <row r="29" spans="1:12" x14ac:dyDescent="0.25">
      <c r="C29" s="31">
        <f>50*10^-6</f>
        <v>4.9999999999999996E-5</v>
      </c>
      <c r="D29" s="31">
        <f>20*10^-3</f>
        <v>0.02</v>
      </c>
      <c r="E29" s="31">
        <f>C29/D29</f>
        <v>2.4999999999999996E-3</v>
      </c>
      <c r="F29" s="27"/>
      <c r="I29" s="31">
        <f>287*10^-3</f>
        <v>0.28700000000000003</v>
      </c>
      <c r="J29" s="31">
        <f>21*10^-3</f>
        <v>2.1000000000000001E-2</v>
      </c>
      <c r="K29" s="42">
        <f>I29/J29</f>
        <v>13.666666666666668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x14ac:dyDescent="0.25">
      <c r="F38" s="59"/>
      <c r="G38" s="59"/>
    </row>
    <row r="39" spans="2:12" x14ac:dyDescent="0.25">
      <c r="B39" s="49" t="s">
        <v>63</v>
      </c>
      <c r="C39" s="49"/>
      <c r="D39" s="31" t="s">
        <v>62</v>
      </c>
      <c r="E39" s="31" t="s">
        <v>68</v>
      </c>
      <c r="F39" s="31" t="s">
        <v>69</v>
      </c>
      <c r="H39" s="52" t="s">
        <v>63</v>
      </c>
      <c r="I39" s="53"/>
      <c r="J39" s="31" t="s">
        <v>62</v>
      </c>
      <c r="K39" s="31" t="s">
        <v>68</v>
      </c>
      <c r="L39" s="31" t="s">
        <v>69</v>
      </c>
    </row>
    <row r="40" spans="2:12" x14ac:dyDescent="0.25">
      <c r="B40" s="29" t="s">
        <v>32</v>
      </c>
      <c r="C40" s="29" t="s">
        <v>31</v>
      </c>
      <c r="D40" s="31" t="s">
        <v>30</v>
      </c>
      <c r="E40" s="31" t="s">
        <v>35</v>
      </c>
      <c r="F40" s="31" t="s">
        <v>35</v>
      </c>
      <c r="H40" s="29" t="s">
        <v>32</v>
      </c>
      <c r="I40" s="29" t="s">
        <v>31</v>
      </c>
      <c r="J40" s="31" t="s">
        <v>30</v>
      </c>
      <c r="K40" s="31" t="s">
        <v>35</v>
      </c>
      <c r="L40" s="31" t="s">
        <v>35</v>
      </c>
    </row>
    <row r="41" spans="2:12" x14ac:dyDescent="0.25">
      <c r="B41" s="31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31">
        <v>0.28000000000000003</v>
      </c>
      <c r="I41" s="34">
        <f>K25-J41</f>
        <v>3.6000000000000008E-3</v>
      </c>
      <c r="J41" s="34">
        <f>14.4*10^-3</f>
        <v>1.4400000000000001E-2</v>
      </c>
      <c r="K41" s="35">
        <f>I41/H41</f>
        <v>1.2857142857142859E-2</v>
      </c>
      <c r="L41" s="35">
        <f>K19*(I25-J19)</f>
        <v>1.9648249252109194E-2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-$M$6*K41</f>
        <v>-3.0214285714285718</v>
      </c>
      <c r="K43" s="42">
        <f>-$M$6*L41</f>
        <v>-4.617338574245661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>
        <f>(ABS($K$29+J$43))/J43 *100</f>
        <v>-352.32466509062255</v>
      </c>
      <c r="K44" s="27">
        <f>(ABS($K$29+K$43))/K43 *100</f>
        <v>-195.98580322647024</v>
      </c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x14ac:dyDescent="0.25">
      <c r="J81" s="30" t="s">
        <v>71</v>
      </c>
    </row>
  </sheetData>
  <mergeCells count="10">
    <mergeCell ref="F38:G38"/>
    <mergeCell ref="B39:C39"/>
    <mergeCell ref="H39:I39"/>
    <mergeCell ref="A2:E2"/>
    <mergeCell ref="G2:K2"/>
    <mergeCell ref="L3:N3"/>
    <mergeCell ref="C4:D4"/>
    <mergeCell ref="G4:H4"/>
    <mergeCell ref="C27:D27"/>
    <mergeCell ref="I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Измерения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2018-04-13T09:37:44Z</dcterms:modified>
</cp:coreProperties>
</file>