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25"/>
  </bookViews>
  <sheets>
    <sheet name="Измерения" sheetId="3" r:id="rId1"/>
  </sheets>
  <calcPr calcId="144525"/>
</workbook>
</file>

<file path=xl/calcChain.xml><?xml version="1.0" encoding="utf-8"?>
<calcChain xmlns="http://schemas.openxmlformats.org/spreadsheetml/2006/main">
  <c r="J46" i="3" l="1"/>
  <c r="I46" i="3"/>
  <c r="J45" i="3"/>
  <c r="I45" i="3"/>
  <c r="J27" i="3"/>
  <c r="O43" i="3"/>
  <c r="J43" i="3"/>
  <c r="G43" i="3"/>
  <c r="J25" i="3"/>
  <c r="H31" i="3"/>
  <c r="I31" i="3"/>
  <c r="I19" i="3"/>
  <c r="C5" i="3" l="1"/>
  <c r="O19" i="3"/>
  <c r="N20" i="3"/>
  <c r="N19" i="3"/>
  <c r="P19" i="3" l="1"/>
  <c r="M14" i="3" s="1"/>
  <c r="L12" i="3"/>
  <c r="L14" i="3"/>
  <c r="L13" i="3"/>
  <c r="L11" i="3"/>
  <c r="L10" i="3"/>
  <c r="L9" i="3"/>
  <c r="L8" i="3"/>
  <c r="N31" i="3"/>
  <c r="O31" i="3"/>
  <c r="Q11" i="3"/>
  <c r="P27" i="3"/>
  <c r="L43" i="3"/>
  <c r="R5" i="3"/>
  <c r="P25" i="3"/>
  <c r="H43" i="3"/>
  <c r="I43" i="3" s="1"/>
  <c r="H20" i="3"/>
  <c r="H19" i="3"/>
  <c r="H15" i="3"/>
  <c r="H14" i="3"/>
  <c r="H13" i="3"/>
  <c r="H12" i="3"/>
  <c r="H11" i="3"/>
  <c r="H10" i="3"/>
  <c r="H9" i="3"/>
  <c r="H8" i="3"/>
  <c r="H7" i="3"/>
  <c r="H6" i="3"/>
  <c r="H5" i="3"/>
  <c r="M43" i="3" l="1"/>
  <c r="N43" i="3" s="1"/>
  <c r="N45" i="3" s="1"/>
  <c r="N46" i="3" s="1"/>
  <c r="M13" i="3"/>
  <c r="N13" i="3" s="1"/>
  <c r="M11" i="3"/>
  <c r="N11" i="3" s="1"/>
  <c r="M12" i="3"/>
  <c r="N12" i="3" s="1"/>
  <c r="O45" i="3"/>
  <c r="O46" i="3" s="1"/>
  <c r="J19" i="3"/>
  <c r="I12" i="3" s="1"/>
  <c r="J12" i="3" s="1"/>
  <c r="N14" i="3"/>
  <c r="J31" i="3"/>
  <c r="P31" i="3"/>
  <c r="I15" i="3" l="1"/>
  <c r="J15" i="3" s="1"/>
  <c r="I13" i="3"/>
  <c r="J13" i="3" s="1"/>
  <c r="I14" i="3"/>
  <c r="J14" i="3" s="1"/>
</calcChain>
</file>

<file path=xl/sharedStrings.xml><?xml version="1.0" encoding="utf-8"?>
<sst xmlns="http://schemas.openxmlformats.org/spreadsheetml/2006/main" count="119" uniqueCount="65">
  <si>
    <t>Spice</t>
  </si>
  <si>
    <t>Waveform</t>
  </si>
  <si>
    <t>I, A</t>
  </si>
  <si>
    <t>№</t>
  </si>
  <si>
    <t>Ic, A</t>
  </si>
  <si>
    <t>Перевірка</t>
  </si>
  <si>
    <t>Uзв, V</t>
  </si>
  <si>
    <t>Uвс0</t>
  </si>
  <si>
    <t>вих</t>
  </si>
  <si>
    <t>вх</t>
  </si>
  <si>
    <t xml:space="preserve">Uп, V </t>
  </si>
  <si>
    <t>b</t>
  </si>
  <si>
    <t>Om</t>
  </si>
  <si>
    <t>R1</t>
  </si>
  <si>
    <t>R2</t>
  </si>
  <si>
    <t>R3</t>
  </si>
  <si>
    <t>C1</t>
  </si>
  <si>
    <t>C2</t>
  </si>
  <si>
    <t>uF</t>
  </si>
  <si>
    <t>2N7000</t>
  </si>
  <si>
    <t>Похибка, %</t>
  </si>
  <si>
    <t>збільшення Uзв на 0.05 - 0.2В збільшенням R2</t>
  </si>
  <si>
    <t>Ic0</t>
  </si>
  <si>
    <t>значення амплітуди гармонічного сигналу на вході, при якій починається спотворення форми вихідного сигналу на виході</t>
  </si>
  <si>
    <t>Знайдене значення визначає максимальну величину змінної напруги на вході, при якій схема виходить з лінійного режиму підсилення</t>
  </si>
  <si>
    <t>Iс1(Uзв0+∆Uзв)</t>
  </si>
  <si>
    <t>∆Ic</t>
  </si>
  <si>
    <t>∆Uзв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</si>
  <si>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</si>
  <si>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Uзв0 (R2)</t>
  </si>
  <si>
    <t>коеф підсил</t>
  </si>
  <si>
    <t>V</t>
  </si>
  <si>
    <t>A</t>
  </si>
  <si>
    <t>Виміри</t>
  </si>
  <si>
    <t>Вимкнули V1</t>
  </si>
  <si>
    <t>V2 = 5V</t>
  </si>
  <si>
    <t>Параметри робочої точки</t>
  </si>
  <si>
    <t>V1 = 20mV</t>
  </si>
  <si>
    <t>F = 1KHz</t>
  </si>
  <si>
    <t>Скрін вх, вих сигналів</t>
  </si>
  <si>
    <t>Завдання 3.2</t>
  </si>
  <si>
    <t>Завдання 3.3</t>
  </si>
  <si>
    <t>Скрін спотворення синусоїди</t>
  </si>
  <si>
    <t>Завдання 3.4</t>
  </si>
  <si>
    <t>порогове</t>
  </si>
  <si>
    <t>Затвор-виток</t>
  </si>
  <si>
    <t>сток</t>
  </si>
  <si>
    <t>коеф транзистора</t>
  </si>
  <si>
    <t>Використані елементи</t>
  </si>
  <si>
    <t>амплітуди</t>
  </si>
  <si>
    <t>Изменение параметра</t>
  </si>
  <si>
    <t>Завдання 3.5</t>
  </si>
  <si>
    <t>Завдання 3.6</t>
  </si>
  <si>
    <t>Ku_теоретичне</t>
  </si>
  <si>
    <t>Ku_практичне</t>
  </si>
  <si>
    <t>1 вариант</t>
  </si>
  <si>
    <t>2 вариант</t>
  </si>
  <si>
    <t>Завдання 1</t>
  </si>
  <si>
    <t>через вольтаж на Р3</t>
  </si>
  <si>
    <t>додатковий опір</t>
  </si>
  <si>
    <t>Uзв1 (R2+4650)</t>
  </si>
  <si>
    <t>Uзв1 (R2+delta)</t>
  </si>
  <si>
    <t>Графіки побудовані після значення Uпорогове.</t>
  </si>
  <si>
    <t>додатк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</si>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</sst>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Измерения!$L$2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Измерения!$G$5:$G$14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Измерения!$L$5:$L$14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1.8E-7</c:v>
                </c:pt>
                <c:pt idx="4">
                  <c:v>3.6099999999999997E-6</c:v>
                </c:pt>
                <c:pt idx="5">
                  <c:v>1.5529999999999999E-5</c:v>
                </c:pt>
                <c:pt idx="6">
                  <c:v>9.5500000000000001E-4</c:v>
                </c:pt>
                <c:pt idx="7">
                  <c:v>1.29E-2</c:v>
                </c:pt>
                <c:pt idx="8">
                  <c:v>3.1800000000000002E-2</c:v>
                </c:pt>
                <c:pt idx="9">
                  <c:v>5.9500000000000004E-2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Измерения!$M$3</c:f>
              <c:strCache>
                <c:ptCount val="1"/>
                <c:pt idx="0">
                  <c:v>Перевірка</c:v>
                </c:pt>
              </c:strCache>
            </c:strRef>
          </c:tx>
          <c:xVal>
            <c:numRef>
              <c:f>Измерения!$G$5:$G$14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Измерения!$M$5:$M$14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2.2965893661594382E-3</c:v>
                </c:pt>
                <c:pt idx="7">
                  <c:v>1.3519066111138844E-2</c:v>
                </c:pt>
                <c:pt idx="8">
                  <c:v>3.4084652996383309E-2</c:v>
                </c:pt>
                <c:pt idx="9">
                  <c:v>6.3993350021892839E-2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7824"/>
        <c:axId val="63519360"/>
      </c:scatterChart>
      <c:valAx>
        <c:axId val="63517824"/>
        <c:scaling>
          <c:orientation val="minMax"/>
          <c:max val="2"/>
          <c:min val="1.2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63519360"/>
        <c:crosses val="autoZero"/>
        <c:crossBetween val="midCat"/>
      </c:valAx>
      <c:valAx>
        <c:axId val="63519360"/>
        <c:scaling>
          <c:orientation val="minMax"/>
          <c:max val="7.0000000000000007E-2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3517824"/>
        <c:crosses val="autoZero"/>
        <c:crossBetween val="midCat"/>
        <c:majorUnit val="5.000000000000001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Измерения!$H$2</c:f>
              <c:strCache>
                <c:ptCount val="1"/>
                <c:pt idx="0">
                  <c:v>Spice</c:v>
                </c:pt>
              </c:strCache>
            </c:strRef>
          </c:tx>
          <c:xVal>
            <c:numRef>
              <c:f>Измерения!$G$5:$G$15</c:f>
              <c:numCache>
                <c:formatCode>0.00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Измерения!$H$5:$H$15</c:f>
              <c:numCache>
                <c:formatCode>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Измерения!$I$3</c:f>
              <c:strCache>
                <c:ptCount val="1"/>
                <c:pt idx="0">
                  <c:v>Перевірка</c:v>
                </c:pt>
              </c:strCache>
            </c:strRef>
          </c:tx>
          <c:xVal>
            <c:numRef>
              <c:f>Измерения!$G$5:$G$15</c:f>
              <c:numCache>
                <c:formatCode>0.00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Измерения!$I$5:$I$15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0224"/>
        <c:axId val="63542016"/>
      </c:scatterChart>
      <c:valAx>
        <c:axId val="63540224"/>
        <c:scaling>
          <c:orientation val="minMax"/>
          <c:max val="2.2000000000000002"/>
          <c:min val="1.6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63542016"/>
        <c:crosses val="autoZero"/>
        <c:crossBetween val="midCat"/>
        <c:majorUnit val="0.1"/>
      </c:valAx>
      <c:valAx>
        <c:axId val="63542016"/>
        <c:scaling>
          <c:orientation val="minMax"/>
          <c:max val="3.0000000000000006E-2"/>
          <c:min val="0"/>
        </c:scaling>
        <c:delete val="0"/>
        <c:axPos val="l"/>
        <c:majorGridlines/>
        <c:numFmt formatCode="0.0000" sourceLinked="0"/>
        <c:majorTickMark val="out"/>
        <c:minorTickMark val="none"/>
        <c:tickLblPos val="nextTo"/>
        <c:crossAx val="63540224"/>
        <c:crosses val="autoZero"/>
        <c:crossBetween val="midCat"/>
        <c:majorUnit val="2.5000000000000005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Измерения!$L$4</c:f>
              <c:strCache>
                <c:ptCount val="1"/>
                <c:pt idx="0">
                  <c:v>I, A</c:v>
                </c:pt>
              </c:strCache>
            </c:strRef>
          </c:tx>
          <c:trendline>
            <c:name>Аппроксимация</c:name>
            <c:trendlineType val="poly"/>
            <c:order val="6"/>
            <c:dispRSqr val="0"/>
            <c:dispEq val="0"/>
          </c:trendline>
          <c:xVal>
            <c:numRef>
              <c:f>Измерения!$G$5:$G$14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Измерения!$L$5:$L$14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1.8E-7</c:v>
                </c:pt>
                <c:pt idx="4">
                  <c:v>3.6099999999999997E-6</c:v>
                </c:pt>
                <c:pt idx="5">
                  <c:v>1.5529999999999999E-5</c:v>
                </c:pt>
                <c:pt idx="6">
                  <c:v>9.5500000000000001E-4</c:v>
                </c:pt>
                <c:pt idx="7">
                  <c:v>1.29E-2</c:v>
                </c:pt>
                <c:pt idx="8">
                  <c:v>3.1800000000000002E-2</c:v>
                </c:pt>
                <c:pt idx="9">
                  <c:v>5.9500000000000004E-2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9616"/>
        <c:axId val="63921536"/>
      </c:scatterChart>
      <c:valAx>
        <c:axId val="63919616"/>
        <c:scaling>
          <c:orientation val="minMax"/>
          <c:max val="2"/>
          <c:min val="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зв,</a:t>
                </a:r>
                <a:r>
                  <a:rPr lang="ru-RU" baseline="0"/>
                  <a:t> </a:t>
                </a:r>
                <a:r>
                  <a:rPr lang="en-US" baseline="0"/>
                  <a:t>V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3921536"/>
        <c:crosses val="autoZero"/>
        <c:crossBetween val="midCat"/>
        <c:majorUnit val="0.1"/>
      </c:valAx>
      <c:valAx>
        <c:axId val="63921536"/>
        <c:scaling>
          <c:orientation val="minMax"/>
          <c:max val="7.0000000000000007E-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</a:t>
                </a:r>
                <a:r>
                  <a:rPr lang="ru-RU"/>
                  <a:t>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63919616"/>
        <c:crosses val="autoZero"/>
        <c:crossBetween val="midCat"/>
        <c:majorUnit val="5.000000000000001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1464168</xdr:colOff>
      <xdr:row>49</xdr:row>
      <xdr:rowOff>160123</xdr:rowOff>
    </xdr:from>
    <xdr:to>
      <xdr:col>23</xdr:col>
      <xdr:colOff>465644</xdr:colOff>
      <xdr:row>73</xdr:row>
      <xdr:rowOff>97651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7006</xdr:colOff>
      <xdr:row>50</xdr:row>
      <xdr:rowOff>108977</xdr:rowOff>
    </xdr:from>
    <xdr:to>
      <xdr:col>13</xdr:col>
      <xdr:colOff>840242</xdr:colOff>
      <xdr:row>73</xdr:row>
      <xdr:rowOff>146276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329046</xdr:colOff>
      <xdr:row>3</xdr:row>
      <xdr:rowOff>0</xdr:rowOff>
    </xdr:from>
    <xdr:to>
      <xdr:col>36</xdr:col>
      <xdr:colOff>220808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0696" y="571500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476250</xdr:colOff>
      <xdr:row>35</xdr:row>
      <xdr:rowOff>57599</xdr:rowOff>
    </xdr:from>
    <xdr:to>
      <xdr:col>14</xdr:col>
      <xdr:colOff>129414</xdr:colOff>
      <xdr:row>39</xdr:row>
      <xdr:rowOff>178199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1536" y="6752313"/>
          <a:ext cx="773752" cy="882600"/>
        </a:xfrm>
        <a:prstGeom prst="rect">
          <a:avLst/>
        </a:prstGeom>
      </xdr:spPr>
    </xdr:pic>
    <xdr:clientData/>
  </xdr:twoCellAnchor>
  <xdr:twoCellAnchor editAs="oneCell">
    <xdr:from>
      <xdr:col>14</xdr:col>
      <xdr:colOff>71729</xdr:colOff>
      <xdr:row>36</xdr:row>
      <xdr:rowOff>0</xdr:rowOff>
    </xdr:from>
    <xdr:to>
      <xdr:col>15</xdr:col>
      <xdr:colOff>382911</xdr:colOff>
      <xdr:row>39</xdr:row>
      <xdr:rowOff>163287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0693" y="6885214"/>
          <a:ext cx="1454182" cy="734787"/>
        </a:xfrm>
        <a:prstGeom prst="rect">
          <a:avLst/>
        </a:prstGeom>
      </xdr:spPr>
    </xdr:pic>
    <xdr:clientData/>
  </xdr:twoCellAnchor>
  <xdr:twoCellAnchor editAs="oneCell">
    <xdr:from>
      <xdr:col>15</xdr:col>
      <xdr:colOff>921686</xdr:colOff>
      <xdr:row>40</xdr:row>
      <xdr:rowOff>97741</xdr:rowOff>
    </xdr:from>
    <xdr:to>
      <xdr:col>17</xdr:col>
      <xdr:colOff>274147</xdr:colOff>
      <xdr:row>46</xdr:row>
      <xdr:rowOff>1564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56436" y="7717741"/>
          <a:ext cx="2162335" cy="1094448"/>
        </a:xfrm>
        <a:prstGeom prst="rect">
          <a:avLst/>
        </a:prstGeom>
      </xdr:spPr>
    </xdr:pic>
    <xdr:clientData/>
  </xdr:twoCellAnchor>
  <xdr:twoCellAnchor>
    <xdr:from>
      <xdr:col>16</xdr:col>
      <xdr:colOff>1564093</xdr:colOff>
      <xdr:row>9</xdr:row>
      <xdr:rowOff>113687</xdr:rowOff>
    </xdr:from>
    <xdr:to>
      <xdr:col>25</xdr:col>
      <xdr:colOff>221061</xdr:colOff>
      <xdr:row>31</xdr:row>
      <xdr:rowOff>155864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topLeftCell="A19" zoomScale="70" zoomScaleNormal="70" workbookViewId="0">
      <selection activeCell="J31" sqref="J31"/>
    </sheetView>
  </sheetViews>
  <sheetFormatPr defaultRowHeight="15" x14ac:dyDescent="0.25"/>
  <cols>
    <col min="1" max="1" width="9.140625" style="1"/>
    <col min="2" max="2" width="10.140625" style="1" bestFit="1" customWidth="1"/>
    <col min="3" max="5" width="9.140625" style="1"/>
    <col min="6" max="6" width="4.42578125" style="1" customWidth="1"/>
    <col min="7" max="7" width="14.140625" style="1" customWidth="1"/>
    <col min="8" max="8" width="15.140625" style="1" customWidth="1"/>
    <col min="9" max="9" width="16.42578125" style="1" customWidth="1"/>
    <col min="10" max="10" width="14.28515625" style="1" customWidth="1"/>
    <col min="11" max="11" width="14.85546875" style="1" customWidth="1"/>
    <col min="12" max="12" width="10.42578125" style="1" bestFit="1" customWidth="1"/>
    <col min="13" max="13" width="14.7109375" style="1" customWidth="1"/>
    <col min="14" max="14" width="16.85546875" style="1" customWidth="1"/>
    <col min="15" max="15" width="17.140625" style="1" customWidth="1"/>
    <col min="16" max="16" width="17.7109375" style="1" customWidth="1"/>
    <col min="17" max="17" width="24.42578125" style="1" bestFit="1" customWidth="1"/>
    <col min="18" max="18" width="9.7109375" style="1" bestFit="1" customWidth="1"/>
    <col min="19" max="19" width="8.7109375" style="1" bestFit="1" customWidth="1"/>
    <col min="20" max="20" width="10.28515625" style="1" bestFit="1" customWidth="1"/>
    <col min="21" max="21" width="16.28515625" style="1" bestFit="1" customWidth="1"/>
    <col min="22" max="22" width="10.28515625" style="1" bestFit="1" customWidth="1"/>
    <col min="23" max="23" width="6.5703125" style="1" bestFit="1" customWidth="1"/>
    <col min="24" max="24" width="11.7109375" style="1" bestFit="1" customWidth="1"/>
    <col min="25" max="25" width="7.7109375" style="1" customWidth="1"/>
    <col min="26" max="16384" width="9.140625" style="1"/>
  </cols>
  <sheetData>
    <row r="1" spans="1:20" s="18" customFormat="1" x14ac:dyDescent="0.25">
      <c r="G1" s="18" t="s">
        <v>57</v>
      </c>
      <c r="K1" s="24"/>
    </row>
    <row r="2" spans="1:20" x14ac:dyDescent="0.25">
      <c r="F2" s="34"/>
      <c r="G2" s="34"/>
      <c r="H2" s="38" t="s">
        <v>0</v>
      </c>
      <c r="I2" s="38"/>
      <c r="J2" s="38"/>
      <c r="K2" s="22"/>
      <c r="L2" s="38" t="s">
        <v>1</v>
      </c>
      <c r="M2" s="38"/>
      <c r="N2" s="38"/>
      <c r="O2" s="33"/>
      <c r="P2" s="33"/>
    </row>
    <row r="3" spans="1:20" x14ac:dyDescent="0.25">
      <c r="A3" s="38" t="s">
        <v>48</v>
      </c>
      <c r="B3" s="38"/>
      <c r="C3" s="38"/>
      <c r="D3" s="2"/>
      <c r="F3" s="22"/>
      <c r="G3" s="22"/>
      <c r="H3" s="22" t="s">
        <v>33</v>
      </c>
      <c r="I3" s="22" t="s">
        <v>5</v>
      </c>
      <c r="J3" s="22" t="s">
        <v>20</v>
      </c>
      <c r="K3" s="22"/>
      <c r="L3" s="22" t="s">
        <v>33</v>
      </c>
      <c r="M3" s="22" t="s">
        <v>5</v>
      </c>
      <c r="N3" s="22" t="s">
        <v>20</v>
      </c>
      <c r="P3" s="38" t="s">
        <v>48</v>
      </c>
      <c r="Q3" s="38"/>
      <c r="R3" s="38"/>
    </row>
    <row r="4" spans="1:20" x14ac:dyDescent="0.25">
      <c r="A4" s="20" t="s">
        <v>13</v>
      </c>
      <c r="B4" s="20">
        <v>121500</v>
      </c>
      <c r="C4" s="20" t="s">
        <v>12</v>
      </c>
      <c r="D4" s="1">
        <v>6000</v>
      </c>
      <c r="E4" s="1" t="s">
        <v>63</v>
      </c>
      <c r="F4" s="32" t="s">
        <v>3</v>
      </c>
      <c r="G4" s="22" t="s">
        <v>6</v>
      </c>
      <c r="H4" s="38" t="s">
        <v>2</v>
      </c>
      <c r="I4" s="38"/>
      <c r="J4" s="22"/>
      <c r="K4" s="22"/>
      <c r="L4" s="38" t="s">
        <v>2</v>
      </c>
      <c r="M4" s="38"/>
      <c r="N4" s="22"/>
      <c r="P4" s="6" t="s">
        <v>13</v>
      </c>
      <c r="Q4" s="6">
        <v>121500</v>
      </c>
      <c r="R4" s="6" t="s">
        <v>12</v>
      </c>
      <c r="S4" s="1">
        <v>4650</v>
      </c>
      <c r="T4" s="1" t="s">
        <v>59</v>
      </c>
    </row>
    <row r="5" spans="1:20" x14ac:dyDescent="0.25">
      <c r="A5" s="20" t="s">
        <v>14</v>
      </c>
      <c r="B5" s="20">
        <v>75000</v>
      </c>
      <c r="C5" s="20">
        <f>B5+D4</f>
        <v>81000</v>
      </c>
      <c r="F5" s="32">
        <v>1</v>
      </c>
      <c r="G5" s="22">
        <v>0.2</v>
      </c>
      <c r="H5" s="11">
        <f>241*10^-15</f>
        <v>2.4100000000000003E-13</v>
      </c>
      <c r="I5" s="23">
        <v>0</v>
      </c>
      <c r="J5" s="22" t="s">
        <v>64</v>
      </c>
      <c r="K5" s="22"/>
      <c r="L5" s="11">
        <v>0</v>
      </c>
      <c r="M5" s="23">
        <v>0</v>
      </c>
      <c r="N5" s="22" t="s">
        <v>64</v>
      </c>
      <c r="P5" s="6" t="s">
        <v>14</v>
      </c>
      <c r="Q5" s="6">
        <v>50600</v>
      </c>
      <c r="R5" s="6">
        <f>Q5+S4</f>
        <v>55250</v>
      </c>
    </row>
    <row r="6" spans="1:20" x14ac:dyDescent="0.25">
      <c r="A6" s="20" t="s">
        <v>15</v>
      </c>
      <c r="B6" s="20">
        <v>235</v>
      </c>
      <c r="C6" s="20"/>
      <c r="D6" s="2"/>
      <c r="F6" s="32">
        <v>2</v>
      </c>
      <c r="G6" s="22">
        <v>0.4</v>
      </c>
      <c r="H6" s="11">
        <f>440*10^-15</f>
        <v>4.4000000000000004E-13</v>
      </c>
      <c r="I6" s="23">
        <v>0</v>
      </c>
      <c r="J6" s="22" t="s">
        <v>64</v>
      </c>
      <c r="K6" s="22"/>
      <c r="L6" s="11">
        <v>0</v>
      </c>
      <c r="M6" s="23">
        <v>0</v>
      </c>
      <c r="N6" s="22" t="s">
        <v>64</v>
      </c>
      <c r="P6" s="6" t="s">
        <v>15</v>
      </c>
      <c r="Q6" s="6">
        <v>235</v>
      </c>
      <c r="R6" s="6"/>
    </row>
    <row r="7" spans="1:20" x14ac:dyDescent="0.25">
      <c r="A7" s="20" t="s">
        <v>16</v>
      </c>
      <c r="B7" s="20">
        <v>10</v>
      </c>
      <c r="C7" s="20" t="s">
        <v>18</v>
      </c>
      <c r="D7" s="2"/>
      <c r="F7" s="32">
        <v>3</v>
      </c>
      <c r="G7" s="22">
        <v>0.6</v>
      </c>
      <c r="H7" s="11">
        <f xml:space="preserve"> 639*10^-15</f>
        <v>6.39E-13</v>
      </c>
      <c r="I7" s="23">
        <v>0</v>
      </c>
      <c r="J7" s="22" t="s">
        <v>64</v>
      </c>
      <c r="K7" s="22"/>
      <c r="L7" s="11">
        <v>0</v>
      </c>
      <c r="M7" s="23">
        <v>0</v>
      </c>
      <c r="N7" s="22" t="s">
        <v>64</v>
      </c>
      <c r="P7" s="6" t="s">
        <v>16</v>
      </c>
      <c r="Q7" s="6">
        <v>10</v>
      </c>
      <c r="R7" s="6" t="s">
        <v>18</v>
      </c>
    </row>
    <row r="8" spans="1:20" x14ac:dyDescent="0.25">
      <c r="A8" s="20" t="s">
        <v>17</v>
      </c>
      <c r="B8" s="20">
        <v>10</v>
      </c>
      <c r="C8" s="20"/>
      <c r="D8" s="2"/>
      <c r="F8" s="32">
        <v>4</v>
      </c>
      <c r="G8" s="22">
        <v>0.8</v>
      </c>
      <c r="H8" s="11">
        <f xml:space="preserve"> 839*10^-15</f>
        <v>8.3900000000000006E-13</v>
      </c>
      <c r="I8" s="23">
        <v>0</v>
      </c>
      <c r="J8" s="22" t="s">
        <v>64</v>
      </c>
      <c r="K8" s="22"/>
      <c r="L8" s="11">
        <f>0.18*10^-6</f>
        <v>1.8E-7</v>
      </c>
      <c r="M8" s="23">
        <v>0</v>
      </c>
      <c r="N8" s="22" t="s">
        <v>64</v>
      </c>
      <c r="P8" s="6" t="s">
        <v>17</v>
      </c>
      <c r="Q8" s="6">
        <v>10</v>
      </c>
      <c r="R8" s="6"/>
    </row>
    <row r="9" spans="1:20" x14ac:dyDescent="0.25">
      <c r="A9" s="20" t="s">
        <v>19</v>
      </c>
      <c r="B9" s="20"/>
      <c r="C9" s="20"/>
      <c r="D9" s="2"/>
      <c r="F9" s="32">
        <v>5</v>
      </c>
      <c r="G9" s="22">
        <v>1</v>
      </c>
      <c r="H9" s="11">
        <f>1.04*10^-12</f>
        <v>1.04E-12</v>
      </c>
      <c r="I9" s="23">
        <v>0</v>
      </c>
      <c r="J9" s="22" t="s">
        <v>64</v>
      </c>
      <c r="K9" s="22"/>
      <c r="L9" s="11">
        <f>3.61*10^-6</f>
        <v>3.6099999999999997E-6</v>
      </c>
      <c r="M9" s="23">
        <v>0</v>
      </c>
      <c r="N9" s="22" t="s">
        <v>64</v>
      </c>
      <c r="P9" s="6" t="s">
        <v>19</v>
      </c>
      <c r="Q9" s="6"/>
      <c r="R9" s="6"/>
    </row>
    <row r="10" spans="1:20" x14ac:dyDescent="0.25">
      <c r="F10" s="32">
        <v>6</v>
      </c>
      <c r="G10" s="22">
        <v>1.2</v>
      </c>
      <c r="H10" s="11">
        <f>1.242*10^-12</f>
        <v>1.242E-12</v>
      </c>
      <c r="I10" s="23">
        <v>0</v>
      </c>
      <c r="J10" s="22" t="s">
        <v>64</v>
      </c>
      <c r="K10" s="22"/>
      <c r="L10" s="11">
        <f>15.53*10^-6</f>
        <v>1.5529999999999999E-5</v>
      </c>
      <c r="M10" s="23">
        <v>0</v>
      </c>
      <c r="N10" s="22" t="s">
        <v>64</v>
      </c>
    </row>
    <row r="11" spans="1:20" x14ac:dyDescent="0.25">
      <c r="F11" s="32">
        <v>7</v>
      </c>
      <c r="G11" s="22">
        <v>1.4</v>
      </c>
      <c r="H11" s="11">
        <f>1.439*10^-12</f>
        <v>1.439E-12</v>
      </c>
      <c r="I11" s="23">
        <v>0</v>
      </c>
      <c r="J11" s="22" t="s">
        <v>64</v>
      </c>
      <c r="K11" s="22"/>
      <c r="L11" s="11">
        <f>0.955*10^-3</f>
        <v>9.5500000000000001E-4</v>
      </c>
      <c r="M11" s="11">
        <f>$P$19/2*(G11-$O$19)^2</f>
        <v>2.2965893661594382E-3</v>
      </c>
      <c r="N11" s="22">
        <f t="shared" ref="N11:N14" si="0">(M11-L11)/L11*100</f>
        <v>140.48056190151183</v>
      </c>
      <c r="Q11" s="19">
        <f>2.7/Q6</f>
        <v>1.148936170212766E-2</v>
      </c>
      <c r="R11" s="1" t="s">
        <v>58</v>
      </c>
    </row>
    <row r="12" spans="1:20" x14ac:dyDescent="0.25">
      <c r="F12" s="32">
        <v>8</v>
      </c>
      <c r="G12" s="22">
        <v>1.6</v>
      </c>
      <c r="H12" s="11">
        <f>5.193*10^-6</f>
        <v>5.1929999999999992E-6</v>
      </c>
      <c r="I12" s="11">
        <f t="shared" ref="I12:I15" si="1">$J$19/2 * (G12 - $I$19)^2</f>
        <v>9.2602040816328553E-6</v>
      </c>
      <c r="J12" s="22">
        <f t="shared" ref="J12:J15" si="2">ABS((I12-H12)/H12*100)</f>
        <v>78.320895082473655</v>
      </c>
      <c r="K12" s="22"/>
      <c r="L12" s="11">
        <f>12.9*10^-3</f>
        <v>1.29E-2</v>
      </c>
      <c r="M12" s="11">
        <f>$P$19/2*(G12-$O$19)^2</f>
        <v>1.3519066111138844E-2</v>
      </c>
      <c r="N12" s="22">
        <f t="shared" si="0"/>
        <v>4.7989621018515072</v>
      </c>
    </row>
    <row r="13" spans="1:20" x14ac:dyDescent="0.25">
      <c r="F13" s="32">
        <v>9</v>
      </c>
      <c r="G13" s="22">
        <v>1.8</v>
      </c>
      <c r="H13" s="11">
        <f xml:space="preserve"> 3.309*10^-3</f>
        <v>3.3090000000000003E-3</v>
      </c>
      <c r="I13" s="11">
        <f t="shared" si="1"/>
        <v>3.407219387755104E-3</v>
      </c>
      <c r="J13" s="22">
        <f t="shared" si="2"/>
        <v>2.9682498566063376</v>
      </c>
      <c r="K13" s="22"/>
      <c r="L13" s="11">
        <f>31.8*10^-3</f>
        <v>3.1800000000000002E-2</v>
      </c>
      <c r="M13" s="11">
        <f>$P$19/2*(G13-$O$19)^2</f>
        <v>3.4084652996383309E-2</v>
      </c>
      <c r="N13" s="22">
        <f t="shared" si="0"/>
        <v>7.1844433848531679</v>
      </c>
    </row>
    <row r="14" spans="1:20" x14ac:dyDescent="0.25">
      <c r="F14" s="32">
        <v>10</v>
      </c>
      <c r="G14" s="22">
        <v>2</v>
      </c>
      <c r="H14" s="11">
        <f xml:space="preserve"> 13.05*10^-3</f>
        <v>1.3050000000000001E-2</v>
      </c>
      <c r="I14" s="11">
        <f t="shared" si="1"/>
        <v>1.2927627551020407E-2</v>
      </c>
      <c r="J14" s="22">
        <f t="shared" si="2"/>
        <v>0.93771991555244349</v>
      </c>
      <c r="K14" s="22"/>
      <c r="L14" s="11">
        <f>59.5*10^-3</f>
        <v>5.9500000000000004E-2</v>
      </c>
      <c r="M14" s="11">
        <f>$P$19/2*(G14-$O$19)^2</f>
        <v>6.3993350021892839E-2</v>
      </c>
      <c r="N14" s="22">
        <f t="shared" si="0"/>
        <v>7.5518487762904778</v>
      </c>
    </row>
    <row r="15" spans="1:20" x14ac:dyDescent="0.25">
      <c r="F15" s="32">
        <v>11</v>
      </c>
      <c r="G15" s="22">
        <v>2.2000000000000002</v>
      </c>
      <c r="H15" s="11">
        <f xml:space="preserve"> 28.461*10^-3</f>
        <v>2.8461E-2</v>
      </c>
      <c r="I15" s="11">
        <f t="shared" si="1"/>
        <v>2.8570484693877563E-2</v>
      </c>
      <c r="J15" s="22">
        <f t="shared" si="2"/>
        <v>0.38468322925253157</v>
      </c>
      <c r="K15" s="22"/>
      <c r="L15" s="11"/>
      <c r="M15" s="11"/>
      <c r="N15" s="22"/>
    </row>
    <row r="16" spans="1:20" x14ac:dyDescent="0.25">
      <c r="F16" s="2"/>
      <c r="G16" s="2"/>
      <c r="H16" s="2"/>
      <c r="I16" s="2"/>
      <c r="J16" s="2"/>
      <c r="K16" s="2"/>
      <c r="L16" s="2"/>
      <c r="M16" s="2"/>
      <c r="N16" s="2"/>
    </row>
    <row r="17" spans="4:28" x14ac:dyDescent="0.25">
      <c r="F17" s="2"/>
      <c r="G17" s="2" t="s">
        <v>45</v>
      </c>
      <c r="H17" s="2" t="s">
        <v>46</v>
      </c>
      <c r="I17" s="1" t="s">
        <v>44</v>
      </c>
      <c r="J17" s="1" t="s">
        <v>47</v>
      </c>
      <c r="K17" s="2"/>
      <c r="L17" s="25"/>
      <c r="M17" s="2" t="s">
        <v>45</v>
      </c>
      <c r="N17" s="2" t="s">
        <v>46</v>
      </c>
      <c r="O17" s="1" t="s">
        <v>44</v>
      </c>
      <c r="P17" s="1" t="s">
        <v>47</v>
      </c>
      <c r="X17" s="2"/>
      <c r="Y17" s="2"/>
      <c r="Z17" s="2"/>
      <c r="AA17" s="2"/>
      <c r="AB17" s="2"/>
    </row>
    <row r="18" spans="4:28" x14ac:dyDescent="0.25">
      <c r="F18" s="2"/>
      <c r="G18" s="6" t="s">
        <v>6</v>
      </c>
      <c r="H18" s="6" t="s">
        <v>4</v>
      </c>
      <c r="I18" s="6" t="s">
        <v>10</v>
      </c>
      <c r="J18" s="6" t="s">
        <v>11</v>
      </c>
      <c r="K18" s="2"/>
      <c r="M18" s="6" t="s">
        <v>6</v>
      </c>
      <c r="N18" s="6" t="s">
        <v>4</v>
      </c>
      <c r="O18" s="6" t="s">
        <v>10</v>
      </c>
      <c r="P18" s="6" t="s">
        <v>11</v>
      </c>
      <c r="X18" s="2"/>
      <c r="Y18" s="2"/>
      <c r="Z18" s="2"/>
      <c r="AA18" s="2"/>
      <c r="AB18" s="2"/>
    </row>
    <row r="19" spans="4:28" x14ac:dyDescent="0.25">
      <c r="E19" s="36"/>
      <c r="F19" s="2"/>
      <c r="G19" s="8">
        <v>1.869</v>
      </c>
      <c r="H19" s="8">
        <f xml:space="preserve"> 6*10^-3</f>
        <v>6.0000000000000001E-3</v>
      </c>
      <c r="I19" s="46">
        <f>2*G19-G20</f>
        <v>1.589</v>
      </c>
      <c r="J19" s="44">
        <f>(2 * H19) / (G19-I19)^2</f>
        <v>0.15306122448979589</v>
      </c>
      <c r="K19" s="2"/>
      <c r="L19" s="21"/>
      <c r="M19" s="10">
        <v>1.4864299999999999</v>
      </c>
      <c r="N19" s="8">
        <f xml:space="preserve"> 6*10^-3</f>
        <v>6.0000000000000001E-3</v>
      </c>
      <c r="O19" s="46">
        <f>2*M19-M20</f>
        <v>1.2597699999999998</v>
      </c>
      <c r="P19" s="44">
        <f>(2 * N19) / (M19-O19)^2</f>
        <v>0.23357775350662674</v>
      </c>
      <c r="X19" s="25"/>
      <c r="Y19" s="26"/>
      <c r="Z19" s="27"/>
      <c r="AA19" s="25"/>
      <c r="AB19" s="2"/>
    </row>
    <row r="20" spans="4:28" x14ac:dyDescent="0.25">
      <c r="D20" s="35"/>
      <c r="F20" s="2"/>
      <c r="G20" s="8">
        <v>2.149</v>
      </c>
      <c r="H20" s="8">
        <f xml:space="preserve"> 24*10^-3</f>
        <v>2.4E-2</v>
      </c>
      <c r="I20" s="47"/>
      <c r="J20" s="45"/>
      <c r="K20" s="2"/>
      <c r="M20" s="10">
        <v>1.71309</v>
      </c>
      <c r="N20" s="8">
        <f xml:space="preserve"> 24*10^-3</f>
        <v>2.4E-2</v>
      </c>
      <c r="O20" s="47"/>
      <c r="P20" s="45"/>
      <c r="X20" s="25"/>
      <c r="Y20" s="26"/>
      <c r="Z20" s="2"/>
      <c r="AA20" s="25"/>
      <c r="AB20" s="2"/>
    </row>
    <row r="21" spans="4:28" x14ac:dyDescent="0.25">
      <c r="X21" s="2"/>
      <c r="Y21" s="2"/>
      <c r="Z21" s="2"/>
      <c r="AA21" s="2"/>
      <c r="AB21" s="2"/>
    </row>
    <row r="22" spans="4:28" s="7" customFormat="1" x14ac:dyDescent="0.25">
      <c r="G22" s="7" t="s">
        <v>40</v>
      </c>
      <c r="K22" s="14" t="s">
        <v>34</v>
      </c>
      <c r="L22" s="7" t="s">
        <v>35</v>
      </c>
      <c r="N22" s="7" t="s">
        <v>36</v>
      </c>
    </row>
    <row r="23" spans="4:28" x14ac:dyDescent="0.25">
      <c r="H23" s="6"/>
      <c r="I23" s="6"/>
      <c r="J23" s="6"/>
      <c r="K23" s="2"/>
      <c r="N23" s="6"/>
      <c r="O23" s="6" t="s">
        <v>31</v>
      </c>
      <c r="P23" s="6" t="s">
        <v>32</v>
      </c>
    </row>
    <row r="24" spans="4:28" x14ac:dyDescent="0.25">
      <c r="H24" s="6" t="s">
        <v>29</v>
      </c>
      <c r="I24" s="6" t="s">
        <v>7</v>
      </c>
      <c r="J24" s="6" t="s">
        <v>22</v>
      </c>
      <c r="K24" s="2"/>
      <c r="N24" s="6" t="s">
        <v>29</v>
      </c>
      <c r="O24" s="6" t="s">
        <v>7</v>
      </c>
      <c r="P24" s="6" t="s">
        <v>22</v>
      </c>
    </row>
    <row r="25" spans="4:28" x14ac:dyDescent="0.25">
      <c r="H25" s="6">
        <v>1.9079999999999999</v>
      </c>
      <c r="I25" s="6">
        <v>3.1709999999999998</v>
      </c>
      <c r="J25" s="10">
        <f>7.78*10^-3</f>
        <v>7.7800000000000005E-3</v>
      </c>
      <c r="K25" s="2"/>
      <c r="N25" s="6">
        <v>1.4630000000000001</v>
      </c>
      <c r="O25" s="6">
        <v>3.67</v>
      </c>
      <c r="P25" s="10">
        <f>5.67*10^-3</f>
        <v>5.6699999999999997E-3</v>
      </c>
    </row>
    <row r="26" spans="4:28" x14ac:dyDescent="0.25">
      <c r="H26" s="20" t="s">
        <v>61</v>
      </c>
      <c r="J26" s="20" t="s">
        <v>25</v>
      </c>
      <c r="K26" s="2"/>
      <c r="N26" s="20" t="s">
        <v>60</v>
      </c>
      <c r="P26" s="20" t="s">
        <v>25</v>
      </c>
    </row>
    <row r="27" spans="4:28" x14ac:dyDescent="0.25">
      <c r="H27" s="20">
        <v>2</v>
      </c>
      <c r="J27" s="10">
        <f>12.95*10^-3</f>
        <v>1.295E-2</v>
      </c>
      <c r="K27" s="2"/>
      <c r="N27" s="20">
        <v>1.556</v>
      </c>
      <c r="P27" s="10">
        <f>11.51*10^-3</f>
        <v>1.1509999999999999E-2</v>
      </c>
    </row>
    <row r="28" spans="4:28" x14ac:dyDescent="0.25">
      <c r="H28" s="2"/>
    </row>
    <row r="29" spans="4:28" s="7" customFormat="1" x14ac:dyDescent="0.25">
      <c r="G29" s="7" t="s">
        <v>41</v>
      </c>
      <c r="H29" s="42" t="s">
        <v>49</v>
      </c>
      <c r="I29" s="43"/>
      <c r="J29" s="15"/>
      <c r="K29" s="14" t="s">
        <v>37</v>
      </c>
      <c r="L29" s="7" t="s">
        <v>35</v>
      </c>
      <c r="N29" s="42" t="s">
        <v>49</v>
      </c>
      <c r="O29" s="43"/>
      <c r="P29" s="15"/>
    </row>
    <row r="30" spans="4:28" x14ac:dyDescent="0.25">
      <c r="H30" s="6" t="s">
        <v>8</v>
      </c>
      <c r="I30" s="6" t="s">
        <v>9</v>
      </c>
      <c r="J30" s="6" t="s">
        <v>30</v>
      </c>
      <c r="K30" s="2" t="s">
        <v>38</v>
      </c>
      <c r="N30" s="6" t="s">
        <v>8</v>
      </c>
      <c r="O30" s="6" t="s">
        <v>9</v>
      </c>
      <c r="P30" s="6" t="s">
        <v>54</v>
      </c>
      <c r="Q30" s="1" t="s">
        <v>39</v>
      </c>
    </row>
    <row r="31" spans="4:28" x14ac:dyDescent="0.25">
      <c r="H31" s="8">
        <f>225*10^-3</f>
        <v>0.22500000000000001</v>
      </c>
      <c r="I31" s="8">
        <f>20*10^-3</f>
        <v>0.02</v>
      </c>
      <c r="J31" s="17">
        <f>H31/I31</f>
        <v>11.25</v>
      </c>
      <c r="K31" s="2"/>
      <c r="N31" s="6">
        <f>362*10^-3</f>
        <v>0.36199999999999999</v>
      </c>
      <c r="O31" s="6">
        <f>21.53*10^-3</f>
        <v>2.1530000000000001E-2</v>
      </c>
      <c r="P31" s="17">
        <f>N31/O31</f>
        <v>16.81374825824431</v>
      </c>
    </row>
    <row r="32" spans="4:28" x14ac:dyDescent="0.25">
      <c r="H32" s="2"/>
      <c r="I32" s="2"/>
      <c r="J32" s="2"/>
      <c r="K32" s="2"/>
      <c r="N32" s="2"/>
      <c r="O32" s="2"/>
      <c r="P32" s="2"/>
    </row>
    <row r="33" spans="1:17" s="7" customFormat="1" x14ac:dyDescent="0.25">
      <c r="G33" s="7" t="s">
        <v>43</v>
      </c>
      <c r="H33" s="14"/>
      <c r="I33" s="14"/>
      <c r="J33" s="14"/>
      <c r="K33" s="14"/>
      <c r="N33" s="14"/>
      <c r="O33" s="14"/>
      <c r="P33" s="14"/>
    </row>
    <row r="34" spans="1:17" ht="15.75" x14ac:dyDescent="0.25">
      <c r="A34" s="37">
        <v>0.14000000000000001</v>
      </c>
      <c r="H34" s="3" t="s">
        <v>23</v>
      </c>
      <c r="L34" s="2"/>
      <c r="M34" s="16">
        <v>0.1</v>
      </c>
      <c r="N34" s="1" t="s">
        <v>31</v>
      </c>
      <c r="O34" s="2"/>
    </row>
    <row r="35" spans="1:17" ht="15.75" x14ac:dyDescent="0.25">
      <c r="K35" s="3" t="s">
        <v>24</v>
      </c>
    </row>
    <row r="37" spans="1:17" s="7" customFormat="1" x14ac:dyDescent="0.25">
      <c r="G37" s="7" t="s">
        <v>51</v>
      </c>
      <c r="Q37" s="7" t="s">
        <v>42</v>
      </c>
    </row>
    <row r="38" spans="1:17" x14ac:dyDescent="0.25">
      <c r="K38" s="2" t="s">
        <v>21</v>
      </c>
    </row>
    <row r="40" spans="1:17" ht="15.75" x14ac:dyDescent="0.25">
      <c r="K40" s="39"/>
      <c r="L40" s="39"/>
    </row>
    <row r="41" spans="1:17" x14ac:dyDescent="0.25">
      <c r="G41" s="38" t="s">
        <v>50</v>
      </c>
      <c r="H41" s="38"/>
      <c r="I41" s="6" t="s">
        <v>55</v>
      </c>
      <c r="J41" s="6" t="s">
        <v>56</v>
      </c>
      <c r="L41" s="40" t="s">
        <v>50</v>
      </c>
      <c r="M41" s="41"/>
      <c r="N41" s="6" t="s">
        <v>55</v>
      </c>
      <c r="O41" s="6" t="s">
        <v>56</v>
      </c>
    </row>
    <row r="42" spans="1:17" ht="18" x14ac:dyDescent="0.25">
      <c r="G42" s="4" t="s">
        <v>27</v>
      </c>
      <c r="H42" s="4" t="s">
        <v>26</v>
      </c>
      <c r="I42" s="6" t="s">
        <v>28</v>
      </c>
      <c r="J42" s="6" t="s">
        <v>28</v>
      </c>
      <c r="L42" s="4" t="s">
        <v>27</v>
      </c>
      <c r="M42" s="4" t="s">
        <v>26</v>
      </c>
      <c r="N42" s="6" t="s">
        <v>28</v>
      </c>
      <c r="O42" s="6" t="s">
        <v>28</v>
      </c>
    </row>
    <row r="43" spans="1:17" x14ac:dyDescent="0.25">
      <c r="G43" s="8">
        <f>H27-H25</f>
        <v>9.2000000000000082E-2</v>
      </c>
      <c r="H43" s="9">
        <f>J27-J25</f>
        <v>5.1699999999999992E-3</v>
      </c>
      <c r="I43" s="10">
        <f>H43/G43</f>
        <v>5.6195652173912987E-2</v>
      </c>
      <c r="J43" s="10">
        <f>J19*(H25-I19)</f>
        <v>4.882653061224488E-2</v>
      </c>
      <c r="L43" s="8">
        <f>N27-N25</f>
        <v>9.2999999999999972E-2</v>
      </c>
      <c r="M43" s="9">
        <f>P27-P25</f>
        <v>5.8399999999999997E-3</v>
      </c>
      <c r="N43" s="10">
        <f>M43/L43</f>
        <v>6.2795698924731205E-2</v>
      </c>
      <c r="O43" s="10">
        <f>P19*(N25-O19)</f>
        <v>4.7470006845151812E-2</v>
      </c>
    </row>
    <row r="44" spans="1:17" x14ac:dyDescent="0.25">
      <c r="G44" s="2"/>
      <c r="H44" s="26"/>
      <c r="I44" s="25"/>
      <c r="J44" s="25"/>
      <c r="L44" s="27"/>
      <c r="M44" s="26"/>
      <c r="N44" s="25"/>
      <c r="O44" s="25"/>
    </row>
    <row r="45" spans="1:17" x14ac:dyDescent="0.25">
      <c r="G45" s="2"/>
      <c r="H45" s="28" t="s">
        <v>53</v>
      </c>
      <c r="I45" s="17">
        <f>$B$6*I43</f>
        <v>13.205978260869552</v>
      </c>
      <c r="J45" s="17">
        <f>$B$6*J43</f>
        <v>11.474234693877547</v>
      </c>
      <c r="L45" s="27"/>
      <c r="M45" s="28" t="s">
        <v>53</v>
      </c>
      <c r="N45" s="17">
        <f>$Q$6*N43</f>
        <v>14.756989247311834</v>
      </c>
      <c r="O45" s="17">
        <f>$Q$6*O43</f>
        <v>11.155451608610676</v>
      </c>
    </row>
    <row r="46" spans="1:17" x14ac:dyDescent="0.25">
      <c r="G46" s="2"/>
      <c r="H46" s="28" t="s">
        <v>20</v>
      </c>
      <c r="I46" s="28">
        <f>ABS( ($J$31-I45)/I45*100 )</f>
        <v>14.811309107370588</v>
      </c>
      <c r="J46" s="28">
        <f>ABS( ($J$31-J45)/J45*100 )</f>
        <v>1.9542453144800527</v>
      </c>
      <c r="K46" s="2"/>
      <c r="L46" s="2"/>
      <c r="M46" s="28" t="s">
        <v>20</v>
      </c>
      <c r="N46" s="28">
        <f>($P$31-N45)/N45*100</f>
        <v>13.937524629606541</v>
      </c>
      <c r="O46" s="28">
        <f>($P$31-O45)/O45*100</f>
        <v>50.722255343442171</v>
      </c>
      <c r="P46" s="2"/>
      <c r="Q46" s="2"/>
    </row>
    <row r="47" spans="1:17" s="7" customFormat="1" x14ac:dyDescent="0.25">
      <c r="G47" s="7" t="s">
        <v>52</v>
      </c>
      <c r="H47" s="14"/>
      <c r="I47" s="14"/>
      <c r="J47" s="14"/>
      <c r="K47" s="14"/>
      <c r="L47" s="14"/>
      <c r="Q47" s="14"/>
    </row>
    <row r="48" spans="1:17" x14ac:dyDescent="0.25">
      <c r="G48" s="12"/>
      <c r="H48" s="12"/>
      <c r="I48" s="2"/>
      <c r="J48" s="2"/>
      <c r="K48" s="2"/>
      <c r="L48" s="2"/>
      <c r="Q48" s="2"/>
    </row>
    <row r="49" spans="7:17" ht="21" x14ac:dyDescent="0.25">
      <c r="G49" s="2"/>
      <c r="H49" s="29"/>
      <c r="I49" s="30"/>
      <c r="J49" s="31" t="s">
        <v>62</v>
      </c>
      <c r="K49" s="30"/>
      <c r="L49" s="13"/>
      <c r="M49" s="2"/>
      <c r="N49" s="2"/>
      <c r="O49" s="2"/>
      <c r="P49" s="2"/>
      <c r="Q49" s="2"/>
    </row>
    <row r="50" spans="7:17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7:17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7:17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85" spans="15:15" ht="28.5" x14ac:dyDescent="0.25">
      <c r="O85" s="5"/>
    </row>
  </sheetData>
  <mergeCells count="15">
    <mergeCell ref="P3:R3"/>
    <mergeCell ref="H4:I4"/>
    <mergeCell ref="H29:I29"/>
    <mergeCell ref="N29:O29"/>
    <mergeCell ref="L4:M4"/>
    <mergeCell ref="J19:J20"/>
    <mergeCell ref="I19:I20"/>
    <mergeCell ref="O19:O20"/>
    <mergeCell ref="P19:P20"/>
    <mergeCell ref="A3:C3"/>
    <mergeCell ref="K40:L40"/>
    <mergeCell ref="G41:H41"/>
    <mergeCell ref="L41:M41"/>
    <mergeCell ref="H2:J2"/>
    <mergeCell ref="L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Измерения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2018-05-05T18:27:41Z</dcterms:modified>
</cp:coreProperties>
</file>