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5to Semestre ESCOM\Admon\Actividades\3rd period\"/>
    </mc:Choice>
  </mc:AlternateContent>
  <xr:revisionPtr revIDLastSave="0" documentId="8_{DBE5C1F8-5C86-45F4-8FC5-7AC6E4C80B17}" xr6:coauthVersionLast="47" xr6:coauthVersionMax="47" xr10:uidLastSave="{00000000-0000-0000-0000-000000000000}"/>
  <bookViews>
    <workbookView xWindow="-28920" yWindow="-120" windowWidth="29040" windowHeight="15840" activeTab="1" xr2:uid="{6FA1562C-1C82-4F88-A500-5B7E456D2D40}"/>
  </bookViews>
  <sheets>
    <sheet name="Ejercicio1" sheetId="1" r:id="rId1"/>
    <sheet name="Ejercic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2" l="1"/>
  <c r="J20" i="2"/>
  <c r="N23" i="2"/>
  <c r="M23" i="2"/>
  <c r="C20" i="2"/>
  <c r="G23" i="2"/>
  <c r="F23" i="2"/>
  <c r="C36" i="1"/>
  <c r="N17" i="2"/>
  <c r="N16" i="2"/>
  <c r="N15" i="2"/>
  <c r="N14" i="2"/>
  <c r="N13" i="2"/>
  <c r="M17" i="2"/>
  <c r="M16" i="2"/>
  <c r="M15" i="2"/>
  <c r="M14" i="2"/>
  <c r="M13" i="2"/>
  <c r="M18" i="2"/>
  <c r="L13" i="2"/>
  <c r="L17" i="2"/>
  <c r="L16" i="2"/>
  <c r="L15" i="2"/>
  <c r="L14" i="2"/>
  <c r="K16" i="2"/>
  <c r="K17" i="2"/>
  <c r="K15" i="2"/>
  <c r="K14" i="2"/>
  <c r="K13" i="2"/>
  <c r="L18" i="2"/>
  <c r="G14" i="2"/>
  <c r="G15" i="2"/>
  <c r="G16" i="2"/>
  <c r="G17" i="2"/>
  <c r="G13" i="2"/>
  <c r="F14" i="2"/>
  <c r="F15" i="2"/>
  <c r="F16" i="2"/>
  <c r="F17" i="2"/>
  <c r="F13" i="2"/>
  <c r="E14" i="2"/>
  <c r="E15" i="2"/>
  <c r="E16" i="2"/>
  <c r="E17" i="2"/>
  <c r="E13" i="2"/>
  <c r="C64" i="1"/>
  <c r="G58" i="1"/>
  <c r="G59" i="1"/>
  <c r="G60" i="1"/>
  <c r="G61" i="1"/>
  <c r="G57" i="1"/>
  <c r="F58" i="1"/>
  <c r="F59" i="1"/>
  <c r="F60" i="1"/>
  <c r="F61" i="1"/>
  <c r="F57" i="1"/>
  <c r="E58" i="1"/>
  <c r="E59" i="1"/>
  <c r="E60" i="1"/>
  <c r="E61" i="1"/>
  <c r="E57" i="1"/>
  <c r="D61" i="1"/>
  <c r="D60" i="1"/>
  <c r="D59" i="1"/>
  <c r="D58" i="1"/>
  <c r="D57" i="1"/>
  <c r="G56" i="1"/>
  <c r="F56" i="1"/>
  <c r="E56" i="1"/>
  <c r="D56" i="1"/>
  <c r="D62" i="1" s="1"/>
  <c r="C56" i="1"/>
  <c r="C50" i="1"/>
  <c r="G43" i="1"/>
  <c r="G44" i="1"/>
  <c r="G45" i="1"/>
  <c r="G46" i="1"/>
  <c r="G47" i="1"/>
  <c r="F44" i="1"/>
  <c r="F45" i="1"/>
  <c r="F46" i="1"/>
  <c r="F47" i="1"/>
  <c r="F43" i="1"/>
  <c r="N7" i="1"/>
  <c r="D17" i="2"/>
  <c r="E44" i="1"/>
  <c r="E45" i="1"/>
  <c r="E46" i="1"/>
  <c r="E47" i="1"/>
  <c r="E43" i="1"/>
  <c r="D44" i="1"/>
  <c r="D45" i="1"/>
  <c r="D46" i="1"/>
  <c r="D47" i="1"/>
  <c r="D43" i="1"/>
  <c r="D13" i="2"/>
  <c r="H30" i="1"/>
  <c r="H31" i="1"/>
  <c r="H32" i="1"/>
  <c r="H33" i="1"/>
  <c r="H29" i="1"/>
  <c r="H28" i="1"/>
  <c r="G30" i="1"/>
  <c r="G31" i="1"/>
  <c r="G32" i="1"/>
  <c r="G33" i="1"/>
  <c r="G29" i="1"/>
  <c r="N6" i="1"/>
  <c r="D15" i="2"/>
  <c r="F30" i="1"/>
  <c r="F31" i="1"/>
  <c r="F32" i="1"/>
  <c r="F33" i="1"/>
  <c r="F29" i="1"/>
  <c r="D14" i="2"/>
  <c r="D16" i="2"/>
  <c r="G42" i="1"/>
  <c r="F42" i="1"/>
  <c r="E42" i="1"/>
  <c r="D42" i="1"/>
  <c r="C42" i="1"/>
  <c r="D29" i="1"/>
  <c r="D30" i="1"/>
  <c r="D31" i="1"/>
  <c r="D32" i="1"/>
  <c r="D33" i="1"/>
  <c r="E29" i="1"/>
  <c r="E30" i="1"/>
  <c r="E31" i="1"/>
  <c r="E32" i="1"/>
  <c r="E33" i="1"/>
  <c r="G28" i="1"/>
  <c r="F28" i="1"/>
  <c r="E28" i="1"/>
  <c r="D28" i="1"/>
  <c r="D34" i="1" s="1"/>
  <c r="C28" i="1"/>
  <c r="N5" i="1"/>
  <c r="C22" i="1"/>
  <c r="G20" i="1"/>
  <c r="F16" i="1"/>
  <c r="F17" i="1"/>
  <c r="F18" i="1"/>
  <c r="F19" i="1"/>
  <c r="F15" i="1"/>
  <c r="G16" i="1"/>
  <c r="G17" i="1"/>
  <c r="G18" i="1"/>
  <c r="G19" i="1"/>
  <c r="G15" i="1"/>
  <c r="G14" i="1"/>
  <c r="F14" i="1"/>
  <c r="E16" i="1"/>
  <c r="E17" i="1"/>
  <c r="E18" i="1"/>
  <c r="E19" i="1"/>
  <c r="E15" i="1"/>
  <c r="E14" i="1"/>
  <c r="D20" i="1"/>
  <c r="D16" i="1"/>
  <c r="D17" i="1"/>
  <c r="D18" i="1"/>
  <c r="D19" i="1"/>
  <c r="D15" i="1"/>
  <c r="C14" i="1"/>
  <c r="D14" i="1"/>
  <c r="N8" i="1"/>
  <c r="I4" i="1"/>
  <c r="J4" i="1"/>
  <c r="K4" i="1"/>
  <c r="H4" i="1"/>
  <c r="N18" i="2" l="1"/>
  <c r="K18" i="2"/>
  <c r="F18" i="2"/>
  <c r="G18" i="2"/>
  <c r="E18" i="2"/>
  <c r="G62" i="1"/>
  <c r="E62" i="1"/>
  <c r="F62" i="1"/>
  <c r="G48" i="1"/>
  <c r="F48" i="1"/>
  <c r="E48" i="1"/>
  <c r="D48" i="1"/>
  <c r="H34" i="1"/>
  <c r="G34" i="1"/>
  <c r="F34" i="1"/>
  <c r="E34" i="1"/>
  <c r="F20" i="1"/>
  <c r="E20" i="1"/>
</calcChain>
</file>

<file path=xl/sharedStrings.xml><?xml version="1.0" encoding="utf-8"?>
<sst xmlns="http://schemas.openxmlformats.org/spreadsheetml/2006/main" count="100" uniqueCount="55">
  <si>
    <t>Año</t>
  </si>
  <si>
    <t>Proyecto "A"</t>
  </si>
  <si>
    <t>Proyecto "B"</t>
  </si>
  <si>
    <t>Proyecto "C"</t>
  </si>
  <si>
    <t>Proyecto "D"</t>
  </si>
  <si>
    <t>$   150,000</t>
  </si>
  <si>
    <t>$   300,000</t>
  </si>
  <si>
    <t>$   450,000</t>
  </si>
  <si>
    <t>$   600,000</t>
  </si>
  <si>
    <t>Tasa interes</t>
  </si>
  <si>
    <t>TIR</t>
  </si>
  <si>
    <t>Inversión inicial</t>
  </si>
  <si>
    <t>TIR A</t>
  </si>
  <si>
    <t>TIR B</t>
  </si>
  <si>
    <t>TIR C</t>
  </si>
  <si>
    <t>TIR D</t>
  </si>
  <si>
    <t>Periodo</t>
  </si>
  <si>
    <t>Flujo neto de efectivo</t>
  </si>
  <si>
    <t>FNE</t>
  </si>
  <si>
    <t>Flujo descontado con i = 5%</t>
  </si>
  <si>
    <t>CALCULO TIR PROYECTO A metodo prueba y error</t>
  </si>
  <si>
    <t>Flujo descontado con i = 15%</t>
  </si>
  <si>
    <t>Flujo descontado con i = 10%</t>
  </si>
  <si>
    <t>Flujo descontado con i = 12%</t>
  </si>
  <si>
    <t>Flujo descontado con i = 18%</t>
  </si>
  <si>
    <t>Flujo descontado con i = 20%</t>
  </si>
  <si>
    <t>Flujo descontado con i = 19%</t>
  </si>
  <si>
    <t>Flujo descontado con i = 17%</t>
  </si>
  <si>
    <t> </t>
  </si>
  <si>
    <t>Proyecto "A" </t>
  </si>
  <si>
    <t>Proyecto "B" </t>
  </si>
  <si>
    <t>Inversión inicial </t>
  </si>
  <si>
    <t>– $84,000 </t>
  </si>
  <si>
    <t>– $90,000 </t>
  </si>
  <si>
    <t>FNE año 1 </t>
  </si>
  <si>
    <t>$28,000 </t>
  </si>
  <si>
    <t>$56,000 </t>
  </si>
  <si>
    <t>FNE año 2 </t>
  </si>
  <si>
    <t>$24,000 </t>
  </si>
  <si>
    <t>FNE año 3 </t>
  </si>
  <si>
    <t>$20,000 </t>
  </si>
  <si>
    <t>FNE año 4 </t>
  </si>
  <si>
    <t>FNE año 5 </t>
  </si>
  <si>
    <t>CALCULO TIR PROYECTO B metodo prueba y error</t>
  </si>
  <si>
    <t xml:space="preserve">Proyecto "A" </t>
  </si>
  <si>
    <t>Periodo (n)</t>
  </si>
  <si>
    <t>Flujo descontado con i=10%</t>
  </si>
  <si>
    <t>Flujo descontado con i = 22%</t>
  </si>
  <si>
    <t>Flujo descontado con i = 24%</t>
  </si>
  <si>
    <t>CALCULO TIR PROYECTO C metodo prueba y error</t>
  </si>
  <si>
    <t>Flujo descontado con i = 26%</t>
  </si>
  <si>
    <t>Flujo descontado con i=15%</t>
  </si>
  <si>
    <t>Flujo descontado con i=17%</t>
  </si>
  <si>
    <t>Flujo descontado con i=20%</t>
  </si>
  <si>
    <t>Flujo descontado con i=22%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</si>
</sst>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9" formatCode="_-* #,##0_-;\-* #,##0_-;_-* &quot;-&quot;??_-;_-@_-"/>
    <numFmt numFmtId="174" formatCode="_-&quot;$&quot;* #,##0_-;\-&quot;$&quot;* #,##0_-;_-&quot;$&quot;* &quot;-&quot;??_-;_-@_-"/>
    <numFmt numFmtId="179" formatCode="0.000000"/>
    <numFmt numFmtId="182" formatCode="0.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4472C4"/>
      </right>
      <top style="thin">
        <color rgb="FF000000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000000"/>
      </top>
      <bottom/>
      <diagonal/>
    </border>
    <border>
      <left style="thin">
        <color rgb="FF4472C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000000"/>
      </right>
      <top style="thin">
        <color rgb="FF4472C4"/>
      </top>
      <bottom style="thin">
        <color rgb="FF4472C4"/>
      </bottom>
      <diagonal/>
    </border>
    <border>
      <left style="thin">
        <color rgb="FF000000"/>
      </left>
      <right style="thin">
        <color rgb="FF4472C4"/>
      </right>
      <top style="thin">
        <color rgb="FF4472C4"/>
      </top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000000"/>
      </bottom>
      <diagonal/>
    </border>
    <border>
      <left style="thin">
        <color rgb="FF4472C4"/>
      </left>
      <right style="thin">
        <color rgb="FF000000"/>
      </right>
      <top style="thin">
        <color rgb="FF4472C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43" fontId="0" fillId="0" borderId="0" xfId="1" applyFont="1"/>
    <xf numFmtId="44" fontId="0" fillId="0" borderId="0" xfId="2" applyFont="1"/>
    <xf numFmtId="0" fontId="0" fillId="0" borderId="0" xfId="0" applyAlignment="1">
      <alignment horizontal="center"/>
    </xf>
    <xf numFmtId="44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44" fontId="0" fillId="0" borderId="5" xfId="2" applyFont="1" applyBorder="1" applyAlignment="1">
      <alignment horizontal="center"/>
    </xf>
    <xf numFmtId="44" fontId="3" fillId="0" borderId="5" xfId="2" applyFont="1" applyBorder="1" applyAlignment="1">
      <alignment horizontal="center" vertical="center" wrapText="1"/>
    </xf>
    <xf numFmtId="44" fontId="0" fillId="2" borderId="5" xfId="0" applyNumberFormat="1" applyFill="1" applyBorder="1"/>
    <xf numFmtId="44" fontId="3" fillId="0" borderId="4" xfId="2" applyFont="1" applyBorder="1" applyAlignment="1">
      <alignment horizontal="right" vertical="center" wrapText="1"/>
    </xf>
    <xf numFmtId="44" fontId="3" fillId="0" borderId="4" xfId="2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6" fontId="3" fillId="0" borderId="4" xfId="0" applyNumberFormat="1" applyFont="1" applyBorder="1" applyAlignment="1">
      <alignment horizontal="center" vertical="center" wrapText="1"/>
    </xf>
    <xf numFmtId="0" fontId="0" fillId="3" borderId="0" xfId="0" applyFill="1"/>
    <xf numFmtId="9" fontId="0" fillId="3" borderId="0" xfId="3" applyFont="1" applyFill="1"/>
    <xf numFmtId="0" fontId="0" fillId="3" borderId="0" xfId="0" applyFont="1" applyFill="1"/>
    <xf numFmtId="0" fontId="4" fillId="0" borderId="6" xfId="0" applyFont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0" fillId="5" borderId="0" xfId="0" applyFill="1"/>
    <xf numFmtId="9" fontId="0" fillId="5" borderId="0" xfId="3" applyFont="1" applyFill="1"/>
    <xf numFmtId="0" fontId="0" fillId="5" borderId="0" xfId="0" applyFont="1" applyFill="1"/>
    <xf numFmtId="169" fontId="0" fillId="0" borderId="5" xfId="1" applyNumberFormat="1" applyFont="1" applyBorder="1" applyAlignment="1">
      <alignment horizontal="center" vertical="center"/>
    </xf>
    <xf numFmtId="0" fontId="0" fillId="6" borderId="0" xfId="0" applyFill="1"/>
    <xf numFmtId="9" fontId="0" fillId="6" borderId="0" xfId="3" applyFont="1" applyFill="1"/>
    <xf numFmtId="0" fontId="0" fillId="6" borderId="0" xfId="0" applyFont="1" applyFill="1"/>
    <xf numFmtId="44" fontId="0" fillId="0" borderId="15" xfId="2" applyFont="1" applyBorder="1" applyAlignment="1">
      <alignment horizontal="center"/>
    </xf>
    <xf numFmtId="44" fontId="3" fillId="0" borderId="5" xfId="2" applyFont="1" applyBorder="1" applyAlignment="1">
      <alignment horizontal="right" vertical="center" wrapText="1"/>
    </xf>
    <xf numFmtId="0" fontId="0" fillId="7" borderId="0" xfId="0" applyFill="1"/>
    <xf numFmtId="9" fontId="0" fillId="7" borderId="0" xfId="3" applyFont="1" applyFill="1"/>
    <xf numFmtId="0" fontId="0" fillId="7" borderId="0" xfId="0" applyFont="1" applyFill="1"/>
    <xf numFmtId="44" fontId="0" fillId="0" borderId="16" xfId="2" applyFont="1" applyBorder="1" applyAlignment="1">
      <alignment horizontal="center"/>
    </xf>
    <xf numFmtId="44" fontId="0" fillId="8" borderId="5" xfId="2" applyFont="1" applyFill="1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174" fontId="0" fillId="0" borderId="5" xfId="2" applyNumberFormat="1" applyFont="1" applyBorder="1" applyAlignment="1">
      <alignment horizontal="center"/>
    </xf>
    <xf numFmtId="179" fontId="0" fillId="0" borderId="0" xfId="0" applyNumberFormat="1"/>
    <xf numFmtId="0" fontId="2" fillId="3" borderId="0" xfId="0" applyFont="1" applyFill="1"/>
    <xf numFmtId="182" fontId="2" fillId="3" borderId="0" xfId="3" applyNumberFormat="1" applyFont="1" applyFill="1"/>
    <xf numFmtId="0" fontId="2" fillId="7" borderId="0" xfId="0" applyFont="1" applyFill="1"/>
    <xf numFmtId="182" fontId="2" fillId="7" borderId="0" xfId="3" applyNumberFormat="1" applyFont="1" applyFill="1"/>
    <xf numFmtId="0" fontId="5" fillId="0" borderId="0" xfId="0" applyFont="1" applyAlignment="1">
      <alignment horizontal="center"/>
    </xf>
    <xf numFmtId="0" fontId="5" fillId="0" borderId="17" xfId="0" applyFont="1" applyBorder="1" applyAlignment="1">
      <alignment horizontal="center"/>
    </xf>
    <xf numFmtId="44" fontId="3" fillId="0" borderId="10" xfId="2" applyFont="1" applyBorder="1" applyAlignment="1">
      <alignment wrapText="1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1883-719B-4AD2-8B70-4CFFA3C09587}">
  <dimension ref="B2:N64"/>
  <sheetViews>
    <sheetView topLeftCell="A46" workbookViewId="0">
      <selection activeCell="F65" sqref="F65"/>
    </sheetView>
  </sheetViews>
  <sheetFormatPr baseColWidth="10" defaultRowHeight="15" x14ac:dyDescent="0.25"/>
  <cols>
    <col min="2" max="2" width="15" bestFit="1" customWidth="1"/>
    <col min="3" max="3" width="15.42578125" bestFit="1" customWidth="1"/>
    <col min="4" max="5" width="15.28515625" bestFit="1" customWidth="1"/>
    <col min="6" max="6" width="14.28515625" bestFit="1" customWidth="1"/>
    <col min="7" max="7" width="14.140625" bestFit="1" customWidth="1"/>
    <col min="8" max="9" width="15.28515625" bestFit="1" customWidth="1"/>
    <col min="10" max="11" width="14.140625" bestFit="1" customWidth="1"/>
  </cols>
  <sheetData>
    <row r="2" spans="2:14" x14ac:dyDescent="0.25">
      <c r="B2" t="s">
        <v>9</v>
      </c>
      <c r="C2" s="4">
        <v>0.1</v>
      </c>
    </row>
    <row r="3" spans="2:14" ht="15.75" thickBot="1" x14ac:dyDescent="0.3">
      <c r="B3" t="s">
        <v>11</v>
      </c>
      <c r="C3" s="5">
        <v>1500000</v>
      </c>
    </row>
    <row r="4" spans="2:14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5">
        <f>-$C$3</f>
        <v>-1500000</v>
      </c>
      <c r="I4" s="5">
        <f t="shared" ref="I4:K4" si="0">-$C$3</f>
        <v>-1500000</v>
      </c>
      <c r="J4" s="5">
        <f t="shared" si="0"/>
        <v>-1500000</v>
      </c>
      <c r="K4" s="5">
        <f t="shared" si="0"/>
        <v>-1500000</v>
      </c>
    </row>
    <row r="5" spans="2:14" ht="15.75" thickBot="1" x14ac:dyDescent="0.3">
      <c r="B5" s="3">
        <v>1</v>
      </c>
      <c r="C5" s="14">
        <v>150000</v>
      </c>
      <c r="D5" s="14">
        <v>0</v>
      </c>
      <c r="E5" s="14">
        <v>150000</v>
      </c>
      <c r="F5" s="14">
        <v>300000</v>
      </c>
      <c r="H5" s="15">
        <v>150000</v>
      </c>
      <c r="I5" s="15">
        <v>0</v>
      </c>
      <c r="J5" s="16" t="s">
        <v>5</v>
      </c>
      <c r="K5" s="17">
        <v>300000</v>
      </c>
      <c r="M5" s="20" t="s">
        <v>12</v>
      </c>
      <c r="N5" s="19">
        <f>IRR(H4:H9)</f>
        <v>0.18834306526300537</v>
      </c>
    </row>
    <row r="6" spans="2:14" ht="15.75" thickBot="1" x14ac:dyDescent="0.3">
      <c r="B6" s="3">
        <v>2</v>
      </c>
      <c r="C6" s="14">
        <v>1350000</v>
      </c>
      <c r="D6" s="14">
        <v>0</v>
      </c>
      <c r="E6" s="14">
        <v>300000</v>
      </c>
      <c r="F6" s="14">
        <v>450000</v>
      </c>
      <c r="H6" s="15">
        <v>1350000</v>
      </c>
      <c r="I6" s="15">
        <v>0</v>
      </c>
      <c r="J6" s="16" t="s">
        <v>6</v>
      </c>
      <c r="K6" s="17">
        <v>450000</v>
      </c>
      <c r="M6" s="32" t="s">
        <v>13</v>
      </c>
      <c r="N6" s="31">
        <f>IRR(I4:I9)</f>
        <v>0.20919028022916808</v>
      </c>
    </row>
    <row r="7" spans="2:14" ht="15.75" thickBot="1" x14ac:dyDescent="0.3">
      <c r="B7" s="3">
        <v>3</v>
      </c>
      <c r="C7" s="14">
        <v>150000</v>
      </c>
      <c r="D7" s="14">
        <v>450000</v>
      </c>
      <c r="E7" s="14">
        <v>450000</v>
      </c>
      <c r="F7" s="14">
        <v>750000</v>
      </c>
      <c r="H7" s="15">
        <v>150000</v>
      </c>
      <c r="I7" s="15">
        <v>450000</v>
      </c>
      <c r="J7" s="16" t="s">
        <v>7</v>
      </c>
      <c r="K7" s="17">
        <v>750000</v>
      </c>
      <c r="M7" s="36" t="s">
        <v>14</v>
      </c>
      <c r="N7" s="35">
        <f>IRR(J4:J9)</f>
        <v>0.25</v>
      </c>
    </row>
    <row r="8" spans="2:14" ht="15.75" thickBot="1" x14ac:dyDescent="0.3">
      <c r="B8" s="3">
        <v>4</v>
      </c>
      <c r="C8" s="14">
        <v>150000</v>
      </c>
      <c r="D8" s="14">
        <v>1050000</v>
      </c>
      <c r="E8" s="14">
        <v>600000</v>
      </c>
      <c r="F8" s="14">
        <v>750000</v>
      </c>
      <c r="H8" s="15">
        <v>150000</v>
      </c>
      <c r="I8" s="15">
        <v>1050000</v>
      </c>
      <c r="J8" s="16" t="s">
        <v>8</v>
      </c>
      <c r="K8" s="17">
        <v>750000</v>
      </c>
      <c r="M8" s="41" t="s">
        <v>15</v>
      </c>
      <c r="N8" s="40">
        <f>IRR(K4:K9)</f>
        <v>0.25380304701566425</v>
      </c>
    </row>
    <row r="9" spans="2:14" ht="15.75" thickBot="1" x14ac:dyDescent="0.3">
      <c r="B9" s="3">
        <v>5</v>
      </c>
      <c r="C9" s="14">
        <v>600000</v>
      </c>
      <c r="D9" s="14">
        <v>1950000</v>
      </c>
      <c r="E9" s="14">
        <v>1875000</v>
      </c>
      <c r="F9" s="14">
        <v>900000</v>
      </c>
      <c r="H9" s="15">
        <v>600000</v>
      </c>
      <c r="I9" s="15">
        <v>1950000</v>
      </c>
      <c r="J9" s="17">
        <v>1875000</v>
      </c>
      <c r="K9" s="17">
        <v>900000</v>
      </c>
    </row>
    <row r="11" spans="2:14" x14ac:dyDescent="0.25">
      <c r="B11" s="18" t="s">
        <v>20</v>
      </c>
      <c r="C11" s="18"/>
      <c r="D11" s="18"/>
    </row>
    <row r="13" spans="2:14" ht="45" x14ac:dyDescent="0.25">
      <c r="B13" s="8" t="s">
        <v>16</v>
      </c>
      <c r="C13" s="8" t="s">
        <v>18</v>
      </c>
      <c r="D13" s="9" t="s">
        <v>19</v>
      </c>
      <c r="E13" s="9" t="s">
        <v>23</v>
      </c>
      <c r="F13" s="9" t="s">
        <v>27</v>
      </c>
      <c r="G13" s="9" t="s">
        <v>26</v>
      </c>
    </row>
    <row r="14" spans="2:14" x14ac:dyDescent="0.25">
      <c r="B14" s="10">
        <v>0</v>
      </c>
      <c r="C14" s="11">
        <f>-$C$3</f>
        <v>-1500000</v>
      </c>
      <c r="D14" s="11">
        <f>-$C$3</f>
        <v>-1500000</v>
      </c>
      <c r="E14" s="11">
        <f>-$C$3</f>
        <v>-1500000</v>
      </c>
      <c r="F14" s="11">
        <f>-$C$3</f>
        <v>-1500000</v>
      </c>
      <c r="G14" s="11">
        <f>-$C$3</f>
        <v>-1500000</v>
      </c>
    </row>
    <row r="15" spans="2:14" x14ac:dyDescent="0.25">
      <c r="B15" s="33">
        <v>1</v>
      </c>
      <c r="C15" s="12">
        <v>150000</v>
      </c>
      <c r="D15" s="11">
        <f>C15/(1+0.05)^B15</f>
        <v>142857.14285714284</v>
      </c>
      <c r="E15" s="11">
        <f>C15/(1+0.12)^B15</f>
        <v>133928.57142857142</v>
      </c>
      <c r="F15" s="11">
        <f>C15/(1+0.17)^B15</f>
        <v>128205.12820512822</v>
      </c>
      <c r="G15" s="11">
        <f>C15/(1+0.19)^B15</f>
        <v>126050.42016806723</v>
      </c>
    </row>
    <row r="16" spans="2:14" x14ac:dyDescent="0.25">
      <c r="B16" s="33">
        <v>2</v>
      </c>
      <c r="C16" s="12">
        <v>1350000</v>
      </c>
      <c r="D16" s="11">
        <f t="shared" ref="D16:D19" si="1">C16/(1+0.05)^B16</f>
        <v>1224489.7959183673</v>
      </c>
      <c r="E16" s="11">
        <f t="shared" ref="E16:E19" si="2">C16/(1+0.12)^B16</f>
        <v>1076211.7346938774</v>
      </c>
      <c r="F16" s="11">
        <f t="shared" ref="F16:F19" si="3">C16/(1+0.17)^B16</f>
        <v>986193.29388560168</v>
      </c>
      <c r="G16" s="11">
        <f t="shared" ref="G16:G19" si="4">C16/(1+0.19)^B16</f>
        <v>953322.50547277741</v>
      </c>
    </row>
    <row r="17" spans="2:8" x14ac:dyDescent="0.25">
      <c r="B17" s="33">
        <v>3</v>
      </c>
      <c r="C17" s="12">
        <v>150000</v>
      </c>
      <c r="D17" s="11">
        <f t="shared" si="1"/>
        <v>129575.6397797214</v>
      </c>
      <c r="E17" s="11">
        <f t="shared" si="2"/>
        <v>106767.03717201164</v>
      </c>
      <c r="F17" s="11">
        <f t="shared" si="3"/>
        <v>93655.583464919444</v>
      </c>
      <c r="G17" s="11">
        <f t="shared" si="4"/>
        <v>89012.372126309754</v>
      </c>
    </row>
    <row r="18" spans="2:8" x14ac:dyDescent="0.25">
      <c r="B18" s="33">
        <v>4</v>
      </c>
      <c r="C18" s="12">
        <v>150000</v>
      </c>
      <c r="D18" s="11">
        <f t="shared" si="1"/>
        <v>123405.3712187823</v>
      </c>
      <c r="E18" s="11">
        <f t="shared" si="2"/>
        <v>95327.711760724676</v>
      </c>
      <c r="F18" s="11">
        <f t="shared" si="3"/>
        <v>80047.507234973891</v>
      </c>
      <c r="G18" s="11">
        <f t="shared" si="4"/>
        <v>74800.31271118467</v>
      </c>
    </row>
    <row r="19" spans="2:8" x14ac:dyDescent="0.25">
      <c r="B19" s="33">
        <v>5</v>
      </c>
      <c r="C19" s="12">
        <v>600000</v>
      </c>
      <c r="D19" s="11">
        <f t="shared" si="1"/>
        <v>470115.69988107536</v>
      </c>
      <c r="E19" s="11">
        <f t="shared" si="2"/>
        <v>340456.11343115952</v>
      </c>
      <c r="F19" s="11">
        <f t="shared" si="3"/>
        <v>273666.69140162016</v>
      </c>
      <c r="G19" s="11">
        <f t="shared" si="4"/>
        <v>251429.62255860394</v>
      </c>
    </row>
    <row r="20" spans="2:8" x14ac:dyDescent="0.25">
      <c r="D20" s="13">
        <f>SUM(D15:D19)+D14</f>
        <v>590443.64965508925</v>
      </c>
      <c r="E20" s="13">
        <f>SUM(E15:E19)+E14</f>
        <v>252691.16848634463</v>
      </c>
      <c r="F20" s="13">
        <f>SUM(F15:F19)+F14</f>
        <v>61768.204192243284</v>
      </c>
      <c r="G20" s="13">
        <f>SUM(G15:G19)+G14</f>
        <v>-5384.7669630569872</v>
      </c>
    </row>
    <row r="22" spans="2:8" x14ac:dyDescent="0.25">
      <c r="B22" s="18" t="s">
        <v>10</v>
      </c>
      <c r="C22" s="19">
        <f>((F20*0.19)-(G20*0.17))/(F20-G20)</f>
        <v>0.18839626843893353</v>
      </c>
    </row>
    <row r="25" spans="2:8" x14ac:dyDescent="0.25">
      <c r="B25" s="30" t="s">
        <v>43</v>
      </c>
      <c r="C25" s="30"/>
      <c r="D25" s="30"/>
    </row>
    <row r="27" spans="2:8" ht="45" x14ac:dyDescent="0.25">
      <c r="B27" s="8" t="s">
        <v>16</v>
      </c>
      <c r="C27" s="8" t="s">
        <v>18</v>
      </c>
      <c r="D27" s="9" t="s">
        <v>19</v>
      </c>
      <c r="E27" s="9" t="s">
        <v>23</v>
      </c>
      <c r="F27" s="9" t="s">
        <v>26</v>
      </c>
      <c r="G27" s="9" t="s">
        <v>25</v>
      </c>
      <c r="H27" s="9" t="s">
        <v>47</v>
      </c>
    </row>
    <row r="28" spans="2:8" x14ac:dyDescent="0.25">
      <c r="B28" s="10">
        <v>0</v>
      </c>
      <c r="C28" s="11">
        <f>-$C$3</f>
        <v>-1500000</v>
      </c>
      <c r="D28" s="11">
        <f>-$C$3</f>
        <v>-1500000</v>
      </c>
      <c r="E28" s="11">
        <f>-$C$3</f>
        <v>-1500000</v>
      </c>
      <c r="F28" s="11">
        <f>-$C$3</f>
        <v>-1500000</v>
      </c>
      <c r="G28" s="11">
        <f>-$C$3</f>
        <v>-1500000</v>
      </c>
      <c r="H28" s="11">
        <f>-$C$3</f>
        <v>-1500000</v>
      </c>
    </row>
    <row r="29" spans="2:8" x14ac:dyDescent="0.25">
      <c r="B29" s="33">
        <v>1</v>
      </c>
      <c r="C29" s="38">
        <v>0</v>
      </c>
      <c r="D29" s="37">
        <f>C29/(1+0.05)^B29</f>
        <v>0</v>
      </c>
      <c r="E29" s="11">
        <f>C29/(1+0.12)^B29</f>
        <v>0</v>
      </c>
      <c r="F29" s="11">
        <f>C29/(1+0.19)^B29</f>
        <v>0</v>
      </c>
      <c r="G29" s="11">
        <f>C29/(1+0.2)^B29</f>
        <v>0</v>
      </c>
      <c r="H29" s="11">
        <f>C29/(1+0.22)^B29</f>
        <v>0</v>
      </c>
    </row>
    <row r="30" spans="2:8" x14ac:dyDescent="0.25">
      <c r="B30" s="33">
        <v>2</v>
      </c>
      <c r="C30" s="38">
        <v>0</v>
      </c>
      <c r="D30" s="37">
        <f>C30/(1+0.05)^B30</f>
        <v>0</v>
      </c>
      <c r="E30" s="11">
        <f>C30/(1+0.12)^B30</f>
        <v>0</v>
      </c>
      <c r="F30" s="11">
        <f t="shared" ref="F30:F33" si="5">C30/(1+0.19)^B30</f>
        <v>0</v>
      </c>
      <c r="G30" s="11">
        <f t="shared" ref="G30:H33" si="6">C30/(1+0.2)^B30</f>
        <v>0</v>
      </c>
      <c r="H30" s="11">
        <f t="shared" ref="H30:H33" si="7">C30/(1+0.22)^B30</f>
        <v>0</v>
      </c>
    </row>
    <row r="31" spans="2:8" x14ac:dyDescent="0.25">
      <c r="B31" s="33">
        <v>3</v>
      </c>
      <c r="C31" s="38">
        <v>450000</v>
      </c>
      <c r="D31" s="37">
        <f>C31/(1+0.05)^B31</f>
        <v>388726.91933916422</v>
      </c>
      <c r="E31" s="11">
        <f>C31/(1+0.12)^B31</f>
        <v>320301.11151603487</v>
      </c>
      <c r="F31" s="11">
        <f t="shared" si="5"/>
        <v>267037.11637892923</v>
      </c>
      <c r="G31" s="11">
        <f t="shared" si="6"/>
        <v>260416.66666666666</v>
      </c>
      <c r="H31" s="11">
        <f t="shared" si="7"/>
        <v>247818.09931227725</v>
      </c>
    </row>
    <row r="32" spans="2:8" x14ac:dyDescent="0.25">
      <c r="B32" s="33">
        <v>4</v>
      </c>
      <c r="C32" s="38">
        <v>1050000</v>
      </c>
      <c r="D32" s="37">
        <f>C32/(1+0.05)^B32</f>
        <v>863837.59853147611</v>
      </c>
      <c r="E32" s="11">
        <f>C32/(1+0.12)^B32</f>
        <v>667293.98232507275</v>
      </c>
      <c r="F32" s="11">
        <f t="shared" si="5"/>
        <v>523602.18897829263</v>
      </c>
      <c r="G32" s="11">
        <f t="shared" si="6"/>
        <v>506365.74074074079</v>
      </c>
      <c r="H32" s="11">
        <f t="shared" si="7"/>
        <v>473969.04240053031</v>
      </c>
    </row>
    <row r="33" spans="2:8" x14ac:dyDescent="0.25">
      <c r="B33" s="33">
        <v>5</v>
      </c>
      <c r="C33" s="38">
        <v>1950000</v>
      </c>
      <c r="D33" s="37">
        <f>C33/(1+0.05)^B33</f>
        <v>1527876.024613495</v>
      </c>
      <c r="E33" s="11">
        <f>C33/(1+0.12)^B33</f>
        <v>1106482.3686512685</v>
      </c>
      <c r="F33" s="11">
        <f t="shared" si="5"/>
        <v>817146.27331546275</v>
      </c>
      <c r="G33" s="11">
        <f t="shared" si="6"/>
        <v>783661.26543209876</v>
      </c>
      <c r="H33" s="11">
        <f t="shared" si="7"/>
        <v>721498.54229588923</v>
      </c>
    </row>
    <row r="34" spans="2:8" x14ac:dyDescent="0.25">
      <c r="D34" s="13">
        <f>SUM(D29:D33)+D28</f>
        <v>1280440.5424841354</v>
      </c>
      <c r="E34" s="13">
        <f>SUM(E29:E33)+E28</f>
        <v>594077.4624923761</v>
      </c>
      <c r="F34" s="13">
        <f>SUM(F29:F33)+F28</f>
        <v>107785.57867268473</v>
      </c>
      <c r="G34" s="13">
        <f>SUM(G29:G33)+G28</f>
        <v>50443.672839506064</v>
      </c>
      <c r="H34" s="13">
        <f>SUM(H29:H33)+H28</f>
        <v>-56714.315991303185</v>
      </c>
    </row>
    <row r="36" spans="2:8" x14ac:dyDescent="0.25">
      <c r="B36" s="30" t="s">
        <v>10</v>
      </c>
      <c r="C36" s="31">
        <f>((G34*0.22)-(H34*0.2))/(G34-H34)</f>
        <v>0.20941482261656685</v>
      </c>
    </row>
    <row r="39" spans="2:8" x14ac:dyDescent="0.25">
      <c r="B39" s="34" t="s">
        <v>49</v>
      </c>
      <c r="C39" s="34"/>
      <c r="D39" s="34"/>
    </row>
    <row r="41" spans="2:8" ht="45" x14ac:dyDescent="0.25">
      <c r="B41" s="8" t="s">
        <v>16</v>
      </c>
      <c r="C41" s="8" t="s">
        <v>18</v>
      </c>
      <c r="D41" s="9" t="s">
        <v>22</v>
      </c>
      <c r="E41" s="9" t="s">
        <v>21</v>
      </c>
      <c r="F41" s="9" t="s">
        <v>47</v>
      </c>
      <c r="G41" s="9" t="s">
        <v>48</v>
      </c>
    </row>
    <row r="42" spans="2:8" x14ac:dyDescent="0.25">
      <c r="B42" s="10">
        <v>0</v>
      </c>
      <c r="C42" s="11">
        <f>-$C$3</f>
        <v>-1500000</v>
      </c>
      <c r="D42" s="11">
        <f>-$C$3</f>
        <v>-1500000</v>
      </c>
      <c r="E42" s="11">
        <f>-$C$3</f>
        <v>-1500000</v>
      </c>
      <c r="F42" s="11">
        <f>-$C$3</f>
        <v>-1500000</v>
      </c>
      <c r="G42" s="11">
        <f>-$C$3</f>
        <v>-1500000</v>
      </c>
    </row>
    <row r="43" spans="2:8" x14ac:dyDescent="0.25">
      <c r="B43" s="33">
        <v>1</v>
      </c>
      <c r="C43" s="38">
        <v>150000</v>
      </c>
      <c r="D43" s="37">
        <f>C43/(1+0.1)^B43</f>
        <v>136363.63636363635</v>
      </c>
      <c r="E43" s="11">
        <f>C43/(1+0.15)^B43</f>
        <v>130434.78260869566</v>
      </c>
      <c r="F43" s="11">
        <f>C43/(1+0.22)^B43</f>
        <v>122950.81967213115</v>
      </c>
      <c r="G43" s="11">
        <f>C43/(1+0.24)^B43</f>
        <v>120967.74193548388</v>
      </c>
    </row>
    <row r="44" spans="2:8" x14ac:dyDescent="0.25">
      <c r="B44" s="33">
        <v>2</v>
      </c>
      <c r="C44" s="38">
        <v>300000</v>
      </c>
      <c r="D44" s="37">
        <f t="shared" ref="D44:D47" si="8">C44/(1+0.1)^B44</f>
        <v>247933.88429752062</v>
      </c>
      <c r="E44" s="11">
        <f t="shared" ref="E44:E47" si="9">C44/(1+0.15)^B44</f>
        <v>226843.10018903596</v>
      </c>
      <c r="F44" s="11">
        <f t="shared" ref="F44:F47" si="10">C44/(1+0.22)^B44</f>
        <v>201558.72077398549</v>
      </c>
      <c r="G44" s="11">
        <f t="shared" ref="G44:G47" si="11">C44/(1+0.24)^B44</f>
        <v>195109.26118626431</v>
      </c>
    </row>
    <row r="45" spans="2:8" x14ac:dyDescent="0.25">
      <c r="B45" s="33">
        <v>3</v>
      </c>
      <c r="C45" s="38">
        <v>450000</v>
      </c>
      <c r="D45" s="37">
        <f t="shared" si="8"/>
        <v>338091.66040570987</v>
      </c>
      <c r="E45" s="11">
        <f t="shared" si="9"/>
        <v>295882.30459439475</v>
      </c>
      <c r="F45" s="11">
        <f t="shared" si="10"/>
        <v>247818.09931227725</v>
      </c>
      <c r="G45" s="11">
        <f t="shared" si="11"/>
        <v>236019.2675640294</v>
      </c>
    </row>
    <row r="46" spans="2:8" x14ac:dyDescent="0.25">
      <c r="B46" s="33">
        <v>4</v>
      </c>
      <c r="C46" s="38">
        <v>600000</v>
      </c>
      <c r="D46" s="37">
        <f t="shared" si="8"/>
        <v>409808.07321904233</v>
      </c>
      <c r="E46" s="11">
        <f t="shared" si="9"/>
        <v>343051.94735582004</v>
      </c>
      <c r="F46" s="11">
        <f t="shared" si="10"/>
        <v>270839.45280030306</v>
      </c>
      <c r="G46" s="11">
        <f t="shared" si="11"/>
        <v>253784.15867099934</v>
      </c>
    </row>
    <row r="47" spans="2:8" x14ac:dyDescent="0.25">
      <c r="B47" s="33">
        <v>5</v>
      </c>
      <c r="C47" s="38">
        <v>1875000</v>
      </c>
      <c r="D47" s="37">
        <f t="shared" si="8"/>
        <v>1164227.4807359155</v>
      </c>
      <c r="E47" s="11">
        <f t="shared" si="9"/>
        <v>932206.37868429348</v>
      </c>
      <c r="F47" s="11">
        <f t="shared" si="10"/>
        <v>693748.59836143197</v>
      </c>
      <c r="G47" s="11">
        <f t="shared" si="11"/>
        <v>639577.01277973619</v>
      </c>
    </row>
    <row r="48" spans="2:8" x14ac:dyDescent="0.25">
      <c r="D48" s="13">
        <f>SUM(D43:D47)+D42</f>
        <v>796424.73502182495</v>
      </c>
      <c r="E48" s="13">
        <f>SUM(E43:E47)+E42</f>
        <v>428418.51343223988</v>
      </c>
      <c r="F48" s="13">
        <f>SUM(F43:F47)+F42</f>
        <v>36915.690920128953</v>
      </c>
      <c r="G48" s="13">
        <f>SUM(G43:G47)+G42</f>
        <v>-54542.557863486931</v>
      </c>
    </row>
    <row r="50" spans="2:7" x14ac:dyDescent="0.25">
      <c r="B50" s="34" t="s">
        <v>10</v>
      </c>
      <c r="C50" s="35">
        <f>((F48*0.24)-(G48*0.22))/(F48-G48)</f>
        <v>0.22807268702628866</v>
      </c>
    </row>
    <row r="53" spans="2:7" x14ac:dyDescent="0.25">
      <c r="B53" s="39" t="s">
        <v>49</v>
      </c>
      <c r="C53" s="39"/>
      <c r="D53" s="39"/>
    </row>
    <row r="55" spans="2:7" ht="45" x14ac:dyDescent="0.25">
      <c r="B55" s="8" t="s">
        <v>16</v>
      </c>
      <c r="C55" s="8" t="s">
        <v>18</v>
      </c>
      <c r="D55" s="9" t="s">
        <v>22</v>
      </c>
      <c r="E55" s="9" t="s">
        <v>24</v>
      </c>
      <c r="F55" s="9" t="s">
        <v>48</v>
      </c>
      <c r="G55" s="9" t="s">
        <v>50</v>
      </c>
    </row>
    <row r="56" spans="2:7" x14ac:dyDescent="0.25">
      <c r="B56" s="10">
        <v>0</v>
      </c>
      <c r="C56" s="11">
        <f>-$C$3</f>
        <v>-1500000</v>
      </c>
      <c r="D56" s="11">
        <f>-$C$3</f>
        <v>-1500000</v>
      </c>
      <c r="E56" s="11">
        <f>-$C$3</f>
        <v>-1500000</v>
      </c>
      <c r="F56" s="11">
        <f>-$C$3</f>
        <v>-1500000</v>
      </c>
      <c r="G56" s="11">
        <f>-$C$3</f>
        <v>-1500000</v>
      </c>
    </row>
    <row r="57" spans="2:7" x14ac:dyDescent="0.25">
      <c r="B57" s="33">
        <v>1</v>
      </c>
      <c r="C57" s="38">
        <v>300000</v>
      </c>
      <c r="D57" s="37">
        <f>C57/(1+0.1)^B57</f>
        <v>272727.27272727271</v>
      </c>
      <c r="E57" s="11">
        <f>C57/(1+0.18)^B57</f>
        <v>254237.28813559323</v>
      </c>
      <c r="F57" s="11">
        <f>C57/(1+0.24)^B57</f>
        <v>241935.48387096776</v>
      </c>
      <c r="G57" s="11">
        <f>C57/(1+0.26)^B57</f>
        <v>238095.23809523811</v>
      </c>
    </row>
    <row r="58" spans="2:7" x14ac:dyDescent="0.25">
      <c r="B58" s="33">
        <v>2</v>
      </c>
      <c r="C58" s="38">
        <v>450000</v>
      </c>
      <c r="D58" s="37">
        <f t="shared" ref="D58:D61" si="12">C58/(1+0.1)^B58</f>
        <v>371900.82644628093</v>
      </c>
      <c r="E58" s="11">
        <f t="shared" ref="E58:E61" si="13">C58/(1+0.18)^B58</f>
        <v>323182.9933927033</v>
      </c>
      <c r="F58" s="11">
        <f t="shared" ref="F58:F61" si="14">C58/(1+0.24)^B58</f>
        <v>292663.89177939645</v>
      </c>
      <c r="G58" s="11">
        <f t="shared" ref="G58:G61" si="15">C58/(1+0.26)^B58</f>
        <v>283446.71201814059</v>
      </c>
    </row>
    <row r="59" spans="2:7" x14ac:dyDescent="0.25">
      <c r="B59" s="33">
        <v>3</v>
      </c>
      <c r="C59" s="38">
        <v>750000</v>
      </c>
      <c r="D59" s="37">
        <f t="shared" si="12"/>
        <v>563486.10067618312</v>
      </c>
      <c r="E59" s="11">
        <f t="shared" si="13"/>
        <v>456473.15450946789</v>
      </c>
      <c r="F59" s="11">
        <f t="shared" si="14"/>
        <v>393365.44594004902</v>
      </c>
      <c r="G59" s="11">
        <f t="shared" si="15"/>
        <v>374929.5132515087</v>
      </c>
    </row>
    <row r="60" spans="2:7" x14ac:dyDescent="0.25">
      <c r="B60" s="33">
        <v>4</v>
      </c>
      <c r="C60" s="38">
        <v>750000</v>
      </c>
      <c r="D60" s="37">
        <f t="shared" si="12"/>
        <v>512260.0915238029</v>
      </c>
      <c r="E60" s="11">
        <f t="shared" si="13"/>
        <v>386841.65636395587</v>
      </c>
      <c r="F60" s="11">
        <f t="shared" si="14"/>
        <v>317230.19833874918</v>
      </c>
      <c r="G60" s="11">
        <f t="shared" si="15"/>
        <v>297563.10575516563</v>
      </c>
    </row>
    <row r="61" spans="2:7" x14ac:dyDescent="0.25">
      <c r="B61" s="33">
        <v>5</v>
      </c>
      <c r="C61" s="38">
        <v>900000</v>
      </c>
      <c r="D61" s="37">
        <f t="shared" si="12"/>
        <v>558829.19075323944</v>
      </c>
      <c r="E61" s="11">
        <f t="shared" si="13"/>
        <v>393398.29460741283</v>
      </c>
      <c r="F61" s="11">
        <f t="shared" si="14"/>
        <v>306996.96613427339</v>
      </c>
      <c r="G61" s="11">
        <f t="shared" si="15"/>
        <v>283393.43405253865</v>
      </c>
    </row>
    <row r="62" spans="2:7" x14ac:dyDescent="0.25">
      <c r="D62" s="13">
        <f>SUM(D57:D61)+D56</f>
        <v>779203.48212677892</v>
      </c>
      <c r="E62" s="13">
        <f>SUM(E57:E61)+E56</f>
        <v>314133.38700913312</v>
      </c>
      <c r="F62" s="13">
        <f>SUM(F57:F61)+F56</f>
        <v>52191.986063435907</v>
      </c>
      <c r="G62" s="13">
        <f>SUM(G57:G61)+G56</f>
        <v>-22571.996827408439</v>
      </c>
    </row>
    <row r="64" spans="2:7" x14ac:dyDescent="0.25">
      <c r="B64" s="39" t="s">
        <v>10</v>
      </c>
      <c r="C64" s="40">
        <f>((F62*0.26)-(G62*0.24))/(F62-G62)</f>
        <v>0.25396179926359363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970E-6E3B-4C4E-B954-6AF97578C2D5}">
  <dimension ref="A2:N23"/>
  <sheetViews>
    <sheetView tabSelected="1" workbookViewId="0">
      <selection activeCell="G23" sqref="G23"/>
    </sheetView>
  </sheetViews>
  <sheetFormatPr baseColWidth="10" defaultRowHeight="15" x14ac:dyDescent="0.25"/>
  <cols>
    <col min="3" max="7" width="12.7109375" customWidth="1"/>
    <col min="10" max="14" width="12.7109375" customWidth="1"/>
  </cols>
  <sheetData>
    <row r="2" spans="1:14" ht="29.25" x14ac:dyDescent="0.25">
      <c r="A2" s="21" t="s">
        <v>28</v>
      </c>
      <c r="B2" s="22" t="s">
        <v>29</v>
      </c>
      <c r="C2" s="23" t="s">
        <v>30</v>
      </c>
    </row>
    <row r="3" spans="1:14" ht="29.25" x14ac:dyDescent="0.25">
      <c r="A3" s="24" t="s">
        <v>31</v>
      </c>
      <c r="B3" s="55" t="s">
        <v>32</v>
      </c>
      <c r="C3" s="26" t="s">
        <v>33</v>
      </c>
    </row>
    <row r="4" spans="1:14" x14ac:dyDescent="0.25">
      <c r="A4" s="24" t="s">
        <v>34</v>
      </c>
      <c r="B4" s="25" t="s">
        <v>35</v>
      </c>
      <c r="C4" s="26" t="s">
        <v>36</v>
      </c>
    </row>
    <row r="5" spans="1:14" x14ac:dyDescent="0.25">
      <c r="A5" s="24" t="s">
        <v>37</v>
      </c>
      <c r="B5" s="25" t="s">
        <v>35</v>
      </c>
      <c r="C5" s="26" t="s">
        <v>38</v>
      </c>
    </row>
    <row r="6" spans="1:14" x14ac:dyDescent="0.25">
      <c r="A6" s="24" t="s">
        <v>39</v>
      </c>
      <c r="B6" s="25" t="s">
        <v>35</v>
      </c>
      <c r="C6" s="26" t="s">
        <v>40</v>
      </c>
    </row>
    <row r="7" spans="1:14" x14ac:dyDescent="0.25">
      <c r="A7" s="24" t="s">
        <v>41</v>
      </c>
      <c r="B7" s="25" t="s">
        <v>35</v>
      </c>
      <c r="C7" s="26" t="s">
        <v>40</v>
      </c>
    </row>
    <row r="8" spans="1:14" x14ac:dyDescent="0.25">
      <c r="A8" s="27" t="s">
        <v>42</v>
      </c>
      <c r="B8" s="28" t="s">
        <v>35</v>
      </c>
      <c r="C8" s="29" t="s">
        <v>40</v>
      </c>
    </row>
    <row r="10" spans="1:14" ht="21.75" customHeight="1" x14ac:dyDescent="0.3">
      <c r="B10" s="53" t="s">
        <v>44</v>
      </c>
      <c r="C10" s="6"/>
      <c r="D10" s="6"/>
      <c r="E10" s="6"/>
      <c r="F10" s="6"/>
      <c r="G10" s="6"/>
      <c r="I10" s="54" t="s">
        <v>2</v>
      </c>
      <c r="J10" s="54"/>
      <c r="K10" s="54"/>
      <c r="L10" s="54"/>
      <c r="M10" s="54"/>
      <c r="N10" s="54"/>
    </row>
    <row r="11" spans="1:14" ht="45" x14ac:dyDescent="0.25">
      <c r="B11" s="44" t="s">
        <v>45</v>
      </c>
      <c r="C11" s="45" t="s">
        <v>17</v>
      </c>
      <c r="D11" s="45" t="s">
        <v>46</v>
      </c>
      <c r="E11" s="45" t="s">
        <v>51</v>
      </c>
      <c r="F11" s="45" t="s">
        <v>52</v>
      </c>
      <c r="G11" s="45" t="s">
        <v>53</v>
      </c>
      <c r="I11" s="44" t="s">
        <v>45</v>
      </c>
      <c r="J11" s="45" t="s">
        <v>17</v>
      </c>
      <c r="K11" s="45" t="s">
        <v>46</v>
      </c>
      <c r="L11" s="45" t="s">
        <v>51</v>
      </c>
      <c r="M11" s="45" t="s">
        <v>53</v>
      </c>
      <c r="N11" s="45" t="s">
        <v>54</v>
      </c>
    </row>
    <row r="12" spans="1:14" x14ac:dyDescent="0.25">
      <c r="B12" s="46">
        <v>0</v>
      </c>
      <c r="C12" s="8" t="s">
        <v>32</v>
      </c>
      <c r="D12" s="10" t="s">
        <v>32</v>
      </c>
      <c r="E12" s="10" t="s">
        <v>32</v>
      </c>
      <c r="F12" s="10" t="s">
        <v>32</v>
      </c>
      <c r="G12" s="10" t="s">
        <v>32</v>
      </c>
      <c r="I12" s="46">
        <v>0</v>
      </c>
      <c r="J12" s="8" t="s">
        <v>33</v>
      </c>
      <c r="K12" s="8" t="s">
        <v>33</v>
      </c>
      <c r="L12" s="8" t="s">
        <v>33</v>
      </c>
      <c r="M12" s="8" t="s">
        <v>33</v>
      </c>
      <c r="N12" s="8" t="s">
        <v>33</v>
      </c>
    </row>
    <row r="13" spans="1:14" x14ac:dyDescent="0.25">
      <c r="B13" s="46">
        <v>1</v>
      </c>
      <c r="C13" s="10" t="s">
        <v>35</v>
      </c>
      <c r="D13" s="11">
        <f>28000/((1+0.1)^B13)</f>
        <v>25454.545454545452</v>
      </c>
      <c r="E13" s="11">
        <f>28000/((1+0.15)^B13)</f>
        <v>24347.826086956524</v>
      </c>
      <c r="F13" s="11">
        <f>28000/((1+0.17)^B13)</f>
        <v>23931.623931623933</v>
      </c>
      <c r="G13" s="11">
        <f>28000/((1+0.2)^B13)</f>
        <v>23333.333333333336</v>
      </c>
      <c r="I13" s="46">
        <v>1</v>
      </c>
      <c r="J13" s="47">
        <v>56000</v>
      </c>
      <c r="K13" s="11">
        <f>56000/((1+0.1)^I13)</f>
        <v>50909.090909090904</v>
      </c>
      <c r="L13" s="11">
        <f>56000/((1+0.15)^I13)</f>
        <v>48695.652173913048</v>
      </c>
      <c r="M13" s="11">
        <f>56000/((1+0.2)^I13)</f>
        <v>46666.666666666672</v>
      </c>
      <c r="N13" s="11">
        <f>56000/((1+0.22)^I13)</f>
        <v>45901.639344262294</v>
      </c>
    </row>
    <row r="14" spans="1:14" x14ac:dyDescent="0.25">
      <c r="B14" s="46">
        <v>2</v>
      </c>
      <c r="C14" s="10" t="s">
        <v>35</v>
      </c>
      <c r="D14" s="11">
        <f>28000/((1+0.1)^B14)</f>
        <v>23140.49586776859</v>
      </c>
      <c r="E14" s="11">
        <f>28000/((1+0.15)^B14)</f>
        <v>21172.022684310021</v>
      </c>
      <c r="F14" s="11">
        <f>28000/((1+0.17)^B14)</f>
        <v>20454.379428738408</v>
      </c>
      <c r="G14" s="11">
        <f>28000/((1+0.2)^B14)</f>
        <v>19444.444444444445</v>
      </c>
      <c r="I14" s="46">
        <v>2</v>
      </c>
      <c r="J14" s="47">
        <v>24000</v>
      </c>
      <c r="K14" s="11">
        <f>24000/((1+0.1)^I14)</f>
        <v>19834.71074380165</v>
      </c>
      <c r="L14" s="11">
        <f>24000/((1+0.1)^I14)</f>
        <v>19834.71074380165</v>
      </c>
      <c r="M14" s="11">
        <f>24000/((1+0.2)^I14)</f>
        <v>16666.666666666668</v>
      </c>
      <c r="N14" s="11">
        <f>24000/((1+0.22)^I14)</f>
        <v>16124.697661918839</v>
      </c>
    </row>
    <row r="15" spans="1:14" x14ac:dyDescent="0.25">
      <c r="B15" s="46">
        <v>3</v>
      </c>
      <c r="C15" s="10" t="s">
        <v>35</v>
      </c>
      <c r="D15" s="11">
        <f>28000/((1+0.1)^B15)</f>
        <v>21036.814425244171</v>
      </c>
      <c r="E15" s="11">
        <f>28000/((1+0.15)^B15)</f>
        <v>18410.454508095674</v>
      </c>
      <c r="F15" s="11">
        <f>28000/((1+0.17)^B15)</f>
        <v>17482.375580118296</v>
      </c>
      <c r="G15" s="11">
        <f>28000/((1+0.2)^B15)</f>
        <v>16203.703703703704</v>
      </c>
      <c r="I15" s="46">
        <v>3</v>
      </c>
      <c r="J15" s="47">
        <v>20000</v>
      </c>
      <c r="K15" s="11">
        <f>20000/((1+0.1)^I15)</f>
        <v>15026.296018031551</v>
      </c>
      <c r="L15" s="11">
        <f>20000/((1+0.15)^I15)</f>
        <v>13150.324648639767</v>
      </c>
      <c r="M15" s="11">
        <f>20000/((1+0.2)^I15)</f>
        <v>11574.074074074075</v>
      </c>
      <c r="N15" s="11">
        <f>20000/((1+0.22)^I15)</f>
        <v>11014.137747212322</v>
      </c>
    </row>
    <row r="16" spans="1:14" x14ac:dyDescent="0.25">
      <c r="B16" s="46">
        <v>4</v>
      </c>
      <c r="C16" s="10" t="s">
        <v>35</v>
      </c>
      <c r="D16" s="11">
        <f>28000/((1+0.1)^B16)</f>
        <v>19124.376750221974</v>
      </c>
      <c r="E16" s="11">
        <f>28000/((1+0.15)^B16)</f>
        <v>16009.090876604934</v>
      </c>
      <c r="F16" s="11">
        <f>28000/((1+0.17)^B16)</f>
        <v>14942.201350528459</v>
      </c>
      <c r="G16" s="11">
        <f>28000/((1+0.2)^B16)</f>
        <v>13503.086419753086</v>
      </c>
      <c r="I16" s="46">
        <v>4</v>
      </c>
      <c r="J16" s="47">
        <v>20000</v>
      </c>
      <c r="K16" s="11">
        <f>20000/((1+0.1)^I16)</f>
        <v>13660.26910730141</v>
      </c>
      <c r="L16" s="11">
        <f>20000/((1+0.15)^I16)</f>
        <v>11435.064911860667</v>
      </c>
      <c r="M16" s="11">
        <f>20000/((1+0.2)^I16)</f>
        <v>9645.0617283950614</v>
      </c>
      <c r="N16" s="11">
        <f>20000/((1+0.22)^I16)</f>
        <v>9027.9817600101014</v>
      </c>
    </row>
    <row r="17" spans="2:14" x14ac:dyDescent="0.25">
      <c r="B17" s="46">
        <v>5</v>
      </c>
      <c r="C17" s="10" t="s">
        <v>35</v>
      </c>
      <c r="D17" s="42">
        <f>28000/((1+0.1)^B17)</f>
        <v>17385.797045656338</v>
      </c>
      <c r="E17" s="42">
        <f>28000/((1+0.15)^B17)</f>
        <v>13920.948588352117</v>
      </c>
      <c r="F17" s="42">
        <f>28000/((1+0.17)^B17)</f>
        <v>12771.112265408941</v>
      </c>
      <c r="G17" s="42">
        <f>28000/((1+0.2)^B17)</f>
        <v>11252.572016460907</v>
      </c>
      <c r="I17" s="46">
        <v>5</v>
      </c>
      <c r="J17" s="47">
        <v>20000</v>
      </c>
      <c r="K17" s="11">
        <f>20000/((1+0.1)^I17)</f>
        <v>12418.426461183099</v>
      </c>
      <c r="L17" s="11">
        <f>20000/((1+0.15)^I17)</f>
        <v>9943.5347059657979</v>
      </c>
      <c r="M17" s="11">
        <f>20000/((1+0.2)^I17)</f>
        <v>8037.5514403292182</v>
      </c>
      <c r="N17" s="11">
        <f>20000/((1+0.22)^I17)</f>
        <v>7399.9850491886073</v>
      </c>
    </row>
    <row r="18" spans="2:14" x14ac:dyDescent="0.25">
      <c r="D18" s="43">
        <f>SUM(D13:D17)</f>
        <v>106142.02954343651</v>
      </c>
      <c r="E18" s="43">
        <f>SUM(E13:E17)</f>
        <v>93860.342744319263</v>
      </c>
      <c r="F18" s="43">
        <f>SUM(F13:F17)</f>
        <v>89581.692556418042</v>
      </c>
      <c r="G18" s="43">
        <f>SUM(G13:G17)</f>
        <v>83737.139917695487</v>
      </c>
      <c r="K18" s="43">
        <f>SUM(K13:K17)</f>
        <v>111848.79323940862</v>
      </c>
      <c r="L18" s="43">
        <f>SUM(L13:L17)</f>
        <v>103059.28718418092</v>
      </c>
      <c r="M18" s="43">
        <f>SUM(M13:M17)</f>
        <v>92590.02057613169</v>
      </c>
      <c r="N18" s="43">
        <f>SUM(N13:N17)</f>
        <v>89468.441562592168</v>
      </c>
    </row>
    <row r="20" spans="2:14" x14ac:dyDescent="0.25">
      <c r="B20" s="49" t="s">
        <v>10</v>
      </c>
      <c r="C20" s="50">
        <f>((F23*0.17)-(G23*0.2))/(F23-G23)</f>
        <v>0.17134925681341098</v>
      </c>
      <c r="I20" s="51" t="s">
        <v>10</v>
      </c>
      <c r="J20" s="52">
        <f>((M23*0.2)-(N23*0.22))/(M23-N23)</f>
        <v>0.20340570227504895</v>
      </c>
    </row>
    <row r="21" spans="2:14" x14ac:dyDescent="0.25">
      <c r="M21" s="48"/>
    </row>
    <row r="23" spans="2:14" x14ac:dyDescent="0.25">
      <c r="F23" s="7">
        <f>F18-84000</f>
        <v>5581.6925564180419</v>
      </c>
      <c r="G23" s="7">
        <f>G18-84000</f>
        <v>-262.86008230451262</v>
      </c>
      <c r="M23" s="7">
        <f>M18-90000</f>
        <v>2590.0205761316902</v>
      </c>
      <c r="N23" s="7">
        <f>N18-90000</f>
        <v>-531.55843740783166</v>
      </c>
    </row>
  </sheetData>
  <mergeCells count="2">
    <mergeCell ref="B10:G10"/>
    <mergeCell ref="I10:N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B77470494DF45B6F9CFD69859CE62" ma:contentTypeVersion="10" ma:contentTypeDescription="Create a new document." ma:contentTypeScope="" ma:versionID="5bfe89b1ab0e9a29ee9be2da4ef903e8">
  <xsd:schema xmlns:xsd="http://www.w3.org/2001/XMLSchema" xmlns:xs="http://www.w3.org/2001/XMLSchema" xmlns:p="http://schemas.microsoft.com/office/2006/metadata/properties" xmlns:ns3="5d1658cc-2bec-4c67-9179-57827c712b29" xmlns:ns4="2b1941cf-624b-4432-811c-dadbfb0ae532" targetNamespace="http://schemas.microsoft.com/office/2006/metadata/properties" ma:root="true" ma:fieldsID="4782046f7319bcb8c6511f9a0101921a" ns3:_="" ns4:_="">
    <xsd:import namespace="5d1658cc-2bec-4c67-9179-57827c712b29"/>
    <xsd:import namespace="2b1941cf-624b-4432-811c-dadbfb0ae53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658cc-2bec-4c67-9179-57827c712b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941cf-624b-4432-811c-dadbfb0ae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CB24F-44DA-4832-B468-B3166D7B6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658cc-2bec-4c67-9179-57827c712b29"/>
    <ds:schemaRef ds:uri="2b1941cf-624b-4432-811c-dadbfb0ae5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3774D9-A188-4C2A-B1E9-67F3B5AFC5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2429B0-0360-4FBE-87FC-6C1174804E69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b1941cf-624b-4432-811c-dadbfb0ae532"/>
    <ds:schemaRef ds:uri="5d1658cc-2bec-4c67-9179-57827c712b29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Ejercicio1</vt:lpstr>
      <vt:lpstr>Ejercicio2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meza vargas</dc:creator>
  <cp:lastModifiedBy>brandon meza vargas</cp:lastModifiedBy>
  <cp:lastPrinted>2021-12-10T21:42:49Z</cp:lastPrinted>
  <dcterms:created xsi:type="dcterms:W3CDTF">2021-12-10T21:42:43Z</dcterms:created>
  <dcterms:modified xsi:type="dcterms:W3CDTF">2021-12-10T23:22:32Z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0x0101009C7B77470494DF45B6F9CFD69859CE62</vt:lpwstr>
  </property>
</Properties>
</file>