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\Documents\GitHub\MECH-400-Team-4\Calculations\"/>
    </mc:Choice>
  </mc:AlternateContent>
  <xr:revisionPtr revIDLastSave="0" documentId="13_ncr:1_{E6DE3691-1077-40E0-9502-795486237D22}" xr6:coauthVersionLast="47" xr6:coauthVersionMax="47" xr10:uidLastSave="{00000000-0000-0000-0000-000000000000}"/>
  <bookViews>
    <workbookView xWindow="-2685" yWindow="11160" windowWidth="28800" windowHeight="15435" activeTab="2" xr2:uid="{5B1B5E71-55B6-4C5E-8432-3BE11148F9C8}"/>
  </bookViews>
  <sheets>
    <sheet name="specs" sheetId="3" r:id="rId1"/>
    <sheet name="fastened" sheetId="2" r:id="rId2"/>
    <sheet name="weight mapp" sheetId="4" r:id="rId3"/>
    <sheet name="unfastene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4" l="1"/>
  <c r="D32" i="4"/>
  <c r="AL31" i="4"/>
  <c r="AL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0" i="4"/>
  <c r="AH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I31" i="4"/>
  <c r="AJ31" i="4"/>
  <c r="D31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29" i="4"/>
  <c r="AL25" i="4"/>
  <c r="AL24" i="4"/>
  <c r="AL23" i="4"/>
  <c r="AL22" i="4"/>
  <c r="AL20" i="4"/>
  <c r="AL19" i="4"/>
  <c r="AL18" i="4"/>
  <c r="AL17" i="4"/>
  <c r="AL16" i="4"/>
  <c r="P38" i="2"/>
  <c r="N38" i="2"/>
  <c r="M38" i="2"/>
  <c r="L38" i="2"/>
  <c r="K38" i="2"/>
  <c r="J38" i="2"/>
  <c r="H38" i="2"/>
  <c r="G38" i="2"/>
  <c r="AL13" i="4"/>
  <c r="AL14" i="4"/>
  <c r="AL12" i="4"/>
  <c r="H13" i="4"/>
  <c r="H14" i="4"/>
  <c r="H12" i="4"/>
  <c r="L13" i="4"/>
  <c r="L14" i="4"/>
  <c r="L12" i="4"/>
  <c r="F13" i="4"/>
  <c r="F14" i="4"/>
  <c r="F12" i="4"/>
  <c r="J13" i="4"/>
  <c r="J14" i="4"/>
  <c r="J12" i="4"/>
  <c r="N13" i="4"/>
  <c r="N14" i="4"/>
  <c r="N12" i="4"/>
  <c r="P13" i="4"/>
  <c r="P14" i="4"/>
  <c r="P12" i="4"/>
  <c r="R13" i="4"/>
  <c r="R14" i="4"/>
  <c r="R12" i="4"/>
  <c r="T14" i="4"/>
  <c r="T13" i="4"/>
  <c r="T12" i="4"/>
  <c r="V13" i="4"/>
  <c r="V14" i="4"/>
  <c r="V12" i="4"/>
  <c r="X14" i="4"/>
  <c r="X13" i="4"/>
  <c r="X12" i="4"/>
  <c r="Z13" i="4"/>
  <c r="AD13" i="4"/>
  <c r="AD14" i="4"/>
  <c r="Z14" i="4" s="1"/>
  <c r="AD12" i="4"/>
  <c r="Z12" i="4" s="1"/>
  <c r="AF14" i="4"/>
  <c r="AB14" i="4" s="1"/>
  <c r="AF13" i="4"/>
  <c r="AB13" i="4" s="1"/>
  <c r="AF12" i="4"/>
  <c r="AB12" i="4" s="1"/>
  <c r="AH14" i="4"/>
  <c r="AH13" i="4"/>
  <c r="AH12" i="4"/>
  <c r="AJ14" i="4"/>
  <c r="AJ13" i="4"/>
  <c r="AJ12" i="4"/>
  <c r="D14" i="4"/>
  <c r="D13" i="4"/>
  <c r="D12" i="4"/>
  <c r="E25" i="4"/>
  <c r="G25" i="4"/>
  <c r="I25" i="4"/>
  <c r="K25" i="4"/>
  <c r="M25" i="4"/>
  <c r="O25" i="4"/>
  <c r="P25" i="4"/>
  <c r="Q25" i="4"/>
  <c r="R25" i="4"/>
  <c r="S25" i="4"/>
  <c r="U25" i="4"/>
  <c r="W25" i="4"/>
  <c r="Y25" i="4"/>
  <c r="AA25" i="4"/>
  <c r="AC25" i="4"/>
  <c r="AE25" i="4"/>
  <c r="AG25" i="4"/>
  <c r="AI25" i="4"/>
  <c r="W22" i="4"/>
  <c r="Y22" i="4"/>
  <c r="AA22" i="4"/>
  <c r="AC22" i="4"/>
  <c r="AE22" i="4"/>
  <c r="AG22" i="4"/>
  <c r="AI22" i="4"/>
  <c r="V22" i="4"/>
  <c r="E22" i="4"/>
  <c r="G22" i="4"/>
  <c r="I22" i="4"/>
  <c r="K22" i="4"/>
  <c r="M22" i="4"/>
  <c r="O22" i="4"/>
  <c r="P22" i="4"/>
  <c r="Q22" i="4"/>
  <c r="R22" i="4"/>
  <c r="D22" i="4"/>
  <c r="N24" i="2"/>
  <c r="N20" i="2"/>
  <c r="H37" i="2"/>
  <c r="P37" i="2"/>
  <c r="J37" i="2"/>
  <c r="K37" i="2"/>
  <c r="L37" i="2"/>
  <c r="M37" i="2"/>
  <c r="N37" i="2"/>
  <c r="G37" i="2"/>
  <c r="P36" i="2"/>
  <c r="H36" i="2"/>
  <c r="J36" i="2"/>
  <c r="K36" i="2"/>
  <c r="L36" i="2"/>
  <c r="M36" i="2"/>
  <c r="N36" i="2"/>
  <c r="G36" i="2"/>
  <c r="L20" i="4"/>
  <c r="AB20" i="4" s="1"/>
  <c r="AF20" i="4" s="1"/>
  <c r="L19" i="4"/>
  <c r="L18" i="4"/>
  <c r="AB18" i="4" s="1"/>
  <c r="AF18" i="4" s="1"/>
  <c r="L17" i="4"/>
  <c r="AB17" i="4" s="1"/>
  <c r="AF17" i="4" s="1"/>
  <c r="L16" i="4"/>
  <c r="AB16" i="4" s="1"/>
  <c r="AB25" i="4" s="1"/>
  <c r="R20" i="4"/>
  <c r="V20" i="4" s="1"/>
  <c r="R19" i="4"/>
  <c r="V19" i="4" s="1"/>
  <c r="R18" i="4"/>
  <c r="V18" i="4" s="1"/>
  <c r="R17" i="4"/>
  <c r="V17" i="4" s="1"/>
  <c r="R16" i="4"/>
  <c r="V16" i="4" s="1"/>
  <c r="V25" i="4" s="1"/>
  <c r="AB19" i="4"/>
  <c r="AF19" i="4" s="1"/>
  <c r="T17" i="4"/>
  <c r="T16" i="4"/>
  <c r="T22" i="4" s="1"/>
  <c r="P20" i="4"/>
  <c r="X20" i="4" s="1"/>
  <c r="P19" i="4"/>
  <c r="X19" i="4" s="1"/>
  <c r="P18" i="4"/>
  <c r="X18" i="4" s="1"/>
  <c r="P17" i="4"/>
  <c r="X17" i="4" s="1"/>
  <c r="P16" i="4"/>
  <c r="X16" i="4" s="1"/>
  <c r="X22" i="4" s="1"/>
  <c r="H20" i="4"/>
  <c r="H19" i="4"/>
  <c r="H18" i="4"/>
  <c r="H17" i="4"/>
  <c r="H16" i="4"/>
  <c r="H25" i="4" s="1"/>
  <c r="AB7" i="4"/>
  <c r="AF7" i="4" s="1"/>
  <c r="H7" i="4" s="1"/>
  <c r="AJ7" i="4"/>
  <c r="D7" i="4" s="1"/>
  <c r="T7" i="4"/>
  <c r="X7" i="4"/>
  <c r="P7" i="4" s="1"/>
  <c r="V7" i="4"/>
  <c r="Z7" i="4" s="1"/>
  <c r="AD7" i="4" s="1"/>
  <c r="AH7" i="4" s="1"/>
  <c r="F7" i="4" s="1"/>
  <c r="F20" i="4"/>
  <c r="J20" i="4" s="1"/>
  <c r="N20" i="4" s="1"/>
  <c r="F19" i="4"/>
  <c r="J19" i="4" s="1"/>
  <c r="N19" i="4" s="1"/>
  <c r="F18" i="4"/>
  <c r="J18" i="4" s="1"/>
  <c r="N18" i="4" s="1"/>
  <c r="F17" i="4"/>
  <c r="J17" i="4" s="1"/>
  <c r="N17" i="4" s="1"/>
  <c r="F16" i="4"/>
  <c r="J16" i="4" s="1"/>
  <c r="N16" i="4" s="1"/>
  <c r="N25" i="4" s="1"/>
  <c r="D20" i="4"/>
  <c r="AJ20" i="4" s="1"/>
  <c r="D18" i="4"/>
  <c r="AJ18" i="4" s="1"/>
  <c r="D19" i="4"/>
  <c r="AJ19" i="4" s="1"/>
  <c r="D17" i="4"/>
  <c r="AJ17" i="4" s="1"/>
  <c r="D16" i="4"/>
  <c r="D25" i="4" s="1"/>
  <c r="H32" i="2"/>
  <c r="I29" i="2"/>
  <c r="L28" i="2"/>
  <c r="G28" i="2"/>
  <c r="I27" i="2"/>
  <c r="D2" i="3"/>
  <c r="I15" i="2"/>
  <c r="T10" i="4"/>
  <c r="T9" i="4"/>
  <c r="U8" i="4"/>
  <c r="V8" i="4" s="1"/>
  <c r="R8" i="4" s="1"/>
  <c r="I30" i="2"/>
  <c r="J30" i="2"/>
  <c r="K30" i="2"/>
  <c r="M30" i="2"/>
  <c r="G30" i="2"/>
  <c r="D10" i="3"/>
  <c r="C10" i="3"/>
  <c r="D8" i="3"/>
  <c r="D7" i="3"/>
  <c r="D6" i="3"/>
  <c r="D4" i="3"/>
  <c r="H23" i="2"/>
  <c r="H19" i="2"/>
  <c r="H17" i="2"/>
  <c r="H13" i="2"/>
  <c r="H29" i="2" s="1"/>
  <c r="H11" i="2"/>
  <c r="H7" i="2"/>
  <c r="H30" i="2" s="1"/>
  <c r="H5" i="2"/>
  <c r="H27" i="2" s="1"/>
  <c r="K5" i="2"/>
  <c r="K27" i="2" s="1"/>
  <c r="L9" i="2"/>
  <c r="L5" i="2"/>
  <c r="L27" i="2" s="1"/>
  <c r="J23" i="2"/>
  <c r="G20" i="2"/>
  <c r="G24" i="2" s="1"/>
  <c r="I19" i="2"/>
  <c r="G19" i="2"/>
  <c r="G23" i="2" s="1"/>
  <c r="J17" i="2"/>
  <c r="J16" i="2"/>
  <c r="G16" i="2"/>
  <c r="I13" i="2"/>
  <c r="L13" i="2" s="1"/>
  <c r="L29" i="2" s="1"/>
  <c r="G13" i="2"/>
  <c r="G31" i="2" s="1"/>
  <c r="G10" i="2"/>
  <c r="J9" i="2"/>
  <c r="I9" i="2"/>
  <c r="N7" i="2"/>
  <c r="N30" i="2" s="1"/>
  <c r="M7" i="2"/>
  <c r="L7" i="2"/>
  <c r="L30" i="2" s="1"/>
  <c r="K7" i="2"/>
  <c r="J7" i="2"/>
  <c r="I7" i="2"/>
  <c r="G7" i="2"/>
  <c r="B6" i="2"/>
  <c r="N5" i="2"/>
  <c r="N27" i="2" s="1"/>
  <c r="M5" i="2"/>
  <c r="M27" i="2" s="1"/>
  <c r="J5" i="2"/>
  <c r="J27" i="2" s="1"/>
  <c r="I5" i="2"/>
  <c r="G5" i="2"/>
  <c r="G27" i="2" s="1"/>
  <c r="H5" i="1"/>
  <c r="N13" i="1"/>
  <c r="N24" i="1"/>
  <c r="N20" i="1"/>
  <c r="N7" i="1"/>
  <c r="N5" i="1"/>
  <c r="M7" i="1"/>
  <c r="M5" i="1"/>
  <c r="M23" i="1"/>
  <c r="M13" i="1"/>
  <c r="M19" i="1"/>
  <c r="I9" i="1"/>
  <c r="J23" i="1"/>
  <c r="L19" i="1"/>
  <c r="K19" i="1"/>
  <c r="K23" i="1" s="1"/>
  <c r="J19" i="1"/>
  <c r="J9" i="1"/>
  <c r="J16" i="1"/>
  <c r="J17" i="1"/>
  <c r="J13" i="1"/>
  <c r="J7" i="1"/>
  <c r="J5" i="1"/>
  <c r="L7" i="1"/>
  <c r="L9" i="1"/>
  <c r="L5" i="1"/>
  <c r="I19" i="1"/>
  <c r="I13" i="1"/>
  <c r="L13" i="1" s="1"/>
  <c r="I7" i="1"/>
  <c r="I5" i="1"/>
  <c r="K5" i="1"/>
  <c r="K7" i="1"/>
  <c r="B6" i="1"/>
  <c r="G5" i="1"/>
  <c r="G20" i="1"/>
  <c r="G24" i="1" s="1"/>
  <c r="G19" i="1"/>
  <c r="G23" i="1" s="1"/>
  <c r="G16" i="1"/>
  <c r="G13" i="1"/>
  <c r="G10" i="1"/>
  <c r="G7" i="1"/>
  <c r="J22" i="4" l="1"/>
  <c r="AB22" i="4"/>
  <c r="J25" i="4"/>
  <c r="H22" i="4"/>
  <c r="X25" i="4"/>
  <c r="F25" i="4"/>
  <c r="T25" i="4"/>
  <c r="F22" i="4"/>
  <c r="N22" i="4"/>
  <c r="H24" i="4"/>
  <c r="L22" i="4"/>
  <c r="D24" i="4"/>
  <c r="L25" i="4"/>
  <c r="H23" i="4"/>
  <c r="AJ16" i="4"/>
  <c r="L23" i="4"/>
  <c r="F24" i="4"/>
  <c r="N24" i="4"/>
  <c r="L24" i="4"/>
  <c r="Z18" i="4"/>
  <c r="AD18" i="4"/>
  <c r="AD16" i="4"/>
  <c r="Z16" i="4"/>
  <c r="V24" i="4"/>
  <c r="AH16" i="4"/>
  <c r="V23" i="4"/>
  <c r="AH17" i="4"/>
  <c r="AD17" i="4"/>
  <c r="Z17" i="4"/>
  <c r="AD19" i="4"/>
  <c r="Z19" i="4"/>
  <c r="AH19" i="4"/>
  <c r="AF16" i="4"/>
  <c r="AB23" i="4"/>
  <c r="AB24" i="4"/>
  <c r="X24" i="4"/>
  <c r="X23" i="4"/>
  <c r="N23" i="4"/>
  <c r="P23" i="4"/>
  <c r="J23" i="4"/>
  <c r="R23" i="4"/>
  <c r="P24" i="4"/>
  <c r="R24" i="4"/>
  <c r="J24" i="4"/>
  <c r="D23" i="4"/>
  <c r="F23" i="4"/>
  <c r="AD20" i="4"/>
  <c r="Z20" i="4"/>
  <c r="AH20" i="4"/>
  <c r="AH18" i="4"/>
  <c r="S8" i="4"/>
  <c r="R7" i="4"/>
  <c r="N7" i="4"/>
  <c r="L7" i="4"/>
  <c r="J7" i="4"/>
  <c r="I28" i="2"/>
  <c r="H28" i="2"/>
  <c r="G29" i="2"/>
  <c r="L31" i="2"/>
  <c r="I31" i="2"/>
  <c r="H31" i="2"/>
  <c r="V9" i="4"/>
  <c r="R9" i="4" s="1"/>
  <c r="W8" i="4"/>
  <c r="Q8" i="4" s="1"/>
  <c r="V10" i="4"/>
  <c r="R10" i="4" s="1"/>
  <c r="L15" i="2"/>
  <c r="J15" i="2"/>
  <c r="K19" i="2"/>
  <c r="K23" i="2" s="1"/>
  <c r="J19" i="2"/>
  <c r="L19" i="2"/>
  <c r="M19" i="2"/>
  <c r="M23" i="2" s="1"/>
  <c r="J13" i="2"/>
  <c r="K13" i="2"/>
  <c r="I15" i="1"/>
  <c r="K13" i="1"/>
  <c r="AJ24" i="4" l="1"/>
  <c r="AJ25" i="4"/>
  <c r="AJ22" i="4"/>
  <c r="AJ23" i="4"/>
  <c r="AD22" i="4"/>
  <c r="AD25" i="4"/>
  <c r="AH22" i="4"/>
  <c r="AH25" i="4"/>
  <c r="Z25" i="4"/>
  <c r="Z22" i="4"/>
  <c r="AF22" i="4"/>
  <c r="AF25" i="4"/>
  <c r="AF24" i="4"/>
  <c r="AF23" i="4"/>
  <c r="AH24" i="4"/>
  <c r="AH23" i="4"/>
  <c r="Z24" i="4"/>
  <c r="Z23" i="4"/>
  <c r="AD24" i="4"/>
  <c r="AD23" i="4"/>
  <c r="M13" i="2"/>
  <c r="K29" i="2"/>
  <c r="K31" i="2"/>
  <c r="K28" i="2"/>
  <c r="J29" i="2"/>
  <c r="J31" i="2"/>
  <c r="J28" i="2"/>
  <c r="X8" i="4"/>
  <c r="L15" i="1"/>
  <c r="J15" i="1"/>
  <c r="X9" i="4" l="1"/>
  <c r="P8" i="4"/>
  <c r="N13" i="2"/>
  <c r="M29" i="2"/>
  <c r="M31" i="2"/>
  <c r="M28" i="2"/>
  <c r="Y8" i="4"/>
  <c r="O8" i="4" s="1"/>
  <c r="Z8" i="4"/>
  <c r="N8" i="4" s="1"/>
  <c r="X10" i="4" l="1"/>
  <c r="P10" i="4" s="1"/>
  <c r="P9" i="4"/>
  <c r="N28" i="2"/>
  <c r="T18" i="4" s="1"/>
  <c r="N29" i="2"/>
  <c r="T19" i="4" s="1"/>
  <c r="N31" i="2"/>
  <c r="T20" i="4" s="1"/>
  <c r="Z10" i="4"/>
  <c r="N10" i="4" s="1"/>
  <c r="Z9" i="4"/>
  <c r="N9" i="4" s="1"/>
  <c r="AA8" i="4"/>
  <c r="M8" i="4" s="1"/>
  <c r="T23" i="4" l="1"/>
  <c r="T24" i="4"/>
  <c r="AB8" i="4"/>
  <c r="L8" i="4" s="1"/>
  <c r="AB10" i="4" l="1"/>
  <c r="L10" i="4" s="1"/>
  <c r="AB9" i="4"/>
  <c r="L9" i="4" s="1"/>
  <c r="AC8" i="4"/>
  <c r="AD8" i="4" l="1"/>
  <c r="J8" i="4" s="1"/>
  <c r="K8" i="4"/>
  <c r="AD10" i="4" l="1"/>
  <c r="J10" i="4" s="1"/>
  <c r="AE8" i="4"/>
  <c r="AD9" i="4"/>
  <c r="J9" i="4" s="1"/>
  <c r="AF8" i="4"/>
  <c r="H8" i="4" s="1"/>
  <c r="I8" i="4"/>
  <c r="AG8" i="4"/>
  <c r="G8" i="4" s="1"/>
  <c r="AF9" i="4"/>
  <c r="H9" i="4" s="1"/>
  <c r="AF10" i="4"/>
  <c r="H10" i="4" s="1"/>
  <c r="AH8" i="4" l="1"/>
  <c r="F8" i="4" s="1"/>
  <c r="AH10" i="4" l="1"/>
  <c r="F10" i="4" s="1"/>
  <c r="AH9" i="4"/>
  <c r="F9" i="4" s="1"/>
  <c r="AI8" i="4"/>
  <c r="AJ8" i="4" l="1"/>
  <c r="D8" i="4" s="1"/>
  <c r="E8" i="4"/>
  <c r="AJ9" i="4" l="1"/>
  <c r="D9" i="4" s="1"/>
  <c r="AJ10" i="4"/>
  <c r="D10" i="4" s="1"/>
</calcChain>
</file>

<file path=xl/sharedStrings.xml><?xml version="1.0" encoding="utf-8"?>
<sst xmlns="http://schemas.openxmlformats.org/spreadsheetml/2006/main" count="179" uniqueCount="92">
  <si>
    <t>External Volume</t>
  </si>
  <si>
    <t>External Mass</t>
  </si>
  <si>
    <t>External CoM</t>
  </si>
  <si>
    <t>X</t>
  </si>
  <si>
    <t>Y</t>
  </si>
  <si>
    <t>Z</t>
  </si>
  <si>
    <t>Internal Volume</t>
  </si>
  <si>
    <t>Internal CoM</t>
  </si>
  <si>
    <t>g</t>
  </si>
  <si>
    <t>kg</t>
  </si>
  <si>
    <t>m^3</t>
  </si>
  <si>
    <t>m</t>
  </si>
  <si>
    <t>dist_prev</t>
  </si>
  <si>
    <t>dist_next</t>
  </si>
  <si>
    <t>Diameter</t>
  </si>
  <si>
    <t>12" mirror flange X</t>
  </si>
  <si>
    <t>12" end flange X</t>
  </si>
  <si>
    <t xml:space="preserve">12" flange X </t>
  </si>
  <si>
    <t>12" T XY</t>
  </si>
  <si>
    <t>12" flange open</t>
  </si>
  <si>
    <t>12" Pipe X</t>
  </si>
  <si>
    <t>12" pipe Y</t>
  </si>
  <si>
    <t>Injector Assembly</t>
  </si>
  <si>
    <t>no fasteners</t>
  </si>
  <si>
    <t>Force</t>
  </si>
  <si>
    <t>m/s^2</t>
  </si>
  <si>
    <t>rho_w</t>
  </si>
  <si>
    <t xml:space="preserve">kg/m^3 </t>
  </si>
  <si>
    <t>R_a/w</t>
  </si>
  <si>
    <t>R_a</t>
  </si>
  <si>
    <t>R_w</t>
  </si>
  <si>
    <t>rho_aw</t>
  </si>
  <si>
    <t>N</t>
  </si>
  <si>
    <t>pipe Gravity</t>
  </si>
  <si>
    <t xml:space="preserve">areated gravity </t>
  </si>
  <si>
    <t>still gravity</t>
  </si>
  <si>
    <t>external buoyancy</t>
  </si>
  <si>
    <t>Internal buoyancy</t>
  </si>
  <si>
    <t>external</t>
  </si>
  <si>
    <t>internal</t>
  </si>
  <si>
    <t>position_x</t>
  </si>
  <si>
    <t>label</t>
  </si>
  <si>
    <t>geometric</t>
  </si>
  <si>
    <t>Thrust</t>
  </si>
  <si>
    <t>N_y</t>
  </si>
  <si>
    <t>N_z</t>
  </si>
  <si>
    <t>Load case</t>
  </si>
  <si>
    <t>L</t>
  </si>
  <si>
    <t>0|1</t>
  </si>
  <si>
    <t>1|2</t>
  </si>
  <si>
    <t>2|3</t>
  </si>
  <si>
    <t>3|4</t>
  </si>
  <si>
    <t>1|0</t>
  </si>
  <si>
    <t>2|1</t>
  </si>
  <si>
    <t>3|2</t>
  </si>
  <si>
    <t>4|3</t>
  </si>
  <si>
    <t>5|4</t>
  </si>
  <si>
    <t>6|5</t>
  </si>
  <si>
    <t>7|6</t>
  </si>
  <si>
    <t>8|7</t>
  </si>
  <si>
    <t>R</t>
  </si>
  <si>
    <t>4|5</t>
  </si>
  <si>
    <t>5|6</t>
  </si>
  <si>
    <t>6|7</t>
  </si>
  <si>
    <t>7|8</t>
  </si>
  <si>
    <t>O</t>
  </si>
  <si>
    <t>forces</t>
  </si>
  <si>
    <t>F_e_g</t>
  </si>
  <si>
    <t>F_e_b</t>
  </si>
  <si>
    <t>F_i_g_aw</t>
  </si>
  <si>
    <t>F_i_g_w</t>
  </si>
  <si>
    <t>F_i_b</t>
  </si>
  <si>
    <t>Static</t>
  </si>
  <si>
    <t>Operational</t>
  </si>
  <si>
    <t>Lifting</t>
  </si>
  <si>
    <t>count</t>
  </si>
  <si>
    <t>total</t>
  </si>
  <si>
    <t>properties</t>
  </si>
  <si>
    <t>m_e</t>
  </si>
  <si>
    <t>V_e</t>
  </si>
  <si>
    <t>V_i</t>
  </si>
  <si>
    <t>Dry Weight</t>
  </si>
  <si>
    <t>v_e</t>
  </si>
  <si>
    <t>TOTAL</t>
  </si>
  <si>
    <t>v_i</t>
  </si>
  <si>
    <t>position</t>
  </si>
  <si>
    <t>normalized to L8</t>
  </si>
  <si>
    <t>moment</t>
  </si>
  <si>
    <t>Reaction forces: Dry Weight</t>
  </si>
  <si>
    <t>Nm</t>
  </si>
  <si>
    <t>force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</si>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</sst>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6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1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2" fillId="5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6" borderId="0" xfId="0" applyFont="1" applyFill="1" applyAlignment="1">
      <alignment horizontal="center"/>
    </xf>
    <xf numFmtId="1" fontId="2" fillId="0" borderId="0" xfId="0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0B9C-316E-40D1-8286-36F6CF9BD4FB}">
  <dimension ref="B2:D10"/>
  <sheetViews>
    <sheetView workbookViewId="0">
      <selection activeCell="C55" sqref="C55"/>
    </sheetView>
  </sheetViews>
  <sheetFormatPr defaultRowHeight="15" x14ac:dyDescent="0.25"/>
  <sheetData>
    <row r="2" spans="2:4" x14ac:dyDescent="0.25">
      <c r="B2" t="s">
        <v>8</v>
      </c>
      <c r="C2" t="s">
        <v>25</v>
      </c>
      <c r="D2">
        <f>9.806</f>
        <v>9.8059999999999992</v>
      </c>
    </row>
    <row r="4" spans="2:4" x14ac:dyDescent="0.25">
      <c r="B4" t="s">
        <v>26</v>
      </c>
      <c r="C4" t="s">
        <v>27</v>
      </c>
      <c r="D4">
        <f>1.005*(10^3)</f>
        <v>1004.9999999999999</v>
      </c>
    </row>
    <row r="6" spans="2:4" x14ac:dyDescent="0.25">
      <c r="B6" t="s">
        <v>28</v>
      </c>
      <c r="D6">
        <f>0.71</f>
        <v>0.71</v>
      </c>
    </row>
    <row r="7" spans="2:4" x14ac:dyDescent="0.25">
      <c r="B7" t="s">
        <v>29</v>
      </c>
      <c r="D7">
        <f>D6/(1+D6)</f>
        <v>0.41520467836257308</v>
      </c>
    </row>
    <row r="8" spans="2:4" x14ac:dyDescent="0.25">
      <c r="B8" t="s">
        <v>30</v>
      </c>
      <c r="D8">
        <f>(1-D7)</f>
        <v>0.58479532163742687</v>
      </c>
    </row>
    <row r="10" spans="2:4" x14ac:dyDescent="0.25">
      <c r="B10" t="s">
        <v>31</v>
      </c>
      <c r="C10" t="str">
        <f>C4</f>
        <v xml:space="preserve">kg/m^3 </v>
      </c>
      <c r="D10">
        <f>D8*D4</f>
        <v>587.71929824561391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015F-09F4-444B-AED6-A1042EFE7CA0}">
  <dimension ref="B3:P38"/>
  <sheetViews>
    <sheetView topLeftCell="A2" workbookViewId="0">
      <selection activeCell="P42" sqref="P42"/>
    </sheetView>
  </sheetViews>
  <sheetFormatPr defaultRowHeight="15" x14ac:dyDescent="0.25"/>
  <cols>
    <col min="5" max="5" width="12" bestFit="1" customWidth="1"/>
    <col min="6" max="6" width="9.5703125" bestFit="1" customWidth="1"/>
    <col min="9" max="9" width="10.28515625" bestFit="1" customWidth="1"/>
    <col min="16" max="16" width="9.5703125" bestFit="1" customWidth="1"/>
  </cols>
  <sheetData>
    <row r="3" spans="2:16" x14ac:dyDescent="0.25">
      <c r="G3" t="s">
        <v>18</v>
      </c>
      <c r="H3" t="s">
        <v>22</v>
      </c>
      <c r="I3" t="s">
        <v>17</v>
      </c>
      <c r="J3" t="s">
        <v>19</v>
      </c>
      <c r="K3" t="s">
        <v>15</v>
      </c>
      <c r="L3" t="s">
        <v>16</v>
      </c>
      <c r="M3" t="s">
        <v>20</v>
      </c>
      <c r="N3" t="s">
        <v>21</v>
      </c>
      <c r="P3" t="s">
        <v>76</v>
      </c>
    </row>
    <row r="4" spans="2:16" x14ac:dyDescent="0.25">
      <c r="B4" t="s">
        <v>14</v>
      </c>
    </row>
    <row r="5" spans="2:16" x14ac:dyDescent="0.25">
      <c r="B5" t="s">
        <v>11</v>
      </c>
      <c r="D5" t="s">
        <v>1</v>
      </c>
      <c r="F5" t="s">
        <v>9</v>
      </c>
      <c r="G5" s="2">
        <f>1.950702*(10^1)</f>
        <v>19.507020000000001</v>
      </c>
      <c r="H5" s="2">
        <f>2.248836*(10^1)</f>
        <v>22.48836</v>
      </c>
      <c r="I5" s="2">
        <f>5.79572</f>
        <v>5.7957200000000002</v>
      </c>
      <c r="J5" s="2">
        <f>1.62533*(10^1)</f>
        <v>16.253299999999999</v>
      </c>
      <c r="K5" s="2">
        <f>3.889549*(10^1)</f>
        <v>38.895490000000002</v>
      </c>
      <c r="L5" s="2">
        <f>2.691835*(10^1)</f>
        <v>26.918350000000004</v>
      </c>
      <c r="M5" s="2">
        <f>1.00614*(10^1)</f>
        <v>10.061400000000001</v>
      </c>
      <c r="N5" s="2">
        <f>3.66776*(10^1)</f>
        <v>36.677599999999998</v>
      </c>
    </row>
    <row r="6" spans="2:16" x14ac:dyDescent="0.25">
      <c r="B6" s="2">
        <f>2.8346*(10^-1)</f>
        <v>0.28345999999999999</v>
      </c>
      <c r="G6" s="2"/>
      <c r="H6" s="2"/>
      <c r="I6" s="2"/>
      <c r="J6" s="2"/>
      <c r="K6" s="2"/>
      <c r="L6" s="2"/>
      <c r="M6" s="2"/>
      <c r="N6" s="2"/>
    </row>
    <row r="7" spans="2:16" x14ac:dyDescent="0.25">
      <c r="D7" t="s">
        <v>0</v>
      </c>
      <c r="F7" t="s">
        <v>10</v>
      </c>
      <c r="G7" s="2">
        <f>2.049057134*(10^-2)</f>
        <v>2.0490571339999999E-2</v>
      </c>
      <c r="H7" s="2">
        <f>1.627761162*(10^(-2))</f>
        <v>1.627761162E-2</v>
      </c>
      <c r="I7" s="2">
        <f>6.08794266*(10^-3)</f>
        <v>6.0879426600000007E-3</v>
      </c>
      <c r="J7" s="2">
        <f>7.56084067*(10^-3)</f>
        <v>7.56084067E-3</v>
      </c>
      <c r="K7" s="2">
        <f>1.591760738*(10^-2)</f>
        <v>1.591760738E-2</v>
      </c>
      <c r="L7" s="2">
        <f>1.284852583*(10^-2)</f>
        <v>1.2848525829999999E-2</v>
      </c>
      <c r="M7" s="2">
        <f>1.056869787*(10^-2)</f>
        <v>1.0568697869999999E-2</v>
      </c>
      <c r="N7" s="2">
        <f>3.852689512*(10^-2)</f>
        <v>3.8526895120000001E-2</v>
      </c>
    </row>
    <row r="8" spans="2:16" x14ac:dyDescent="0.25">
      <c r="G8" s="2"/>
      <c r="H8" s="2"/>
      <c r="I8" s="2"/>
      <c r="J8" s="2"/>
      <c r="K8" s="2"/>
      <c r="L8" s="2"/>
      <c r="M8" s="2"/>
      <c r="N8" s="2"/>
    </row>
    <row r="9" spans="2:16" x14ac:dyDescent="0.25">
      <c r="D9" t="s">
        <v>2</v>
      </c>
      <c r="E9" t="s">
        <v>3</v>
      </c>
      <c r="F9" t="s">
        <v>11</v>
      </c>
      <c r="G9" s="2">
        <v>0</v>
      </c>
      <c r="H9" s="2">
        <v>0</v>
      </c>
      <c r="I9" s="2">
        <f>-1.2073*(10^-1)</f>
        <v>-0.12073</v>
      </c>
      <c r="J9" s="2">
        <f>-6.45*(10^-2)</f>
        <v>-6.4500000000000002E-2</v>
      </c>
      <c r="K9" s="2">
        <v>0</v>
      </c>
      <c r="L9" s="2">
        <f>-3.663*10^-2</f>
        <v>-3.6629999999999996E-2</v>
      </c>
      <c r="M9" s="2">
        <v>0</v>
      </c>
      <c r="N9" s="2">
        <v>0</v>
      </c>
    </row>
    <row r="10" spans="2:16" x14ac:dyDescent="0.25">
      <c r="E10" t="s">
        <v>4</v>
      </c>
      <c r="F10" t="s">
        <v>11</v>
      </c>
      <c r="G10" s="2">
        <f>1.1425*(10^-1)</f>
        <v>0.11425000000000002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6" x14ac:dyDescent="0.25">
      <c r="E11" t="s">
        <v>5</v>
      </c>
      <c r="F11" t="s">
        <v>11</v>
      </c>
      <c r="G11" s="2">
        <v>0</v>
      </c>
      <c r="H11" s="2">
        <f>3.0167*(10^-1)</f>
        <v>0.30167000000000005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6" x14ac:dyDescent="0.25">
      <c r="G12" s="2"/>
      <c r="H12" s="2"/>
      <c r="I12" s="2"/>
      <c r="J12" s="2"/>
      <c r="K12" s="2"/>
      <c r="L12" s="2"/>
      <c r="M12" s="2"/>
      <c r="N12" s="2"/>
    </row>
    <row r="13" spans="2:16" x14ac:dyDescent="0.25">
      <c r="D13" t="s">
        <v>6</v>
      </c>
      <c r="F13" t="s">
        <v>10</v>
      </c>
      <c r="G13" s="2">
        <f>7.175372324*(10^-2)</f>
        <v>7.1753723239999997E-2</v>
      </c>
      <c r="H13" s="2">
        <f>4.850792217*(10^-2)</f>
        <v>4.8507922170000002E-2</v>
      </c>
      <c r="I13" s="2">
        <f>1.731183786*(10^-2)</f>
        <v>1.7311837859999998E-2</v>
      </c>
      <c r="J13" s="2">
        <f>I13</f>
        <v>1.7311837859999998E-2</v>
      </c>
      <c r="K13" s="2">
        <f>2*I13</f>
        <v>3.4623675719999997E-2</v>
      </c>
      <c r="L13" s="2">
        <f>I13</f>
        <v>1.7311837859999998E-2</v>
      </c>
      <c r="M13" s="2">
        <f>K13</f>
        <v>3.4623675719999997E-2</v>
      </c>
      <c r="N13" s="2">
        <f>M13*(N20/M19)</f>
        <v>6.3108187007874017E-2</v>
      </c>
    </row>
    <row r="14" spans="2:16" x14ac:dyDescent="0.25">
      <c r="G14" s="2"/>
      <c r="H14" s="2"/>
      <c r="I14" s="2"/>
      <c r="J14" s="2"/>
      <c r="K14" s="2"/>
      <c r="L14" s="2"/>
      <c r="M14" s="2"/>
      <c r="N14" s="2"/>
    </row>
    <row r="15" spans="2:16" x14ac:dyDescent="0.25">
      <c r="D15" t="s">
        <v>7</v>
      </c>
      <c r="E15" t="s">
        <v>3</v>
      </c>
      <c r="F15" t="s">
        <v>11</v>
      </c>
      <c r="G15" s="2">
        <v>0</v>
      </c>
      <c r="H15" s="2">
        <v>0</v>
      </c>
      <c r="I15" s="2">
        <f>-I19/2</f>
        <v>-0.13716</v>
      </c>
      <c r="J15" s="2">
        <f>I15</f>
        <v>-0.13716</v>
      </c>
      <c r="K15" s="2">
        <v>0</v>
      </c>
      <c r="L15" s="2">
        <f>I15</f>
        <v>-0.13716</v>
      </c>
      <c r="M15" s="2">
        <v>0</v>
      </c>
      <c r="N15" s="2">
        <v>0</v>
      </c>
    </row>
    <row r="16" spans="2:16" x14ac:dyDescent="0.25">
      <c r="E16" t="s">
        <v>4</v>
      </c>
      <c r="F16" t="s">
        <v>11</v>
      </c>
      <c r="G16" s="2">
        <f>1.1553*(10^-1)</f>
        <v>0.11553000000000001</v>
      </c>
      <c r="H16" s="2">
        <v>0</v>
      </c>
      <c r="I16" s="2">
        <v>0</v>
      </c>
      <c r="J16" s="2">
        <f t="shared" ref="J16:J17" si="0">I16</f>
        <v>0</v>
      </c>
      <c r="K16" s="2">
        <v>0</v>
      </c>
      <c r="L16" s="2">
        <v>0</v>
      </c>
      <c r="M16" s="2">
        <v>0</v>
      </c>
      <c r="N16" s="2">
        <v>0</v>
      </c>
    </row>
    <row r="17" spans="4:14" x14ac:dyDescent="0.25">
      <c r="E17" t="s">
        <v>5</v>
      </c>
      <c r="F17" t="s">
        <v>11</v>
      </c>
      <c r="G17" s="2">
        <v>0</v>
      </c>
      <c r="H17" s="2">
        <f>1.1605*(10^-1)</f>
        <v>0.11605000000000001</v>
      </c>
      <c r="I17" s="2">
        <v>0</v>
      </c>
      <c r="J17" s="2">
        <f t="shared" si="0"/>
        <v>0</v>
      </c>
      <c r="K17" s="2">
        <v>0</v>
      </c>
      <c r="L17" s="2">
        <v>0</v>
      </c>
      <c r="M17" s="2">
        <v>0</v>
      </c>
      <c r="N17" s="2">
        <v>0</v>
      </c>
    </row>
    <row r="18" spans="4:14" x14ac:dyDescent="0.25">
      <c r="G18" s="2"/>
      <c r="H18" s="2"/>
      <c r="I18" s="2"/>
      <c r="J18" s="2"/>
      <c r="K18" s="2"/>
      <c r="L18" s="2"/>
      <c r="M18" s="2"/>
      <c r="N18" s="2"/>
    </row>
    <row r="19" spans="4:14" x14ac:dyDescent="0.25">
      <c r="D19" t="s">
        <v>12</v>
      </c>
      <c r="E19" t="s">
        <v>3</v>
      </c>
      <c r="F19" t="s">
        <v>11</v>
      </c>
      <c r="G19" s="2">
        <f>3.65125*(10^-1)</f>
        <v>0.36512500000000003</v>
      </c>
      <c r="H19" s="2">
        <f>2.921*(10^-1)</f>
        <v>0.29209999999999997</v>
      </c>
      <c r="I19" s="2">
        <f>2.7432*(10^-1)</f>
        <v>0.27432000000000001</v>
      </c>
      <c r="J19" s="2">
        <f>I19</f>
        <v>0.27432000000000001</v>
      </c>
      <c r="K19" s="2">
        <f>I19</f>
        <v>0.27432000000000001</v>
      </c>
      <c r="L19" s="2">
        <f>I19</f>
        <v>0.27432000000000001</v>
      </c>
      <c r="M19" s="2">
        <f>I19</f>
        <v>0.27432000000000001</v>
      </c>
      <c r="N19" s="2"/>
    </row>
    <row r="20" spans="4:14" x14ac:dyDescent="0.25">
      <c r="E20" t="s">
        <v>4</v>
      </c>
      <c r="F20" t="s">
        <v>11</v>
      </c>
      <c r="G20" s="2">
        <f>5.2705*(10^-1)</f>
        <v>0.52705000000000002</v>
      </c>
      <c r="H20" s="2"/>
      <c r="I20" s="2"/>
      <c r="J20" s="2"/>
      <c r="K20" s="2"/>
      <c r="L20" s="2"/>
      <c r="M20" s="2"/>
      <c r="N20" s="2">
        <f>5*(10^-1)</f>
        <v>0.5</v>
      </c>
    </row>
    <row r="21" spans="4:14" x14ac:dyDescent="0.25">
      <c r="E21" t="s">
        <v>5</v>
      </c>
      <c r="F21" t="s">
        <v>11</v>
      </c>
      <c r="G21" s="2"/>
      <c r="H21" s="2"/>
      <c r="I21" s="2"/>
      <c r="J21" s="2"/>
      <c r="K21" s="2"/>
      <c r="L21" s="2"/>
      <c r="M21" s="2"/>
      <c r="N21" s="2"/>
    </row>
    <row r="22" spans="4:14" x14ac:dyDescent="0.25">
      <c r="G22" s="2"/>
      <c r="H22" s="2"/>
      <c r="I22" s="2"/>
      <c r="J22" s="2"/>
      <c r="K22" s="2"/>
      <c r="L22" s="2"/>
      <c r="M22" s="2"/>
      <c r="N22" s="2"/>
    </row>
    <row r="23" spans="4:14" x14ac:dyDescent="0.25">
      <c r="D23" t="s">
        <v>13</v>
      </c>
      <c r="E23" t="s">
        <v>3</v>
      </c>
      <c r="F23" t="s">
        <v>11</v>
      </c>
      <c r="G23" s="2">
        <f>G19</f>
        <v>0.36512500000000003</v>
      </c>
      <c r="H23" s="2">
        <f>2.921*(10^-1)</f>
        <v>0.29209999999999997</v>
      </c>
      <c r="I23" s="2">
        <v>0</v>
      </c>
      <c r="J23" s="2">
        <f>I23</f>
        <v>0</v>
      </c>
      <c r="K23" s="2">
        <f>K19</f>
        <v>0.27432000000000001</v>
      </c>
      <c r="L23" s="2"/>
      <c r="M23" s="2">
        <f>M19</f>
        <v>0.27432000000000001</v>
      </c>
      <c r="N23" s="2"/>
    </row>
    <row r="24" spans="4:14" x14ac:dyDescent="0.25">
      <c r="E24" t="s">
        <v>4</v>
      </c>
      <c r="F24" t="s">
        <v>11</v>
      </c>
      <c r="G24" s="2">
        <f>G20</f>
        <v>0.52705000000000002</v>
      </c>
      <c r="H24" s="2"/>
      <c r="I24" s="2"/>
      <c r="J24" s="2"/>
      <c r="K24" s="2"/>
      <c r="L24" s="2"/>
      <c r="M24" s="2"/>
      <c r="N24" s="2">
        <f>N20</f>
        <v>0.5</v>
      </c>
    </row>
    <row r="25" spans="4:14" x14ac:dyDescent="0.25">
      <c r="E25" t="s">
        <v>5</v>
      </c>
      <c r="F25" t="s">
        <v>11</v>
      </c>
      <c r="G25" s="2"/>
      <c r="H25" s="2"/>
      <c r="I25" s="2"/>
      <c r="J25" s="2"/>
      <c r="K25" s="2"/>
      <c r="L25" s="2"/>
      <c r="M25" s="2"/>
      <c r="N25" s="2"/>
    </row>
    <row r="27" spans="4:14" x14ac:dyDescent="0.25">
      <c r="D27" t="s">
        <v>24</v>
      </c>
      <c r="E27" t="s">
        <v>33</v>
      </c>
      <c r="F27" t="s">
        <v>44</v>
      </c>
      <c r="G27" s="2">
        <f>-specs!$D$2*fastened!G5</f>
        <v>-191.28583811999999</v>
      </c>
      <c r="H27" s="2">
        <f>-specs!$D$2*fastened!H5</f>
        <v>-220.52085815999999</v>
      </c>
      <c r="I27" s="2">
        <f>-specs!$D$2*fastened!I5</f>
        <v>-56.832830319999999</v>
      </c>
      <c r="J27" s="2">
        <f>-specs!$D$2*fastened!J5</f>
        <v>-159.37985979999999</v>
      </c>
      <c r="K27" s="2">
        <f>-specs!$D$2*fastened!K5</f>
        <v>-381.40917494000001</v>
      </c>
      <c r="L27" s="2">
        <f>-specs!$D$2*fastened!L5</f>
        <v>-263.96134010000003</v>
      </c>
      <c r="M27" s="2">
        <f>-specs!$D$2*fastened!M5</f>
        <v>-98.662088400000002</v>
      </c>
      <c r="N27" s="2">
        <f>-specs!$D$2*fastened!N5</f>
        <v>-359.66054559999998</v>
      </c>
    </row>
    <row r="28" spans="4:14" x14ac:dyDescent="0.25">
      <c r="E28" t="s">
        <v>34</v>
      </c>
      <c r="F28" t="s">
        <v>44</v>
      </c>
      <c r="G28" s="2">
        <f>-G13*specs!$D$2*specs!$D$10</f>
        <v>-413.52929540461815</v>
      </c>
      <c r="H28" s="2">
        <f>-H13*specs!$D$2*specs!$D$10</f>
        <v>-279.55966562749416</v>
      </c>
      <c r="I28" s="2">
        <f>-I13*specs!$D$2*specs!$D$10</f>
        <v>-99.771158751716797</v>
      </c>
      <c r="J28" s="2">
        <f>-J13*specs!$D$2*specs!$D$10</f>
        <v>-99.771158751716797</v>
      </c>
      <c r="K28" s="2">
        <f>-K13*specs!$D$2*specs!$D$10</f>
        <v>-199.54231750343359</v>
      </c>
      <c r="L28" s="2">
        <f>-L13*specs!$D$2*specs!$D$10</f>
        <v>-99.771158751716797</v>
      </c>
      <c r="M28" s="2">
        <f>-M13*specs!$D$2*specs!$D$10</f>
        <v>-199.54231750343359</v>
      </c>
      <c r="N28" s="2">
        <f>-N13*specs!$D$2*specs!$D$10</f>
        <v>-363.70355333813359</v>
      </c>
    </row>
    <row r="29" spans="4:14" x14ac:dyDescent="0.25">
      <c r="E29" t="s">
        <v>35</v>
      </c>
      <c r="F29" t="s">
        <v>44</v>
      </c>
      <c r="G29" s="2">
        <f>-G13*specs!$D$2*specs!$D$4</f>
        <v>-707.13509514189707</v>
      </c>
      <c r="H29" s="2">
        <f>-H13*specs!$D$2*specs!$D$4</f>
        <v>-478.04702822301499</v>
      </c>
      <c r="I29" s="2">
        <f>-I13*specs!$D$2*specs!$D$4</f>
        <v>-170.60868146543575</v>
      </c>
      <c r="J29" s="2">
        <f>-J13*specs!$D$2*specs!$D$4</f>
        <v>-170.60868146543575</v>
      </c>
      <c r="K29" s="2">
        <f>-K13*specs!$D$2*specs!$D$4</f>
        <v>-341.2173629308715</v>
      </c>
      <c r="L29" s="2">
        <f>-L13*specs!$D$2*specs!$D$4</f>
        <v>-170.60868146543575</v>
      </c>
      <c r="M29" s="2">
        <f>-M13*specs!$D$2*specs!$D$4</f>
        <v>-341.2173629308715</v>
      </c>
      <c r="N29" s="2">
        <f>-N13*specs!$D$2*specs!$D$4</f>
        <v>-621.93307620820849</v>
      </c>
    </row>
    <row r="30" spans="4:14" x14ac:dyDescent="0.25">
      <c r="E30" t="s">
        <v>36</v>
      </c>
      <c r="F30" t="s">
        <v>44</v>
      </c>
      <c r="G30" s="2">
        <f>G7*specs!$D$2*specs!$D$4</f>
        <v>201.93519527284016</v>
      </c>
      <c r="H30" s="2">
        <f>H7*specs!$D$2*specs!$D$4</f>
        <v>160.41635084344855</v>
      </c>
      <c r="I30" s="2">
        <f>I7*specs!$D$2*specs!$D$4</f>
        <v>59.99685755257979</v>
      </c>
      <c r="J30" s="2">
        <f>J7*specs!$D$2*specs!$D$4</f>
        <v>74.51231162807008</v>
      </c>
      <c r="K30" s="2">
        <f>K7*specs!$D$2*specs!$D$4</f>
        <v>156.86849825812138</v>
      </c>
      <c r="L30" s="2">
        <f>L7*specs!$D$2*specs!$D$4</f>
        <v>126.62260751042486</v>
      </c>
      <c r="M30" s="2">
        <f>M7*specs!$D$2*specs!$D$4</f>
        <v>104.15483456978608</v>
      </c>
      <c r="N30" s="2">
        <f>N7*specs!$D$2*specs!$D$4</f>
        <v>379.68370721445353</v>
      </c>
    </row>
    <row r="31" spans="4:14" x14ac:dyDescent="0.25">
      <c r="E31" t="s">
        <v>37</v>
      </c>
      <c r="F31" t="s">
        <v>44</v>
      </c>
      <c r="G31" s="2">
        <f>G13*specs!$D$2*specs!$D$4</f>
        <v>707.13509514189707</v>
      </c>
      <c r="H31" s="2">
        <f>H13*specs!$D$2*specs!$D$4</f>
        <v>478.04702822301499</v>
      </c>
      <c r="I31" s="2">
        <f>I13*specs!$D$2*specs!$D$4</f>
        <v>170.60868146543575</v>
      </c>
      <c r="J31" s="2">
        <f>J13*specs!$D$2*specs!$D$4</f>
        <v>170.60868146543575</v>
      </c>
      <c r="K31" s="2">
        <f>K13*specs!$D$2*specs!$D$4</f>
        <v>341.2173629308715</v>
      </c>
      <c r="L31" s="2">
        <f>L13*specs!$D$2*specs!$D$4</f>
        <v>170.60868146543575</v>
      </c>
      <c r="M31" s="2">
        <f>M13*specs!$D$2*specs!$D$4</f>
        <v>341.2173629308715</v>
      </c>
      <c r="N31" s="2">
        <f>N13*specs!$D$2*specs!$D$4</f>
        <v>621.93307620820849</v>
      </c>
    </row>
    <row r="32" spans="4:14" x14ac:dyDescent="0.25">
      <c r="E32" t="s">
        <v>43</v>
      </c>
      <c r="F32" t="s">
        <v>45</v>
      </c>
      <c r="G32">
        <v>0</v>
      </c>
      <c r="H32" s="2">
        <f>483*4.44822*(1/8)</f>
        <v>268.5612825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4" spans="4:16" x14ac:dyDescent="0.25">
      <c r="D34" t="s">
        <v>75</v>
      </c>
      <c r="G34">
        <v>1</v>
      </c>
      <c r="H34">
        <v>8</v>
      </c>
      <c r="J34">
        <v>1</v>
      </c>
      <c r="K34">
        <v>4</v>
      </c>
      <c r="L34">
        <v>2</v>
      </c>
      <c r="M34">
        <v>4</v>
      </c>
      <c r="N34">
        <v>2</v>
      </c>
    </row>
    <row r="35" spans="4:16" x14ac:dyDescent="0.25">
      <c r="I35" s="2"/>
    </row>
    <row r="36" spans="4:16" x14ac:dyDescent="0.25">
      <c r="D36" t="s">
        <v>78</v>
      </c>
      <c r="G36" s="2">
        <f>G$34*G5</f>
        <v>19.507020000000001</v>
      </c>
      <c r="H36" s="2">
        <f t="shared" ref="H36:N36" si="1">H$34*H5</f>
        <v>179.90688</v>
      </c>
      <c r="I36" s="2"/>
      <c r="J36" s="2">
        <f t="shared" si="1"/>
        <v>16.253299999999999</v>
      </c>
      <c r="K36" s="2">
        <f t="shared" si="1"/>
        <v>155.58196000000001</v>
      </c>
      <c r="L36" s="2">
        <f t="shared" si="1"/>
        <v>53.836700000000008</v>
      </c>
      <c r="M36" s="2">
        <f t="shared" si="1"/>
        <v>40.245600000000003</v>
      </c>
      <c r="N36" s="2">
        <f t="shared" si="1"/>
        <v>73.355199999999996</v>
      </c>
      <c r="O36" s="2"/>
      <c r="P36" s="1">
        <f>SUM(G36:N36)</f>
        <v>538.68666000000007</v>
      </c>
    </row>
    <row r="37" spans="4:16" x14ac:dyDescent="0.25">
      <c r="D37" t="s">
        <v>82</v>
      </c>
      <c r="G37" s="2">
        <f>G$34*G7</f>
        <v>2.0490571339999999E-2</v>
      </c>
      <c r="H37" s="2">
        <f t="shared" ref="H37:N38" si="2">H$34*H7</f>
        <v>0.13022089296</v>
      </c>
      <c r="I37" s="2"/>
      <c r="J37" s="2">
        <f t="shared" si="2"/>
        <v>7.56084067E-3</v>
      </c>
      <c r="K37" s="2">
        <f t="shared" si="2"/>
        <v>6.3670429520000002E-2</v>
      </c>
      <c r="L37" s="2">
        <f t="shared" si="2"/>
        <v>2.5697051659999998E-2</v>
      </c>
      <c r="M37" s="2">
        <f t="shared" si="2"/>
        <v>4.2274791479999997E-2</v>
      </c>
      <c r="N37" s="2">
        <f t="shared" si="2"/>
        <v>7.7053790240000003E-2</v>
      </c>
      <c r="P37" s="1">
        <f>SUM(G37:N37)</f>
        <v>0.36696836786999998</v>
      </c>
    </row>
    <row r="38" spans="4:16" x14ac:dyDescent="0.25">
      <c r="D38" t="s">
        <v>84</v>
      </c>
      <c r="G38" s="2">
        <f>G$34*G13</f>
        <v>7.1753723239999997E-2</v>
      </c>
      <c r="H38" s="2">
        <f>H$34*H13</f>
        <v>0.38806337736000002</v>
      </c>
      <c r="I38" s="2"/>
      <c r="J38" s="2">
        <f>J$34*J13</f>
        <v>1.7311837859999998E-2</v>
      </c>
      <c r="K38" s="2">
        <f>K$34*K13</f>
        <v>0.13849470287999999</v>
      </c>
      <c r="L38" s="2">
        <f>L$34*L13</f>
        <v>3.4623675719999997E-2</v>
      </c>
      <c r="M38" s="2">
        <f>M$34*M13</f>
        <v>0.13849470287999999</v>
      </c>
      <c r="N38" s="2">
        <f>N$34*N13</f>
        <v>0.12621637401574803</v>
      </c>
      <c r="P38" s="1">
        <f>SUM(G38:N38)</f>
        <v>0.91495839395574807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C6F1-38CF-46C1-A2F5-D38D7CD0A5C0}">
  <dimension ref="A5:AM34"/>
  <sheetViews>
    <sheetView tabSelected="1" topLeftCell="A4" zoomScale="160" zoomScaleNormal="160" zoomScaleSheetLayoutView="150" workbookViewId="0">
      <selection activeCell="P35" sqref="P35"/>
    </sheetView>
  </sheetViews>
  <sheetFormatPr defaultRowHeight="11.25" x14ac:dyDescent="0.2"/>
  <cols>
    <col min="1" max="4" width="9.140625" style="3"/>
    <col min="5" max="5" width="0" style="3" hidden="1" customWidth="1"/>
    <col min="6" max="6" width="9.140625" style="3"/>
    <col min="7" max="7" width="0" style="3" hidden="1" customWidth="1"/>
    <col min="8" max="8" width="9.140625" style="3"/>
    <col min="9" max="9" width="0" style="3" hidden="1" customWidth="1"/>
    <col min="10" max="10" width="9.140625" style="3"/>
    <col min="11" max="11" width="0" style="3" hidden="1" customWidth="1"/>
    <col min="12" max="12" width="9.140625" style="3"/>
    <col min="13" max="13" width="0" style="3" hidden="1" customWidth="1"/>
    <col min="14" max="14" width="9.140625" style="3"/>
    <col min="15" max="15" width="0" style="3" hidden="1" customWidth="1"/>
    <col min="16" max="16" width="9.140625" style="3"/>
    <col min="17" max="17" width="0" style="3" hidden="1" customWidth="1"/>
    <col min="18" max="18" width="9.140625" style="3"/>
    <col min="19" max="19" width="0" style="3" hidden="1" customWidth="1"/>
    <col min="20" max="20" width="10.42578125" style="3" bestFit="1" customWidth="1"/>
    <col min="21" max="21" width="0" style="3" hidden="1" customWidth="1"/>
    <col min="22" max="22" width="9.140625" style="3"/>
    <col min="23" max="23" width="0" style="3" hidden="1" customWidth="1"/>
    <col min="24" max="24" width="9.140625" style="3"/>
    <col min="25" max="25" width="0" style="3" hidden="1" customWidth="1"/>
    <col min="26" max="26" width="9.140625" style="3"/>
    <col min="27" max="27" width="0" style="3" hidden="1" customWidth="1"/>
    <col min="28" max="28" width="9.140625" style="3"/>
    <col min="29" max="29" width="0" style="3" hidden="1" customWidth="1"/>
    <col min="30" max="30" width="9.140625" style="3"/>
    <col min="31" max="31" width="0" style="3" hidden="1" customWidth="1"/>
    <col min="32" max="32" width="9.140625" style="3"/>
    <col min="33" max="33" width="0" style="3" hidden="1" customWidth="1"/>
    <col min="34" max="34" width="9.140625" style="3"/>
    <col min="35" max="35" width="0" style="3" hidden="1" customWidth="1"/>
    <col min="36" max="16384" width="9.140625" style="3"/>
  </cols>
  <sheetData>
    <row r="5" spans="1:39" x14ac:dyDescent="0.2">
      <c r="R5" s="4" t="s">
        <v>47</v>
      </c>
      <c r="T5" s="11" t="s">
        <v>65</v>
      </c>
      <c r="V5" s="6" t="s">
        <v>60</v>
      </c>
    </row>
    <row r="6" spans="1:39" x14ac:dyDescent="0.2">
      <c r="D6" s="4">
        <v>8</v>
      </c>
      <c r="E6" s="4" t="s">
        <v>59</v>
      </c>
      <c r="F6" s="4">
        <v>7</v>
      </c>
      <c r="G6" s="4" t="s">
        <v>58</v>
      </c>
      <c r="H6" s="4">
        <v>6</v>
      </c>
      <c r="I6" s="4" t="s">
        <v>57</v>
      </c>
      <c r="J6" s="4">
        <v>5</v>
      </c>
      <c r="K6" s="4" t="s">
        <v>56</v>
      </c>
      <c r="L6" s="4">
        <v>4</v>
      </c>
      <c r="M6" s="4" t="s">
        <v>55</v>
      </c>
      <c r="N6" s="4">
        <v>3</v>
      </c>
      <c r="O6" s="4" t="s">
        <v>54</v>
      </c>
      <c r="P6" s="4">
        <v>2</v>
      </c>
      <c r="Q6" s="4" t="s">
        <v>53</v>
      </c>
      <c r="R6" s="4">
        <v>1</v>
      </c>
      <c r="S6" s="4" t="s">
        <v>52</v>
      </c>
      <c r="T6" s="11">
        <v>0</v>
      </c>
      <c r="U6" s="6" t="s">
        <v>48</v>
      </c>
      <c r="V6" s="6">
        <v>1</v>
      </c>
      <c r="W6" s="6" t="s">
        <v>49</v>
      </c>
      <c r="X6" s="6">
        <v>2</v>
      </c>
      <c r="Y6" s="6" t="s">
        <v>50</v>
      </c>
      <c r="Z6" s="6">
        <v>3</v>
      </c>
      <c r="AA6" s="6" t="s">
        <v>51</v>
      </c>
      <c r="AB6" s="6">
        <v>4</v>
      </c>
      <c r="AC6" s="6" t="s">
        <v>61</v>
      </c>
      <c r="AD6" s="6">
        <v>5</v>
      </c>
      <c r="AE6" s="6" t="s">
        <v>62</v>
      </c>
      <c r="AF6" s="6">
        <v>6</v>
      </c>
      <c r="AG6" s="6" t="s">
        <v>63</v>
      </c>
      <c r="AH6" s="6">
        <v>7</v>
      </c>
      <c r="AI6" s="6" t="s">
        <v>64</v>
      </c>
      <c r="AJ6" s="6">
        <v>8</v>
      </c>
      <c r="AL6" s="14" t="s">
        <v>83</v>
      </c>
    </row>
    <row r="7" spans="1:39" x14ac:dyDescent="0.2">
      <c r="A7" s="3" t="s">
        <v>41</v>
      </c>
      <c r="C7" s="7"/>
      <c r="D7" s="8" t="str">
        <f>AJ7</f>
        <v>12" end flange X</v>
      </c>
      <c r="F7" s="8" t="str">
        <f>AH7</f>
        <v>Injector Assembly</v>
      </c>
      <c r="H7" s="8" t="str">
        <f>AF7</f>
        <v>12" Pipe X</v>
      </c>
      <c r="J7" s="8" t="str">
        <f>AD7</f>
        <v>Injector Assembly</v>
      </c>
      <c r="L7" s="8" t="str">
        <f>AB7</f>
        <v>12" Pipe X</v>
      </c>
      <c r="N7" s="8" t="str">
        <f>Z7</f>
        <v>Injector Assembly</v>
      </c>
      <c r="P7" s="8" t="str">
        <f>X7</f>
        <v>12" mirror flange X</v>
      </c>
      <c r="R7" s="8" t="str">
        <f>V7</f>
        <v>Injector Assembly</v>
      </c>
      <c r="T7" s="8" t="str">
        <f>fastened!$G$3</f>
        <v>12" T XY</v>
      </c>
      <c r="V7" s="8" t="str">
        <f>fastened!$H$3</f>
        <v>Injector Assembly</v>
      </c>
      <c r="X7" s="8" t="str">
        <f>fastened!$K$3</f>
        <v>12" mirror flange X</v>
      </c>
      <c r="Z7" s="8" t="str">
        <f>V7</f>
        <v>Injector Assembly</v>
      </c>
      <c r="AB7" s="8" t="str">
        <f>fastened!$M$3</f>
        <v>12" Pipe X</v>
      </c>
      <c r="AD7" s="8" t="str">
        <f>Z7</f>
        <v>Injector Assembly</v>
      </c>
      <c r="AF7" s="8" t="str">
        <f>AB7</f>
        <v>12" Pipe X</v>
      </c>
      <c r="AH7" s="8" t="str">
        <f>AD7</f>
        <v>Injector Assembly</v>
      </c>
      <c r="AJ7" s="8" t="str">
        <f>fastened!$L$3</f>
        <v>12" end flange X</v>
      </c>
    </row>
    <row r="8" spans="1:39" x14ac:dyDescent="0.2">
      <c r="A8" s="3" t="s">
        <v>40</v>
      </c>
      <c r="B8" s="3" t="s">
        <v>42</v>
      </c>
      <c r="C8" s="5" t="s">
        <v>11</v>
      </c>
      <c r="D8" s="9">
        <f>-AJ8</f>
        <v>-4.622164999999999</v>
      </c>
      <c r="E8" s="9">
        <f>-AI8</f>
        <v>-4.3478449999999986</v>
      </c>
      <c r="F8" s="9">
        <f>-AH8</f>
        <v>-4.055744999999999</v>
      </c>
      <c r="G8" s="9">
        <f>-AG8</f>
        <v>-3.7636449999999995</v>
      </c>
      <c r="H8" s="9">
        <f>-AF8</f>
        <v>-3.4893249999999996</v>
      </c>
      <c r="I8" s="9">
        <f>-AE8</f>
        <v>-3.2150049999999997</v>
      </c>
      <c r="J8" s="9">
        <f>-AD8</f>
        <v>-2.9229049999999996</v>
      </c>
      <c r="K8" s="9">
        <f>-AC8</f>
        <v>-2.6308049999999996</v>
      </c>
      <c r="L8" s="9">
        <f>-AB8</f>
        <v>-2.3564849999999997</v>
      </c>
      <c r="M8" s="9">
        <f>-AA8</f>
        <v>-2.0821649999999998</v>
      </c>
      <c r="N8" s="9">
        <f>-Z8</f>
        <v>-1.7900649999999998</v>
      </c>
      <c r="O8" s="9">
        <f>-Y8</f>
        <v>-1.4979649999999998</v>
      </c>
      <c r="P8" s="9">
        <f>-X8</f>
        <v>-1.2236449999999999</v>
      </c>
      <c r="Q8" s="9">
        <f>-W8</f>
        <v>-0.94932499999999997</v>
      </c>
      <c r="R8" s="9">
        <f>-V8</f>
        <v>-0.65722499999999995</v>
      </c>
      <c r="S8" s="9">
        <f>-U8</f>
        <v>-0.36512500000000003</v>
      </c>
      <c r="T8" s="9">
        <v>0</v>
      </c>
      <c r="U8" s="9">
        <f>T8+fastened!$G$23</f>
        <v>0.36512500000000003</v>
      </c>
      <c r="V8" s="9">
        <f>U8+fastened!$H$19</f>
        <v>0.65722499999999995</v>
      </c>
      <c r="W8" s="9">
        <f>V8+fastened!$H$23</f>
        <v>0.94932499999999997</v>
      </c>
      <c r="X8" s="9">
        <f>W8+fastened!$K$19</f>
        <v>1.2236449999999999</v>
      </c>
      <c r="Y8" s="9">
        <f>X8+fastened!$K$23</f>
        <v>1.4979649999999998</v>
      </c>
      <c r="Z8" s="9">
        <f>Y8+fastened!$H$19</f>
        <v>1.7900649999999998</v>
      </c>
      <c r="AA8" s="9">
        <f>Z8+fastened!$H$23</f>
        <v>2.0821649999999998</v>
      </c>
      <c r="AB8" s="9">
        <f>AA8+fastened!$M$19</f>
        <v>2.3564849999999997</v>
      </c>
      <c r="AC8" s="9">
        <f>AB8+fastened!$M$23</f>
        <v>2.6308049999999996</v>
      </c>
      <c r="AD8" s="9">
        <f>AC8+fastened!$H$19</f>
        <v>2.9229049999999996</v>
      </c>
      <c r="AE8" s="9">
        <f>AD8+fastened!$H$23</f>
        <v>3.2150049999999997</v>
      </c>
      <c r="AF8" s="9">
        <f>AE8+fastened!$M$19</f>
        <v>3.4893249999999996</v>
      </c>
      <c r="AG8" s="9">
        <f>AF8+fastened!$M$23</f>
        <v>3.7636449999999995</v>
      </c>
      <c r="AH8" s="9">
        <f>AG8+fastened!$H$19</f>
        <v>4.055744999999999</v>
      </c>
      <c r="AI8" s="9">
        <f>AH8+fastened!$H$23</f>
        <v>4.3478449999999986</v>
      </c>
      <c r="AJ8" s="9">
        <f>AI8+fastened!L19</f>
        <v>4.622164999999999</v>
      </c>
    </row>
    <row r="9" spans="1:39" x14ac:dyDescent="0.2">
      <c r="B9" s="3" t="s">
        <v>38</v>
      </c>
      <c r="C9" s="5" t="s">
        <v>11</v>
      </c>
      <c r="D9" s="9">
        <f t="shared" ref="D9:D10" si="0">-AJ9</f>
        <v>-4.5855349999999993</v>
      </c>
      <c r="E9" s="9"/>
      <c r="F9" s="9">
        <f t="shared" ref="F9:F10" si="1">-AH9</f>
        <v>-4.055744999999999</v>
      </c>
      <c r="G9" s="9"/>
      <c r="H9" s="9">
        <f t="shared" ref="H9:H10" si="2">-AF9</f>
        <v>-3.4893249999999996</v>
      </c>
      <c r="I9" s="9"/>
      <c r="J9" s="9">
        <f t="shared" ref="J9:J10" si="3">-AD9</f>
        <v>-2.9229049999999996</v>
      </c>
      <c r="K9" s="9"/>
      <c r="L9" s="9">
        <f t="shared" ref="L9:L10" si="4">-AB9</f>
        <v>-2.3564849999999997</v>
      </c>
      <c r="M9" s="9"/>
      <c r="N9" s="9">
        <f t="shared" ref="N9:N10" si="5">-Z9</f>
        <v>-1.7900649999999998</v>
      </c>
      <c r="O9" s="9"/>
      <c r="P9" s="9">
        <f t="shared" ref="P9:P10" si="6">-X9</f>
        <v>-1.2236449999999999</v>
      </c>
      <c r="Q9" s="9"/>
      <c r="R9" s="9">
        <f t="shared" ref="R9:R10" si="7">-V9</f>
        <v>-0.65722499999999995</v>
      </c>
      <c r="S9" s="9"/>
      <c r="T9" s="9">
        <f>T8+fastened!$G$9</f>
        <v>0</v>
      </c>
      <c r="U9" s="9"/>
      <c r="V9" s="9">
        <f>V8+fastened!$H$9</f>
        <v>0.65722499999999995</v>
      </c>
      <c r="W9" s="9"/>
      <c r="X9" s="9">
        <f>X8+fastened!$K$9</f>
        <v>1.2236449999999999</v>
      </c>
      <c r="Y9" s="9"/>
      <c r="Z9" s="9">
        <f>Z8+fastened!$H$9</f>
        <v>1.7900649999999998</v>
      </c>
      <c r="AA9" s="9"/>
      <c r="AB9" s="9">
        <f>AB8+fastened!$M$9</f>
        <v>2.3564849999999997</v>
      </c>
      <c r="AC9" s="9"/>
      <c r="AD9" s="9">
        <f>AD8+fastened!$H$9</f>
        <v>2.9229049999999996</v>
      </c>
      <c r="AE9" s="9"/>
      <c r="AF9" s="9">
        <f>AF8+fastened!$M$9</f>
        <v>3.4893249999999996</v>
      </c>
      <c r="AG9" s="9"/>
      <c r="AH9" s="9">
        <f>AH8+fastened!$H$9</f>
        <v>4.055744999999999</v>
      </c>
      <c r="AI9" s="9"/>
      <c r="AJ9" s="9">
        <f>AJ8+fastened!$L$9</f>
        <v>4.5855349999999993</v>
      </c>
    </row>
    <row r="10" spans="1:39" x14ac:dyDescent="0.2">
      <c r="B10" s="3" t="s">
        <v>39</v>
      </c>
      <c r="C10" s="5" t="s">
        <v>11</v>
      </c>
      <c r="D10" s="9">
        <f t="shared" si="0"/>
        <v>-4.4850049999999992</v>
      </c>
      <c r="E10" s="9"/>
      <c r="F10" s="9">
        <f t="shared" si="1"/>
        <v>-4.055744999999999</v>
      </c>
      <c r="G10" s="9"/>
      <c r="H10" s="9">
        <f t="shared" si="2"/>
        <v>-3.4893249999999996</v>
      </c>
      <c r="I10" s="9"/>
      <c r="J10" s="9">
        <f t="shared" si="3"/>
        <v>-2.9229049999999996</v>
      </c>
      <c r="K10" s="9"/>
      <c r="L10" s="9">
        <f t="shared" si="4"/>
        <v>-2.3564849999999997</v>
      </c>
      <c r="M10" s="9"/>
      <c r="N10" s="9">
        <f t="shared" si="5"/>
        <v>-1.7900649999999998</v>
      </c>
      <c r="O10" s="9"/>
      <c r="P10" s="9">
        <f t="shared" si="6"/>
        <v>-1.2236449999999999</v>
      </c>
      <c r="Q10" s="9"/>
      <c r="R10" s="9">
        <f t="shared" si="7"/>
        <v>-0.65722499999999995</v>
      </c>
      <c r="S10" s="9"/>
      <c r="T10" s="9">
        <f>fastened!$G$15</f>
        <v>0</v>
      </c>
      <c r="U10" s="9"/>
      <c r="V10" s="9">
        <f>V8+fastened!$H$15</f>
        <v>0.65722499999999995</v>
      </c>
      <c r="W10" s="9"/>
      <c r="X10" s="9">
        <f>X9+fastened!$K$15</f>
        <v>1.2236449999999999</v>
      </c>
      <c r="Y10" s="9"/>
      <c r="Z10" s="9">
        <f>Z8+fastened!$H$15</f>
        <v>1.7900649999999998</v>
      </c>
      <c r="AA10" s="9"/>
      <c r="AB10" s="9">
        <f>AB8+fastened!$M$15</f>
        <v>2.3564849999999997</v>
      </c>
      <c r="AC10" s="9"/>
      <c r="AD10" s="9">
        <f>AD8+fastened!$H$15</f>
        <v>2.9229049999999996</v>
      </c>
      <c r="AE10" s="9"/>
      <c r="AF10" s="9">
        <f>AF8+fastened!$M$15</f>
        <v>3.4893249999999996</v>
      </c>
      <c r="AG10" s="9"/>
      <c r="AH10" s="9">
        <f>AH8+fastened!$H$15</f>
        <v>4.055744999999999</v>
      </c>
      <c r="AI10" s="9"/>
      <c r="AJ10" s="9">
        <f>AJ8+fastened!$L$15</f>
        <v>4.4850049999999992</v>
      </c>
    </row>
    <row r="11" spans="1:39" x14ac:dyDescent="0.2"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9" x14ac:dyDescent="0.2">
      <c r="A12" s="3" t="s">
        <v>77</v>
      </c>
      <c r="B12" s="7" t="s">
        <v>78</v>
      </c>
      <c r="C12" s="5" t="s">
        <v>9</v>
      </c>
      <c r="D12" s="9">
        <f>fastened!$L$5</f>
        <v>26.918350000000004</v>
      </c>
      <c r="E12" s="9"/>
      <c r="F12" s="9">
        <f>J12</f>
        <v>22.48836</v>
      </c>
      <c r="G12" s="9"/>
      <c r="H12" s="9">
        <f>L12</f>
        <v>10.061400000000001</v>
      </c>
      <c r="I12" s="9"/>
      <c r="J12" s="9">
        <f>N12</f>
        <v>22.48836</v>
      </c>
      <c r="K12" s="9"/>
      <c r="L12" s="9">
        <f>AB12</f>
        <v>10.061400000000001</v>
      </c>
      <c r="M12" s="9"/>
      <c r="N12" s="9">
        <f>Z12</f>
        <v>22.48836</v>
      </c>
      <c r="O12" s="9"/>
      <c r="P12" s="9">
        <f>X12</f>
        <v>38.895490000000002</v>
      </c>
      <c r="Q12" s="9"/>
      <c r="R12" s="9">
        <f>V12</f>
        <v>22.48836</v>
      </c>
      <c r="S12" s="9"/>
      <c r="T12" s="9">
        <f>fastened!$G$5+2*fastened!$K$5+2*fastened!$N$5+fastened!$J$5</f>
        <v>186.90649999999999</v>
      </c>
      <c r="U12" s="9"/>
      <c r="V12" s="9">
        <f>Z12</f>
        <v>22.48836</v>
      </c>
      <c r="W12" s="9"/>
      <c r="X12" s="9">
        <f>fastened!$K$5</f>
        <v>38.895490000000002</v>
      </c>
      <c r="Y12" s="9"/>
      <c r="Z12" s="9">
        <f>AD12</f>
        <v>22.48836</v>
      </c>
      <c r="AA12" s="9"/>
      <c r="AB12" s="9">
        <f>AF12</f>
        <v>10.061400000000001</v>
      </c>
      <c r="AC12" s="9"/>
      <c r="AD12" s="9">
        <f>AH12</f>
        <v>22.48836</v>
      </c>
      <c r="AE12" s="9"/>
      <c r="AF12" s="9">
        <f>fastened!$M$5</f>
        <v>10.061400000000001</v>
      </c>
      <c r="AG12" s="9"/>
      <c r="AH12" s="9">
        <f>fastened!$H$5</f>
        <v>22.48836</v>
      </c>
      <c r="AI12" s="9"/>
      <c r="AJ12" s="9">
        <f>fastened!$L$5</f>
        <v>26.918350000000004</v>
      </c>
      <c r="AL12" s="13">
        <f>SUM(D12:AJ12)</f>
        <v>538.68665999999996</v>
      </c>
    </row>
    <row r="13" spans="1:39" x14ac:dyDescent="0.2">
      <c r="B13" s="7" t="s">
        <v>79</v>
      </c>
      <c r="C13" s="5" t="s">
        <v>10</v>
      </c>
      <c r="D13" s="9">
        <f>fastened!$L$7</f>
        <v>1.2848525829999999E-2</v>
      </c>
      <c r="E13" s="9"/>
      <c r="F13" s="9">
        <f t="shared" ref="F13:F14" si="8">J13</f>
        <v>1.627761162E-2</v>
      </c>
      <c r="G13" s="9"/>
      <c r="H13" s="9">
        <f t="shared" ref="H13:H14" si="9">L13</f>
        <v>1.0568697869999999E-2</v>
      </c>
      <c r="I13" s="9"/>
      <c r="J13" s="9">
        <f t="shared" ref="J13:J14" si="10">N13</f>
        <v>1.627761162E-2</v>
      </c>
      <c r="K13" s="9"/>
      <c r="L13" s="9">
        <f t="shared" ref="L13:L14" si="11">AB13</f>
        <v>1.0568697869999999E-2</v>
      </c>
      <c r="M13" s="9"/>
      <c r="N13" s="9">
        <f t="shared" ref="N13:N14" si="12">Z13</f>
        <v>1.627761162E-2</v>
      </c>
      <c r="O13" s="9"/>
      <c r="P13" s="9">
        <f t="shared" ref="P13:P14" si="13">X13</f>
        <v>1.591760738E-2</v>
      </c>
      <c r="Q13" s="9"/>
      <c r="R13" s="9">
        <f t="shared" ref="R13:R14" si="14">V13</f>
        <v>1.627761162E-2</v>
      </c>
      <c r="S13" s="9"/>
      <c r="T13" s="9">
        <f>fastened!$G$7+2*fastened!$K$7+2*fastened!$N$7+fastened!$J$7</f>
        <v>0.13694041701000001</v>
      </c>
      <c r="U13" s="9"/>
      <c r="V13" s="9">
        <f t="shared" ref="V13:V14" si="15">Z13</f>
        <v>1.627761162E-2</v>
      </c>
      <c r="W13" s="9"/>
      <c r="X13" s="9">
        <f>fastened!$K$7</f>
        <v>1.591760738E-2</v>
      </c>
      <c r="Y13" s="9"/>
      <c r="Z13" s="9">
        <f t="shared" ref="Z13:Z14" si="16">AD13</f>
        <v>1.627761162E-2</v>
      </c>
      <c r="AA13" s="9"/>
      <c r="AB13" s="9">
        <f t="shared" ref="AB13:AB14" si="17">AF13</f>
        <v>1.0568697869999999E-2</v>
      </c>
      <c r="AC13" s="9"/>
      <c r="AD13" s="9">
        <f t="shared" ref="AD13:AD14" si="18">AH13</f>
        <v>1.627761162E-2</v>
      </c>
      <c r="AE13" s="9"/>
      <c r="AF13" s="9">
        <f>fastened!$M$7</f>
        <v>1.0568697869999999E-2</v>
      </c>
      <c r="AG13" s="9"/>
      <c r="AH13" s="9">
        <f>fastened!$H$7</f>
        <v>1.627761162E-2</v>
      </c>
      <c r="AI13" s="9"/>
      <c r="AJ13" s="9">
        <f>fastened!$L$7</f>
        <v>1.2848525829999999E-2</v>
      </c>
      <c r="AL13" s="13">
        <f>SUM(D13:AJ13)</f>
        <v>0.36696836787000003</v>
      </c>
    </row>
    <row r="14" spans="1:39" x14ac:dyDescent="0.2">
      <c r="B14" s="7" t="s">
        <v>80</v>
      </c>
      <c r="C14" s="5" t="s">
        <v>10</v>
      </c>
      <c r="D14" s="9">
        <f>fastened!$L$13</f>
        <v>1.7311837859999998E-2</v>
      </c>
      <c r="E14" s="9"/>
      <c r="F14" s="9">
        <f t="shared" si="8"/>
        <v>4.8507922170000002E-2</v>
      </c>
      <c r="G14" s="9"/>
      <c r="H14" s="9">
        <f t="shared" si="9"/>
        <v>3.4623675719999997E-2</v>
      </c>
      <c r="I14" s="9"/>
      <c r="J14" s="9">
        <f t="shared" si="10"/>
        <v>4.8507922170000002E-2</v>
      </c>
      <c r="K14" s="9"/>
      <c r="L14" s="9">
        <f t="shared" si="11"/>
        <v>3.4623675719999997E-2</v>
      </c>
      <c r="M14" s="9"/>
      <c r="N14" s="9">
        <f t="shared" si="12"/>
        <v>4.8507922170000002E-2</v>
      </c>
      <c r="O14" s="9"/>
      <c r="P14" s="9">
        <f t="shared" si="13"/>
        <v>3.4623675719999997E-2</v>
      </c>
      <c r="Q14" s="9"/>
      <c r="R14" s="9">
        <f t="shared" si="14"/>
        <v>4.8507922170000002E-2</v>
      </c>
      <c r="S14" s="9"/>
      <c r="T14" s="9">
        <f>fastened!$G$13+2*fastened!$K$13+2*fastened!$N$13+fastened!$J$13</f>
        <v>0.28452928655574805</v>
      </c>
      <c r="U14" s="9"/>
      <c r="V14" s="9">
        <f t="shared" si="15"/>
        <v>4.8507922170000002E-2</v>
      </c>
      <c r="W14" s="9"/>
      <c r="X14" s="9">
        <f>fastened!$K$13</f>
        <v>3.4623675719999997E-2</v>
      </c>
      <c r="Y14" s="9"/>
      <c r="Z14" s="9">
        <f t="shared" si="16"/>
        <v>4.8507922170000002E-2</v>
      </c>
      <c r="AA14" s="9"/>
      <c r="AB14" s="9">
        <f t="shared" si="17"/>
        <v>3.4623675719999997E-2</v>
      </c>
      <c r="AC14" s="9"/>
      <c r="AD14" s="9">
        <f t="shared" si="18"/>
        <v>4.8507922170000002E-2</v>
      </c>
      <c r="AE14" s="9"/>
      <c r="AF14" s="9">
        <f>fastened!$M$13</f>
        <v>3.4623675719999997E-2</v>
      </c>
      <c r="AG14" s="9"/>
      <c r="AH14" s="9">
        <f>fastened!$H$13</f>
        <v>4.8507922170000002E-2</v>
      </c>
      <c r="AI14" s="9"/>
      <c r="AJ14" s="9">
        <f>fastened!$L$13</f>
        <v>1.7311837859999998E-2</v>
      </c>
      <c r="AL14" s="13">
        <f t="shared" ref="AL13:AL25" si="19">SUM(D14:AJ14)</f>
        <v>0.91495839395574807</v>
      </c>
      <c r="AM14" s="13"/>
    </row>
    <row r="15" spans="1:39" x14ac:dyDescent="0.2">
      <c r="C15" s="5"/>
      <c r="V15" s="10"/>
    </row>
    <row r="16" spans="1:39" x14ac:dyDescent="0.2">
      <c r="A16" s="3" t="s">
        <v>66</v>
      </c>
      <c r="B16" s="3" t="s">
        <v>67</v>
      </c>
      <c r="C16" s="5" t="s">
        <v>32</v>
      </c>
      <c r="D16" s="12">
        <f>fastened!$L$27</f>
        <v>-263.96134010000003</v>
      </c>
      <c r="E16" s="12"/>
      <c r="F16" s="12">
        <f>fastened!$H$27</f>
        <v>-220.52085815999999</v>
      </c>
      <c r="G16" s="12"/>
      <c r="H16" s="12">
        <f>fastened!$M$27</f>
        <v>-98.662088400000002</v>
      </c>
      <c r="I16" s="12"/>
      <c r="J16" s="12">
        <f>F16</f>
        <v>-220.52085815999999</v>
      </c>
      <c r="K16" s="12"/>
      <c r="L16" s="12">
        <f>fastened!$M$27</f>
        <v>-98.662088400000002</v>
      </c>
      <c r="M16" s="12"/>
      <c r="N16" s="12">
        <f>J16</f>
        <v>-220.52085815999999</v>
      </c>
      <c r="O16" s="12"/>
      <c r="P16" s="12">
        <f>fastened!$K$27</f>
        <v>-381.40917494000001</v>
      </c>
      <c r="Q16" s="12"/>
      <c r="R16" s="12">
        <f>fastened!$H$27</f>
        <v>-220.52085815999999</v>
      </c>
      <c r="S16" s="12"/>
      <c r="T16" s="12">
        <f>fastened!$G$27+2*fastened!$K$27+2*fastened!$N$27+fastened!$J$27</f>
        <v>-1832.8051390000001</v>
      </c>
      <c r="U16" s="12"/>
      <c r="V16" s="12">
        <f>R16</f>
        <v>-220.52085815999999</v>
      </c>
      <c r="W16" s="12"/>
      <c r="X16" s="12">
        <f>P16</f>
        <v>-381.40917494000001</v>
      </c>
      <c r="Y16" s="12"/>
      <c r="Z16" s="12">
        <f>V16</f>
        <v>-220.52085815999999</v>
      </c>
      <c r="AA16" s="12"/>
      <c r="AB16" s="12">
        <f>L16</f>
        <v>-98.662088400000002</v>
      </c>
      <c r="AC16" s="12"/>
      <c r="AD16" s="12">
        <f>V16</f>
        <v>-220.52085815999999</v>
      </c>
      <c r="AE16" s="12"/>
      <c r="AF16" s="12">
        <f>AB16</f>
        <v>-98.662088400000002</v>
      </c>
      <c r="AG16" s="12"/>
      <c r="AH16" s="12">
        <f>V16</f>
        <v>-220.52085815999999</v>
      </c>
      <c r="AI16" s="12"/>
      <c r="AJ16" s="12">
        <f>D16</f>
        <v>-263.96134010000003</v>
      </c>
      <c r="AL16" s="15">
        <f t="shared" si="19"/>
        <v>-5282.3613879600007</v>
      </c>
    </row>
    <row r="17" spans="1:38" x14ac:dyDescent="0.2">
      <c r="B17" s="3" t="s">
        <v>68</v>
      </c>
      <c r="C17" s="5" t="s">
        <v>32</v>
      </c>
      <c r="D17" s="12">
        <f>fastened!$G$30</f>
        <v>201.93519527284016</v>
      </c>
      <c r="E17" s="12"/>
      <c r="F17" s="12">
        <f>fastened!$H$30</f>
        <v>160.41635084344855</v>
      </c>
      <c r="G17" s="12"/>
      <c r="H17" s="12">
        <f>fastened!$M$30</f>
        <v>104.15483456978608</v>
      </c>
      <c r="I17" s="12"/>
      <c r="J17" s="12">
        <f t="shared" ref="J17" si="20">F17</f>
        <v>160.41635084344855</v>
      </c>
      <c r="K17" s="12"/>
      <c r="L17" s="12">
        <f>fastened!$M$30</f>
        <v>104.15483456978608</v>
      </c>
      <c r="M17" s="12"/>
      <c r="N17" s="12">
        <f t="shared" ref="N17" si="21">J17</f>
        <v>160.41635084344855</v>
      </c>
      <c r="O17" s="12"/>
      <c r="P17" s="12">
        <f>fastened!$K$30</f>
        <v>156.86849825812138</v>
      </c>
      <c r="Q17" s="12"/>
      <c r="R17" s="12">
        <f>fastened!$H$30</f>
        <v>160.41635084344855</v>
      </c>
      <c r="S17" s="12"/>
      <c r="T17" s="12">
        <f>fastened!$G$30+2*fastened!$K$30+2*fastened!$N$30+fastened!$J$30</f>
        <v>1349.5519178460602</v>
      </c>
      <c r="U17" s="12"/>
      <c r="V17" s="12">
        <f t="shared" ref="V17:V20" si="22">R17</f>
        <v>160.41635084344855</v>
      </c>
      <c r="W17" s="12"/>
      <c r="X17" s="12">
        <f t="shared" ref="X17:X20" si="23">P17</f>
        <v>156.86849825812138</v>
      </c>
      <c r="Y17" s="12"/>
      <c r="Z17" s="12">
        <f t="shared" ref="Z17:Z20" si="24">V17</f>
        <v>160.41635084344855</v>
      </c>
      <c r="AA17" s="12"/>
      <c r="AB17" s="12">
        <f t="shared" ref="AB17:AB20" si="25">L17</f>
        <v>104.15483456978608</v>
      </c>
      <c r="AC17" s="12"/>
      <c r="AD17" s="12">
        <f t="shared" ref="AD17:AD20" si="26">V17</f>
        <v>160.41635084344855</v>
      </c>
      <c r="AE17" s="12"/>
      <c r="AF17" s="12">
        <f t="shared" ref="AF17:AF20" si="27">AB17</f>
        <v>104.15483456978608</v>
      </c>
      <c r="AG17" s="12"/>
      <c r="AH17" s="12">
        <f t="shared" ref="AH17:AH20" si="28">V17</f>
        <v>160.41635084344855</v>
      </c>
      <c r="AI17" s="12"/>
      <c r="AJ17" s="12">
        <f t="shared" ref="AJ17" si="29">D17</f>
        <v>201.93519527284016</v>
      </c>
      <c r="AL17" s="15">
        <f t="shared" si="19"/>
        <v>3767.1094499347159</v>
      </c>
    </row>
    <row r="18" spans="1:38" x14ac:dyDescent="0.2">
      <c r="B18" s="3" t="s">
        <v>69</v>
      </c>
      <c r="C18" s="5" t="s">
        <v>32</v>
      </c>
      <c r="D18" s="12">
        <f>fastened!$G$28</f>
        <v>-413.52929540461815</v>
      </c>
      <c r="E18" s="12"/>
      <c r="F18" s="12">
        <f>fastened!$H$28</f>
        <v>-279.55966562749416</v>
      </c>
      <c r="G18" s="12"/>
      <c r="H18" s="12">
        <f>fastened!$M$28</f>
        <v>-199.54231750343359</v>
      </c>
      <c r="I18" s="12"/>
      <c r="J18" s="12">
        <f>F18</f>
        <v>-279.55966562749416</v>
      </c>
      <c r="K18" s="12"/>
      <c r="L18" s="12">
        <f>fastened!$M$28</f>
        <v>-199.54231750343359</v>
      </c>
      <c r="M18" s="12"/>
      <c r="N18" s="12">
        <f>J18</f>
        <v>-279.55966562749416</v>
      </c>
      <c r="O18" s="12"/>
      <c r="P18" s="12">
        <f>fastened!$K$28</f>
        <v>-199.54231750343359</v>
      </c>
      <c r="Q18" s="12"/>
      <c r="R18" s="12">
        <f>fastened!$H$28</f>
        <v>-279.55966562749416</v>
      </c>
      <c r="S18" s="12"/>
      <c r="T18" s="12">
        <f>fastened!$G$28+2*fastened!$K$28+2*fastened!$N$28+fastened!$J$28</f>
        <v>-1639.7921958394693</v>
      </c>
      <c r="U18" s="12"/>
      <c r="V18" s="12">
        <f t="shared" si="22"/>
        <v>-279.55966562749416</v>
      </c>
      <c r="W18" s="12"/>
      <c r="X18" s="12">
        <f t="shared" si="23"/>
        <v>-199.54231750343359</v>
      </c>
      <c r="Y18" s="12"/>
      <c r="Z18" s="12">
        <f t="shared" si="24"/>
        <v>-279.55966562749416</v>
      </c>
      <c r="AA18" s="12"/>
      <c r="AB18" s="12">
        <f t="shared" si="25"/>
        <v>-199.54231750343359</v>
      </c>
      <c r="AC18" s="12"/>
      <c r="AD18" s="12">
        <f t="shared" si="26"/>
        <v>-279.55966562749416</v>
      </c>
      <c r="AE18" s="12"/>
      <c r="AF18" s="12">
        <f t="shared" si="27"/>
        <v>-199.54231750343359</v>
      </c>
      <c r="AG18" s="12"/>
      <c r="AH18" s="12">
        <f t="shared" si="28"/>
        <v>-279.55966562749416</v>
      </c>
      <c r="AI18" s="12"/>
      <c r="AJ18" s="12">
        <f>D18</f>
        <v>-413.52929540461815</v>
      </c>
      <c r="AL18" s="15">
        <f t="shared" si="19"/>
        <v>-5900.5820166892599</v>
      </c>
    </row>
    <row r="19" spans="1:38" x14ac:dyDescent="0.2">
      <c r="B19" s="3" t="s">
        <v>70</v>
      </c>
      <c r="C19" s="5" t="s">
        <v>32</v>
      </c>
      <c r="D19" s="12">
        <f>fastened!$G$29</f>
        <v>-707.13509514189707</v>
      </c>
      <c r="E19" s="12"/>
      <c r="F19" s="12">
        <f>fastened!$H$29</f>
        <v>-478.04702822301499</v>
      </c>
      <c r="G19" s="12"/>
      <c r="H19" s="12">
        <f>fastened!$M$29</f>
        <v>-341.2173629308715</v>
      </c>
      <c r="I19" s="12"/>
      <c r="J19" s="12">
        <f>F19</f>
        <v>-478.04702822301499</v>
      </c>
      <c r="K19" s="12"/>
      <c r="L19" s="12">
        <f>fastened!$M$29</f>
        <v>-341.2173629308715</v>
      </c>
      <c r="M19" s="12"/>
      <c r="N19" s="12">
        <f>J19</f>
        <v>-478.04702822301499</v>
      </c>
      <c r="O19" s="12"/>
      <c r="P19" s="12">
        <f>fastened!$K$29</f>
        <v>-341.2173629308715</v>
      </c>
      <c r="Q19" s="12"/>
      <c r="R19" s="12">
        <f>fastened!$H$29</f>
        <v>-478.04702822301499</v>
      </c>
      <c r="S19" s="12"/>
      <c r="T19" s="12">
        <f>fastened!$G$29+2*fastened!$K$29+2*fastened!$N$29+fastened!$J$29</f>
        <v>-2804.0446548854929</v>
      </c>
      <c r="U19" s="12"/>
      <c r="V19" s="12">
        <f t="shared" si="22"/>
        <v>-478.04702822301499</v>
      </c>
      <c r="W19" s="12"/>
      <c r="X19" s="12">
        <f t="shared" si="23"/>
        <v>-341.2173629308715</v>
      </c>
      <c r="Y19" s="12"/>
      <c r="Z19" s="12">
        <f t="shared" si="24"/>
        <v>-478.04702822301499</v>
      </c>
      <c r="AA19" s="12"/>
      <c r="AB19" s="12">
        <f t="shared" si="25"/>
        <v>-341.2173629308715</v>
      </c>
      <c r="AC19" s="12"/>
      <c r="AD19" s="12">
        <f t="shared" si="26"/>
        <v>-478.04702822301499</v>
      </c>
      <c r="AE19" s="12"/>
      <c r="AF19" s="12">
        <f t="shared" si="27"/>
        <v>-341.2173629308715</v>
      </c>
      <c r="AG19" s="12"/>
      <c r="AH19" s="12">
        <f t="shared" si="28"/>
        <v>-478.04702822301499</v>
      </c>
      <c r="AI19" s="12"/>
      <c r="AJ19" s="12">
        <f>D19</f>
        <v>-707.13509514189707</v>
      </c>
      <c r="AL19" s="15">
        <f t="shared" si="19"/>
        <v>-10089.995248538635</v>
      </c>
    </row>
    <row r="20" spans="1:38" x14ac:dyDescent="0.2">
      <c r="B20" s="3" t="s">
        <v>71</v>
      </c>
      <c r="C20" s="5" t="s">
        <v>32</v>
      </c>
      <c r="D20" s="12">
        <f>fastened!$G$31</f>
        <v>707.13509514189707</v>
      </c>
      <c r="E20" s="12"/>
      <c r="F20" s="12">
        <f>fastened!$H$31</f>
        <v>478.04702822301499</v>
      </c>
      <c r="G20" s="12"/>
      <c r="H20" s="12">
        <f>fastened!$M$31</f>
        <v>341.2173629308715</v>
      </c>
      <c r="I20" s="12"/>
      <c r="J20" s="12">
        <f>F20</f>
        <v>478.04702822301499</v>
      </c>
      <c r="K20" s="12"/>
      <c r="L20" s="12">
        <f>fastened!$M$31</f>
        <v>341.2173629308715</v>
      </c>
      <c r="M20" s="12"/>
      <c r="N20" s="12">
        <f>J20</f>
        <v>478.04702822301499</v>
      </c>
      <c r="O20" s="12"/>
      <c r="P20" s="12">
        <f>fastened!$K$31</f>
        <v>341.2173629308715</v>
      </c>
      <c r="Q20" s="12"/>
      <c r="R20" s="12">
        <f>fastened!$H$31</f>
        <v>478.04702822301499</v>
      </c>
      <c r="S20" s="12"/>
      <c r="T20" s="12">
        <f>fastened!$G$31+2*fastened!$K$31+2*fastened!$N$31+fastened!$J$31</f>
        <v>2804.0446548854929</v>
      </c>
      <c r="U20" s="12"/>
      <c r="V20" s="12">
        <f t="shared" si="22"/>
        <v>478.04702822301499</v>
      </c>
      <c r="W20" s="12"/>
      <c r="X20" s="12">
        <f t="shared" si="23"/>
        <v>341.2173629308715</v>
      </c>
      <c r="Y20" s="12"/>
      <c r="Z20" s="12">
        <f t="shared" si="24"/>
        <v>478.04702822301499</v>
      </c>
      <c r="AA20" s="12"/>
      <c r="AB20" s="12">
        <f t="shared" si="25"/>
        <v>341.2173629308715</v>
      </c>
      <c r="AC20" s="12"/>
      <c r="AD20" s="12">
        <f t="shared" si="26"/>
        <v>478.04702822301499</v>
      </c>
      <c r="AE20" s="12"/>
      <c r="AF20" s="12">
        <f t="shared" si="27"/>
        <v>341.2173629308715</v>
      </c>
      <c r="AG20" s="12"/>
      <c r="AH20" s="12">
        <f t="shared" si="28"/>
        <v>478.04702822301499</v>
      </c>
      <c r="AI20" s="12"/>
      <c r="AJ20" s="12">
        <f>D20</f>
        <v>707.13509514189707</v>
      </c>
      <c r="AL20" s="15">
        <f t="shared" si="19"/>
        <v>10089.995248538635</v>
      </c>
    </row>
    <row r="21" spans="1:38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8" x14ac:dyDescent="0.2">
      <c r="A22" s="3" t="s">
        <v>46</v>
      </c>
      <c r="B22" s="3" t="s">
        <v>81</v>
      </c>
      <c r="C22" s="5" t="s">
        <v>32</v>
      </c>
      <c r="D22" s="12">
        <f>D16</f>
        <v>-263.96134010000003</v>
      </c>
      <c r="E22" s="12">
        <f t="shared" ref="E22:AJ22" si="30">E16</f>
        <v>0</v>
      </c>
      <c r="F22" s="12">
        <f t="shared" si="30"/>
        <v>-220.52085815999999</v>
      </c>
      <c r="G22" s="12">
        <f t="shared" si="30"/>
        <v>0</v>
      </c>
      <c r="H22" s="12">
        <f t="shared" si="30"/>
        <v>-98.662088400000002</v>
      </c>
      <c r="I22" s="12">
        <f t="shared" si="30"/>
        <v>0</v>
      </c>
      <c r="J22" s="12">
        <f t="shared" si="30"/>
        <v>-220.52085815999999</v>
      </c>
      <c r="K22" s="12">
        <f t="shared" si="30"/>
        <v>0</v>
      </c>
      <c r="L22" s="12">
        <f t="shared" si="30"/>
        <v>-98.662088400000002</v>
      </c>
      <c r="M22" s="12">
        <f t="shared" si="30"/>
        <v>0</v>
      </c>
      <c r="N22" s="12">
        <f t="shared" si="30"/>
        <v>-220.52085815999999</v>
      </c>
      <c r="O22" s="12">
        <f t="shared" si="30"/>
        <v>0</v>
      </c>
      <c r="P22" s="12">
        <f t="shared" si="30"/>
        <v>-381.40917494000001</v>
      </c>
      <c r="Q22" s="12">
        <f t="shared" si="30"/>
        <v>0</v>
      </c>
      <c r="R22" s="12">
        <f t="shared" si="30"/>
        <v>-220.52085815999999</v>
      </c>
      <c r="S22" s="5"/>
      <c r="T22" s="12">
        <f t="shared" si="30"/>
        <v>-1832.8051390000001</v>
      </c>
      <c r="U22" s="5"/>
      <c r="V22" s="12">
        <f t="shared" si="30"/>
        <v>-220.52085815999999</v>
      </c>
      <c r="W22" s="12">
        <f t="shared" si="30"/>
        <v>0</v>
      </c>
      <c r="X22" s="12">
        <f t="shared" si="30"/>
        <v>-381.40917494000001</v>
      </c>
      <c r="Y22" s="12">
        <f t="shared" si="30"/>
        <v>0</v>
      </c>
      <c r="Z22" s="12">
        <f t="shared" si="30"/>
        <v>-220.52085815999999</v>
      </c>
      <c r="AA22" s="12">
        <f t="shared" si="30"/>
        <v>0</v>
      </c>
      <c r="AB22" s="12">
        <f t="shared" si="30"/>
        <v>-98.662088400000002</v>
      </c>
      <c r="AC22" s="12">
        <f t="shared" si="30"/>
        <v>0</v>
      </c>
      <c r="AD22" s="12">
        <f t="shared" si="30"/>
        <v>-220.52085815999999</v>
      </c>
      <c r="AE22" s="12">
        <f t="shared" si="30"/>
        <v>0</v>
      </c>
      <c r="AF22" s="12">
        <f t="shared" si="30"/>
        <v>-98.662088400000002</v>
      </c>
      <c r="AG22" s="12">
        <f t="shared" si="30"/>
        <v>0</v>
      </c>
      <c r="AH22" s="12">
        <f t="shared" si="30"/>
        <v>-220.52085815999999</v>
      </c>
      <c r="AI22" s="12">
        <f t="shared" si="30"/>
        <v>0</v>
      </c>
      <c r="AJ22" s="12">
        <f t="shared" si="30"/>
        <v>-263.96134010000003</v>
      </c>
      <c r="AL22" s="15">
        <f t="shared" si="19"/>
        <v>-5282.3613879600007</v>
      </c>
    </row>
    <row r="23" spans="1:38" x14ac:dyDescent="0.2">
      <c r="B23" s="3" t="s">
        <v>72</v>
      </c>
      <c r="C23" s="5" t="s">
        <v>32</v>
      </c>
      <c r="D23" s="12">
        <f>D16+D19+D17+D20</f>
        <v>-62.026144827159897</v>
      </c>
      <c r="E23" s="5"/>
      <c r="F23" s="12">
        <f>F16+F19+F17+F20</f>
        <v>-60.104507316551462</v>
      </c>
      <c r="G23" s="5"/>
      <c r="H23" s="12">
        <f>H16+H19+H17+H20</f>
        <v>5.4927461697860736</v>
      </c>
      <c r="I23" s="5"/>
      <c r="J23" s="12">
        <f>J16+J19+J17+J20</f>
        <v>-60.104507316551462</v>
      </c>
      <c r="K23" s="5"/>
      <c r="L23" s="12">
        <f>L16+L19+L17+L20</f>
        <v>5.4927461697860736</v>
      </c>
      <c r="M23" s="5"/>
      <c r="N23" s="12">
        <f>N16+N19+N17+N20</f>
        <v>-60.104507316551462</v>
      </c>
      <c r="O23" s="5"/>
      <c r="P23" s="12">
        <f>P16+P19+P17+P20</f>
        <v>-224.54067668187867</v>
      </c>
      <c r="Q23" s="5"/>
      <c r="R23" s="12">
        <f>R16+R19+R17+R20</f>
        <v>-60.104507316551462</v>
      </c>
      <c r="S23" s="5"/>
      <c r="T23" s="12">
        <f>T16+T19+T17+T20</f>
        <v>-483.25322115393965</v>
      </c>
      <c r="U23" s="5"/>
      <c r="V23" s="12">
        <f>V16+V19+V17+V20</f>
        <v>-60.104507316551462</v>
      </c>
      <c r="W23" s="5"/>
      <c r="X23" s="12">
        <f>X16+X19+X17+X20</f>
        <v>-224.54067668187867</v>
      </c>
      <c r="Y23" s="5"/>
      <c r="Z23" s="12">
        <f>Z16+Z19+Z17+Z20</f>
        <v>-60.104507316551462</v>
      </c>
      <c r="AA23" s="5"/>
      <c r="AB23" s="12">
        <f>AB16+AB19+AB17+AB20</f>
        <v>5.4927461697860736</v>
      </c>
      <c r="AC23" s="5"/>
      <c r="AD23" s="12">
        <f>AD16+AD19+AD17+AD20</f>
        <v>-60.104507316551462</v>
      </c>
      <c r="AE23" s="5"/>
      <c r="AF23" s="12">
        <f>AF16+AF19+AF17+AF20</f>
        <v>5.4927461697860736</v>
      </c>
      <c r="AG23" s="5"/>
      <c r="AH23" s="12">
        <f>AH16+AH19+AH17+AH20</f>
        <v>-60.104507316551462</v>
      </c>
      <c r="AI23" s="5"/>
      <c r="AJ23" s="12">
        <f>AJ16+AJ19+AJ17+AJ20</f>
        <v>-62.026144827159897</v>
      </c>
      <c r="AL23" s="15">
        <f t="shared" si="19"/>
        <v>-1515.2519380252843</v>
      </c>
    </row>
    <row r="24" spans="1:38" x14ac:dyDescent="0.2">
      <c r="B24" s="3" t="s">
        <v>73</v>
      </c>
      <c r="C24" s="5" t="s">
        <v>32</v>
      </c>
      <c r="D24" s="12">
        <f>D16+D18+D17+D20</f>
        <v>231.57965491011896</v>
      </c>
      <c r="E24" s="5"/>
      <c r="F24" s="12">
        <f>F16+F18+F17+F20</f>
        <v>138.38285527896937</v>
      </c>
      <c r="G24" s="5"/>
      <c r="H24" s="12">
        <f>H16+H18+H17+H20</f>
        <v>147.16779159722398</v>
      </c>
      <c r="I24" s="5"/>
      <c r="J24" s="12">
        <f>J16+J18+J17+J20</f>
        <v>138.38285527896937</v>
      </c>
      <c r="K24" s="5"/>
      <c r="L24" s="12">
        <f>L16+L18+L17+L20</f>
        <v>147.16779159722398</v>
      </c>
      <c r="M24" s="5"/>
      <c r="N24" s="12">
        <f>N16+N18+N17+N20</f>
        <v>138.38285527896937</v>
      </c>
      <c r="O24" s="5"/>
      <c r="P24" s="12">
        <f>P16+P18+P17+P20</f>
        <v>-82.865631254440757</v>
      </c>
      <c r="Q24" s="5"/>
      <c r="R24" s="12">
        <f>R16+R18+R17+R20</f>
        <v>138.38285527896937</v>
      </c>
      <c r="S24" s="5"/>
      <c r="T24" s="12">
        <f>T16+T18+T17+T20</f>
        <v>680.99923789208378</v>
      </c>
      <c r="U24" s="5"/>
      <c r="V24" s="12">
        <f>V16+V18+V17+V20</f>
        <v>138.38285527896937</v>
      </c>
      <c r="W24" s="5"/>
      <c r="X24" s="12">
        <f>X16+X18+X17+X20</f>
        <v>-82.865631254440757</v>
      </c>
      <c r="Y24" s="5"/>
      <c r="Z24" s="12">
        <f>Z16+Z18+Z17+Z20</f>
        <v>138.38285527896937</v>
      </c>
      <c r="AA24" s="5"/>
      <c r="AB24" s="12">
        <f>AB16+AB18+AB17+AB20</f>
        <v>147.16779159722398</v>
      </c>
      <c r="AC24" s="5"/>
      <c r="AD24" s="12">
        <f>AD16+AD18+AD17+AD20</f>
        <v>138.38285527896937</v>
      </c>
      <c r="AE24" s="5"/>
      <c r="AF24" s="12">
        <f>AF16+AF18+AF17+AF20</f>
        <v>147.16779159722398</v>
      </c>
      <c r="AG24" s="5"/>
      <c r="AH24" s="12">
        <f>AH16+AH18+AH17+AH20</f>
        <v>138.38285527896937</v>
      </c>
      <c r="AI24" s="5"/>
      <c r="AJ24" s="12">
        <f>AJ16+AJ18+AJ17+AJ20</f>
        <v>231.57965491011896</v>
      </c>
      <c r="AL24" s="15">
        <f t="shared" si="19"/>
        <v>2674.1612938240905</v>
      </c>
    </row>
    <row r="25" spans="1:38" x14ac:dyDescent="0.2">
      <c r="B25" s="3" t="s">
        <v>74</v>
      </c>
      <c r="C25" s="5" t="s">
        <v>32</v>
      </c>
      <c r="D25" s="12">
        <f>D16</f>
        <v>-263.96134010000003</v>
      </c>
      <c r="E25" s="12">
        <f t="shared" ref="E25:AJ25" si="31">E16</f>
        <v>0</v>
      </c>
      <c r="F25" s="12">
        <f t="shared" si="31"/>
        <v>-220.52085815999999</v>
      </c>
      <c r="G25" s="12">
        <f t="shared" si="31"/>
        <v>0</v>
      </c>
      <c r="H25" s="12">
        <f t="shared" si="31"/>
        <v>-98.662088400000002</v>
      </c>
      <c r="I25" s="12">
        <f t="shared" si="31"/>
        <v>0</v>
      </c>
      <c r="J25" s="12">
        <f t="shared" si="31"/>
        <v>-220.52085815999999</v>
      </c>
      <c r="K25" s="12">
        <f t="shared" si="31"/>
        <v>0</v>
      </c>
      <c r="L25" s="12">
        <f t="shared" si="31"/>
        <v>-98.662088400000002</v>
      </c>
      <c r="M25" s="12">
        <f t="shared" si="31"/>
        <v>0</v>
      </c>
      <c r="N25" s="12">
        <f t="shared" si="31"/>
        <v>-220.52085815999999</v>
      </c>
      <c r="O25" s="12">
        <f t="shared" si="31"/>
        <v>0</v>
      </c>
      <c r="P25" s="12">
        <f t="shared" si="31"/>
        <v>-381.40917494000001</v>
      </c>
      <c r="Q25" s="12">
        <f t="shared" si="31"/>
        <v>0</v>
      </c>
      <c r="R25" s="12">
        <f t="shared" si="31"/>
        <v>-220.52085815999999</v>
      </c>
      <c r="S25" s="12">
        <f t="shared" si="31"/>
        <v>0</v>
      </c>
      <c r="T25" s="12">
        <f t="shared" si="31"/>
        <v>-1832.8051390000001</v>
      </c>
      <c r="U25" s="12">
        <f t="shared" si="31"/>
        <v>0</v>
      </c>
      <c r="V25" s="12">
        <f t="shared" si="31"/>
        <v>-220.52085815999999</v>
      </c>
      <c r="W25" s="12">
        <f t="shared" si="31"/>
        <v>0</v>
      </c>
      <c r="X25" s="12">
        <f t="shared" si="31"/>
        <v>-381.40917494000001</v>
      </c>
      <c r="Y25" s="12">
        <f t="shared" si="31"/>
        <v>0</v>
      </c>
      <c r="Z25" s="12">
        <f t="shared" si="31"/>
        <v>-220.52085815999999</v>
      </c>
      <c r="AA25" s="12">
        <f t="shared" si="31"/>
        <v>0</v>
      </c>
      <c r="AB25" s="12">
        <f t="shared" si="31"/>
        <v>-98.662088400000002</v>
      </c>
      <c r="AC25" s="12">
        <f t="shared" si="31"/>
        <v>0</v>
      </c>
      <c r="AD25" s="12">
        <f t="shared" si="31"/>
        <v>-220.52085815999999</v>
      </c>
      <c r="AE25" s="12">
        <f t="shared" si="31"/>
        <v>0</v>
      </c>
      <c r="AF25" s="12">
        <f t="shared" si="31"/>
        <v>-98.662088400000002</v>
      </c>
      <c r="AG25" s="12">
        <f t="shared" si="31"/>
        <v>0</v>
      </c>
      <c r="AH25" s="12">
        <f t="shared" si="31"/>
        <v>-220.52085815999999</v>
      </c>
      <c r="AI25" s="12">
        <f t="shared" si="31"/>
        <v>0</v>
      </c>
      <c r="AJ25" s="12">
        <f t="shared" si="31"/>
        <v>-263.96134010000003</v>
      </c>
      <c r="AL25" s="15">
        <f t="shared" si="19"/>
        <v>-5282.3613879600007</v>
      </c>
    </row>
    <row r="28" spans="1:38" x14ac:dyDescent="0.2">
      <c r="A28" s="3" t="s">
        <v>88</v>
      </c>
    </row>
    <row r="29" spans="1:38" x14ac:dyDescent="0.2">
      <c r="A29" s="3" t="s">
        <v>85</v>
      </c>
      <c r="B29" s="3" t="s">
        <v>86</v>
      </c>
      <c r="C29" s="3" t="s">
        <v>11</v>
      </c>
      <c r="D29" s="13">
        <f>D8-$D$8</f>
        <v>0</v>
      </c>
      <c r="E29" s="13">
        <f t="shared" ref="E29:AJ29" si="32">E8-$D$8</f>
        <v>0.27432000000000034</v>
      </c>
      <c r="F29" s="13">
        <f t="shared" si="32"/>
        <v>0.56641999999999992</v>
      </c>
      <c r="G29" s="13">
        <f t="shared" si="32"/>
        <v>0.85851999999999951</v>
      </c>
      <c r="H29" s="13">
        <f t="shared" si="32"/>
        <v>1.1328399999999994</v>
      </c>
      <c r="I29" s="13">
        <f t="shared" si="32"/>
        <v>1.4071599999999993</v>
      </c>
      <c r="J29" s="13">
        <f t="shared" si="32"/>
        <v>1.6992599999999993</v>
      </c>
      <c r="K29" s="13">
        <f t="shared" si="32"/>
        <v>1.9913599999999994</v>
      </c>
      <c r="L29" s="13">
        <f t="shared" si="32"/>
        <v>2.2656799999999993</v>
      </c>
      <c r="M29" s="13">
        <f t="shared" si="32"/>
        <v>2.5399999999999991</v>
      </c>
      <c r="N29" s="13">
        <f t="shared" si="32"/>
        <v>2.8320999999999992</v>
      </c>
      <c r="O29" s="13">
        <f t="shared" si="32"/>
        <v>3.1241999999999992</v>
      </c>
      <c r="P29" s="13">
        <f t="shared" si="32"/>
        <v>3.3985199999999991</v>
      </c>
      <c r="Q29" s="13">
        <f t="shared" si="32"/>
        <v>3.672839999999999</v>
      </c>
      <c r="R29" s="13">
        <f t="shared" si="32"/>
        <v>3.964939999999999</v>
      </c>
      <c r="S29" s="13">
        <f t="shared" si="32"/>
        <v>4.257039999999999</v>
      </c>
      <c r="T29" s="13">
        <f t="shared" si="32"/>
        <v>4.622164999999999</v>
      </c>
      <c r="U29" s="13">
        <f t="shared" si="32"/>
        <v>4.9872899999999989</v>
      </c>
      <c r="V29" s="13">
        <f t="shared" si="32"/>
        <v>5.2793899999999994</v>
      </c>
      <c r="W29" s="13">
        <f t="shared" si="32"/>
        <v>5.5714899999999989</v>
      </c>
      <c r="X29" s="13">
        <f t="shared" si="32"/>
        <v>5.8458099999999984</v>
      </c>
      <c r="Y29" s="13">
        <f t="shared" si="32"/>
        <v>6.1201299999999987</v>
      </c>
      <c r="Z29" s="13">
        <f t="shared" si="32"/>
        <v>6.4122299999999992</v>
      </c>
      <c r="AA29" s="13">
        <f t="shared" si="32"/>
        <v>6.7043299999999988</v>
      </c>
      <c r="AB29" s="13">
        <f t="shared" si="32"/>
        <v>6.9786499999999982</v>
      </c>
      <c r="AC29" s="13">
        <f t="shared" si="32"/>
        <v>7.2529699999999986</v>
      </c>
      <c r="AD29" s="13">
        <f t="shared" si="32"/>
        <v>7.5450699999999991</v>
      </c>
      <c r="AE29" s="13">
        <f t="shared" si="32"/>
        <v>7.8371699999999986</v>
      </c>
      <c r="AF29" s="13">
        <f t="shared" si="32"/>
        <v>8.1114899999999981</v>
      </c>
      <c r="AG29" s="13">
        <f t="shared" si="32"/>
        <v>8.3858099999999993</v>
      </c>
      <c r="AH29" s="13">
        <f t="shared" si="32"/>
        <v>8.6779099999999971</v>
      </c>
      <c r="AI29" s="13">
        <f t="shared" si="32"/>
        <v>8.9700099999999985</v>
      </c>
      <c r="AJ29" s="13">
        <f t="shared" si="32"/>
        <v>9.2443299999999979</v>
      </c>
    </row>
    <row r="30" spans="1:38" x14ac:dyDescent="0.2">
      <c r="A30" s="3" t="s">
        <v>90</v>
      </c>
      <c r="D30" s="15">
        <f>D22</f>
        <v>-263.96134010000003</v>
      </c>
      <c r="E30" s="15">
        <f t="shared" ref="E30:AJ30" si="33">E22</f>
        <v>0</v>
      </c>
      <c r="F30" s="15">
        <f t="shared" si="33"/>
        <v>-220.52085815999999</v>
      </c>
      <c r="G30" s="15">
        <f t="shared" si="33"/>
        <v>0</v>
      </c>
      <c r="H30" s="15">
        <f t="shared" si="33"/>
        <v>-98.662088400000002</v>
      </c>
      <c r="I30" s="15">
        <f t="shared" si="33"/>
        <v>0</v>
      </c>
      <c r="J30" s="15">
        <f t="shared" si="33"/>
        <v>-220.52085815999999</v>
      </c>
      <c r="K30" s="15">
        <f t="shared" si="33"/>
        <v>0</v>
      </c>
      <c r="L30" s="15">
        <f t="shared" si="33"/>
        <v>-98.662088400000002</v>
      </c>
      <c r="M30" s="15">
        <f t="shared" si="33"/>
        <v>0</v>
      </c>
      <c r="N30" s="15">
        <f t="shared" si="33"/>
        <v>-220.52085815999999</v>
      </c>
      <c r="O30" s="15">
        <f t="shared" si="33"/>
        <v>0</v>
      </c>
      <c r="P30" s="15">
        <f t="shared" si="33"/>
        <v>-381.40917494000001</v>
      </c>
      <c r="Q30" s="15">
        <f t="shared" si="33"/>
        <v>0</v>
      </c>
      <c r="R30" s="15">
        <f t="shared" si="33"/>
        <v>-220.52085815999999</v>
      </c>
      <c r="S30" s="15">
        <f t="shared" si="33"/>
        <v>0</v>
      </c>
      <c r="T30" s="15">
        <f t="shared" si="33"/>
        <v>-1832.8051390000001</v>
      </c>
      <c r="U30" s="15">
        <f t="shared" si="33"/>
        <v>0</v>
      </c>
      <c r="V30" s="15">
        <f t="shared" si="33"/>
        <v>-220.52085815999999</v>
      </c>
      <c r="W30" s="15">
        <f t="shared" si="33"/>
        <v>0</v>
      </c>
      <c r="X30" s="15">
        <f t="shared" si="33"/>
        <v>-381.40917494000001</v>
      </c>
      <c r="Y30" s="15">
        <f t="shared" si="33"/>
        <v>0</v>
      </c>
      <c r="Z30" s="15">
        <f t="shared" si="33"/>
        <v>-220.52085815999999</v>
      </c>
      <c r="AA30" s="15">
        <f t="shared" si="33"/>
        <v>0</v>
      </c>
      <c r="AB30" s="15">
        <f t="shared" si="33"/>
        <v>-98.662088400000002</v>
      </c>
      <c r="AC30" s="15">
        <f t="shared" si="33"/>
        <v>0</v>
      </c>
      <c r="AD30" s="15">
        <f t="shared" si="33"/>
        <v>-220.52085815999999</v>
      </c>
      <c r="AE30" s="15">
        <f t="shared" si="33"/>
        <v>0</v>
      </c>
      <c r="AF30" s="15">
        <f t="shared" si="33"/>
        <v>-98.662088400000002</v>
      </c>
      <c r="AG30" s="15">
        <f t="shared" si="33"/>
        <v>0</v>
      </c>
      <c r="AH30" s="15">
        <f t="shared" si="33"/>
        <v>-220.52085815999999</v>
      </c>
      <c r="AI30" s="15">
        <f t="shared" si="33"/>
        <v>0</v>
      </c>
      <c r="AJ30" s="15">
        <f t="shared" si="33"/>
        <v>-263.96134010000003</v>
      </c>
      <c r="AL30" s="15">
        <f t="shared" ref="AL30:AL31" si="34">SUM(D30:AJ30)</f>
        <v>-5282.3613879600007</v>
      </c>
    </row>
    <row r="31" spans="1:38" x14ac:dyDescent="0.2">
      <c r="A31" s="3" t="s">
        <v>87</v>
      </c>
      <c r="C31" s="3" t="s">
        <v>89</v>
      </c>
      <c r="D31" s="15">
        <f>D22*D29</f>
        <v>0</v>
      </c>
      <c r="E31" s="15">
        <f>E22*E29</f>
        <v>0</v>
      </c>
      <c r="F31" s="15">
        <f>F22*F29</f>
        <v>-124.90742447898718</v>
      </c>
      <c r="G31" s="15">
        <f>G22*G29</f>
        <v>0</v>
      </c>
      <c r="H31" s="15">
        <f>H22*H29</f>
        <v>-111.76836022305595</v>
      </c>
      <c r="I31" s="15">
        <f>I22*I29</f>
        <v>0</v>
      </c>
      <c r="J31" s="15">
        <f>J22*J29</f>
        <v>-374.72227343696142</v>
      </c>
      <c r="K31" s="15">
        <f>K22*K29</f>
        <v>0</v>
      </c>
      <c r="L31" s="15">
        <f>L22*L29</f>
        <v>-223.53672044611193</v>
      </c>
      <c r="M31" s="15">
        <f>M22*M29</f>
        <v>0</v>
      </c>
      <c r="N31" s="15">
        <f>N22*N29</f>
        <v>-624.53712239493575</v>
      </c>
      <c r="O31" s="15">
        <f>O22*O29</f>
        <v>0</v>
      </c>
      <c r="P31" s="15">
        <f>P22*P29</f>
        <v>-1296.2267092170885</v>
      </c>
      <c r="Q31" s="15">
        <f>Q22*Q29</f>
        <v>0</v>
      </c>
      <c r="R31" s="15">
        <f>R22*R29</f>
        <v>-874.35197135291014</v>
      </c>
      <c r="S31" s="15">
        <f>S22*S29</f>
        <v>0</v>
      </c>
      <c r="T31" s="15">
        <f>T22*T29</f>
        <v>-8471.5277653059329</v>
      </c>
      <c r="U31" s="15">
        <f>U22*U29</f>
        <v>0</v>
      </c>
      <c r="V31" s="15">
        <f>V22*V29</f>
        <v>-1164.2156133613223</v>
      </c>
      <c r="W31" s="15">
        <f>W22*W29</f>
        <v>0</v>
      </c>
      <c r="X31" s="15">
        <f>X22*X29</f>
        <v>-2229.6455689560007</v>
      </c>
      <c r="Y31" s="15">
        <f>Y22*Y29</f>
        <v>0</v>
      </c>
      <c r="Z31" s="15">
        <f>Z22*Z29</f>
        <v>-1414.0304623192965</v>
      </c>
      <c r="AA31" s="15">
        <f>AA22*AA29</f>
        <v>0</v>
      </c>
      <c r="AB31" s="15">
        <f>AB22*AB29</f>
        <v>-688.52818321265988</v>
      </c>
      <c r="AC31" s="15">
        <f>AC22*AC29</f>
        <v>0</v>
      </c>
      <c r="AD31" s="15">
        <f>AD22*AD29</f>
        <v>-1663.8453112772709</v>
      </c>
      <c r="AE31" s="15">
        <f>AE22*AE29</f>
        <v>0</v>
      </c>
      <c r="AF31" s="15">
        <f>AF22*AF29</f>
        <v>-800.29654343571588</v>
      </c>
      <c r="AG31" s="15">
        <f>AG22*AG29</f>
        <v>0</v>
      </c>
      <c r="AH31" s="15">
        <f>AH22*AH29</f>
        <v>-1913.6601602352448</v>
      </c>
      <c r="AI31" s="15">
        <f>AI22*AI29</f>
        <v>0</v>
      </c>
      <c r="AJ31" s="15">
        <f>AJ22*AJ29</f>
        <v>-2440.1457351266326</v>
      </c>
      <c r="AL31" s="15">
        <f t="shared" si="34"/>
        <v>-24415.945924780128</v>
      </c>
    </row>
    <row r="32" spans="1:38" x14ac:dyDescent="0.2">
      <c r="A32" s="3" t="s">
        <v>91</v>
      </c>
      <c r="C32" s="3" t="s">
        <v>32</v>
      </c>
      <c r="D32" s="3" t="e">
        <f>((1 + (-AJ29/(P29+X29)))^(-1))*((1/(P29+X29))*AL31 - (1/2)*AL30)</f>
        <v>#DIV/0!</v>
      </c>
    </row>
    <row r="34" spans="16:16" x14ac:dyDescent="0.2">
      <c r="P34" s="13">
        <f>P29+X29</f>
        <v>9.2443299999999979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EC4-AD7B-48EA-A0F8-4D1294B01118}">
  <dimension ref="B3:N35"/>
  <sheetViews>
    <sheetView topLeftCell="B1" workbookViewId="0">
      <selection activeCell="G23" sqref="G23"/>
    </sheetView>
  </sheetViews>
  <sheetFormatPr defaultRowHeight="15" x14ac:dyDescent="0.25"/>
  <cols>
    <col min="5" max="5" width="12" bestFit="1" customWidth="1"/>
    <col min="6" max="6" width="9.5703125" bestFit="1" customWidth="1"/>
    <col min="9" max="9" width="10.28515625" bestFit="1" customWidth="1"/>
  </cols>
  <sheetData>
    <row r="3" spans="2:14" x14ac:dyDescent="0.25">
      <c r="G3" t="s">
        <v>18</v>
      </c>
      <c r="H3" t="s">
        <v>22</v>
      </c>
      <c r="I3" t="s">
        <v>17</v>
      </c>
      <c r="J3" t="s">
        <v>19</v>
      </c>
      <c r="K3" t="s">
        <v>15</v>
      </c>
      <c r="L3" t="s">
        <v>16</v>
      </c>
      <c r="M3" t="s">
        <v>20</v>
      </c>
      <c r="N3" t="s">
        <v>21</v>
      </c>
    </row>
    <row r="4" spans="2:14" x14ac:dyDescent="0.25">
      <c r="B4" t="s">
        <v>14</v>
      </c>
    </row>
    <row r="5" spans="2:14" x14ac:dyDescent="0.25">
      <c r="B5" t="s">
        <v>11</v>
      </c>
      <c r="D5" t="s">
        <v>1</v>
      </c>
      <c r="E5" t="s">
        <v>23</v>
      </c>
      <c r="F5" t="s">
        <v>9</v>
      </c>
      <c r="G5" s="2">
        <f>1.950702*(10^1)</f>
        <v>19.507020000000001</v>
      </c>
      <c r="H5">
        <f>G32</f>
        <v>0</v>
      </c>
      <c r="I5" s="2">
        <f>5.79572</f>
        <v>5.7957200000000002</v>
      </c>
      <c r="J5">
        <f>1.62533*(10^1)</f>
        <v>16.253299999999999</v>
      </c>
      <c r="K5" s="2">
        <f>3.330252*(10^1)</f>
        <v>33.302520000000001</v>
      </c>
      <c r="L5">
        <f>2.132538*(10^1)</f>
        <v>21.325379999999999</v>
      </c>
      <c r="M5" s="2">
        <f>1.00614*(10^1)</f>
        <v>10.061400000000001</v>
      </c>
      <c r="N5">
        <f>3.66776*(10^1)</f>
        <v>36.677599999999998</v>
      </c>
    </row>
    <row r="6" spans="2:14" x14ac:dyDescent="0.25">
      <c r="B6" s="2">
        <f>2.8346*(10^-1)</f>
        <v>0.28345999999999999</v>
      </c>
    </row>
    <row r="7" spans="2:14" x14ac:dyDescent="0.25">
      <c r="D7" t="s">
        <v>0</v>
      </c>
      <c r="F7" t="s">
        <v>10</v>
      </c>
      <c r="G7" s="2">
        <f>2.049057134*(10^-2)</f>
        <v>2.0490571339999999E-2</v>
      </c>
      <c r="I7" s="2">
        <f>6.08794266*(10^-3)</f>
        <v>6.0879426600000007E-3</v>
      </c>
      <c r="J7" s="2">
        <f>7.56084067*(10^-3)</f>
        <v>7.56084067E-3</v>
      </c>
      <c r="K7" s="2">
        <f>1.591760738*(10^-2)</f>
        <v>1.591760738E-2</v>
      </c>
      <c r="L7" s="2">
        <f>1.284852583*(10^-2)</f>
        <v>1.2848525829999999E-2</v>
      </c>
      <c r="M7" s="2">
        <f>1.056869787*(10^-2)</f>
        <v>1.0568697869999999E-2</v>
      </c>
      <c r="N7">
        <f>3.852689512*(10^-2)</f>
        <v>3.8526895120000001E-2</v>
      </c>
    </row>
    <row r="9" spans="2:14" x14ac:dyDescent="0.25">
      <c r="D9" t="s">
        <v>2</v>
      </c>
      <c r="E9" t="s">
        <v>3</v>
      </c>
      <c r="F9" t="s">
        <v>11</v>
      </c>
      <c r="G9" s="2">
        <v>0</v>
      </c>
      <c r="I9" s="2">
        <f>-1.2073*(10^-1)</f>
        <v>-0.12073</v>
      </c>
      <c r="J9">
        <f>-6.45*(10^-2)</f>
        <v>-6.4500000000000002E-2</v>
      </c>
      <c r="K9" s="2">
        <v>0</v>
      </c>
      <c r="L9" s="1">
        <f>-4.657*10^-2</f>
        <v>-4.657E-2</v>
      </c>
      <c r="M9" s="2">
        <v>0</v>
      </c>
      <c r="N9">
        <v>0</v>
      </c>
    </row>
    <row r="10" spans="2:14" x14ac:dyDescent="0.25">
      <c r="E10" t="s">
        <v>4</v>
      </c>
      <c r="F10" t="s">
        <v>11</v>
      </c>
      <c r="G10" s="2">
        <f>1.1425*(10^-1)</f>
        <v>0.11425000000000002</v>
      </c>
      <c r="I10" s="2">
        <v>0</v>
      </c>
      <c r="J10">
        <v>0</v>
      </c>
      <c r="K10" s="2">
        <v>0</v>
      </c>
      <c r="L10" s="1">
        <v>0</v>
      </c>
      <c r="M10" s="2">
        <v>0</v>
      </c>
      <c r="N10" s="2">
        <v>0</v>
      </c>
    </row>
    <row r="11" spans="2:14" x14ac:dyDescent="0.25">
      <c r="E11" t="s">
        <v>5</v>
      </c>
      <c r="F11" t="s">
        <v>11</v>
      </c>
      <c r="G11" s="2">
        <v>0</v>
      </c>
      <c r="I11" s="2">
        <v>0</v>
      </c>
      <c r="J11">
        <v>0</v>
      </c>
      <c r="K11" s="2">
        <v>0</v>
      </c>
      <c r="L11" s="1">
        <v>0</v>
      </c>
      <c r="M11" s="2">
        <v>0</v>
      </c>
      <c r="N11" s="2">
        <v>0</v>
      </c>
    </row>
    <row r="13" spans="2:14" x14ac:dyDescent="0.25">
      <c r="D13" t="s">
        <v>6</v>
      </c>
      <c r="F13" t="s">
        <v>10</v>
      </c>
      <c r="G13" s="2">
        <f>7.175372324*(10^-2)</f>
        <v>7.1753723239999997E-2</v>
      </c>
      <c r="I13" s="2">
        <f>1.731183786*(10^-2)</f>
        <v>1.7311837859999998E-2</v>
      </c>
      <c r="J13" s="2">
        <f>I13</f>
        <v>1.7311837859999998E-2</v>
      </c>
      <c r="K13" s="2">
        <f>2*I13</f>
        <v>3.4623675719999997E-2</v>
      </c>
      <c r="L13" s="1">
        <f>I13</f>
        <v>1.7311837859999998E-2</v>
      </c>
      <c r="M13" s="2">
        <f>K13</f>
        <v>3.4623675719999997E-2</v>
      </c>
      <c r="N13" s="2">
        <f>M13*(N20/M19)</f>
        <v>63.108187007874008</v>
      </c>
    </row>
    <row r="15" spans="2:14" x14ac:dyDescent="0.25">
      <c r="D15" t="s">
        <v>7</v>
      </c>
      <c r="E15" t="s">
        <v>3</v>
      </c>
      <c r="F15" t="s">
        <v>11</v>
      </c>
      <c r="G15" s="2">
        <v>0</v>
      </c>
      <c r="I15" s="2">
        <f>I19/2</f>
        <v>0.13716</v>
      </c>
      <c r="J15" s="2">
        <f>I15</f>
        <v>0.13716</v>
      </c>
      <c r="K15" s="2">
        <v>0</v>
      </c>
      <c r="L15" s="1">
        <f>I15</f>
        <v>0.13716</v>
      </c>
      <c r="M15" s="2">
        <v>0</v>
      </c>
      <c r="N15">
        <v>0</v>
      </c>
    </row>
    <row r="16" spans="2:14" x14ac:dyDescent="0.25">
      <c r="E16" t="s">
        <v>4</v>
      </c>
      <c r="F16" t="s">
        <v>11</v>
      </c>
      <c r="G16" s="2">
        <f>1.1553*(10^-1)</f>
        <v>0.11553000000000001</v>
      </c>
      <c r="I16" s="2">
        <v>0</v>
      </c>
      <c r="J16" s="2">
        <f t="shared" ref="J16:J17" si="0">I16</f>
        <v>0</v>
      </c>
      <c r="K16" s="2">
        <v>0</v>
      </c>
      <c r="L16" s="1">
        <v>0</v>
      </c>
      <c r="M16" s="2">
        <v>0</v>
      </c>
      <c r="N16" s="2">
        <v>0</v>
      </c>
    </row>
    <row r="17" spans="4:14" x14ac:dyDescent="0.25">
      <c r="E17" t="s">
        <v>5</v>
      </c>
      <c r="F17" t="s">
        <v>11</v>
      </c>
      <c r="G17" s="2">
        <v>0</v>
      </c>
      <c r="I17" s="2">
        <v>0</v>
      </c>
      <c r="J17" s="2">
        <f t="shared" si="0"/>
        <v>0</v>
      </c>
      <c r="K17" s="2">
        <v>0</v>
      </c>
      <c r="L17" s="1">
        <v>0</v>
      </c>
      <c r="M17" s="2">
        <v>0</v>
      </c>
      <c r="N17" s="2">
        <v>0</v>
      </c>
    </row>
    <row r="19" spans="4:14" x14ac:dyDescent="0.25">
      <c r="D19" t="s">
        <v>12</v>
      </c>
      <c r="E19" t="s">
        <v>3</v>
      </c>
      <c r="F19" t="s">
        <v>11</v>
      </c>
      <c r="G19" s="2">
        <f>3.65125*(10^-1)</f>
        <v>0.36512500000000003</v>
      </c>
      <c r="I19" s="2">
        <f>2.7432*(10^-1)</f>
        <v>0.27432000000000001</v>
      </c>
      <c r="J19" s="2">
        <f>I19</f>
        <v>0.27432000000000001</v>
      </c>
      <c r="K19" s="2">
        <f>I19</f>
        <v>0.27432000000000001</v>
      </c>
      <c r="L19" s="1">
        <f>I19</f>
        <v>0.27432000000000001</v>
      </c>
      <c r="M19" s="2">
        <f>I19</f>
        <v>0.27432000000000001</v>
      </c>
    </row>
    <row r="20" spans="4:14" x14ac:dyDescent="0.25">
      <c r="E20" t="s">
        <v>4</v>
      </c>
      <c r="F20" t="s">
        <v>11</v>
      </c>
      <c r="G20" s="2">
        <f>5.2705*(10^-1)</f>
        <v>0.52705000000000002</v>
      </c>
      <c r="I20" s="2"/>
      <c r="K20" s="2"/>
      <c r="L20" s="1"/>
      <c r="M20" s="2"/>
      <c r="N20">
        <f>5*(10^2)</f>
        <v>500</v>
      </c>
    </row>
    <row r="21" spans="4:14" x14ac:dyDescent="0.25">
      <c r="E21" t="s">
        <v>5</v>
      </c>
      <c r="F21" t="s">
        <v>11</v>
      </c>
      <c r="G21" s="2"/>
      <c r="I21" s="2"/>
      <c r="K21" s="2"/>
      <c r="L21" s="1"/>
      <c r="M21" s="2"/>
    </row>
    <row r="23" spans="4:14" x14ac:dyDescent="0.25">
      <c r="D23" t="s">
        <v>13</v>
      </c>
      <c r="E23" t="s">
        <v>3</v>
      </c>
      <c r="F23" t="s">
        <v>11</v>
      </c>
      <c r="G23" s="2">
        <f>G19</f>
        <v>0.36512500000000003</v>
      </c>
      <c r="I23" s="2">
        <v>0</v>
      </c>
      <c r="J23" s="2">
        <f>I23</f>
        <v>0</v>
      </c>
      <c r="K23" s="2">
        <f>K19</f>
        <v>0.27432000000000001</v>
      </c>
      <c r="L23" s="1"/>
      <c r="M23" s="2">
        <f>M19</f>
        <v>0.27432000000000001</v>
      </c>
    </row>
    <row r="24" spans="4:14" x14ac:dyDescent="0.25">
      <c r="E24" t="s">
        <v>4</v>
      </c>
      <c r="F24" t="s">
        <v>11</v>
      </c>
      <c r="G24" s="2">
        <f>G20</f>
        <v>0.52705000000000002</v>
      </c>
      <c r="I24" s="2"/>
      <c r="K24" s="2"/>
      <c r="L24" s="1"/>
      <c r="M24" s="2"/>
      <c r="N24">
        <f>N20</f>
        <v>500</v>
      </c>
    </row>
    <row r="25" spans="4:14" x14ac:dyDescent="0.25">
      <c r="E25" t="s">
        <v>5</v>
      </c>
      <c r="F25" t="s">
        <v>11</v>
      </c>
      <c r="G25" s="2"/>
      <c r="I25" s="2"/>
      <c r="K25" s="2"/>
      <c r="L25" s="1"/>
      <c r="M25" s="2"/>
    </row>
    <row r="29" spans="4:14" x14ac:dyDescent="0.25">
      <c r="M29" s="1"/>
    </row>
    <row r="35" spans="9:9" x14ac:dyDescent="0.25">
      <c r="I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specs</vt:lpstr>
      <vt:lpstr>fastened</vt:lpstr>
      <vt:lpstr>weight mapp</vt:lpstr>
      <vt:lpstr>unfastened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2023-07-15T22:48:24Z</dcterms:created>
  <dcterms:modified xsi:type="dcterms:W3CDTF">2023-07-16T19:31:05Z</dcterms:modified>
</cp:coreProperties>
</file>