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ayviewglen-my.sharepoint.com/personal/btai_bayviewglen_ca/Documents/Grade 12/CrescendoScoutingPass/ScoutingPASS/Excel/"/>
    </mc:Choice>
  </mc:AlternateContent>
  <xr:revisionPtr revIDLastSave="1" documentId="13_ncr:1_{BA0EB5C7-B3F6-4C43-BA2A-4CB363524C1E}" xr6:coauthVersionLast="47" xr6:coauthVersionMax="47" xr10:uidLastSave="{90F2B6E8-6AE0-471B-927B-F02B6E0B7B55}"/>
  <bookViews>
    <workbookView xWindow="20" yWindow="630" windowWidth="19180" windowHeight="10170" tabRatio="806" activeTab="2" xr2:uid="{BB1F9FFD-16FD-45DA-8769-054BD3DB5F31}"/>
  </bookViews>
  <sheets>
    <sheet name="Control" sheetId="3" r:id="rId1"/>
    <sheet name="Image Maps" sheetId="34" r:id="rId2"/>
    <sheet name="Match Scouting Data" sheetId="8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8" l="1"/>
  <c r="AK3" i="8"/>
  <c r="AW3" i="8"/>
  <c r="AL3" i="8"/>
  <c r="AM3" i="8"/>
  <c r="AN3" i="8"/>
  <c r="AO3" i="8"/>
  <c r="AP3" i="8"/>
  <c r="AQ3" i="8"/>
  <c r="AR3" i="8"/>
  <c r="AS3" i="8"/>
  <c r="AT3" i="8"/>
  <c r="AU3" i="8"/>
  <c r="AV3" i="8"/>
  <c r="AS2" i="8"/>
  <c r="AN2" i="8"/>
  <c r="AM2" i="8"/>
  <c r="AL2" i="8"/>
  <c r="AU2" i="8"/>
  <c r="AT2" i="8"/>
  <c r="AV2" i="8"/>
  <c r="AW2" i="8"/>
  <c r="AR2" i="8"/>
  <c r="AO2" i="8"/>
  <c r="AP2" i="8"/>
  <c r="AQ2" i="8"/>
  <c r="AK2" i="8"/>
  <c r="BC3" i="8" l="1"/>
  <c r="BB3" i="8"/>
  <c r="BA3" i="8"/>
  <c r="AZ3" i="8"/>
  <c r="AY3" i="8"/>
  <c r="AX3" i="8"/>
  <c r="AY2" i="8"/>
  <c r="AX2" i="8"/>
  <c r="BC2" i="8"/>
  <c r="BB2" i="8"/>
  <c r="BA2" i="8"/>
  <c r="AZ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Q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S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<sst xmlns="http://schemas.openxmlformats.org/spreadsheetml/2006/main" count="102" uniqueCount="94">
  <si>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</si>
  <si>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</si>
  <si>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</si>
  <si>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</si>
  <si>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</si>
  <si>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</si>
  <si>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</si>
  <si>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</si>
  <si>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</si>
  <si>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</si>
  <si>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</si>
  <si>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</si>
  <si>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</si>
  <si>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</si>
  <si>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</si>
  <si>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swerveDrive</t>
  </si>
  <si>
    <t>speedRating</t>
  </si>
  <si>
    <t xml:space="preserve"> </t>
  </si>
  <si>
    <t>x</t>
  </si>
  <si>
    <t>v</t>
  </si>
  <si>
    <t>e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</si>
  <si>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</si>
  <si>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</si>
  <si>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</si>
  <si>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</si>
  <si>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</si>
  <si>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</si>
  <si>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</si>
  <si>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</si>
  <si>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</si>
  <si>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</si>
  <si>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</si>
  <si>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</si>
  <si>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</si>
  <si>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</si>
  <si>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</si>
  <si>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</si>
  <si>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</si>
  <si>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</si>
  <si>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</si>
  <si>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fudd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</si>
  <si>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</si>
  <si>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</si>
  <si>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</si>
  <si>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</si>
  <si>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</si>
  <si>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</si>
  <si>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</si>
  <si>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</si>
  <si>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</si>
  <si>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</si>
  <si>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</si>
  <si>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</si>
  <si>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</si>
  <si>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</si>
  <si>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</si>
  <si>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</si>
  <si>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</si>
  <si>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</si>
  <si>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</si>
  <si>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PWNAGE SCOutiNG PASS</t>
  </si>
  <si>
    <t>MidweSt ReGioNAL 2023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</si>
  <si>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</si>
  <si>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</si>
  <si>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</si>
  <si>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</si>
  <si>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</si>
  <si>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</si>
  <si>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</si>
  <si>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</si>
  <si>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</si>
  <si>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n</t>
  </si>
  <si>
    <t>Y</t>
  </si>
  <si>
    <t>crossCS</t>
  </si>
  <si>
    <t>numberOfBatteries</t>
  </si>
  <si>
    <t>scoutingMethod</t>
  </si>
  <si>
    <t>s</t>
  </si>
  <si>
    <t>N</t>
  </si>
  <si>
    <t>Too many to count</t>
  </si>
  <si>
    <t>ScoutingPASS</t>
  </si>
  <si>
    <t>No comments</t>
  </si>
  <si>
    <t>autoAttempted</t>
  </si>
  <si>
    <t>substationUsed</t>
  </si>
  <si>
    <t>2023ilch</t>
  </si>
  <si>
    <t>r3</t>
  </si>
  <si>
    <t>[4,5]</t>
  </si>
  <si>
    <t>u</t>
  </si>
  <si>
    <t>[6,7,8,9,3,2,1]</t>
  </si>
  <si>
    <t>BT</t>
  </si>
  <si>
    <t>2024worlds</t>
  </si>
  <si>
    <t>r1</t>
  </si>
  <si>
    <t>[13]</t>
  </si>
  <si>
    <t>o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</si>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</sst>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5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Font="1" applyFill="1"/>
    <xf numFmtId="0" fontId="0" fillId="0" borderId="0" xfId="0" applyNumberFormat="1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937270</xdr:colOff>
      <xdr:row>2</xdr:row>
      <xdr:rowOff>182888</xdr:rowOff>
    </xdr:from>
    <xdr:to>
      <xdr:col>9</xdr:col>
      <xdr:colOff>197653</xdr:colOff>
      <xdr:row>19</xdr:row>
      <xdr:rowOff>98591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7130" y="1714508"/>
          <a:ext cx="3809523" cy="3809523"/>
        </a:xfrm>
        <a:prstGeom prst="rect">
          <a:avLst/>
        </a:prstGeom>
      </xdr:spPr>
    </xdr:pic>
    <xdr:clientData/>
  </xdr:twoCellAnchor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09600" y="365760"/>
          <a:ext cx="5501640" cy="306043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C3" totalsRowShown="0" headerRowDxfId="51" dataDxfId="50" tableBorderDxfId="49">
  <autoFilter ref="A1:BC3" xr:uid="{00000000-0009-0000-0100-00000A000000}"/>
  <tableColumns count="55">
    <tableColumn id="2" xr3:uid="{57120D76-837B-420B-8789-742C14F566ED}" name="scouter" dataDxfId="48"/>
    <tableColumn id="34" xr3:uid="{CC380EE1-D4BB-490E-9A04-7D40FF472162}" name="eventCode" dataDxfId="47"/>
    <tableColumn id="33" xr3:uid="{AAAE748B-CC35-4AA8-A5E1-7D881177BFA8}" name="matchLevel" dataDxfId="46"/>
    <tableColumn id="32" xr3:uid="{A9872F3F-D581-458A-8B2B-0607C0A28C41}" name="matchNumber" dataDxfId="45"/>
    <tableColumn id="1" xr3:uid="{F28CAB33-6A98-4F06-B9E8-8BAEB150DCCB}" name="match_key" dataDxfId="44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43"/>
    <tableColumn id="3" xr3:uid="{6FD25F9C-1F41-497F-BFF4-9781437EA199}" name="teamNumber" dataDxfId="42"/>
    <tableColumn id="9" xr3:uid="{655949C9-B906-4060-9869-33CAEE3FAD61}" name="autoStartingLocation" dataDxfId="41"/>
    <tableColumn id="53" xr3:uid="{9C8E7B97-748E-4FB3-A341-6B1004D40060}" name="autoScoredGrid" dataDxfId="40"/>
    <tableColumn id="7" xr3:uid="{3D35E5C9-BD3B-450E-B221-F79680B29BE4}" name="autoAttempted"/>
    <tableColumn id="54" xr3:uid="{2845CF8C-3287-4062-943D-DF358FAF5016}" name="autoCrossedCable" dataDxfId="39"/>
    <tableColumn id="56" xr3:uid="{054C8AA6-8D1F-4031-86BB-F25F9CB75EB5}" name="autoCrossedChargingStation" dataDxfId="38"/>
    <tableColumn id="55" xr3:uid="{E97E3583-73A4-49A0-B392-2071F3659BD3}" name="autoMobility" dataDxfId="37"/>
    <tableColumn id="60" xr3:uid="{9884A482-69F0-407D-8CD5-09921D28C640}" name="autoDocked" dataDxfId="36"/>
    <tableColumn id="59" xr3:uid="{FE6068BA-68B8-400E-9AAB-BB0B6CE1F2F5}" name="cycleTimes" dataDxfId="35"/>
    <tableColumn id="42" xr3:uid="{54612E06-73EA-434E-A780-18CA04B3DA27}" name="scoredGrid" dataDxfId="34"/>
    <tableColumn id="16" xr3:uid="{268E6509-13CC-4DE9-BBE5-D135BD2C4E04}" name="feedCount" dataDxfId="33"/>
    <tableColumn id="72" xr3:uid="{1BF39ABD-43AB-48AB-9B6C-642CC0BB4F2B}" name="wasFed" dataDxfId="32"/>
    <tableColumn id="18" xr3:uid="{1DE9C03E-0EC4-453B-A446-4F288F60CEA0}" name="wasDefended" dataDxfId="31"/>
    <tableColumn id="63" xr3:uid="{E924EA5D-940E-4130-8769-B4F675B0C901}" name="whoDefended" dataDxfId="30"/>
    <tableColumn id="65" xr3:uid="{58AB5D2F-A4C6-477A-860D-68706D75702F}" name="smartLinks" dataDxfId="29"/>
    <tableColumn id="66" xr3:uid="{1F543861-BF4E-4A32-8143-B55D05068247}" name="floorPickUp" dataDxfId="28"/>
    <tableColumn id="15" xr3:uid="{78CD166C-3A64-429E-85A6-9705F8928231}" name="substationUsed"/>
    <tableColumn id="67" xr3:uid="{D5DF88FC-2198-4F0A-8E9C-DA3379D9166A}" name="dockingTime" dataDxfId="27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26"/>
    <tableColumn id="78" xr3:uid="{20C5E0B6-0A01-4F0F-B3C9-6C46A6606877}" name="linksScored"/>
    <tableColumn id="71" xr3:uid="{39C6D63C-65E0-4A1B-9189-2C10EE97F173}" name="defenseRating" dataDxfId="25"/>
    <tableColumn id="40" xr3:uid="{6B3426A2-A657-44CA-8ACD-00E497BD272C}" name="swerveDrive" dataDxfId="24"/>
    <tableColumn id="43" xr3:uid="{F5421853-F7E7-4FDA-8EA1-7174D740B04A}" name="speedRating" dataDxfId="23"/>
    <tableColumn id="36" xr3:uid="{9970774D-C4B7-4F0C-9212-19060A2F92F8}" name="diedOrTipped" dataDxfId="22"/>
    <tableColumn id="41" xr3:uid="{B2F88C8C-ED79-4B63-BA2D-DDA1E959A98A}" name="tippy" dataDxfId="21"/>
    <tableColumn id="79" xr3:uid="{7B8111A6-79D2-4173-9106-1A2477FFE1BB}" name="droppedCones"/>
    <tableColumn id="19" xr3:uid="{F2E04EA2-B7AF-404B-B173-D101558DDCDC}" name="goodPartner" dataDxfId="20"/>
    <tableColumn id="51" xr3:uid="{70561FAB-2633-4647-B409-2E81255BC174}" name="comments" dataDxfId="19"/>
    <tableColumn id="4" xr3:uid="{3BD88F53-BEAA-4A0C-B753-B686399DC55B}" name="autoGamePieces" dataDxfId="18">
      <calculatedColumnFormula>getTotalCount(ScoutingData[[#This Row],[autoScoredGrid]])</calculatedColumnFormula>
    </tableColumn>
    <tableColumn id="74" xr3:uid="{8B219B6A-C564-42C7-854A-776DBD5167F4}" name="autoCubes" dataDxfId="17">
      <calculatedColumnFormula>getCubeCount(ScoutingData[[#This Row],[autoScoredGrid]])</calculatedColumnFormula>
    </tableColumn>
    <tableColumn id="23" xr3:uid="{B2A0B1D7-F2FC-4F42-8DEA-EF241612981C}" name="autoCones" dataDxfId="16">
      <calculatedColumnFormula>getConeCount(ScoutingData[[#This Row],[autoScoredGrid]])</calculatedColumnFormula>
    </tableColumn>
    <tableColumn id="73" xr3:uid="{54DBEFB9-DA30-4754-A269-3E8C2E0A4782}" name="autoHigh" dataDxfId="15">
      <calculatedColumnFormula>getHighCount(ScoutingData[[#This Row],[autoScoredGrid]])</calculatedColumnFormula>
    </tableColumn>
    <tableColumn id="46" xr3:uid="{F8BC7A7C-4BF4-485A-AC53-F32862572576}" name="autoMed" dataDxfId="14">
      <calculatedColumnFormula>getMedCount(ScoutingData[[#This Row],[autoScoredGrid]])</calculatedColumnFormula>
    </tableColumn>
    <tableColumn id="47" xr3:uid="{AB8341E7-B3A8-4906-BB8C-57AB054FF592}" name="autoLow" dataDxfId="13">
      <calculatedColumnFormula>getLowCount(ScoutingData[[#This Row],[autoScoredGrid]])</calculatedColumnFormula>
    </tableColumn>
    <tableColumn id="50" xr3:uid="{3B828B9B-FFCC-4897-B7D3-C6B1C82ADE07}" name="avgCycleTime" dataDxfId="12">
      <calculatedColumnFormula>getAvgCycleTime(ScoutingData[[#This Row],[cycleTimes]])</calculatedColumnFormula>
    </tableColumn>
    <tableColumn id="27" xr3:uid="{F7CC712C-CBB5-442E-829A-FA5ED02C8777}" name="teleopGamePieces" dataDxfId="11">
      <calculatedColumnFormula>getTotalCount(ScoutingData[[#This Row],[scoredGrid]])</calculatedColumnFormula>
    </tableColumn>
    <tableColumn id="52" xr3:uid="{78438921-1E19-42E9-B8D2-48C91010F815}" name="teleopCubes" dataDxfId="10">
      <calculatedColumnFormula>getCubeCount(ScoutingData[[#This Row],[scoredGrid]])</calculatedColumnFormula>
    </tableColumn>
    <tableColumn id="5" xr3:uid="{55082722-1B0F-4677-99B8-1D067F4BDF21}" name="teleopCones" dataDxfId="9">
      <calculatedColumnFormula>getConeCount(ScoutingData[[#This Row],[scoredGrid]])</calculatedColumnFormula>
    </tableColumn>
    <tableColumn id="8" xr3:uid="{EDC1D520-5557-418E-B2ED-DDFAF2F77499}" name="teleopHigh" dataDxfId="8">
      <calculatedColumnFormula>getHighCount(ScoutingData[[#This Row],[scoredGrid]])</calculatedColumnFormula>
    </tableColumn>
    <tableColumn id="10" xr3:uid="{86B1F94A-5EEC-42C8-9CA8-F64391788CC9}" name="teleopMed" dataDxfId="7">
      <calculatedColumnFormula>getMedCount(ScoutingData[[#This Row],[scoredGrid]])</calculatedColumnFormula>
    </tableColumn>
    <tableColumn id="11" xr3:uid="{BACAA238-122F-4380-855F-29FA58977A83}" name="teleopLow" dataDxfId="6">
      <calculatedColumnFormula>getLowCount(ScoutingData[[#This Row],[scoredGrid]])</calculatedColumnFormula>
    </tableColumn>
    <tableColumn id="12" xr3:uid="{91F84488-26C9-437C-A41A-38D976771823}" name="totalGamePieces" dataDxfId="5">
      <calculatedColumnFormula>ScoutingData[[#This Row],[autoGamePieces]]+ScoutingData[[#This Row],[teleopGamePieces]]</calculatedColumnFormula>
    </tableColumn>
    <tableColumn id="13" xr3:uid="{0D7B1A40-1D30-4EA4-A5E9-E9E8707AA108}" name="totalCubes" dataDxfId="4">
      <calculatedColumnFormula>ScoutingData[[#This Row],[autoCubes]]+ScoutingData[[#This Row],[teleopCubes]]</calculatedColumnFormula>
    </tableColumn>
    <tableColumn id="14" xr3:uid="{0E79569B-84D7-4ED8-9343-E7844CF8F534}" name="totalCones" dataDxfId="3">
      <calculatedColumnFormula>ScoutingData[[#This Row],[autoCones]]+ScoutingData[[#This Row],[teleopCones]]</calculatedColumnFormula>
    </tableColumn>
    <tableColumn id="76" xr3:uid="{09B45EB6-8B77-4649-80B5-212BE270911B}" name="totalHigh" dataDxfId="2">
      <calculatedColumnFormula>ScoutingData[[#This Row],[autoHigh]]+ScoutingData[[#This Row],[teleopHigh]]</calculatedColumnFormula>
    </tableColumn>
    <tableColumn id="17" xr3:uid="{F232AEC2-40C0-4260-985A-956F42CC7F84}" name="totalMed" dataDxfId="1">
      <calculatedColumnFormula>ScoutingData[[#This Row],[autoMed]]+ScoutingData[[#This Row],[teleopMed]]</calculatedColumnFormula>
    </tableColumn>
    <tableColumn id="6" xr3:uid="{23A5F46F-316A-4172-A947-A9154C209B6C}" name="totalLow" dataDxfId="0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N2" totalsRowShown="0">
  <autoFilter ref="A1:N2" xr:uid="{CBEAABB8-2C6B-4E66-9BAB-70EEDCF439E9}"/>
  <tableColumns count="14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  <tableColumn id="13" xr3:uid="{B6418E55-AAA0-4EBA-9F28-E71A2E47CC7C}" name="scoutingMethod"/>
    <tableColumn id="14" xr3:uid="{62B9D56F-470D-4E36-93F5-61896B3D221B}" name="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zoomScale="85" zoomScaleNormal="85" workbookViewId="0">
      <selection activeCell="A2" sqref="A2"/>
    </sheetView>
  </sheetViews>
  <sheetFormatPr defaultColWidth="9.26953125" defaultRowHeight="18" customHeight="1"/>
  <cols>
    <col min="1" max="1" width="11.26953125" style="7" customWidth="1"/>
    <col min="2" max="2" width="14.1796875" style="7" customWidth="1"/>
    <col min="3" max="4" width="13.7265625" style="7" customWidth="1"/>
    <col min="5" max="5" width="9.26953125" style="7"/>
    <col min="6" max="6" width="11.26953125" style="7" customWidth="1"/>
    <col min="7" max="7" width="9.26953125" style="7"/>
    <col min="8" max="8" width="13.7265625" style="7" customWidth="1"/>
    <col min="9" max="9" width="9.26953125" style="7"/>
    <col min="10" max="11" width="9.26953125" style="7" customWidth="1"/>
    <col min="12" max="16384" width="9.26953125" style="7"/>
  </cols>
  <sheetData>
    <row r="1" spans="1:21" ht="76.900000000000006" customHeight="1">
      <c r="A1" s="1" t="s">
        <v>60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" customHeight="1">
      <c r="A2" s="8"/>
      <c r="B2" s="22"/>
      <c r="C2" s="9"/>
      <c r="D2" s="10"/>
      <c r="E2" s="11" t="s">
        <v>61</v>
      </c>
      <c r="F2" s="12"/>
      <c r="G2" s="12"/>
      <c r="H2" s="12"/>
      <c r="I2" s="12"/>
      <c r="J2" s="12"/>
      <c r="K2" s="13"/>
    </row>
    <row r="3" spans="1:21" ht="18.649999999999999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17</v>
      </c>
    </row>
    <row r="13" spans="1:21" ht="18" customHeight="1">
      <c r="S13" s="13"/>
    </row>
    <row r="16" spans="1:21" ht="18" customHeight="1">
      <c r="U16" s="20"/>
    </row>
    <row r="75" spans="12:12" ht="18" customHeight="1">
      <c r="L75" s="7" t="s">
        <v>21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4.5"/>
  <cols>
    <col min="2" max="13" width="6.81640625" customWidth="1"/>
  </cols>
  <sheetData>
    <row r="1" spans="2:13" ht="30" customHeight="1"/>
    <row r="2" spans="2:13" ht="40.15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15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15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15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15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15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BC3"/>
  <sheetViews>
    <sheetView tabSelected="1" zoomScaleNormal="100" workbookViewId="0">
      <selection activeCell="A4" sqref="A4"/>
    </sheetView>
  </sheetViews>
  <sheetFormatPr defaultColWidth="14.453125" defaultRowHeight="14.5"/>
  <cols>
    <col min="1" max="1" width="14.26953125" customWidth="1"/>
    <col min="2" max="4" width="14.453125" customWidth="1"/>
    <col min="5" max="5" width="16.26953125" bestFit="1" customWidth="1"/>
    <col min="9" max="9" width="9.1796875" customWidth="1"/>
    <col min="10" max="10" width="16.26953125" bestFit="1" customWidth="1"/>
    <col min="13" max="13" width="16.26953125" customWidth="1"/>
    <col min="14" max="14" width="11" customWidth="1"/>
    <col min="15" max="15" width="14.54296875" customWidth="1"/>
    <col min="16" max="16" width="16.453125" customWidth="1"/>
    <col min="17" max="17" width="14.7265625" customWidth="1"/>
    <col min="18" max="18" width="16.54296875" customWidth="1"/>
    <col min="19" max="19" width="12" customWidth="1"/>
    <col min="20" max="20" width="13.453125" customWidth="1"/>
    <col min="22" max="23" width="16.453125" customWidth="1"/>
    <col min="24" max="26" width="18.54296875" customWidth="1"/>
    <col min="27" max="28" width="14.453125" customWidth="1"/>
    <col min="29" max="29" width="12.54296875" customWidth="1"/>
    <col min="30" max="31" width="15.26953125" customWidth="1"/>
    <col min="33" max="34" width="13.453125" customWidth="1"/>
    <col min="39" max="40" width="12.1796875" customWidth="1"/>
    <col min="45" max="3768" width="14.453125" customWidth="1"/>
  </cols>
  <sheetData>
    <row r="1" spans="1:55" ht="15" customHeight="1">
      <c r="A1" t="s">
        <v>2</v>
      </c>
      <c r="B1" t="s">
        <v>3</v>
      </c>
      <c r="C1" t="s">
        <v>5</v>
      </c>
      <c r="D1" t="s">
        <v>7</v>
      </c>
      <c r="E1" t="s">
        <v>1</v>
      </c>
      <c r="F1" t="s">
        <v>6</v>
      </c>
      <c r="G1" t="s">
        <v>4</v>
      </c>
      <c r="H1" t="s">
        <v>8</v>
      </c>
      <c r="I1" t="s">
        <v>26</v>
      </c>
      <c r="J1" t="s">
        <v>81</v>
      </c>
      <c r="K1" t="s">
        <v>22</v>
      </c>
      <c r="L1" t="s">
        <v>23</v>
      </c>
      <c r="M1" t="s">
        <v>24</v>
      </c>
      <c r="N1" t="s">
        <v>25</v>
      </c>
      <c r="O1" t="s">
        <v>27</v>
      </c>
      <c r="P1" t="s">
        <v>28</v>
      </c>
      <c r="Q1" t="s">
        <v>30</v>
      </c>
      <c r="R1" t="s">
        <v>29</v>
      </c>
      <c r="S1" t="s">
        <v>11</v>
      </c>
      <c r="T1" t="s">
        <v>31</v>
      </c>
      <c r="U1" t="s">
        <v>32</v>
      </c>
      <c r="V1" t="s">
        <v>33</v>
      </c>
      <c r="W1" t="s">
        <v>82</v>
      </c>
      <c r="X1" t="s">
        <v>34</v>
      </c>
      <c r="Y1" t="s">
        <v>35</v>
      </c>
      <c r="Z1" t="s">
        <v>36</v>
      </c>
      <c r="AA1" t="s">
        <v>10</v>
      </c>
      <c r="AB1" t="s">
        <v>37</v>
      </c>
      <c r="AC1" t="s">
        <v>9</v>
      </c>
      <c r="AD1" t="s">
        <v>15</v>
      </c>
      <c r="AE1" t="s">
        <v>16</v>
      </c>
      <c r="AF1" t="s">
        <v>13</v>
      </c>
      <c r="AG1" t="s">
        <v>38</v>
      </c>
      <c r="AH1" t="s">
        <v>39</v>
      </c>
      <c r="AI1" t="s">
        <v>14</v>
      </c>
      <c r="AJ1" t="s">
        <v>12</v>
      </c>
      <c r="AK1" t="s">
        <v>41</v>
      </c>
      <c r="AL1" t="s">
        <v>42</v>
      </c>
      <c r="AM1" t="s">
        <v>43</v>
      </c>
      <c r="AN1" t="s">
        <v>44</v>
      </c>
      <c r="AO1" t="s">
        <v>45</v>
      </c>
      <c r="AP1" t="s">
        <v>46</v>
      </c>
      <c r="AQ1" t="s">
        <v>47</v>
      </c>
      <c r="AR1" t="s">
        <v>48</v>
      </c>
      <c r="AS1" t="s">
        <v>49</v>
      </c>
      <c r="AT1" t="s">
        <v>50</v>
      </c>
      <c r="AU1" t="s">
        <v>51</v>
      </c>
      <c r="AV1" t="s">
        <v>52</v>
      </c>
      <c r="AW1" t="s">
        <v>53</v>
      </c>
      <c r="AX1" t="s">
        <v>54</v>
      </c>
      <c r="AY1" t="s">
        <v>55</v>
      </c>
      <c r="AZ1" t="s">
        <v>56</v>
      </c>
      <c r="BA1" t="s">
        <v>57</v>
      </c>
      <c r="BB1" t="s">
        <v>58</v>
      </c>
      <c r="BC1" t="s">
        <v>59</v>
      </c>
    </row>
    <row r="2" spans="1:55">
      <c r="A2" t="s">
        <v>40</v>
      </c>
      <c r="B2" t="s">
        <v>83</v>
      </c>
      <c r="C2" t="s">
        <v>0</v>
      </c>
      <c r="D2">
        <v>3</v>
      </c>
      <c r="E2" t="str">
        <f>ScoutingData[[#This Row],[eventCode]]&amp;"_"&amp;ScoutingData[[#This Row],[matchLevel]]&amp;ScoutingData[[#This Row],[matchNumber]]</f>
        <v>2023ilch_qm3</v>
      </c>
      <c r="F2" t="s">
        <v>84</v>
      </c>
      <c r="G2">
        <v>2451</v>
      </c>
      <c r="H2">
        <v>35</v>
      </c>
      <c r="I2" t="s">
        <v>85</v>
      </c>
      <c r="J2">
        <v>2</v>
      </c>
      <c r="M2">
        <v>1</v>
      </c>
      <c r="N2" t="s">
        <v>20</v>
      </c>
      <c r="P2" t="s">
        <v>87</v>
      </c>
      <c r="Q2">
        <v>0</v>
      </c>
      <c r="R2">
        <v>0</v>
      </c>
      <c r="S2">
        <v>0</v>
      </c>
      <c r="U2">
        <v>1</v>
      </c>
      <c r="V2" t="s">
        <v>86</v>
      </c>
      <c r="W2">
        <v>2</v>
      </c>
      <c r="X2">
        <v>4.5999999999999996</v>
      </c>
      <c r="Y2" t="s">
        <v>20</v>
      </c>
      <c r="Z2">
        <v>3</v>
      </c>
      <c r="AA2" t="s">
        <v>19</v>
      </c>
      <c r="AB2">
        <v>6</v>
      </c>
      <c r="AC2" t="s">
        <v>18</v>
      </c>
      <c r="AE2">
        <v>5</v>
      </c>
      <c r="AF2">
        <v>0</v>
      </c>
      <c r="AG2">
        <v>0</v>
      </c>
      <c r="AH2">
        <v>0</v>
      </c>
      <c r="AI2">
        <v>1</v>
      </c>
      <c r="AJ2" t="s">
        <v>80</v>
      </c>
      <c r="AK2">
        <f>getTotalCount(ScoutingData[[#This Row],[autoScoredGrid]])</f>
        <v>2</v>
      </c>
      <c r="AL2">
        <f>getCubeCount(ScoutingData[[#This Row],[autoScoredGrid]])</f>
        <v>1</v>
      </c>
      <c r="AM2">
        <f>getConeCount(ScoutingData[[#This Row],[autoScoredGrid]])</f>
        <v>1</v>
      </c>
      <c r="AN2">
        <f>getHighCount(ScoutingData[[#This Row],[autoScoredGrid]])</f>
        <v>2</v>
      </c>
      <c r="AO2">
        <f>getMedCount(ScoutingData[[#This Row],[autoScoredGrid]])</f>
        <v>0</v>
      </c>
      <c r="AP2">
        <f>getLowCount(ScoutingData[[#This Row],[autoScoredGrid]])</f>
        <v>0</v>
      </c>
      <c r="AQ2" t="e">
        <f>getAvgCycleTime(ScoutingData[[#This Row],[cycleTimes]])</f>
        <v>#VALUE!</v>
      </c>
      <c r="AR2">
        <f>getTotalCount(ScoutingData[[#This Row],[scoredGrid]])</f>
        <v>7</v>
      </c>
      <c r="AS2">
        <f>getCubeCount(ScoutingData[[#This Row],[scoredGrid]])</f>
        <v>2</v>
      </c>
      <c r="AT2">
        <f>getConeCount(ScoutingData[[#This Row],[scoredGrid]])</f>
        <v>5</v>
      </c>
      <c r="AU2">
        <f>getHighCount(ScoutingData[[#This Row],[scoredGrid]])</f>
        <v>7</v>
      </c>
      <c r="AV2">
        <f>getMedCount(ScoutingData[[#This Row],[scoredGrid]])</f>
        <v>0</v>
      </c>
      <c r="AW2">
        <f>getLowCount(ScoutingData[[#This Row],[scoredGrid]])</f>
        <v>0</v>
      </c>
      <c r="AX2">
        <f>ScoutingData[[#This Row],[autoGamePieces]]+ScoutingData[[#This Row],[teleopGamePieces]]</f>
        <v>9</v>
      </c>
      <c r="AY2">
        <f>ScoutingData[[#This Row],[autoCubes]]+ScoutingData[[#This Row],[teleopCubes]]</f>
        <v>3</v>
      </c>
      <c r="AZ2">
        <f>ScoutingData[[#This Row],[autoCones]]+ScoutingData[[#This Row],[teleopCones]]</f>
        <v>6</v>
      </c>
      <c r="BA2">
        <f>ScoutingData[[#This Row],[autoHigh]]+ScoutingData[[#This Row],[teleopHigh]]</f>
        <v>9</v>
      </c>
      <c r="BB2">
        <f>ScoutingData[[#This Row],[autoMed]]+ScoutingData[[#This Row],[teleopMed]]</f>
        <v>0</v>
      </c>
      <c r="BC2">
        <f>ScoutingData[[#This Row],[autoLow]]+ScoutingData[[#This Row],[teleopLow]]</f>
        <v>0</v>
      </c>
    </row>
    <row r="3" spans="1:55">
      <c r="A3" s="23" t="s">
        <v>88</v>
      </c>
      <c r="B3" s="23" t="s">
        <v>89</v>
      </c>
      <c r="C3" s="23" t="s">
        <v>0</v>
      </c>
      <c r="D3" s="23">
        <v>1</v>
      </c>
      <c r="E3" s="24" t="s">
        <v>90</v>
      </c>
      <c r="F3" s="23">
        <v>1</v>
      </c>
      <c r="G3" s="23" t="s">
        <v>91</v>
      </c>
      <c r="H3" s="23">
        <v>1</v>
      </c>
      <c r="I3" s="24">
        <v>2</v>
      </c>
      <c r="J3">
        <v>3</v>
      </c>
      <c r="K3" s="23">
        <v>2</v>
      </c>
      <c r="L3" s="23">
        <v>3</v>
      </c>
      <c r="M3" s="23">
        <v>2</v>
      </c>
      <c r="N3" s="23" t="s">
        <v>76</v>
      </c>
      <c r="O3" s="23">
        <v>5.3</v>
      </c>
      <c r="P3" s="23" t="s">
        <v>92</v>
      </c>
      <c r="Q3" s="23">
        <v>0</v>
      </c>
      <c r="R3" s="24" t="s">
        <v>93</v>
      </c>
      <c r="S3" s="24" t="s">
        <v>18</v>
      </c>
      <c r="T3" s="24">
        <v>3</v>
      </c>
      <c r="U3" s="24">
        <v>1</v>
      </c>
      <c r="V3" s="24">
        <v>1</v>
      </c>
      <c r="W3">
        <v>1</v>
      </c>
      <c r="X3" s="24">
        <v>1</v>
      </c>
      <c r="AA3" s="24"/>
      <c r="AC3" s="24"/>
      <c r="AD3" s="24"/>
      <c r="AE3" s="24"/>
      <c r="AF3" s="24"/>
      <c r="AG3" s="24"/>
      <c r="AI3" s="24"/>
      <c r="AJ3" s="24"/>
      <c r="AK3" s="24">
        <f>getTotalCount(ScoutingData[[#This Row],[autoScoredGrid]])</f>
        <v>-1</v>
      </c>
      <c r="AL3" s="24">
        <f>getCubeCount(ScoutingData[[#This Row],[autoScoredGrid]])</f>
        <v>-1</v>
      </c>
      <c r="AM3" s="24">
        <f>getConeCount(ScoutingData[[#This Row],[autoScoredGrid]])</f>
        <v>-1</v>
      </c>
      <c r="AN3" s="24">
        <f>getHighCount(ScoutingData[[#This Row],[autoScoredGrid]])</f>
        <v>-1</v>
      </c>
      <c r="AO3" s="24">
        <f>getMedCount(ScoutingData[[#This Row],[autoScoredGrid]])</f>
        <v>-1</v>
      </c>
      <c r="AP3" s="24" t="e">
        <f>getLowCount(ScoutingData[[#This Row],[autoScoredGrid]])</f>
        <v>#VALUE!</v>
      </c>
      <c r="AQ3" s="24">
        <f>getAvgCycleTime(ScoutingData[[#This Row],[cycleTimes]])</f>
        <v>-1</v>
      </c>
      <c r="AR3" s="24">
        <f>getTotalCount(ScoutingData[[#This Row],[scoredGrid]])</f>
        <v>-1</v>
      </c>
      <c r="AS3" s="24">
        <f>getCubeCount(ScoutingData[[#This Row],[scoredGrid]])</f>
        <v>-1</v>
      </c>
      <c r="AT3" s="24">
        <f>getConeCount(ScoutingData[[#This Row],[scoredGrid]])</f>
        <v>-1</v>
      </c>
      <c r="AU3" s="24">
        <f>getHighCount(ScoutingData[[#This Row],[scoredGrid]])</f>
        <v>-1</v>
      </c>
      <c r="AV3" s="24">
        <f>getMedCount(ScoutingData[[#This Row],[scoredGrid]])</f>
        <v>-1</v>
      </c>
      <c r="AW3" s="24">
        <f>getLowCount(ScoutingData[[#This Row],[scoredGrid]])</f>
        <v>-1</v>
      </c>
      <c r="AX3" s="24">
        <f>ScoutingData[[#This Row],[autoGamePieces]]+ScoutingData[[#This Row],[teleopGamePieces]]</f>
        <v>-2</v>
      </c>
      <c r="AY3" s="24">
        <f>ScoutingData[[#This Row],[autoCubes]]+ScoutingData[[#This Row],[teleopCubes]]</f>
        <v>-2</v>
      </c>
      <c r="AZ3" s="24">
        <f>ScoutingData[[#This Row],[autoCones]]+ScoutingData[[#This Row],[teleopCones]]</f>
        <v>-2</v>
      </c>
      <c r="BA3" s="24">
        <f>ScoutingData[[#This Row],[autoHigh]]+ScoutingData[[#This Row],[teleopHigh]]</f>
        <v>-2</v>
      </c>
      <c r="BB3" s="24">
        <f>ScoutingData[[#This Row],[autoMed]]+ScoutingData[[#This Row],[teleopMed]]</f>
        <v>-2</v>
      </c>
      <c r="BC3" s="24" t="e">
        <f>ScoutingData[[#This Row],[autoLow]]+ScoutingData[[#This Row],[teleopLow]]</f>
        <v>#VALUE!</v>
      </c>
    </row>
  </sheetData>
  <sheetProtection selectLockedCells="1"/>
  <phoneticPr fontId="15" type="noConversion"/>
  <conditionalFormatting sqref="I1:J1 I3:J1048576">
    <cfRule type="expression" dxfId="53" priority="7">
      <formula>INDIRECT("ScoutingData[@taxi]")&lt;&gt;LEFT(INDIRECT("ScoutingData[@apiTaxi]"),1)</formula>
    </cfRule>
  </conditionalFormatting>
  <conditionalFormatting sqref="T1 T3:T1048576">
    <cfRule type="expression" dxfId="52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N2"/>
  <sheetViews>
    <sheetView workbookViewId="0">
      <selection activeCell="A2" sqref="A2"/>
    </sheetView>
  </sheetViews>
  <sheetFormatPr defaultRowHeight="14.5"/>
  <cols>
    <col min="1" max="1" width="14.1796875" customWidth="1"/>
    <col min="2" max="2" width="7.7265625" customWidth="1"/>
    <col min="3" max="3" width="8.54296875" customWidth="1"/>
    <col min="4" max="4" width="11" customWidth="1"/>
    <col min="5" max="5" width="15.7265625" customWidth="1"/>
    <col min="6" max="6" width="13.1796875" customWidth="1"/>
    <col min="7" max="8" width="16.26953125" customWidth="1"/>
    <col min="9" max="10" width="17.81640625" customWidth="1"/>
    <col min="11" max="11" width="20.54296875" customWidth="1"/>
    <col min="12" max="12" width="32.453125" bestFit="1" customWidth="1"/>
    <col min="13" max="13" width="17.26953125" bestFit="1" customWidth="1"/>
    <col min="14" max="14" width="12.1796875" bestFit="1" customWidth="1"/>
  </cols>
  <sheetData>
    <row r="1" spans="1:14">
      <c r="A1" t="s">
        <v>4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74</v>
      </c>
      <c r="I1" t="s">
        <v>68</v>
      </c>
      <c r="J1" t="s">
        <v>69</v>
      </c>
      <c r="K1" t="s">
        <v>73</v>
      </c>
      <c r="L1" t="s">
        <v>70</v>
      </c>
      <c r="M1" t="s">
        <v>75</v>
      </c>
      <c r="N1" t="s">
        <v>12</v>
      </c>
    </row>
    <row r="2" spans="1:14">
      <c r="A2">
        <v>2451</v>
      </c>
      <c r="B2">
        <v>26</v>
      </c>
      <c r="C2">
        <v>125</v>
      </c>
      <c r="D2" t="s">
        <v>76</v>
      </c>
      <c r="F2">
        <v>1</v>
      </c>
      <c r="G2" t="s">
        <v>71</v>
      </c>
      <c r="H2">
        <v>12</v>
      </c>
      <c r="I2" t="s">
        <v>77</v>
      </c>
      <c r="J2" t="s">
        <v>72</v>
      </c>
      <c r="K2" t="s">
        <v>72</v>
      </c>
      <c r="L2" t="s">
        <v>78</v>
      </c>
      <c r="M2" t="s">
        <v>79</v>
      </c>
      <c r="N2" t="s">
        <v>80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Image Maps</vt:lpstr>
      <vt:lpstr>Match Scouting Data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Brandon Tai</cp:lastModifiedBy>
  <cp:lastPrinted>2022-10-13T02:17:35Z</cp:lastPrinted>
  <dcterms:created xsi:type="dcterms:W3CDTF">2020-02-08T00:47:28Z</dcterms:created>
  <dcterms:modified xsi:type="dcterms:W3CDTF">2024-04-13T18:31:54Z</dcterms:modified>
</cp:coreProperties>
</file>