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rand\Documents\RC-Plane\Systems Engineering\Phase B - Preliminary Design and Technology Completition\"/>
    </mc:Choice>
  </mc:AlternateContent>
  <xr:revisionPtr revIDLastSave="0" documentId="13_ncr:1_{7AF54438-239A-4305-A1D8-7B817F0656EC}" xr6:coauthVersionLast="47" xr6:coauthVersionMax="47" xr10:uidLastSave="{00000000-0000-0000-0000-000000000000}"/>
  <bookViews>
    <workbookView xWindow="-110" yWindow="-110" windowWidth="19420" windowHeight="10300" firstSheet="7" activeTab="8" xr2:uid="{00000000-000D-0000-FFFF-FFFF00000000}"/>
  </bookViews>
  <sheets>
    <sheet name="Plane Lift Study V1" sheetId="1" r:id="rId1"/>
    <sheet name="Plane Lift Study V2" sheetId="3" r:id="rId2"/>
    <sheet name="Plane Drag Study V1" sheetId="4" r:id="rId3"/>
    <sheet name="Reynolds Number Calc" sheetId="5" r:id="rId4"/>
    <sheet name="S7055 Lift and Drag Function" sheetId="6" r:id="rId5"/>
    <sheet name="Lift @ Cruising Speed vs. AoA" sheetId="7" r:id="rId6"/>
    <sheet name="Drag @ Cruising Speed vs AoA" sheetId="8" r:id="rId7"/>
    <sheet name="Prop. Thrust vs Airspeed vs RPM" sheetId="9" r:id="rId8"/>
    <sheet name="Net Force in Z-Axis" sheetId="10" r:id="rId9"/>
  </sheets>
  <definedNames>
    <definedName name="Re" localSheetId="3">'Reynolds Number Calc'!$B$2</definedName>
    <definedName name="uplink" localSheetId="3">'Reynolds Number Calc'!$B$2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0" l="1"/>
  <c r="C11" i="10"/>
  <c r="D11" i="10"/>
  <c r="E11" i="10"/>
  <c r="F11" i="10"/>
  <c r="G11" i="10"/>
  <c r="H11" i="10"/>
  <c r="I11" i="10"/>
  <c r="B12" i="10"/>
  <c r="C12" i="10"/>
  <c r="D12" i="10"/>
  <c r="E12" i="10"/>
  <c r="F12" i="10"/>
  <c r="G12" i="10"/>
  <c r="H12" i="10"/>
  <c r="I12" i="10"/>
  <c r="B13" i="10"/>
  <c r="C13" i="10"/>
  <c r="D13" i="10"/>
  <c r="E13" i="10"/>
  <c r="F13" i="10"/>
  <c r="G13" i="10"/>
  <c r="H13" i="10"/>
  <c r="I13" i="10"/>
  <c r="B14" i="10"/>
  <c r="C14" i="10"/>
  <c r="D14" i="10"/>
  <c r="E14" i="10"/>
  <c r="F14" i="10"/>
  <c r="G14" i="10"/>
  <c r="H14" i="10"/>
  <c r="I14" i="10"/>
  <c r="B15" i="10"/>
  <c r="C15" i="10"/>
  <c r="D15" i="10"/>
  <c r="E15" i="10"/>
  <c r="F15" i="10"/>
  <c r="G15" i="10"/>
  <c r="H15" i="10"/>
  <c r="I15" i="10"/>
  <c r="B16" i="10"/>
  <c r="C16" i="10"/>
  <c r="D16" i="10"/>
  <c r="E16" i="10"/>
  <c r="F16" i="10"/>
  <c r="G16" i="10"/>
  <c r="H16" i="10"/>
  <c r="I16" i="10"/>
  <c r="B17" i="10"/>
  <c r="C17" i="10"/>
  <c r="D17" i="10"/>
  <c r="E17" i="10"/>
  <c r="F17" i="10"/>
  <c r="G17" i="10"/>
  <c r="H17" i="10"/>
  <c r="I17" i="10"/>
  <c r="B18" i="10"/>
  <c r="C18" i="10"/>
  <c r="D18" i="10"/>
  <c r="E18" i="10"/>
  <c r="F18" i="10"/>
  <c r="G18" i="10"/>
  <c r="H18" i="10"/>
  <c r="I18" i="10"/>
  <c r="B19" i="10"/>
  <c r="C19" i="10"/>
  <c r="D19" i="10"/>
  <c r="E19" i="10"/>
  <c r="F19" i="10"/>
  <c r="G19" i="10"/>
  <c r="H19" i="10"/>
  <c r="I19" i="10"/>
  <c r="B20" i="10"/>
  <c r="C20" i="10"/>
  <c r="D20" i="10"/>
  <c r="E20" i="10"/>
  <c r="F20" i="10"/>
  <c r="G20" i="10"/>
  <c r="H20" i="10"/>
  <c r="I20" i="10"/>
  <c r="B21" i="10"/>
  <c r="C21" i="10"/>
  <c r="D21" i="10"/>
  <c r="E21" i="10"/>
  <c r="F21" i="10"/>
  <c r="G21" i="10"/>
  <c r="H21" i="10"/>
  <c r="I21" i="10"/>
  <c r="B22" i="10"/>
  <c r="C22" i="10"/>
  <c r="D22" i="10"/>
  <c r="E22" i="10"/>
  <c r="F22" i="10"/>
  <c r="G22" i="10"/>
  <c r="H22" i="10"/>
  <c r="I22" i="10"/>
  <c r="B23" i="10"/>
  <c r="C23" i="10"/>
  <c r="D23" i="10"/>
  <c r="E23" i="10"/>
  <c r="F23" i="10"/>
  <c r="G23" i="10"/>
  <c r="H23" i="10"/>
  <c r="I23" i="10"/>
  <c r="B24" i="10"/>
  <c r="C24" i="10"/>
  <c r="D24" i="10"/>
  <c r="E24" i="10"/>
  <c r="F24" i="10"/>
  <c r="G24" i="10"/>
  <c r="H24" i="10"/>
  <c r="I24" i="10"/>
  <c r="B25" i="10"/>
  <c r="C25" i="10"/>
  <c r="D25" i="10"/>
  <c r="E25" i="10"/>
  <c r="F25" i="10"/>
  <c r="G25" i="10"/>
  <c r="H25" i="10"/>
  <c r="I25" i="10"/>
  <c r="B26" i="10"/>
  <c r="C26" i="10"/>
  <c r="D26" i="10"/>
  <c r="E26" i="10"/>
  <c r="F26" i="10"/>
  <c r="G26" i="10"/>
  <c r="H26" i="10"/>
  <c r="I26" i="10"/>
  <c r="B27" i="10"/>
  <c r="C27" i="10"/>
  <c r="D27" i="10"/>
  <c r="E27" i="10"/>
  <c r="F27" i="10"/>
  <c r="G27" i="10"/>
  <c r="H27" i="10"/>
  <c r="I27" i="10"/>
  <c r="B28" i="10"/>
  <c r="C28" i="10"/>
  <c r="D28" i="10"/>
  <c r="E28" i="10"/>
  <c r="F28" i="10"/>
  <c r="G28" i="10"/>
  <c r="H28" i="10"/>
  <c r="I28" i="10"/>
  <c r="B29" i="10"/>
  <c r="C29" i="10"/>
  <c r="D29" i="10"/>
  <c r="E29" i="10"/>
  <c r="F29" i="10"/>
  <c r="G29" i="10"/>
  <c r="H29" i="10"/>
  <c r="I29" i="10"/>
  <c r="B30" i="10"/>
  <c r="C30" i="10"/>
  <c r="D30" i="10"/>
  <c r="E30" i="10"/>
  <c r="F30" i="10"/>
  <c r="G30" i="10"/>
  <c r="H30" i="10"/>
  <c r="I30" i="10"/>
  <c r="B31" i="10"/>
  <c r="C31" i="10"/>
  <c r="D31" i="10"/>
  <c r="E31" i="10"/>
  <c r="F31" i="10"/>
  <c r="G31" i="10"/>
  <c r="H31" i="10"/>
  <c r="I31" i="10"/>
  <c r="B32" i="10"/>
  <c r="C32" i="10"/>
  <c r="D32" i="10"/>
  <c r="E32" i="10"/>
  <c r="F32" i="10"/>
  <c r="G32" i="10"/>
  <c r="H32" i="10"/>
  <c r="I32" i="10"/>
  <c r="B33" i="10"/>
  <c r="C33" i="10"/>
  <c r="D33" i="10"/>
  <c r="E33" i="10"/>
  <c r="F33" i="10"/>
  <c r="G33" i="10"/>
  <c r="H33" i="10"/>
  <c r="I33" i="10"/>
  <c r="B34" i="10"/>
  <c r="C34" i="10"/>
  <c r="D34" i="10"/>
  <c r="E34" i="10"/>
  <c r="F34" i="10"/>
  <c r="G34" i="10"/>
  <c r="H34" i="10"/>
  <c r="I34" i="10"/>
  <c r="B35" i="10"/>
  <c r="C35" i="10"/>
  <c r="D35" i="10"/>
  <c r="E35" i="10"/>
  <c r="F35" i="10"/>
  <c r="G35" i="10"/>
  <c r="H35" i="10"/>
  <c r="I35" i="10"/>
  <c r="B36" i="10"/>
  <c r="C36" i="10"/>
  <c r="D36" i="10"/>
  <c r="E36" i="10"/>
  <c r="F36" i="10"/>
  <c r="G36" i="10"/>
  <c r="H36" i="10"/>
  <c r="I36" i="10"/>
  <c r="B37" i="10"/>
  <c r="C37" i="10"/>
  <c r="D37" i="10"/>
  <c r="E37" i="10"/>
  <c r="F37" i="10"/>
  <c r="G37" i="10"/>
  <c r="H37" i="10"/>
  <c r="I37" i="10"/>
  <c r="B38" i="10"/>
  <c r="C38" i="10"/>
  <c r="D38" i="10"/>
  <c r="E38" i="10"/>
  <c r="F38" i="10"/>
  <c r="G38" i="10"/>
  <c r="H38" i="10"/>
  <c r="I38" i="10"/>
  <c r="B39" i="10"/>
  <c r="C39" i="10"/>
  <c r="D39" i="10"/>
  <c r="E39" i="10"/>
  <c r="F39" i="10"/>
  <c r="G39" i="10"/>
  <c r="H39" i="10"/>
  <c r="I39" i="10"/>
  <c r="B40" i="10"/>
  <c r="C40" i="10"/>
  <c r="D40" i="10"/>
  <c r="E40" i="10"/>
  <c r="F40" i="10"/>
  <c r="G40" i="10"/>
  <c r="H40" i="10"/>
  <c r="I40" i="10"/>
  <c r="B41" i="10"/>
  <c r="C41" i="10"/>
  <c r="D41" i="10"/>
  <c r="E41" i="10"/>
  <c r="F41" i="10"/>
  <c r="G41" i="10"/>
  <c r="H41" i="10"/>
  <c r="I41" i="10"/>
  <c r="B42" i="10"/>
  <c r="C42" i="10"/>
  <c r="D42" i="10"/>
  <c r="E42" i="10"/>
  <c r="F42" i="10"/>
  <c r="G42" i="10"/>
  <c r="H42" i="10"/>
  <c r="I42" i="10"/>
  <c r="B43" i="10"/>
  <c r="C43" i="10"/>
  <c r="D43" i="10"/>
  <c r="E43" i="10"/>
  <c r="F43" i="10"/>
  <c r="G43" i="10"/>
  <c r="H43" i="10"/>
  <c r="I43" i="10"/>
  <c r="B44" i="10"/>
  <c r="C44" i="10"/>
  <c r="D44" i="10"/>
  <c r="E44" i="10"/>
  <c r="F44" i="10"/>
  <c r="G44" i="10"/>
  <c r="H44" i="10"/>
  <c r="I44" i="10"/>
  <c r="B45" i="10"/>
  <c r="C45" i="10"/>
  <c r="D45" i="10"/>
  <c r="E45" i="10"/>
  <c r="F45" i="10"/>
  <c r="G45" i="10"/>
  <c r="H45" i="10"/>
  <c r="I45" i="10"/>
  <c r="B46" i="10"/>
  <c r="C46" i="10"/>
  <c r="D46" i="10"/>
  <c r="E46" i="10"/>
  <c r="F46" i="10"/>
  <c r="G46" i="10"/>
  <c r="H46" i="10"/>
  <c r="I46" i="10"/>
  <c r="B47" i="10"/>
  <c r="C47" i="10"/>
  <c r="D47" i="10"/>
  <c r="E47" i="10"/>
  <c r="F47" i="10"/>
  <c r="G47" i="10"/>
  <c r="H47" i="10"/>
  <c r="I47" i="10"/>
  <c r="B48" i="10"/>
  <c r="C48" i="10"/>
  <c r="D48" i="10"/>
  <c r="E48" i="10"/>
  <c r="F48" i="10"/>
  <c r="G48" i="10"/>
  <c r="H48" i="10"/>
  <c r="I48" i="10"/>
  <c r="B49" i="10"/>
  <c r="C49" i="10"/>
  <c r="D49" i="10"/>
  <c r="E49" i="10"/>
  <c r="F49" i="10"/>
  <c r="G49" i="10"/>
  <c r="H49" i="10"/>
  <c r="I49" i="10"/>
  <c r="B50" i="10"/>
  <c r="C50" i="10"/>
  <c r="D50" i="10"/>
  <c r="E50" i="10"/>
  <c r="F50" i="10"/>
  <c r="G50" i="10"/>
  <c r="H50" i="10"/>
  <c r="I50" i="10"/>
  <c r="B51" i="10"/>
  <c r="C51" i="10"/>
  <c r="D51" i="10"/>
  <c r="E51" i="10"/>
  <c r="F51" i="10"/>
  <c r="G51" i="10"/>
  <c r="H51" i="10"/>
  <c r="I51" i="10"/>
  <c r="B52" i="10"/>
  <c r="C52" i="10"/>
  <c r="D52" i="10"/>
  <c r="E52" i="10"/>
  <c r="F52" i="10"/>
  <c r="G52" i="10"/>
  <c r="H52" i="10"/>
  <c r="I52" i="10"/>
  <c r="B53" i="10"/>
  <c r="C53" i="10"/>
  <c r="D53" i="10"/>
  <c r="E53" i="10"/>
  <c r="F53" i="10"/>
  <c r="G53" i="10"/>
  <c r="H53" i="10"/>
  <c r="I53" i="10"/>
  <c r="B54" i="10"/>
  <c r="C54" i="10"/>
  <c r="D54" i="10"/>
  <c r="E54" i="10"/>
  <c r="F54" i="10"/>
  <c r="G54" i="10"/>
  <c r="H54" i="10"/>
  <c r="I54" i="10"/>
  <c r="B55" i="10"/>
  <c r="C55" i="10"/>
  <c r="D55" i="10"/>
  <c r="E55" i="10"/>
  <c r="F55" i="10"/>
  <c r="G55" i="10"/>
  <c r="H55" i="10"/>
  <c r="I55" i="10"/>
  <c r="B56" i="10"/>
  <c r="C56" i="10"/>
  <c r="D56" i="10"/>
  <c r="E56" i="10"/>
  <c r="F56" i="10"/>
  <c r="G56" i="10"/>
  <c r="H56" i="10"/>
  <c r="I56" i="10"/>
  <c r="B57" i="10"/>
  <c r="C57" i="10"/>
  <c r="D57" i="10"/>
  <c r="E57" i="10"/>
  <c r="F57" i="10"/>
  <c r="G57" i="10"/>
  <c r="H57" i="10"/>
  <c r="I57" i="10"/>
  <c r="B58" i="10"/>
  <c r="C58" i="10"/>
  <c r="D58" i="10"/>
  <c r="E58" i="10"/>
  <c r="F58" i="10"/>
  <c r="G58" i="10"/>
  <c r="H58" i="10"/>
  <c r="I58" i="10"/>
  <c r="B59" i="10"/>
  <c r="C59" i="10"/>
  <c r="D59" i="10"/>
  <c r="E59" i="10"/>
  <c r="F59" i="10"/>
  <c r="G59" i="10"/>
  <c r="H59" i="10"/>
  <c r="I59" i="10"/>
  <c r="B60" i="10"/>
  <c r="C60" i="10"/>
  <c r="D60" i="10"/>
  <c r="E60" i="10"/>
  <c r="F60" i="10"/>
  <c r="G60" i="10"/>
  <c r="H60" i="10"/>
  <c r="I60" i="10"/>
  <c r="B61" i="10"/>
  <c r="C61" i="10"/>
  <c r="D61" i="10"/>
  <c r="E61" i="10"/>
  <c r="F61" i="10"/>
  <c r="G61" i="10"/>
  <c r="H61" i="10"/>
  <c r="I61" i="10"/>
  <c r="B62" i="10"/>
  <c r="C62" i="10"/>
  <c r="D62" i="10"/>
  <c r="E62" i="10"/>
  <c r="F62" i="10"/>
  <c r="G62" i="10"/>
  <c r="H62" i="10"/>
  <c r="I62" i="10"/>
  <c r="B63" i="10"/>
  <c r="C63" i="10"/>
  <c r="D63" i="10"/>
  <c r="E63" i="10"/>
  <c r="F63" i="10"/>
  <c r="G63" i="10"/>
  <c r="H63" i="10"/>
  <c r="I63" i="10"/>
  <c r="B64" i="10"/>
  <c r="C64" i="10"/>
  <c r="D64" i="10"/>
  <c r="E64" i="10"/>
  <c r="F64" i="10"/>
  <c r="G64" i="10"/>
  <c r="H64" i="10"/>
  <c r="I64" i="10"/>
  <c r="B65" i="10"/>
  <c r="C65" i="10"/>
  <c r="D65" i="10"/>
  <c r="E65" i="10"/>
  <c r="F65" i="10"/>
  <c r="G65" i="10"/>
  <c r="H65" i="10"/>
  <c r="I65" i="10"/>
  <c r="B66" i="10"/>
  <c r="C66" i="10"/>
  <c r="D66" i="10"/>
  <c r="E66" i="10"/>
  <c r="F66" i="10"/>
  <c r="G66" i="10"/>
  <c r="H66" i="10"/>
  <c r="I66" i="10"/>
  <c r="B67" i="10"/>
  <c r="C67" i="10"/>
  <c r="D67" i="10"/>
  <c r="E67" i="10"/>
  <c r="F67" i="10"/>
  <c r="G67" i="10"/>
  <c r="H67" i="10"/>
  <c r="I67" i="10"/>
  <c r="B68" i="10"/>
  <c r="C68" i="10"/>
  <c r="D68" i="10"/>
  <c r="E68" i="10"/>
  <c r="F68" i="10"/>
  <c r="G68" i="10"/>
  <c r="H68" i="10"/>
  <c r="I68" i="10"/>
  <c r="B69" i="10"/>
  <c r="C69" i="10"/>
  <c r="D69" i="10"/>
  <c r="E69" i="10"/>
  <c r="F69" i="10"/>
  <c r="G69" i="10"/>
  <c r="H69" i="10"/>
  <c r="I69" i="10"/>
  <c r="B70" i="10"/>
  <c r="C70" i="10"/>
  <c r="D70" i="10"/>
  <c r="E70" i="10"/>
  <c r="F70" i="10"/>
  <c r="G70" i="10"/>
  <c r="H70" i="10"/>
  <c r="I70" i="10"/>
  <c r="B71" i="10"/>
  <c r="C71" i="10"/>
  <c r="D71" i="10"/>
  <c r="E71" i="10"/>
  <c r="F71" i="10"/>
  <c r="G71" i="10"/>
  <c r="H71" i="10"/>
  <c r="I71" i="10"/>
  <c r="B72" i="10"/>
  <c r="C72" i="10"/>
  <c r="D72" i="10"/>
  <c r="E72" i="10"/>
  <c r="F72" i="10"/>
  <c r="G72" i="10"/>
  <c r="H72" i="10"/>
  <c r="I72" i="10"/>
  <c r="B73" i="10"/>
  <c r="C73" i="10"/>
  <c r="D73" i="10"/>
  <c r="E73" i="10"/>
  <c r="F73" i="10"/>
  <c r="G73" i="10"/>
  <c r="H73" i="10"/>
  <c r="I73" i="10"/>
  <c r="B74" i="10"/>
  <c r="C74" i="10"/>
  <c r="D74" i="10"/>
  <c r="E74" i="10"/>
  <c r="F74" i="10"/>
  <c r="G74" i="10"/>
  <c r="H74" i="10"/>
  <c r="I74" i="10"/>
  <c r="B75" i="10"/>
  <c r="C75" i="10"/>
  <c r="D75" i="10"/>
  <c r="E75" i="10"/>
  <c r="F75" i="10"/>
  <c r="G75" i="10"/>
  <c r="H75" i="10"/>
  <c r="I75" i="10"/>
  <c r="B76" i="10"/>
  <c r="C76" i="10"/>
  <c r="D76" i="10"/>
  <c r="E76" i="10"/>
  <c r="F76" i="10"/>
  <c r="G76" i="10"/>
  <c r="H76" i="10"/>
  <c r="I76" i="10"/>
  <c r="B77" i="10"/>
  <c r="C77" i="10"/>
  <c r="D77" i="10"/>
  <c r="E77" i="10"/>
  <c r="F77" i="10"/>
  <c r="G77" i="10"/>
  <c r="H77" i="10"/>
  <c r="I77" i="10"/>
  <c r="B78" i="10"/>
  <c r="C78" i="10"/>
  <c r="D78" i="10"/>
  <c r="E78" i="10"/>
  <c r="F78" i="10"/>
  <c r="G78" i="10"/>
  <c r="H78" i="10"/>
  <c r="I78" i="10"/>
  <c r="B79" i="10"/>
  <c r="C79" i="10"/>
  <c r="D79" i="10"/>
  <c r="E79" i="10"/>
  <c r="F79" i="10"/>
  <c r="G79" i="10"/>
  <c r="H79" i="10"/>
  <c r="I79" i="10"/>
  <c r="B80" i="10"/>
  <c r="C80" i="10"/>
  <c r="D80" i="10"/>
  <c r="E80" i="10"/>
  <c r="F80" i="10"/>
  <c r="G80" i="10"/>
  <c r="H80" i="10"/>
  <c r="I80" i="10"/>
  <c r="B81" i="10"/>
  <c r="C81" i="10"/>
  <c r="D81" i="10"/>
  <c r="E81" i="10"/>
  <c r="F81" i="10"/>
  <c r="G81" i="10"/>
  <c r="H81" i="10"/>
  <c r="I81" i="10"/>
  <c r="B82" i="10"/>
  <c r="C82" i="10"/>
  <c r="D82" i="10"/>
  <c r="E82" i="10"/>
  <c r="F82" i="10"/>
  <c r="G82" i="10"/>
  <c r="H82" i="10"/>
  <c r="I82" i="10"/>
  <c r="B83" i="10"/>
  <c r="C83" i="10"/>
  <c r="D83" i="10"/>
  <c r="E83" i="10"/>
  <c r="F83" i="10"/>
  <c r="G83" i="10"/>
  <c r="H83" i="10"/>
  <c r="I83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B86" i="10"/>
  <c r="C86" i="10"/>
  <c r="D86" i="10"/>
  <c r="E86" i="10"/>
  <c r="F86" i="10"/>
  <c r="G86" i="10"/>
  <c r="H86" i="10"/>
  <c r="I86" i="10"/>
  <c r="B87" i="10"/>
  <c r="C87" i="10"/>
  <c r="D87" i="10"/>
  <c r="E87" i="10"/>
  <c r="F87" i="10"/>
  <c r="G87" i="10"/>
  <c r="H87" i="10"/>
  <c r="I87" i="10"/>
  <c r="B88" i="10"/>
  <c r="C88" i="10"/>
  <c r="D88" i="10"/>
  <c r="E88" i="10"/>
  <c r="F88" i="10"/>
  <c r="G88" i="10"/>
  <c r="H88" i="10"/>
  <c r="I88" i="10"/>
  <c r="B89" i="10"/>
  <c r="C89" i="10"/>
  <c r="D89" i="10"/>
  <c r="E89" i="10"/>
  <c r="F89" i="10"/>
  <c r="G89" i="10"/>
  <c r="H89" i="10"/>
  <c r="I89" i="10"/>
  <c r="B90" i="10"/>
  <c r="C90" i="10"/>
  <c r="D90" i="10"/>
  <c r="E90" i="10"/>
  <c r="F90" i="10"/>
  <c r="G90" i="10"/>
  <c r="H90" i="10"/>
  <c r="I90" i="10"/>
  <c r="B91" i="10"/>
  <c r="C91" i="10"/>
  <c r="D91" i="10"/>
  <c r="E91" i="10"/>
  <c r="F91" i="10"/>
  <c r="G91" i="10"/>
  <c r="H91" i="10"/>
  <c r="I91" i="10"/>
  <c r="B92" i="10"/>
  <c r="C92" i="10"/>
  <c r="D92" i="10"/>
  <c r="E92" i="10"/>
  <c r="F92" i="10"/>
  <c r="G92" i="10"/>
  <c r="H92" i="10"/>
  <c r="I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B95" i="10"/>
  <c r="C95" i="10"/>
  <c r="D95" i="10"/>
  <c r="E95" i="10"/>
  <c r="F95" i="10"/>
  <c r="G95" i="10"/>
  <c r="H95" i="10"/>
  <c r="I95" i="10"/>
  <c r="B96" i="10"/>
  <c r="C96" i="10"/>
  <c r="D96" i="10"/>
  <c r="E96" i="10"/>
  <c r="F96" i="10"/>
  <c r="G96" i="10"/>
  <c r="H96" i="10"/>
  <c r="I96" i="10"/>
  <c r="B97" i="10"/>
  <c r="C97" i="10"/>
  <c r="D97" i="10"/>
  <c r="E97" i="10"/>
  <c r="F97" i="10"/>
  <c r="G97" i="10"/>
  <c r="H97" i="10"/>
  <c r="I97" i="10"/>
  <c r="B98" i="10"/>
  <c r="C98" i="10"/>
  <c r="D98" i="10"/>
  <c r="E98" i="10"/>
  <c r="F98" i="10"/>
  <c r="G98" i="10"/>
  <c r="H98" i="10"/>
  <c r="I98" i="10"/>
  <c r="B99" i="10"/>
  <c r="C99" i="10"/>
  <c r="D99" i="10"/>
  <c r="E99" i="10"/>
  <c r="F99" i="10"/>
  <c r="G99" i="10"/>
  <c r="H99" i="10"/>
  <c r="I99" i="10"/>
  <c r="B100" i="10"/>
  <c r="C100" i="10"/>
  <c r="D100" i="10"/>
  <c r="E100" i="10"/>
  <c r="F100" i="10"/>
  <c r="G100" i="10"/>
  <c r="H100" i="10"/>
  <c r="I100" i="10"/>
  <c r="B101" i="10"/>
  <c r="C101" i="10"/>
  <c r="D101" i="10"/>
  <c r="E101" i="10"/>
  <c r="F101" i="10"/>
  <c r="G101" i="10"/>
  <c r="H101" i="10"/>
  <c r="I101" i="10"/>
  <c r="B102" i="10"/>
  <c r="C102" i="10"/>
  <c r="D102" i="10"/>
  <c r="E102" i="10"/>
  <c r="F102" i="10"/>
  <c r="G102" i="10"/>
  <c r="H102" i="10"/>
  <c r="I102" i="10"/>
  <c r="B103" i="10"/>
  <c r="C103" i="10"/>
  <c r="D103" i="10"/>
  <c r="E103" i="10"/>
  <c r="F103" i="10"/>
  <c r="G103" i="10"/>
  <c r="H103" i="10"/>
  <c r="I103" i="10"/>
  <c r="B104" i="10"/>
  <c r="C104" i="10"/>
  <c r="D104" i="10"/>
  <c r="E104" i="10"/>
  <c r="F104" i="10"/>
  <c r="G104" i="10"/>
  <c r="H104" i="10"/>
  <c r="I104" i="10"/>
  <c r="B105" i="10"/>
  <c r="C105" i="10"/>
  <c r="D105" i="10"/>
  <c r="E105" i="10"/>
  <c r="F105" i="10"/>
  <c r="G105" i="10"/>
  <c r="H105" i="10"/>
  <c r="I105" i="10"/>
  <c r="B106" i="10"/>
  <c r="C106" i="10"/>
  <c r="D106" i="10"/>
  <c r="E106" i="10"/>
  <c r="F106" i="10"/>
  <c r="G106" i="10"/>
  <c r="H106" i="10"/>
  <c r="I106" i="10"/>
  <c r="B107" i="10"/>
  <c r="C107" i="10"/>
  <c r="D107" i="10"/>
  <c r="E107" i="10"/>
  <c r="F107" i="10"/>
  <c r="G107" i="10"/>
  <c r="H107" i="10"/>
  <c r="I107" i="10"/>
  <c r="B108" i="10"/>
  <c r="C108" i="10"/>
  <c r="D108" i="10"/>
  <c r="E108" i="10"/>
  <c r="F108" i="10"/>
  <c r="G108" i="10"/>
  <c r="H108" i="10"/>
  <c r="I108" i="10"/>
  <c r="B109" i="10"/>
  <c r="C109" i="10"/>
  <c r="D109" i="10"/>
  <c r="E109" i="10"/>
  <c r="F109" i="10"/>
  <c r="G109" i="10"/>
  <c r="H109" i="10"/>
  <c r="I109" i="10"/>
  <c r="B110" i="10"/>
  <c r="C110" i="10"/>
  <c r="D110" i="10"/>
  <c r="E110" i="10"/>
  <c r="F110" i="10"/>
  <c r="G110" i="10"/>
  <c r="H110" i="10"/>
  <c r="I110" i="10"/>
  <c r="B111" i="10"/>
  <c r="C111" i="10"/>
  <c r="D111" i="10"/>
  <c r="E111" i="10"/>
  <c r="F111" i="10"/>
  <c r="G111" i="10"/>
  <c r="H111" i="10"/>
  <c r="I111" i="10"/>
  <c r="B112" i="10"/>
  <c r="C112" i="10"/>
  <c r="D112" i="10"/>
  <c r="E112" i="10"/>
  <c r="F112" i="10"/>
  <c r="G112" i="10"/>
  <c r="H112" i="10"/>
  <c r="I112" i="10"/>
  <c r="B113" i="10"/>
  <c r="C113" i="10"/>
  <c r="D113" i="10"/>
  <c r="E113" i="10"/>
  <c r="F113" i="10"/>
  <c r="G113" i="10"/>
  <c r="H113" i="10"/>
  <c r="I113" i="10"/>
  <c r="B114" i="10"/>
  <c r="C114" i="10"/>
  <c r="D114" i="10"/>
  <c r="E114" i="10"/>
  <c r="F114" i="10"/>
  <c r="G114" i="10"/>
  <c r="H114" i="10"/>
  <c r="I114" i="10"/>
  <c r="B115" i="10"/>
  <c r="C115" i="10"/>
  <c r="D115" i="10"/>
  <c r="E115" i="10"/>
  <c r="F115" i="10"/>
  <c r="G115" i="10"/>
  <c r="H115" i="10"/>
  <c r="I115" i="10"/>
  <c r="C10" i="10"/>
  <c r="D10" i="10"/>
  <c r="E10" i="10"/>
  <c r="F10" i="10"/>
  <c r="G10" i="10"/>
  <c r="H10" i="10"/>
  <c r="I10" i="10"/>
  <c r="B10" i="10"/>
  <c r="B10" i="9"/>
  <c r="I10" i="9" s="1"/>
  <c r="B11" i="9"/>
  <c r="D11" i="9" s="1"/>
  <c r="B12" i="9"/>
  <c r="G12" i="9" s="1"/>
  <c r="B13" i="9"/>
  <c r="G13" i="9" s="1"/>
  <c r="B14" i="9"/>
  <c r="E14" i="9" s="1"/>
  <c r="B15" i="9"/>
  <c r="J15" i="9" s="1"/>
  <c r="B16" i="9"/>
  <c r="D16" i="9" s="1"/>
  <c r="B17" i="9"/>
  <c r="H17" i="9" s="1"/>
  <c r="B18" i="9"/>
  <c r="D18" i="9" s="1"/>
  <c r="B19" i="9"/>
  <c r="F19" i="9" s="1"/>
  <c r="B20" i="9"/>
  <c r="D20" i="9" s="1"/>
  <c r="B21" i="9"/>
  <c r="D21" i="9" s="1"/>
  <c r="B22" i="9"/>
  <c r="I22" i="9" s="1"/>
  <c r="B23" i="9"/>
  <c r="D23" i="9" s="1"/>
  <c r="B24" i="9"/>
  <c r="G24" i="9" s="1"/>
  <c r="B25" i="9"/>
  <c r="E25" i="9" s="1"/>
  <c r="B26" i="9"/>
  <c r="E26" i="9" s="1"/>
  <c r="B27" i="9"/>
  <c r="G27" i="9" s="1"/>
  <c r="B28" i="9"/>
  <c r="D28" i="9" s="1"/>
  <c r="B9" i="9"/>
  <c r="D9" i="9" s="1"/>
  <c r="B4" i="8"/>
  <c r="H90" i="7"/>
  <c r="G103" i="7"/>
  <c r="I113" i="7"/>
  <c r="B4" i="7"/>
  <c r="I16" i="8" s="1"/>
  <c r="B5" i="5"/>
  <c r="A23" i="4"/>
  <c r="A24" i="4" s="1"/>
  <c r="A17" i="4"/>
  <c r="A18" i="4" s="1"/>
  <c r="D18" i="4" s="1"/>
  <c r="A16" i="4"/>
  <c r="D16" i="4" s="1"/>
  <c r="D15" i="4"/>
  <c r="F15" i="4" s="1"/>
  <c r="A55" i="3"/>
  <c r="A47" i="3"/>
  <c r="A23" i="3"/>
  <c r="A24" i="3" s="1"/>
  <c r="A18" i="3"/>
  <c r="L40" i="3" s="1"/>
  <c r="A17" i="3"/>
  <c r="L31" i="3" s="1"/>
  <c r="A16" i="3"/>
  <c r="L22" i="3" s="1"/>
  <c r="D15" i="3"/>
  <c r="E15" i="3" s="1"/>
  <c r="L13" i="3"/>
  <c r="M22" i="1" a="1"/>
  <c r="M22" i="1" s="1"/>
  <c r="M23" i="1" a="1"/>
  <c r="M23" i="1" s="1"/>
  <c r="M24" i="1" a="1"/>
  <c r="M24" i="1" s="1"/>
  <c r="L41" i="1"/>
  <c r="M41" i="1" a="1"/>
  <c r="M41" i="1" s="1"/>
  <c r="M32" i="1" a="1"/>
  <c r="M32" i="1" s="1"/>
  <c r="M40" i="1" a="1"/>
  <c r="M40" i="1" s="1"/>
  <c r="L40" i="1"/>
  <c r="M31" i="1" a="1"/>
  <c r="M31" i="1" s="1"/>
  <c r="L31" i="1"/>
  <c r="L32" i="1"/>
  <c r="M45" i="1" a="1"/>
  <c r="M45" i="1" s="1"/>
  <c r="L45" i="1"/>
  <c r="M44" i="1" a="1"/>
  <c r="M44" i="1" s="1"/>
  <c r="L44" i="1"/>
  <c r="M43" i="1" a="1"/>
  <c r="M43" i="1" s="1"/>
  <c r="L43" i="1"/>
  <c r="M42" i="1" a="1"/>
  <c r="M42" i="1" s="1"/>
  <c r="L42" i="1"/>
  <c r="M36" i="1" a="1"/>
  <c r="M36" i="1" s="1"/>
  <c r="L36" i="1"/>
  <c r="M35" i="1" a="1"/>
  <c r="M35" i="1" s="1"/>
  <c r="L35" i="1"/>
  <c r="M34" i="1" a="1"/>
  <c r="M34" i="1" s="1"/>
  <c r="L34" i="1"/>
  <c r="M33" i="1" a="1"/>
  <c r="M33" i="1" s="1"/>
  <c r="L33" i="1"/>
  <c r="L22" i="1"/>
  <c r="L23" i="1"/>
  <c r="L13" i="1"/>
  <c r="A23" i="1"/>
  <c r="A24" i="1" s="1"/>
  <c r="C25" i="9" l="1"/>
  <c r="C11" i="9"/>
  <c r="D26" i="9"/>
  <c r="H25" i="9"/>
  <c r="H10" i="9"/>
  <c r="C27" i="9"/>
  <c r="C19" i="9"/>
  <c r="E19" i="9"/>
  <c r="H13" i="9"/>
  <c r="C20" i="9"/>
  <c r="F12" i="9"/>
  <c r="E10" i="9"/>
  <c r="I23" i="9"/>
  <c r="I27" i="9"/>
  <c r="H22" i="9"/>
  <c r="H27" i="9"/>
  <c r="C24" i="9"/>
  <c r="F27" i="9"/>
  <c r="E22" i="9"/>
  <c r="F15" i="9"/>
  <c r="C23" i="9"/>
  <c r="E27" i="9"/>
  <c r="D22" i="9"/>
  <c r="E15" i="9"/>
  <c r="C21" i="9"/>
  <c r="D27" i="9"/>
  <c r="J21" i="9"/>
  <c r="D14" i="9"/>
  <c r="C15" i="9"/>
  <c r="F24" i="9"/>
  <c r="I20" i="9"/>
  <c r="E12" i="9"/>
  <c r="C13" i="9"/>
  <c r="E24" i="9"/>
  <c r="G20" i="9"/>
  <c r="J11" i="9"/>
  <c r="I21" i="9"/>
  <c r="J20" i="9"/>
  <c r="C12" i="9"/>
  <c r="J23" i="9"/>
  <c r="F20" i="9"/>
  <c r="I11" i="9"/>
  <c r="J27" i="9"/>
  <c r="H23" i="9"/>
  <c r="D19" i="9"/>
  <c r="G10" i="9"/>
  <c r="I15" i="9"/>
  <c r="G22" i="9"/>
  <c r="H15" i="9"/>
  <c r="D10" i="9"/>
  <c r="J25" i="9"/>
  <c r="F17" i="9"/>
  <c r="J13" i="9"/>
  <c r="C22" i="9"/>
  <c r="C10" i="9"/>
  <c r="I25" i="9"/>
  <c r="D24" i="9"/>
  <c r="F22" i="9"/>
  <c r="H20" i="9"/>
  <c r="J18" i="9"/>
  <c r="E17" i="9"/>
  <c r="G15" i="9"/>
  <c r="I13" i="9"/>
  <c r="D12" i="9"/>
  <c r="F10" i="9"/>
  <c r="F25" i="9"/>
  <c r="E20" i="9"/>
  <c r="G18" i="9"/>
  <c r="I16" i="9"/>
  <c r="D15" i="9"/>
  <c r="F13" i="9"/>
  <c r="H11" i="9"/>
  <c r="J9" i="9"/>
  <c r="G17" i="9"/>
  <c r="I28" i="9"/>
  <c r="J26" i="9"/>
  <c r="H16" i="9"/>
  <c r="J14" i="9"/>
  <c r="E13" i="9"/>
  <c r="G11" i="9"/>
  <c r="I9" i="9"/>
  <c r="D17" i="9"/>
  <c r="J16" i="9"/>
  <c r="F18" i="9"/>
  <c r="C17" i="9"/>
  <c r="G28" i="9"/>
  <c r="I26" i="9"/>
  <c r="D25" i="9"/>
  <c r="F23" i="9"/>
  <c r="H21" i="9"/>
  <c r="J19" i="9"/>
  <c r="E18" i="9"/>
  <c r="G16" i="9"/>
  <c r="I14" i="9"/>
  <c r="D13" i="9"/>
  <c r="F11" i="9"/>
  <c r="H9" i="9"/>
  <c r="I18" i="9"/>
  <c r="J28" i="9"/>
  <c r="G25" i="9"/>
  <c r="H18" i="9"/>
  <c r="C18" i="9"/>
  <c r="H28" i="9"/>
  <c r="G23" i="9"/>
  <c r="C28" i="9"/>
  <c r="C16" i="9"/>
  <c r="F28" i="9"/>
  <c r="H26" i="9"/>
  <c r="J24" i="9"/>
  <c r="E23" i="9"/>
  <c r="G21" i="9"/>
  <c r="I19" i="9"/>
  <c r="F16" i="9"/>
  <c r="H14" i="9"/>
  <c r="J12" i="9"/>
  <c r="E11" i="9"/>
  <c r="G9" i="9"/>
  <c r="C9" i="9"/>
  <c r="E28" i="9"/>
  <c r="G26" i="9"/>
  <c r="I24" i="9"/>
  <c r="F21" i="9"/>
  <c r="H19" i="9"/>
  <c r="J17" i="9"/>
  <c r="E16" i="9"/>
  <c r="G14" i="9"/>
  <c r="I12" i="9"/>
  <c r="F9" i="9"/>
  <c r="C26" i="9"/>
  <c r="C14" i="9"/>
  <c r="F26" i="9"/>
  <c r="H24" i="9"/>
  <c r="J22" i="9"/>
  <c r="E21" i="9"/>
  <c r="G19" i="9"/>
  <c r="I17" i="9"/>
  <c r="F14" i="9"/>
  <c r="H12" i="9"/>
  <c r="J10" i="9"/>
  <c r="E9" i="9"/>
  <c r="H103" i="8"/>
  <c r="F93" i="8"/>
  <c r="E11" i="8"/>
  <c r="D105" i="8"/>
  <c r="D93" i="8"/>
  <c r="G42" i="8"/>
  <c r="F102" i="8"/>
  <c r="G114" i="7"/>
  <c r="E104" i="7"/>
  <c r="G91" i="7"/>
  <c r="B45" i="7"/>
  <c r="H11" i="8"/>
  <c r="H116" i="8"/>
  <c r="I115" i="8"/>
  <c r="B110" i="8"/>
  <c r="C109" i="8"/>
  <c r="D108" i="8"/>
  <c r="E107" i="8"/>
  <c r="F106" i="8"/>
  <c r="G105" i="8"/>
  <c r="H104" i="8"/>
  <c r="I103" i="8"/>
  <c r="B98" i="8"/>
  <c r="C97" i="8"/>
  <c r="D96" i="8"/>
  <c r="E95" i="8"/>
  <c r="F94" i="8"/>
  <c r="G93" i="8"/>
  <c r="H92" i="8"/>
  <c r="I91" i="8"/>
  <c r="G78" i="8"/>
  <c r="F67" i="8"/>
  <c r="E56" i="8"/>
  <c r="D45" i="8"/>
  <c r="C34" i="8"/>
  <c r="B23" i="8"/>
  <c r="H39" i="7"/>
  <c r="G104" i="8"/>
  <c r="D95" i="8"/>
  <c r="E94" i="8"/>
  <c r="G92" i="8"/>
  <c r="I88" i="8"/>
  <c r="H77" i="8"/>
  <c r="G66" i="8"/>
  <c r="F55" i="8"/>
  <c r="E44" i="8"/>
  <c r="D33" i="8"/>
  <c r="C22" i="8"/>
  <c r="H113" i="7"/>
  <c r="F103" i="7"/>
  <c r="F89" i="7"/>
  <c r="G28" i="7"/>
  <c r="F11" i="8"/>
  <c r="F116" i="8"/>
  <c r="G115" i="8"/>
  <c r="H114" i="8"/>
  <c r="I113" i="8"/>
  <c r="B108" i="8"/>
  <c r="C107" i="8"/>
  <c r="D106" i="8"/>
  <c r="E105" i="8"/>
  <c r="F104" i="8"/>
  <c r="G103" i="8"/>
  <c r="H102" i="8"/>
  <c r="I101" i="8"/>
  <c r="B96" i="8"/>
  <c r="C95" i="8"/>
  <c r="D94" i="8"/>
  <c r="E93" i="8"/>
  <c r="F92" i="8"/>
  <c r="G91" i="8"/>
  <c r="H90" i="8"/>
  <c r="I76" i="8"/>
  <c r="H65" i="8"/>
  <c r="G54" i="8"/>
  <c r="F43" i="8"/>
  <c r="E32" i="8"/>
  <c r="D21" i="8"/>
  <c r="G116" i="8"/>
  <c r="E106" i="8"/>
  <c r="B97" i="8"/>
  <c r="I90" i="8"/>
  <c r="E116" i="8"/>
  <c r="H101" i="8"/>
  <c r="B95" i="8"/>
  <c r="E92" i="8"/>
  <c r="F31" i="8"/>
  <c r="E115" i="8"/>
  <c r="C105" i="8"/>
  <c r="H100" i="8"/>
  <c r="E91" i="8"/>
  <c r="F19" i="8"/>
  <c r="F11" i="7"/>
  <c r="C107" i="7"/>
  <c r="I101" i="7"/>
  <c r="C86" i="7"/>
  <c r="B11" i="8"/>
  <c r="C11" i="8"/>
  <c r="C116" i="8"/>
  <c r="D115" i="8"/>
  <c r="E114" i="8"/>
  <c r="F113" i="8"/>
  <c r="G112" i="8"/>
  <c r="H111" i="8"/>
  <c r="I110" i="8"/>
  <c r="B105" i="8"/>
  <c r="C104" i="8"/>
  <c r="D103" i="8"/>
  <c r="E102" i="8"/>
  <c r="F101" i="8"/>
  <c r="G100" i="8"/>
  <c r="H99" i="8"/>
  <c r="I98" i="8"/>
  <c r="B93" i="8"/>
  <c r="C92" i="8"/>
  <c r="D91" i="8"/>
  <c r="D90" i="8"/>
  <c r="I40" i="8"/>
  <c r="H29" i="8"/>
  <c r="G18" i="8"/>
  <c r="I114" i="8"/>
  <c r="F105" i="8"/>
  <c r="I102" i="8"/>
  <c r="C96" i="8"/>
  <c r="H91" i="8"/>
  <c r="G114" i="8"/>
  <c r="B107" i="8"/>
  <c r="I100" i="8"/>
  <c r="F91" i="8"/>
  <c r="E20" i="8"/>
  <c r="D11" i="8"/>
  <c r="F114" i="8"/>
  <c r="D104" i="8"/>
  <c r="I99" i="8"/>
  <c r="C93" i="8"/>
  <c r="F90" i="8"/>
  <c r="G30" i="8"/>
  <c r="E11" i="7"/>
  <c r="B107" i="7"/>
  <c r="H101" i="7"/>
  <c r="G84" i="7"/>
  <c r="B116" i="8"/>
  <c r="C115" i="8"/>
  <c r="D114" i="8"/>
  <c r="E113" i="8"/>
  <c r="F112" i="8"/>
  <c r="G111" i="8"/>
  <c r="H110" i="8"/>
  <c r="I109" i="8"/>
  <c r="B104" i="8"/>
  <c r="C103" i="8"/>
  <c r="D102" i="8"/>
  <c r="E101" i="8"/>
  <c r="F100" i="8"/>
  <c r="G99" i="8"/>
  <c r="H98" i="8"/>
  <c r="I97" i="8"/>
  <c r="B92" i="8"/>
  <c r="C91" i="8"/>
  <c r="I28" i="8"/>
  <c r="H17" i="8"/>
  <c r="D107" i="8"/>
  <c r="F17" i="7"/>
  <c r="G102" i="8"/>
  <c r="G102" i="7"/>
  <c r="B106" i="8"/>
  <c r="D106" i="7"/>
  <c r="B96" i="7"/>
  <c r="H82" i="7"/>
  <c r="B115" i="8"/>
  <c r="C114" i="8"/>
  <c r="D113" i="8"/>
  <c r="E112" i="8"/>
  <c r="F111" i="8"/>
  <c r="G110" i="8"/>
  <c r="H109" i="8"/>
  <c r="I108" i="8"/>
  <c r="B103" i="8"/>
  <c r="C102" i="8"/>
  <c r="D101" i="8"/>
  <c r="E100" i="8"/>
  <c r="F99" i="8"/>
  <c r="G98" i="8"/>
  <c r="H97" i="8"/>
  <c r="I96" i="8"/>
  <c r="B91" i="8"/>
  <c r="B83" i="8"/>
  <c r="B12" i="8"/>
  <c r="I17" i="8"/>
  <c r="H18" i="8"/>
  <c r="G19" i="8"/>
  <c r="F20" i="8"/>
  <c r="E21" i="8"/>
  <c r="D22" i="8"/>
  <c r="C23" i="8"/>
  <c r="B24" i="8"/>
  <c r="I29" i="8"/>
  <c r="H30" i="8"/>
  <c r="G31" i="8"/>
  <c r="F32" i="8"/>
  <c r="E33" i="8"/>
  <c r="D34" i="8"/>
  <c r="C35" i="8"/>
  <c r="B36" i="8"/>
  <c r="I41" i="8"/>
  <c r="H42" i="8"/>
  <c r="G43" i="8"/>
  <c r="F44" i="8"/>
  <c r="E45" i="8"/>
  <c r="D46" i="8"/>
  <c r="C47" i="8"/>
  <c r="B48" i="8"/>
  <c r="I53" i="8"/>
  <c r="H54" i="8"/>
  <c r="G55" i="8"/>
  <c r="F56" i="8"/>
  <c r="E57" i="8"/>
  <c r="D58" i="8"/>
  <c r="C59" i="8"/>
  <c r="B60" i="8"/>
  <c r="I65" i="8"/>
  <c r="H66" i="8"/>
  <c r="G67" i="8"/>
  <c r="F68" i="8"/>
  <c r="E69" i="8"/>
  <c r="D70" i="8"/>
  <c r="C71" i="8"/>
  <c r="B72" i="8"/>
  <c r="I77" i="8"/>
  <c r="H78" i="8"/>
  <c r="G79" i="8"/>
  <c r="F80" i="8"/>
  <c r="E81" i="8"/>
  <c r="D82" i="8"/>
  <c r="C83" i="8"/>
  <c r="B84" i="8"/>
  <c r="I89" i="8"/>
  <c r="C12" i="8"/>
  <c r="B13" i="8"/>
  <c r="I18" i="8"/>
  <c r="H19" i="8"/>
  <c r="G20" i="8"/>
  <c r="F21" i="8"/>
  <c r="E22" i="8"/>
  <c r="D23" i="8"/>
  <c r="C24" i="8"/>
  <c r="B25" i="8"/>
  <c r="I30" i="8"/>
  <c r="H31" i="8"/>
  <c r="G32" i="8"/>
  <c r="F33" i="8"/>
  <c r="E34" i="8"/>
  <c r="D35" i="8"/>
  <c r="C36" i="8"/>
  <c r="B37" i="8"/>
  <c r="I42" i="8"/>
  <c r="H43" i="8"/>
  <c r="G44" i="8"/>
  <c r="F45" i="8"/>
  <c r="E46" i="8"/>
  <c r="D47" i="8"/>
  <c r="C48" i="8"/>
  <c r="B49" i="8"/>
  <c r="I54" i="8"/>
  <c r="H55" i="8"/>
  <c r="G56" i="8"/>
  <c r="F57" i="8"/>
  <c r="E58" i="8"/>
  <c r="D59" i="8"/>
  <c r="C60" i="8"/>
  <c r="B61" i="8"/>
  <c r="I66" i="8"/>
  <c r="H67" i="8"/>
  <c r="G68" i="8"/>
  <c r="F69" i="8"/>
  <c r="E70" i="8"/>
  <c r="D71" i="8"/>
  <c r="C72" i="8"/>
  <c r="B73" i="8"/>
  <c r="I78" i="8"/>
  <c r="H79" i="8"/>
  <c r="G80" i="8"/>
  <c r="F81" i="8"/>
  <c r="E82" i="8"/>
  <c r="D83" i="8"/>
  <c r="C84" i="8"/>
  <c r="B85" i="8"/>
  <c r="D12" i="8"/>
  <c r="C13" i="8"/>
  <c r="B14" i="8"/>
  <c r="I19" i="8"/>
  <c r="H20" i="8"/>
  <c r="G21" i="8"/>
  <c r="F22" i="8"/>
  <c r="E23" i="8"/>
  <c r="D24" i="8"/>
  <c r="C25" i="8"/>
  <c r="B26" i="8"/>
  <c r="I31" i="8"/>
  <c r="H32" i="8"/>
  <c r="G33" i="8"/>
  <c r="F34" i="8"/>
  <c r="E35" i="8"/>
  <c r="D36" i="8"/>
  <c r="C37" i="8"/>
  <c r="B38" i="8"/>
  <c r="I43" i="8"/>
  <c r="H44" i="8"/>
  <c r="G45" i="8"/>
  <c r="F46" i="8"/>
  <c r="E47" i="8"/>
  <c r="D48" i="8"/>
  <c r="C49" i="8"/>
  <c r="B50" i="8"/>
  <c r="I55" i="8"/>
  <c r="H56" i="8"/>
  <c r="G57" i="8"/>
  <c r="F58" i="8"/>
  <c r="E59" i="8"/>
  <c r="D60" i="8"/>
  <c r="C61" i="8"/>
  <c r="B62" i="8"/>
  <c r="I67" i="8"/>
  <c r="H68" i="8"/>
  <c r="G69" i="8"/>
  <c r="F70" i="8"/>
  <c r="E71" i="8"/>
  <c r="D72" i="8"/>
  <c r="C73" i="8"/>
  <c r="B74" i="8"/>
  <c r="I79" i="8"/>
  <c r="H80" i="8"/>
  <c r="G81" i="8"/>
  <c r="F82" i="8"/>
  <c r="E83" i="8"/>
  <c r="D84" i="8"/>
  <c r="C85" i="8"/>
  <c r="B86" i="8"/>
  <c r="E12" i="8"/>
  <c r="D13" i="8"/>
  <c r="C14" i="8"/>
  <c r="B15" i="8"/>
  <c r="I20" i="8"/>
  <c r="H21" i="8"/>
  <c r="G22" i="8"/>
  <c r="F23" i="8"/>
  <c r="E24" i="8"/>
  <c r="D25" i="8"/>
  <c r="C26" i="8"/>
  <c r="B27" i="8"/>
  <c r="I32" i="8"/>
  <c r="H33" i="8"/>
  <c r="G34" i="8"/>
  <c r="F35" i="8"/>
  <c r="E36" i="8"/>
  <c r="D37" i="8"/>
  <c r="C38" i="8"/>
  <c r="B39" i="8"/>
  <c r="I44" i="8"/>
  <c r="H45" i="8"/>
  <c r="G46" i="8"/>
  <c r="F47" i="8"/>
  <c r="E48" i="8"/>
  <c r="D49" i="8"/>
  <c r="C50" i="8"/>
  <c r="B51" i="8"/>
  <c r="I56" i="8"/>
  <c r="H57" i="8"/>
  <c r="G58" i="8"/>
  <c r="F59" i="8"/>
  <c r="E60" i="8"/>
  <c r="D61" i="8"/>
  <c r="C62" i="8"/>
  <c r="B63" i="8"/>
  <c r="I68" i="8"/>
  <c r="H69" i="8"/>
  <c r="G70" i="8"/>
  <c r="F71" i="8"/>
  <c r="E72" i="8"/>
  <c r="D73" i="8"/>
  <c r="C74" i="8"/>
  <c r="B75" i="8"/>
  <c r="I80" i="8"/>
  <c r="H81" i="8"/>
  <c r="G82" i="8"/>
  <c r="F83" i="8"/>
  <c r="E84" i="8"/>
  <c r="D85" i="8"/>
  <c r="C86" i="8"/>
  <c r="B87" i="8"/>
  <c r="F12" i="8"/>
  <c r="E13" i="8"/>
  <c r="D14" i="8"/>
  <c r="C15" i="8"/>
  <c r="B16" i="8"/>
  <c r="I21" i="8"/>
  <c r="H22" i="8"/>
  <c r="G23" i="8"/>
  <c r="F24" i="8"/>
  <c r="E25" i="8"/>
  <c r="D26" i="8"/>
  <c r="C27" i="8"/>
  <c r="B28" i="8"/>
  <c r="I33" i="8"/>
  <c r="H34" i="8"/>
  <c r="G35" i="8"/>
  <c r="F36" i="8"/>
  <c r="E37" i="8"/>
  <c r="D38" i="8"/>
  <c r="C39" i="8"/>
  <c r="B40" i="8"/>
  <c r="I45" i="8"/>
  <c r="H46" i="8"/>
  <c r="G47" i="8"/>
  <c r="F48" i="8"/>
  <c r="E49" i="8"/>
  <c r="D50" i="8"/>
  <c r="C51" i="8"/>
  <c r="B52" i="8"/>
  <c r="I57" i="8"/>
  <c r="H58" i="8"/>
  <c r="G59" i="8"/>
  <c r="F60" i="8"/>
  <c r="E61" i="8"/>
  <c r="D62" i="8"/>
  <c r="C63" i="8"/>
  <c r="B64" i="8"/>
  <c r="I69" i="8"/>
  <c r="H70" i="8"/>
  <c r="G71" i="8"/>
  <c r="F72" i="8"/>
  <c r="E73" i="8"/>
  <c r="D74" i="8"/>
  <c r="C75" i="8"/>
  <c r="B76" i="8"/>
  <c r="I81" i="8"/>
  <c r="H82" i="8"/>
  <c r="G83" i="8"/>
  <c r="F84" i="8"/>
  <c r="E85" i="8"/>
  <c r="D86" i="8"/>
  <c r="C87" i="8"/>
  <c r="B88" i="8"/>
  <c r="G12" i="8"/>
  <c r="F13" i="8"/>
  <c r="E14" i="8"/>
  <c r="D15" i="8"/>
  <c r="C16" i="8"/>
  <c r="B17" i="8"/>
  <c r="I22" i="8"/>
  <c r="H23" i="8"/>
  <c r="G24" i="8"/>
  <c r="F25" i="8"/>
  <c r="E26" i="8"/>
  <c r="D27" i="8"/>
  <c r="C28" i="8"/>
  <c r="B29" i="8"/>
  <c r="I34" i="8"/>
  <c r="H35" i="8"/>
  <c r="G36" i="8"/>
  <c r="F37" i="8"/>
  <c r="E38" i="8"/>
  <c r="D39" i="8"/>
  <c r="C40" i="8"/>
  <c r="B41" i="8"/>
  <c r="I46" i="8"/>
  <c r="H47" i="8"/>
  <c r="G48" i="8"/>
  <c r="F49" i="8"/>
  <c r="E50" i="8"/>
  <c r="D51" i="8"/>
  <c r="C52" i="8"/>
  <c r="B53" i="8"/>
  <c r="I58" i="8"/>
  <c r="H59" i="8"/>
  <c r="G60" i="8"/>
  <c r="F61" i="8"/>
  <c r="E62" i="8"/>
  <c r="D63" i="8"/>
  <c r="C64" i="8"/>
  <c r="B65" i="8"/>
  <c r="I70" i="8"/>
  <c r="H71" i="8"/>
  <c r="G72" i="8"/>
  <c r="F73" i="8"/>
  <c r="E74" i="8"/>
  <c r="D75" i="8"/>
  <c r="C76" i="8"/>
  <c r="B77" i="8"/>
  <c r="I82" i="8"/>
  <c r="H83" i="8"/>
  <c r="G84" i="8"/>
  <c r="F85" i="8"/>
  <c r="E86" i="8"/>
  <c r="D87" i="8"/>
  <c r="C88" i="8"/>
  <c r="H12" i="8"/>
  <c r="G13" i="8"/>
  <c r="F14" i="8"/>
  <c r="E15" i="8"/>
  <c r="D16" i="8"/>
  <c r="C17" i="8"/>
  <c r="B18" i="8"/>
  <c r="I23" i="8"/>
  <c r="H24" i="8"/>
  <c r="G25" i="8"/>
  <c r="F26" i="8"/>
  <c r="E27" i="8"/>
  <c r="D28" i="8"/>
  <c r="C29" i="8"/>
  <c r="B30" i="8"/>
  <c r="I35" i="8"/>
  <c r="H36" i="8"/>
  <c r="G37" i="8"/>
  <c r="F38" i="8"/>
  <c r="E39" i="8"/>
  <c r="D40" i="8"/>
  <c r="C41" i="8"/>
  <c r="B42" i="8"/>
  <c r="I47" i="8"/>
  <c r="H48" i="8"/>
  <c r="G49" i="8"/>
  <c r="F50" i="8"/>
  <c r="E51" i="8"/>
  <c r="D52" i="8"/>
  <c r="C53" i="8"/>
  <c r="B54" i="8"/>
  <c r="I59" i="8"/>
  <c r="H60" i="8"/>
  <c r="G61" i="8"/>
  <c r="F62" i="8"/>
  <c r="E63" i="8"/>
  <c r="D64" i="8"/>
  <c r="C65" i="8"/>
  <c r="B66" i="8"/>
  <c r="I71" i="8"/>
  <c r="H72" i="8"/>
  <c r="G73" i="8"/>
  <c r="F74" i="8"/>
  <c r="E75" i="8"/>
  <c r="D76" i="8"/>
  <c r="C77" i="8"/>
  <c r="B78" i="8"/>
  <c r="I83" i="8"/>
  <c r="H84" i="8"/>
  <c r="G85" i="8"/>
  <c r="F86" i="8"/>
  <c r="E87" i="8"/>
  <c r="D88" i="8"/>
  <c r="C89" i="8"/>
  <c r="B90" i="8"/>
  <c r="I12" i="8"/>
  <c r="H13" i="8"/>
  <c r="G14" i="8"/>
  <c r="F15" i="8"/>
  <c r="E16" i="8"/>
  <c r="D17" i="8"/>
  <c r="C18" i="8"/>
  <c r="B19" i="8"/>
  <c r="I24" i="8"/>
  <c r="H25" i="8"/>
  <c r="G26" i="8"/>
  <c r="F27" i="8"/>
  <c r="E28" i="8"/>
  <c r="D29" i="8"/>
  <c r="C30" i="8"/>
  <c r="B31" i="8"/>
  <c r="I36" i="8"/>
  <c r="H37" i="8"/>
  <c r="G38" i="8"/>
  <c r="F39" i="8"/>
  <c r="E40" i="8"/>
  <c r="D41" i="8"/>
  <c r="C42" i="8"/>
  <c r="B43" i="8"/>
  <c r="I48" i="8"/>
  <c r="H49" i="8"/>
  <c r="G50" i="8"/>
  <c r="F51" i="8"/>
  <c r="E52" i="8"/>
  <c r="D53" i="8"/>
  <c r="C54" i="8"/>
  <c r="B55" i="8"/>
  <c r="I60" i="8"/>
  <c r="H61" i="8"/>
  <c r="G62" i="8"/>
  <c r="F63" i="8"/>
  <c r="E64" i="8"/>
  <c r="D65" i="8"/>
  <c r="C66" i="8"/>
  <c r="B67" i="8"/>
  <c r="I72" i="8"/>
  <c r="H73" i="8"/>
  <c r="G74" i="8"/>
  <c r="F75" i="8"/>
  <c r="E76" i="8"/>
  <c r="D77" i="8"/>
  <c r="C78" i="8"/>
  <c r="B79" i="8"/>
  <c r="I84" i="8"/>
  <c r="H85" i="8"/>
  <c r="G86" i="8"/>
  <c r="F87" i="8"/>
  <c r="E88" i="8"/>
  <c r="D89" i="8"/>
  <c r="C90" i="8"/>
  <c r="I13" i="8"/>
  <c r="H14" i="8"/>
  <c r="G15" i="8"/>
  <c r="F16" i="8"/>
  <c r="E17" i="8"/>
  <c r="D18" i="8"/>
  <c r="C19" i="8"/>
  <c r="B20" i="8"/>
  <c r="I25" i="8"/>
  <c r="H26" i="8"/>
  <c r="G27" i="8"/>
  <c r="F28" i="8"/>
  <c r="E29" i="8"/>
  <c r="D30" i="8"/>
  <c r="C31" i="8"/>
  <c r="B32" i="8"/>
  <c r="I37" i="8"/>
  <c r="H38" i="8"/>
  <c r="G39" i="8"/>
  <c r="F40" i="8"/>
  <c r="E41" i="8"/>
  <c r="D42" i="8"/>
  <c r="C43" i="8"/>
  <c r="B44" i="8"/>
  <c r="I49" i="8"/>
  <c r="H50" i="8"/>
  <c r="G51" i="8"/>
  <c r="F52" i="8"/>
  <c r="E53" i="8"/>
  <c r="D54" i="8"/>
  <c r="C55" i="8"/>
  <c r="B56" i="8"/>
  <c r="I61" i="8"/>
  <c r="H62" i="8"/>
  <c r="G63" i="8"/>
  <c r="F64" i="8"/>
  <c r="E65" i="8"/>
  <c r="D66" i="8"/>
  <c r="C67" i="8"/>
  <c r="B68" i="8"/>
  <c r="I73" i="8"/>
  <c r="H74" i="8"/>
  <c r="G75" i="8"/>
  <c r="F76" i="8"/>
  <c r="E77" i="8"/>
  <c r="D78" i="8"/>
  <c r="C79" i="8"/>
  <c r="B80" i="8"/>
  <c r="I85" i="8"/>
  <c r="H86" i="8"/>
  <c r="G87" i="8"/>
  <c r="F88" i="8"/>
  <c r="I14" i="8"/>
  <c r="H15" i="8"/>
  <c r="G16" i="8"/>
  <c r="F17" i="8"/>
  <c r="E18" i="8"/>
  <c r="D19" i="8"/>
  <c r="C20" i="8"/>
  <c r="B21" i="8"/>
  <c r="I26" i="8"/>
  <c r="H27" i="8"/>
  <c r="G28" i="8"/>
  <c r="F29" i="8"/>
  <c r="E30" i="8"/>
  <c r="D31" i="8"/>
  <c r="C32" i="8"/>
  <c r="B33" i="8"/>
  <c r="I38" i="8"/>
  <c r="H39" i="8"/>
  <c r="G40" i="8"/>
  <c r="F41" i="8"/>
  <c r="E42" i="8"/>
  <c r="D43" i="8"/>
  <c r="C44" i="8"/>
  <c r="B45" i="8"/>
  <c r="I50" i="8"/>
  <c r="H51" i="8"/>
  <c r="G52" i="8"/>
  <c r="F53" i="8"/>
  <c r="E54" i="8"/>
  <c r="D55" i="8"/>
  <c r="C56" i="8"/>
  <c r="B57" i="8"/>
  <c r="I62" i="8"/>
  <c r="H63" i="8"/>
  <c r="G64" i="8"/>
  <c r="F65" i="8"/>
  <c r="E66" i="8"/>
  <c r="D67" i="8"/>
  <c r="C68" i="8"/>
  <c r="B69" i="8"/>
  <c r="I74" i="8"/>
  <c r="H75" i="8"/>
  <c r="G76" i="8"/>
  <c r="F77" i="8"/>
  <c r="E78" i="8"/>
  <c r="D79" i="8"/>
  <c r="C80" i="8"/>
  <c r="B81" i="8"/>
  <c r="I86" i="8"/>
  <c r="H87" i="8"/>
  <c r="G88" i="8"/>
  <c r="F89" i="8"/>
  <c r="E90" i="8"/>
  <c r="I15" i="8"/>
  <c r="H16" i="8"/>
  <c r="G17" i="8"/>
  <c r="F18" i="8"/>
  <c r="E19" i="8"/>
  <c r="D20" i="8"/>
  <c r="C21" i="8"/>
  <c r="B22" i="8"/>
  <c r="I27" i="8"/>
  <c r="H28" i="8"/>
  <c r="G29" i="8"/>
  <c r="F30" i="8"/>
  <c r="E31" i="8"/>
  <c r="D32" i="8"/>
  <c r="C33" i="8"/>
  <c r="B34" i="8"/>
  <c r="I39" i="8"/>
  <c r="H40" i="8"/>
  <c r="G41" i="8"/>
  <c r="F42" i="8"/>
  <c r="E43" i="8"/>
  <c r="D44" i="8"/>
  <c r="C45" i="8"/>
  <c r="B46" i="8"/>
  <c r="I51" i="8"/>
  <c r="H52" i="8"/>
  <c r="G53" i="8"/>
  <c r="F54" i="8"/>
  <c r="E55" i="8"/>
  <c r="D56" i="8"/>
  <c r="C57" i="8"/>
  <c r="B58" i="8"/>
  <c r="I63" i="8"/>
  <c r="H64" i="8"/>
  <c r="G65" i="8"/>
  <c r="F66" i="8"/>
  <c r="E67" i="8"/>
  <c r="D68" i="8"/>
  <c r="C69" i="8"/>
  <c r="B70" i="8"/>
  <c r="I75" i="8"/>
  <c r="H76" i="8"/>
  <c r="G77" i="8"/>
  <c r="F78" i="8"/>
  <c r="E79" i="8"/>
  <c r="D80" i="8"/>
  <c r="C81" i="8"/>
  <c r="B82" i="8"/>
  <c r="I87" i="8"/>
  <c r="H88" i="8"/>
  <c r="G89" i="8"/>
  <c r="F103" i="8"/>
  <c r="G90" i="8"/>
  <c r="E78" i="7"/>
  <c r="B114" i="8"/>
  <c r="C113" i="8"/>
  <c r="D112" i="8"/>
  <c r="E111" i="8"/>
  <c r="F110" i="8"/>
  <c r="G109" i="8"/>
  <c r="H108" i="8"/>
  <c r="I107" i="8"/>
  <c r="B102" i="8"/>
  <c r="C101" i="8"/>
  <c r="D100" i="8"/>
  <c r="E99" i="8"/>
  <c r="F98" i="8"/>
  <c r="G97" i="8"/>
  <c r="H96" i="8"/>
  <c r="I95" i="8"/>
  <c r="C82" i="8"/>
  <c r="B71" i="8"/>
  <c r="B109" i="8"/>
  <c r="E88" i="7"/>
  <c r="H113" i="8"/>
  <c r="E104" i="8"/>
  <c r="G11" i="7"/>
  <c r="I111" i="8"/>
  <c r="G101" i="8"/>
  <c r="I52" i="8"/>
  <c r="C95" i="7"/>
  <c r="G115" i="7"/>
  <c r="E105" i="7"/>
  <c r="D94" i="7"/>
  <c r="D67" i="7"/>
  <c r="B113" i="8"/>
  <c r="C112" i="8"/>
  <c r="D111" i="8"/>
  <c r="E110" i="8"/>
  <c r="F109" i="8"/>
  <c r="G108" i="8"/>
  <c r="H107" i="8"/>
  <c r="I106" i="8"/>
  <c r="B101" i="8"/>
  <c r="C100" i="8"/>
  <c r="D99" i="8"/>
  <c r="E98" i="8"/>
  <c r="F97" i="8"/>
  <c r="G96" i="8"/>
  <c r="H95" i="8"/>
  <c r="I94" i="8"/>
  <c r="H89" i="8"/>
  <c r="D81" i="8"/>
  <c r="C70" i="8"/>
  <c r="B59" i="8"/>
  <c r="G11" i="8"/>
  <c r="C108" i="8"/>
  <c r="I112" i="7"/>
  <c r="F115" i="8"/>
  <c r="H53" i="8"/>
  <c r="D87" i="7"/>
  <c r="G113" i="8"/>
  <c r="B94" i="8"/>
  <c r="D92" i="8"/>
  <c r="F116" i="7"/>
  <c r="C106" i="7"/>
  <c r="F115" i="7"/>
  <c r="D105" i="7"/>
  <c r="E93" i="7"/>
  <c r="C56" i="7"/>
  <c r="B112" i="8"/>
  <c r="C111" i="8"/>
  <c r="D110" i="8"/>
  <c r="E109" i="8"/>
  <c r="F108" i="8"/>
  <c r="G107" i="8"/>
  <c r="H106" i="8"/>
  <c r="I105" i="8"/>
  <c r="B100" i="8"/>
  <c r="C99" i="8"/>
  <c r="D98" i="8"/>
  <c r="E97" i="8"/>
  <c r="F96" i="8"/>
  <c r="G95" i="8"/>
  <c r="H94" i="8"/>
  <c r="I93" i="8"/>
  <c r="E89" i="8"/>
  <c r="E80" i="8"/>
  <c r="D69" i="8"/>
  <c r="C58" i="8"/>
  <c r="B47" i="8"/>
  <c r="H115" i="8"/>
  <c r="H102" i="7"/>
  <c r="I112" i="8"/>
  <c r="C106" i="8"/>
  <c r="C94" i="8"/>
  <c r="I64" i="8"/>
  <c r="B108" i="7"/>
  <c r="D116" i="8"/>
  <c r="H112" i="8"/>
  <c r="E103" i="8"/>
  <c r="H41" i="8"/>
  <c r="E116" i="7"/>
  <c r="H114" i="7"/>
  <c r="F104" i="7"/>
  <c r="F92" i="7"/>
  <c r="I50" i="7"/>
  <c r="I11" i="8"/>
  <c r="I116" i="8"/>
  <c r="B111" i="8"/>
  <c r="C110" i="8"/>
  <c r="D109" i="8"/>
  <c r="E108" i="8"/>
  <c r="F107" i="8"/>
  <c r="G106" i="8"/>
  <c r="H105" i="8"/>
  <c r="I104" i="8"/>
  <c r="B99" i="8"/>
  <c r="C98" i="8"/>
  <c r="D97" i="8"/>
  <c r="E96" i="8"/>
  <c r="F95" i="8"/>
  <c r="G94" i="8"/>
  <c r="H93" i="8"/>
  <c r="I92" i="8"/>
  <c r="B89" i="8"/>
  <c r="F79" i="8"/>
  <c r="E68" i="8"/>
  <c r="D57" i="8"/>
  <c r="C46" i="8"/>
  <c r="B35" i="8"/>
  <c r="G116" i="7"/>
  <c r="H115" i="7"/>
  <c r="I114" i="7"/>
  <c r="B109" i="7"/>
  <c r="C108" i="7"/>
  <c r="D107" i="7"/>
  <c r="E106" i="7"/>
  <c r="F105" i="7"/>
  <c r="G104" i="7"/>
  <c r="H103" i="7"/>
  <c r="I102" i="7"/>
  <c r="B97" i="7"/>
  <c r="C96" i="7"/>
  <c r="D95" i="7"/>
  <c r="E94" i="7"/>
  <c r="F93" i="7"/>
  <c r="G92" i="7"/>
  <c r="H91" i="7"/>
  <c r="I90" i="7"/>
  <c r="G89" i="7"/>
  <c r="F88" i="7"/>
  <c r="E87" i="7"/>
  <c r="D86" i="7"/>
  <c r="I82" i="7"/>
  <c r="F78" i="7"/>
  <c r="E67" i="7"/>
  <c r="D56" i="7"/>
  <c r="C45" i="7"/>
  <c r="I39" i="7"/>
  <c r="B34" i="7"/>
  <c r="H28" i="7"/>
  <c r="G17" i="7"/>
  <c r="I100" i="7"/>
  <c r="B95" i="7"/>
  <c r="C94" i="7"/>
  <c r="D93" i="7"/>
  <c r="E92" i="7"/>
  <c r="F91" i="7"/>
  <c r="F90" i="7"/>
  <c r="E89" i="7"/>
  <c r="D88" i="7"/>
  <c r="C87" i="7"/>
  <c r="B86" i="7"/>
  <c r="F84" i="7"/>
  <c r="F82" i="7"/>
  <c r="G77" i="7"/>
  <c r="F66" i="7"/>
  <c r="E55" i="7"/>
  <c r="D44" i="7"/>
  <c r="C33" i="7"/>
  <c r="I27" i="7"/>
  <c r="B22" i="7"/>
  <c r="H16" i="7"/>
  <c r="D11" i="7"/>
  <c r="D116" i="7"/>
  <c r="E115" i="7"/>
  <c r="F114" i="7"/>
  <c r="G113" i="7"/>
  <c r="H112" i="7"/>
  <c r="I111" i="7"/>
  <c r="B106" i="7"/>
  <c r="C105" i="7"/>
  <c r="D104" i="7"/>
  <c r="E103" i="7"/>
  <c r="F102" i="7"/>
  <c r="G101" i="7"/>
  <c r="H100" i="7"/>
  <c r="I99" i="7"/>
  <c r="B94" i="7"/>
  <c r="C93" i="7"/>
  <c r="D92" i="7"/>
  <c r="E91" i="7"/>
  <c r="E90" i="7"/>
  <c r="D89" i="7"/>
  <c r="C88" i="7"/>
  <c r="B87" i="7"/>
  <c r="D84" i="7"/>
  <c r="B82" i="7"/>
  <c r="F77" i="7"/>
  <c r="E66" i="7"/>
  <c r="D55" i="7"/>
  <c r="C44" i="7"/>
  <c r="I38" i="7"/>
  <c r="B33" i="7"/>
  <c r="H27" i="7"/>
  <c r="G16" i="7"/>
  <c r="B11" i="7"/>
  <c r="C116" i="7"/>
  <c r="D115" i="7"/>
  <c r="E114" i="7"/>
  <c r="F113" i="7"/>
  <c r="G112" i="7"/>
  <c r="H111" i="7"/>
  <c r="I110" i="7"/>
  <c r="B105" i="7"/>
  <c r="C104" i="7"/>
  <c r="D103" i="7"/>
  <c r="E102" i="7"/>
  <c r="F101" i="7"/>
  <c r="G100" i="7"/>
  <c r="H99" i="7"/>
  <c r="I98" i="7"/>
  <c r="B93" i="7"/>
  <c r="C92" i="7"/>
  <c r="D91" i="7"/>
  <c r="D90" i="7"/>
  <c r="C89" i="7"/>
  <c r="B88" i="7"/>
  <c r="C84" i="7"/>
  <c r="H76" i="7"/>
  <c r="G65" i="7"/>
  <c r="F54" i="7"/>
  <c r="E43" i="7"/>
  <c r="D32" i="7"/>
  <c r="C21" i="7"/>
  <c r="I15" i="7"/>
  <c r="C115" i="7"/>
  <c r="D114" i="7"/>
  <c r="E113" i="7"/>
  <c r="F112" i="7"/>
  <c r="G111" i="7"/>
  <c r="H110" i="7"/>
  <c r="I109" i="7"/>
  <c r="B104" i="7"/>
  <c r="C103" i="7"/>
  <c r="D102" i="7"/>
  <c r="E101" i="7"/>
  <c r="F100" i="7"/>
  <c r="G99" i="7"/>
  <c r="H98" i="7"/>
  <c r="I97" i="7"/>
  <c r="B92" i="7"/>
  <c r="C91" i="7"/>
  <c r="C90" i="7"/>
  <c r="B89" i="7"/>
  <c r="I81" i="7"/>
  <c r="G76" i="7"/>
  <c r="F65" i="7"/>
  <c r="E54" i="7"/>
  <c r="D43" i="7"/>
  <c r="C32" i="7"/>
  <c r="I26" i="7"/>
  <c r="B21" i="7"/>
  <c r="H15" i="7"/>
  <c r="B116" i="7"/>
  <c r="B115" i="7"/>
  <c r="C114" i="7"/>
  <c r="D113" i="7"/>
  <c r="E112" i="7"/>
  <c r="F111" i="7"/>
  <c r="G110" i="7"/>
  <c r="H109" i="7"/>
  <c r="I108" i="7"/>
  <c r="B103" i="7"/>
  <c r="C102" i="7"/>
  <c r="D101" i="7"/>
  <c r="E100" i="7"/>
  <c r="F99" i="7"/>
  <c r="G98" i="7"/>
  <c r="H97" i="7"/>
  <c r="I96" i="7"/>
  <c r="B91" i="7"/>
  <c r="B90" i="7"/>
  <c r="I85" i="7"/>
  <c r="C81" i="7"/>
  <c r="I75" i="7"/>
  <c r="B70" i="7"/>
  <c r="H64" i="7"/>
  <c r="G53" i="7"/>
  <c r="F42" i="7"/>
  <c r="E31" i="7"/>
  <c r="D20" i="7"/>
  <c r="C11" i="7"/>
  <c r="B114" i="7"/>
  <c r="C113" i="7"/>
  <c r="D112" i="7"/>
  <c r="E111" i="7"/>
  <c r="F110" i="7"/>
  <c r="G109" i="7"/>
  <c r="H108" i="7"/>
  <c r="I107" i="7"/>
  <c r="B102" i="7"/>
  <c r="C101" i="7"/>
  <c r="D100" i="7"/>
  <c r="E99" i="7"/>
  <c r="F98" i="7"/>
  <c r="G97" i="7"/>
  <c r="H96" i="7"/>
  <c r="I95" i="7"/>
  <c r="I86" i="7"/>
  <c r="F85" i="7"/>
  <c r="H83" i="7"/>
  <c r="B81" i="7"/>
  <c r="H75" i="7"/>
  <c r="G64" i="7"/>
  <c r="F53" i="7"/>
  <c r="E42" i="7"/>
  <c r="D31" i="7"/>
  <c r="C20" i="7"/>
  <c r="I14" i="7"/>
  <c r="B113" i="7"/>
  <c r="C112" i="7"/>
  <c r="D111" i="7"/>
  <c r="E110" i="7"/>
  <c r="F109" i="7"/>
  <c r="G108" i="7"/>
  <c r="H107" i="7"/>
  <c r="I106" i="7"/>
  <c r="B101" i="7"/>
  <c r="C100" i="7"/>
  <c r="D99" i="7"/>
  <c r="E98" i="7"/>
  <c r="F97" i="7"/>
  <c r="G96" i="7"/>
  <c r="H95" i="7"/>
  <c r="I94" i="7"/>
  <c r="I87" i="7"/>
  <c r="H86" i="7"/>
  <c r="E85" i="7"/>
  <c r="G83" i="7"/>
  <c r="D80" i="7"/>
  <c r="C69" i="7"/>
  <c r="I63" i="7"/>
  <c r="B58" i="7"/>
  <c r="H52" i="7"/>
  <c r="G41" i="7"/>
  <c r="F30" i="7"/>
  <c r="E19" i="7"/>
  <c r="B12" i="7"/>
  <c r="I17" i="7"/>
  <c r="H18" i="7"/>
  <c r="G19" i="7"/>
  <c r="F20" i="7"/>
  <c r="E21" i="7"/>
  <c r="D22" i="7"/>
  <c r="C23" i="7"/>
  <c r="B24" i="7"/>
  <c r="I29" i="7"/>
  <c r="H30" i="7"/>
  <c r="G31" i="7"/>
  <c r="F32" i="7"/>
  <c r="E33" i="7"/>
  <c r="D34" i="7"/>
  <c r="C35" i="7"/>
  <c r="B36" i="7"/>
  <c r="I41" i="7"/>
  <c r="H42" i="7"/>
  <c r="G43" i="7"/>
  <c r="F44" i="7"/>
  <c r="E45" i="7"/>
  <c r="D46" i="7"/>
  <c r="C47" i="7"/>
  <c r="B48" i="7"/>
  <c r="I53" i="7"/>
  <c r="H54" i="7"/>
  <c r="G55" i="7"/>
  <c r="F56" i="7"/>
  <c r="E57" i="7"/>
  <c r="D58" i="7"/>
  <c r="C59" i="7"/>
  <c r="B60" i="7"/>
  <c r="I65" i="7"/>
  <c r="H66" i="7"/>
  <c r="G67" i="7"/>
  <c r="F68" i="7"/>
  <c r="E69" i="7"/>
  <c r="D70" i="7"/>
  <c r="C71" i="7"/>
  <c r="B72" i="7"/>
  <c r="I77" i="7"/>
  <c r="H78" i="7"/>
  <c r="G79" i="7"/>
  <c r="F80" i="7"/>
  <c r="E81" i="7"/>
  <c r="D82" i="7"/>
  <c r="C83" i="7"/>
  <c r="B84" i="7"/>
  <c r="I89" i="7"/>
  <c r="C12" i="7"/>
  <c r="B13" i="7"/>
  <c r="I18" i="7"/>
  <c r="H19" i="7"/>
  <c r="G20" i="7"/>
  <c r="F21" i="7"/>
  <c r="E22" i="7"/>
  <c r="D23" i="7"/>
  <c r="C24" i="7"/>
  <c r="B25" i="7"/>
  <c r="I30" i="7"/>
  <c r="H31" i="7"/>
  <c r="G32" i="7"/>
  <c r="F33" i="7"/>
  <c r="E34" i="7"/>
  <c r="D35" i="7"/>
  <c r="C36" i="7"/>
  <c r="B37" i="7"/>
  <c r="I42" i="7"/>
  <c r="H43" i="7"/>
  <c r="G44" i="7"/>
  <c r="F45" i="7"/>
  <c r="E46" i="7"/>
  <c r="D47" i="7"/>
  <c r="C48" i="7"/>
  <c r="B49" i="7"/>
  <c r="I54" i="7"/>
  <c r="H55" i="7"/>
  <c r="G56" i="7"/>
  <c r="F57" i="7"/>
  <c r="E58" i="7"/>
  <c r="D59" i="7"/>
  <c r="C60" i="7"/>
  <c r="B61" i="7"/>
  <c r="I66" i="7"/>
  <c r="H67" i="7"/>
  <c r="G68" i="7"/>
  <c r="F69" i="7"/>
  <c r="E70" i="7"/>
  <c r="D71" i="7"/>
  <c r="C72" i="7"/>
  <c r="B73" i="7"/>
  <c r="I78" i="7"/>
  <c r="H79" i="7"/>
  <c r="G80" i="7"/>
  <c r="F81" i="7"/>
  <c r="E82" i="7"/>
  <c r="D83" i="7"/>
  <c r="D12" i="7"/>
  <c r="C13" i="7"/>
  <c r="B14" i="7"/>
  <c r="I19" i="7"/>
  <c r="H20" i="7"/>
  <c r="G21" i="7"/>
  <c r="F22" i="7"/>
  <c r="E23" i="7"/>
  <c r="D24" i="7"/>
  <c r="C25" i="7"/>
  <c r="B26" i="7"/>
  <c r="I31" i="7"/>
  <c r="H32" i="7"/>
  <c r="G33" i="7"/>
  <c r="F34" i="7"/>
  <c r="E35" i="7"/>
  <c r="D36" i="7"/>
  <c r="C37" i="7"/>
  <c r="B38" i="7"/>
  <c r="I43" i="7"/>
  <c r="H44" i="7"/>
  <c r="G45" i="7"/>
  <c r="F46" i="7"/>
  <c r="E47" i="7"/>
  <c r="D48" i="7"/>
  <c r="C49" i="7"/>
  <c r="B50" i="7"/>
  <c r="I55" i="7"/>
  <c r="H56" i="7"/>
  <c r="G57" i="7"/>
  <c r="F58" i="7"/>
  <c r="E59" i="7"/>
  <c r="D60" i="7"/>
  <c r="C61" i="7"/>
  <c r="B62" i="7"/>
  <c r="I67" i="7"/>
  <c r="H68" i="7"/>
  <c r="G69" i="7"/>
  <c r="F70" i="7"/>
  <c r="E71" i="7"/>
  <c r="D72" i="7"/>
  <c r="C73" i="7"/>
  <c r="B74" i="7"/>
  <c r="I79" i="7"/>
  <c r="H80" i="7"/>
  <c r="G81" i="7"/>
  <c r="E12" i="7"/>
  <c r="D13" i="7"/>
  <c r="C14" i="7"/>
  <c r="B15" i="7"/>
  <c r="I20" i="7"/>
  <c r="H21" i="7"/>
  <c r="G22" i="7"/>
  <c r="F23" i="7"/>
  <c r="E24" i="7"/>
  <c r="D25" i="7"/>
  <c r="C26" i="7"/>
  <c r="B27" i="7"/>
  <c r="I32" i="7"/>
  <c r="H33" i="7"/>
  <c r="G34" i="7"/>
  <c r="F35" i="7"/>
  <c r="E36" i="7"/>
  <c r="D37" i="7"/>
  <c r="C38" i="7"/>
  <c r="B39" i="7"/>
  <c r="I44" i="7"/>
  <c r="H45" i="7"/>
  <c r="G46" i="7"/>
  <c r="F47" i="7"/>
  <c r="E48" i="7"/>
  <c r="D49" i="7"/>
  <c r="C50" i="7"/>
  <c r="B51" i="7"/>
  <c r="I56" i="7"/>
  <c r="H57" i="7"/>
  <c r="G58" i="7"/>
  <c r="F59" i="7"/>
  <c r="E60" i="7"/>
  <c r="D61" i="7"/>
  <c r="C62" i="7"/>
  <c r="B63" i="7"/>
  <c r="I68" i="7"/>
  <c r="H69" i="7"/>
  <c r="G70" i="7"/>
  <c r="F71" i="7"/>
  <c r="E72" i="7"/>
  <c r="D73" i="7"/>
  <c r="C74" i="7"/>
  <c r="B75" i="7"/>
  <c r="I80" i="7"/>
  <c r="H81" i="7"/>
  <c r="G82" i="7"/>
  <c r="F83" i="7"/>
  <c r="E84" i="7"/>
  <c r="D85" i="7"/>
  <c r="F12" i="7"/>
  <c r="E13" i="7"/>
  <c r="D14" i="7"/>
  <c r="C15" i="7"/>
  <c r="B16" i="7"/>
  <c r="I21" i="7"/>
  <c r="H22" i="7"/>
  <c r="G23" i="7"/>
  <c r="F24" i="7"/>
  <c r="E25" i="7"/>
  <c r="D26" i="7"/>
  <c r="C27" i="7"/>
  <c r="B28" i="7"/>
  <c r="I33" i="7"/>
  <c r="H34" i="7"/>
  <c r="G35" i="7"/>
  <c r="F36" i="7"/>
  <c r="E37" i="7"/>
  <c r="D38" i="7"/>
  <c r="C39" i="7"/>
  <c r="B40" i="7"/>
  <c r="I45" i="7"/>
  <c r="H46" i="7"/>
  <c r="G47" i="7"/>
  <c r="F48" i="7"/>
  <c r="E49" i="7"/>
  <c r="D50" i="7"/>
  <c r="C51" i="7"/>
  <c r="B52" i="7"/>
  <c r="I57" i="7"/>
  <c r="H58" i="7"/>
  <c r="G59" i="7"/>
  <c r="F60" i="7"/>
  <c r="E61" i="7"/>
  <c r="D62" i="7"/>
  <c r="C63" i="7"/>
  <c r="B64" i="7"/>
  <c r="I69" i="7"/>
  <c r="H70" i="7"/>
  <c r="G71" i="7"/>
  <c r="F72" i="7"/>
  <c r="E73" i="7"/>
  <c r="D74" i="7"/>
  <c r="C75" i="7"/>
  <c r="B76" i="7"/>
  <c r="G12" i="7"/>
  <c r="F13" i="7"/>
  <c r="E14" i="7"/>
  <c r="D15" i="7"/>
  <c r="C16" i="7"/>
  <c r="B17" i="7"/>
  <c r="I22" i="7"/>
  <c r="H23" i="7"/>
  <c r="G24" i="7"/>
  <c r="F25" i="7"/>
  <c r="E26" i="7"/>
  <c r="D27" i="7"/>
  <c r="C28" i="7"/>
  <c r="B29" i="7"/>
  <c r="I34" i="7"/>
  <c r="H35" i="7"/>
  <c r="G36" i="7"/>
  <c r="F37" i="7"/>
  <c r="E38" i="7"/>
  <c r="D39" i="7"/>
  <c r="C40" i="7"/>
  <c r="B41" i="7"/>
  <c r="I46" i="7"/>
  <c r="H47" i="7"/>
  <c r="G48" i="7"/>
  <c r="F49" i="7"/>
  <c r="E50" i="7"/>
  <c r="D51" i="7"/>
  <c r="C52" i="7"/>
  <c r="B53" i="7"/>
  <c r="I58" i="7"/>
  <c r="H59" i="7"/>
  <c r="G60" i="7"/>
  <c r="F61" i="7"/>
  <c r="E62" i="7"/>
  <c r="D63" i="7"/>
  <c r="C64" i="7"/>
  <c r="B65" i="7"/>
  <c r="I70" i="7"/>
  <c r="H71" i="7"/>
  <c r="G72" i="7"/>
  <c r="F73" i="7"/>
  <c r="E74" i="7"/>
  <c r="D75" i="7"/>
  <c r="C76" i="7"/>
  <c r="B77" i="7"/>
  <c r="H12" i="7"/>
  <c r="G13" i="7"/>
  <c r="F14" i="7"/>
  <c r="E15" i="7"/>
  <c r="D16" i="7"/>
  <c r="C17" i="7"/>
  <c r="B18" i="7"/>
  <c r="I23" i="7"/>
  <c r="H24" i="7"/>
  <c r="G25" i="7"/>
  <c r="F26" i="7"/>
  <c r="E27" i="7"/>
  <c r="D28" i="7"/>
  <c r="C29" i="7"/>
  <c r="B30" i="7"/>
  <c r="I35" i="7"/>
  <c r="H36" i="7"/>
  <c r="G37" i="7"/>
  <c r="F38" i="7"/>
  <c r="E39" i="7"/>
  <c r="D40" i="7"/>
  <c r="C41" i="7"/>
  <c r="B42" i="7"/>
  <c r="I47" i="7"/>
  <c r="H48" i="7"/>
  <c r="G49" i="7"/>
  <c r="F50" i="7"/>
  <c r="E51" i="7"/>
  <c r="D52" i="7"/>
  <c r="C53" i="7"/>
  <c r="B54" i="7"/>
  <c r="I59" i="7"/>
  <c r="H60" i="7"/>
  <c r="G61" i="7"/>
  <c r="F62" i="7"/>
  <c r="E63" i="7"/>
  <c r="D64" i="7"/>
  <c r="C65" i="7"/>
  <c r="B66" i="7"/>
  <c r="I71" i="7"/>
  <c r="H72" i="7"/>
  <c r="G73" i="7"/>
  <c r="F74" i="7"/>
  <c r="E75" i="7"/>
  <c r="D76" i="7"/>
  <c r="C77" i="7"/>
  <c r="B78" i="7"/>
  <c r="I83" i="7"/>
  <c r="H84" i="7"/>
  <c r="G85" i="7"/>
  <c r="I12" i="7"/>
  <c r="H13" i="7"/>
  <c r="G14" i="7"/>
  <c r="F15" i="7"/>
  <c r="E16" i="7"/>
  <c r="D17" i="7"/>
  <c r="C18" i="7"/>
  <c r="B19" i="7"/>
  <c r="I24" i="7"/>
  <c r="H25" i="7"/>
  <c r="G26" i="7"/>
  <c r="F27" i="7"/>
  <c r="E28" i="7"/>
  <c r="D29" i="7"/>
  <c r="C30" i="7"/>
  <c r="B31" i="7"/>
  <c r="I36" i="7"/>
  <c r="H37" i="7"/>
  <c r="G38" i="7"/>
  <c r="F39" i="7"/>
  <c r="E40" i="7"/>
  <c r="D41" i="7"/>
  <c r="C42" i="7"/>
  <c r="B43" i="7"/>
  <c r="I48" i="7"/>
  <c r="H49" i="7"/>
  <c r="G50" i="7"/>
  <c r="F51" i="7"/>
  <c r="E52" i="7"/>
  <c r="D53" i="7"/>
  <c r="C54" i="7"/>
  <c r="B55" i="7"/>
  <c r="I60" i="7"/>
  <c r="H61" i="7"/>
  <c r="G62" i="7"/>
  <c r="F63" i="7"/>
  <c r="E64" i="7"/>
  <c r="D65" i="7"/>
  <c r="C66" i="7"/>
  <c r="B67" i="7"/>
  <c r="I72" i="7"/>
  <c r="H73" i="7"/>
  <c r="G74" i="7"/>
  <c r="F75" i="7"/>
  <c r="E76" i="7"/>
  <c r="D77" i="7"/>
  <c r="C78" i="7"/>
  <c r="B79" i="7"/>
  <c r="I84" i="7"/>
  <c r="H85" i="7"/>
  <c r="I13" i="7"/>
  <c r="H14" i="7"/>
  <c r="G15" i="7"/>
  <c r="F16" i="7"/>
  <c r="E17" i="7"/>
  <c r="D18" i="7"/>
  <c r="C19" i="7"/>
  <c r="B20" i="7"/>
  <c r="I25" i="7"/>
  <c r="H26" i="7"/>
  <c r="G27" i="7"/>
  <c r="F28" i="7"/>
  <c r="E29" i="7"/>
  <c r="D30" i="7"/>
  <c r="C31" i="7"/>
  <c r="B32" i="7"/>
  <c r="I37" i="7"/>
  <c r="H38" i="7"/>
  <c r="G39" i="7"/>
  <c r="F40" i="7"/>
  <c r="E41" i="7"/>
  <c r="D42" i="7"/>
  <c r="C43" i="7"/>
  <c r="B44" i="7"/>
  <c r="I49" i="7"/>
  <c r="H50" i="7"/>
  <c r="G51" i="7"/>
  <c r="F52" i="7"/>
  <c r="E53" i="7"/>
  <c r="D54" i="7"/>
  <c r="C55" i="7"/>
  <c r="B56" i="7"/>
  <c r="I61" i="7"/>
  <c r="H62" i="7"/>
  <c r="G63" i="7"/>
  <c r="F64" i="7"/>
  <c r="E65" i="7"/>
  <c r="D66" i="7"/>
  <c r="C67" i="7"/>
  <c r="B68" i="7"/>
  <c r="I73" i="7"/>
  <c r="H74" i="7"/>
  <c r="G75" i="7"/>
  <c r="F76" i="7"/>
  <c r="E77" i="7"/>
  <c r="D78" i="7"/>
  <c r="C79" i="7"/>
  <c r="B80" i="7"/>
  <c r="I16" i="7"/>
  <c r="H17" i="7"/>
  <c r="G18" i="7"/>
  <c r="F19" i="7"/>
  <c r="E20" i="7"/>
  <c r="D21" i="7"/>
  <c r="C22" i="7"/>
  <c r="B23" i="7"/>
  <c r="I28" i="7"/>
  <c r="H29" i="7"/>
  <c r="G30" i="7"/>
  <c r="F31" i="7"/>
  <c r="E32" i="7"/>
  <c r="D33" i="7"/>
  <c r="C34" i="7"/>
  <c r="B35" i="7"/>
  <c r="I40" i="7"/>
  <c r="H41" i="7"/>
  <c r="G42" i="7"/>
  <c r="F43" i="7"/>
  <c r="E44" i="7"/>
  <c r="D45" i="7"/>
  <c r="C46" i="7"/>
  <c r="B47" i="7"/>
  <c r="I52" i="7"/>
  <c r="H53" i="7"/>
  <c r="G54" i="7"/>
  <c r="F55" i="7"/>
  <c r="E56" i="7"/>
  <c r="D57" i="7"/>
  <c r="C58" i="7"/>
  <c r="B59" i="7"/>
  <c r="I64" i="7"/>
  <c r="H65" i="7"/>
  <c r="G66" i="7"/>
  <c r="F67" i="7"/>
  <c r="E68" i="7"/>
  <c r="D69" i="7"/>
  <c r="C70" i="7"/>
  <c r="B71" i="7"/>
  <c r="I76" i="7"/>
  <c r="H77" i="7"/>
  <c r="G78" i="7"/>
  <c r="F79" i="7"/>
  <c r="E80" i="7"/>
  <c r="D81" i="7"/>
  <c r="C82" i="7"/>
  <c r="B83" i="7"/>
  <c r="I88" i="7"/>
  <c r="H89" i="7"/>
  <c r="G90" i="7"/>
  <c r="B112" i="7"/>
  <c r="C111" i="7"/>
  <c r="D110" i="7"/>
  <c r="E109" i="7"/>
  <c r="F108" i="7"/>
  <c r="G107" i="7"/>
  <c r="H106" i="7"/>
  <c r="I105" i="7"/>
  <c r="B100" i="7"/>
  <c r="C99" i="7"/>
  <c r="D98" i="7"/>
  <c r="E97" i="7"/>
  <c r="F96" i="7"/>
  <c r="G95" i="7"/>
  <c r="H94" i="7"/>
  <c r="I93" i="7"/>
  <c r="H87" i="7"/>
  <c r="G86" i="7"/>
  <c r="C85" i="7"/>
  <c r="E83" i="7"/>
  <c r="C80" i="7"/>
  <c r="I74" i="7"/>
  <c r="B69" i="7"/>
  <c r="H63" i="7"/>
  <c r="G52" i="7"/>
  <c r="F41" i="7"/>
  <c r="E30" i="7"/>
  <c r="D19" i="7"/>
  <c r="I11" i="7"/>
  <c r="B111" i="7"/>
  <c r="C110" i="7"/>
  <c r="D109" i="7"/>
  <c r="E108" i="7"/>
  <c r="F107" i="7"/>
  <c r="G106" i="7"/>
  <c r="H105" i="7"/>
  <c r="I104" i="7"/>
  <c r="B99" i="7"/>
  <c r="C98" i="7"/>
  <c r="D97" i="7"/>
  <c r="E96" i="7"/>
  <c r="F95" i="7"/>
  <c r="G94" i="7"/>
  <c r="H93" i="7"/>
  <c r="I92" i="7"/>
  <c r="H88" i="7"/>
  <c r="G87" i="7"/>
  <c r="F86" i="7"/>
  <c r="B85" i="7"/>
  <c r="E79" i="7"/>
  <c r="D68" i="7"/>
  <c r="C57" i="7"/>
  <c r="I51" i="7"/>
  <c r="B46" i="7"/>
  <c r="H40" i="7"/>
  <c r="G29" i="7"/>
  <c r="F18" i="7"/>
  <c r="I116" i="7"/>
  <c r="H11" i="7"/>
  <c r="H116" i="7"/>
  <c r="I115" i="7"/>
  <c r="B110" i="7"/>
  <c r="C109" i="7"/>
  <c r="D108" i="7"/>
  <c r="E107" i="7"/>
  <c r="F106" i="7"/>
  <c r="G105" i="7"/>
  <c r="H104" i="7"/>
  <c r="I103" i="7"/>
  <c r="B98" i="7"/>
  <c r="C97" i="7"/>
  <c r="D96" i="7"/>
  <c r="E95" i="7"/>
  <c r="F94" i="7"/>
  <c r="G93" i="7"/>
  <c r="H92" i="7"/>
  <c r="I91" i="7"/>
  <c r="G88" i="7"/>
  <c r="F87" i="7"/>
  <c r="E86" i="7"/>
  <c r="D79" i="7"/>
  <c r="C68" i="7"/>
  <c r="I62" i="7"/>
  <c r="B57" i="7"/>
  <c r="H51" i="7"/>
  <c r="G40" i="7"/>
  <c r="F29" i="7"/>
  <c r="E18" i="7"/>
  <c r="E18" i="4"/>
  <c r="F18" i="4"/>
  <c r="F16" i="4"/>
  <c r="E16" i="4"/>
  <c r="A25" i="4"/>
  <c r="D24" i="4"/>
  <c r="E15" i="4"/>
  <c r="D17" i="4"/>
  <c r="A31" i="4"/>
  <c r="D23" i="4"/>
  <c r="H15" i="3"/>
  <c r="I15" i="3"/>
  <c r="G15" i="3"/>
  <c r="F15" i="3"/>
  <c r="A25" i="3"/>
  <c r="L23" i="3"/>
  <c r="D24" i="3"/>
  <c r="D17" i="3"/>
  <c r="D18" i="3"/>
  <c r="D23" i="3"/>
  <c r="D16" i="3"/>
  <c r="L14" i="3"/>
  <c r="A31" i="3"/>
  <c r="L14" i="1"/>
  <c r="A31" i="1"/>
  <c r="D23" i="1"/>
  <c r="A25" i="1"/>
  <c r="D24" i="1"/>
  <c r="A16" i="1"/>
  <c r="D15" i="1"/>
  <c r="D31" i="4" l="1"/>
  <c r="A32" i="4"/>
  <c r="A39" i="4"/>
  <c r="E23" i="4"/>
  <c r="F23" i="4"/>
  <c r="F17" i="4"/>
  <c r="E17" i="4"/>
  <c r="I15" i="4"/>
  <c r="H15" i="4"/>
  <c r="G15" i="4"/>
  <c r="D25" i="4"/>
  <c r="A26" i="4"/>
  <c r="D26" i="4" s="1"/>
  <c r="G16" i="4"/>
  <c r="I16" i="4"/>
  <c r="H16" i="4"/>
  <c r="F24" i="4"/>
  <c r="E24" i="4"/>
  <c r="I18" i="4"/>
  <c r="H18" i="4"/>
  <c r="G18" i="4"/>
  <c r="M13" i="3" a="1"/>
  <c r="M13" i="3" s="1"/>
  <c r="E23" i="3"/>
  <c r="F23" i="3"/>
  <c r="F16" i="3"/>
  <c r="E16" i="3"/>
  <c r="F18" i="3"/>
  <c r="E18" i="3"/>
  <c r="E17" i="3"/>
  <c r="F17" i="3"/>
  <c r="D31" i="3"/>
  <c r="A39" i="3"/>
  <c r="A32" i="3"/>
  <c r="L15" i="3"/>
  <c r="F24" i="3"/>
  <c r="E24" i="3"/>
  <c r="D25" i="3"/>
  <c r="A26" i="3"/>
  <c r="L32" i="3"/>
  <c r="F15" i="1"/>
  <c r="E15" i="1"/>
  <c r="F24" i="1"/>
  <c r="E24" i="1"/>
  <c r="F23" i="1"/>
  <c r="E23" i="1"/>
  <c r="A39" i="1"/>
  <c r="D31" i="1"/>
  <c r="A32" i="1"/>
  <c r="L15" i="1"/>
  <c r="A26" i="1"/>
  <c r="D26" i="1" s="1"/>
  <c r="D25" i="1"/>
  <c r="A17" i="1"/>
  <c r="D16" i="1"/>
  <c r="I17" i="4" l="1"/>
  <c r="G17" i="4"/>
  <c r="H17" i="4"/>
  <c r="I23" i="4"/>
  <c r="H23" i="4"/>
  <c r="G23" i="4"/>
  <c r="F26" i="4"/>
  <c r="E26" i="4"/>
  <c r="F25" i="4"/>
  <c r="E25" i="4"/>
  <c r="A40" i="4"/>
  <c r="A47" i="4"/>
  <c r="D39" i="4"/>
  <c r="G24" i="4"/>
  <c r="I24" i="4"/>
  <c r="H24" i="4"/>
  <c r="A33" i="4"/>
  <c r="D32" i="4"/>
  <c r="F31" i="4"/>
  <c r="E31" i="4"/>
  <c r="G18" i="3"/>
  <c r="I18" i="3"/>
  <c r="H18" i="3"/>
  <c r="D32" i="3"/>
  <c r="A33" i="3"/>
  <c r="L24" i="3"/>
  <c r="L16" i="3"/>
  <c r="D39" i="3"/>
  <c r="A40" i="3"/>
  <c r="F31" i="3"/>
  <c r="E31" i="3"/>
  <c r="I17" i="3"/>
  <c r="H17" i="3"/>
  <c r="G17" i="3"/>
  <c r="D26" i="3"/>
  <c r="L41" i="3"/>
  <c r="I16" i="3"/>
  <c r="H16" i="3"/>
  <c r="G16" i="3"/>
  <c r="E25" i="3"/>
  <c r="F25" i="3"/>
  <c r="G24" i="3"/>
  <c r="I24" i="3"/>
  <c r="H24" i="3"/>
  <c r="I23" i="3"/>
  <c r="H23" i="3"/>
  <c r="G23" i="3"/>
  <c r="M14" i="3" s="1" a="1"/>
  <c r="M14" i="3" s="1"/>
  <c r="F25" i="1"/>
  <c r="E25" i="1"/>
  <c r="H23" i="1"/>
  <c r="G23" i="1"/>
  <c r="M14" i="1" s="1" a="1"/>
  <c r="M14" i="1" s="1"/>
  <c r="I23" i="1"/>
  <c r="F16" i="1"/>
  <c r="E16" i="1"/>
  <c r="H24" i="1"/>
  <c r="G24" i="1"/>
  <c r="I24" i="1"/>
  <c r="D32" i="1"/>
  <c r="L24" i="1"/>
  <c r="A33" i="1"/>
  <c r="F31" i="1"/>
  <c r="E31" i="1"/>
  <c r="F26" i="1"/>
  <c r="E26" i="1"/>
  <c r="D39" i="1"/>
  <c r="A47" i="1"/>
  <c r="A40" i="1"/>
  <c r="L16" i="1"/>
  <c r="H15" i="1"/>
  <c r="I15" i="1"/>
  <c r="G15" i="1"/>
  <c r="M13" i="1" s="1" a="1"/>
  <c r="M13" i="1" s="1"/>
  <c r="A18" i="1"/>
  <c r="D18" i="1" s="1"/>
  <c r="D17" i="1"/>
  <c r="A48" i="4" l="1"/>
  <c r="A55" i="4"/>
  <c r="D47" i="4"/>
  <c r="D40" i="4"/>
  <c r="A41" i="4"/>
  <c r="H25" i="4"/>
  <c r="G25" i="4"/>
  <c r="I25" i="4"/>
  <c r="G31" i="4"/>
  <c r="I31" i="4"/>
  <c r="H31" i="4"/>
  <c r="F32" i="4"/>
  <c r="E32" i="4"/>
  <c r="D33" i="4"/>
  <c r="A34" i="4"/>
  <c r="D34" i="4" s="1"/>
  <c r="H26" i="4"/>
  <c r="I26" i="4"/>
  <c r="G26" i="4"/>
  <c r="E39" i="4"/>
  <c r="F39" i="4"/>
  <c r="M31" i="3" a="1"/>
  <c r="M31" i="3" s="1"/>
  <c r="M22" i="3" a="1"/>
  <c r="M22" i="3" s="1"/>
  <c r="I31" i="3"/>
  <c r="H31" i="3"/>
  <c r="G31" i="3"/>
  <c r="M23" i="3" a="1"/>
  <c r="M23" i="3" s="1"/>
  <c r="F39" i="3"/>
  <c r="E39" i="3"/>
  <c r="A48" i="3"/>
  <c r="L17" i="3"/>
  <c r="D47" i="3"/>
  <c r="L33" i="3"/>
  <c r="A34" i="3"/>
  <c r="D33" i="3"/>
  <c r="A41" i="3"/>
  <c r="L25" i="3"/>
  <c r="D40" i="3"/>
  <c r="F32" i="3"/>
  <c r="E32" i="3"/>
  <c r="G25" i="3"/>
  <c r="I25" i="3"/>
  <c r="H25" i="3"/>
  <c r="F26" i="3"/>
  <c r="E26" i="3"/>
  <c r="M40" i="3" a="1"/>
  <c r="M40" i="3" s="1"/>
  <c r="H16" i="1"/>
  <c r="I16" i="1"/>
  <c r="G16" i="1"/>
  <c r="F32" i="1"/>
  <c r="E32" i="1"/>
  <c r="H26" i="1"/>
  <c r="I26" i="1"/>
  <c r="G26" i="1"/>
  <c r="F39" i="1"/>
  <c r="E39" i="1"/>
  <c r="F18" i="1"/>
  <c r="E18" i="1"/>
  <c r="H31" i="1"/>
  <c r="G31" i="1"/>
  <c r="I31" i="1"/>
  <c r="I25" i="1"/>
  <c r="G25" i="1"/>
  <c r="H25" i="1"/>
  <c r="A41" i="1"/>
  <c r="L25" i="1"/>
  <c r="D40" i="1"/>
  <c r="D47" i="1"/>
  <c r="A55" i="1"/>
  <c r="A48" i="1"/>
  <c r="L17" i="1"/>
  <c r="F17" i="1"/>
  <c r="E17" i="1"/>
  <c r="D33" i="1"/>
  <c r="A34" i="1"/>
  <c r="D34" i="1" s="1"/>
  <c r="F34" i="4" l="1"/>
  <c r="E34" i="4"/>
  <c r="F47" i="4"/>
  <c r="E47" i="4"/>
  <c r="A42" i="4"/>
  <c r="D42" i="4" s="1"/>
  <c r="D41" i="4"/>
  <c r="F40" i="4"/>
  <c r="E40" i="4"/>
  <c r="E33" i="4"/>
  <c r="F33" i="4"/>
  <c r="D55" i="4"/>
  <c r="A56" i="4"/>
  <c r="I39" i="4"/>
  <c r="H39" i="4"/>
  <c r="G39" i="4"/>
  <c r="I32" i="4"/>
  <c r="H32" i="4"/>
  <c r="G32" i="4"/>
  <c r="A49" i="4"/>
  <c r="D48" i="4"/>
  <c r="A56" i="3"/>
  <c r="D55" i="3"/>
  <c r="L18" i="3"/>
  <c r="L26" i="3"/>
  <c r="D48" i="3"/>
  <c r="A49" i="3"/>
  <c r="M32" i="3" a="1"/>
  <c r="M32" i="3" s="1"/>
  <c r="H32" i="3"/>
  <c r="I32" i="3"/>
  <c r="G32" i="3"/>
  <c r="F40" i="3"/>
  <c r="E40" i="3"/>
  <c r="H39" i="3"/>
  <c r="I39" i="3"/>
  <c r="G39" i="3"/>
  <c r="M15" i="3" a="1"/>
  <c r="M15" i="3" s="1"/>
  <c r="F47" i="3"/>
  <c r="E47" i="3"/>
  <c r="A42" i="3"/>
  <c r="L34" i="3"/>
  <c r="D41" i="3"/>
  <c r="F33" i="3"/>
  <c r="E33" i="3"/>
  <c r="G26" i="3"/>
  <c r="M41" i="3" s="1" a="1"/>
  <c r="M41" i="3" s="1"/>
  <c r="H26" i="3"/>
  <c r="I26" i="3"/>
  <c r="L42" i="3"/>
  <c r="D34" i="3"/>
  <c r="I18" i="1"/>
  <c r="G18" i="1"/>
  <c r="H18" i="1"/>
  <c r="F47" i="1"/>
  <c r="E47" i="1"/>
  <c r="D55" i="1"/>
  <c r="A56" i="1"/>
  <c r="L18" i="1"/>
  <c r="E40" i="1"/>
  <c r="F40" i="1"/>
  <c r="F33" i="1"/>
  <c r="E33" i="1"/>
  <c r="I39" i="1"/>
  <c r="G39" i="1"/>
  <c r="H39" i="1"/>
  <c r="D48" i="1"/>
  <c r="L26" i="1"/>
  <c r="A49" i="1"/>
  <c r="F34" i="1"/>
  <c r="E34" i="1"/>
  <c r="H32" i="1"/>
  <c r="G32" i="1"/>
  <c r="I32" i="1"/>
  <c r="H17" i="1"/>
  <c r="G17" i="1"/>
  <c r="I17" i="1"/>
  <c r="D41" i="1"/>
  <c r="A42" i="1"/>
  <c r="D42" i="1" s="1"/>
  <c r="M15" i="1" a="1"/>
  <c r="M15" i="1" s="1"/>
  <c r="G40" i="4" l="1"/>
  <c r="H40" i="4"/>
  <c r="I40" i="4"/>
  <c r="D49" i="4"/>
  <c r="A50" i="4"/>
  <c r="D50" i="4" s="1"/>
  <c r="F55" i="4"/>
  <c r="E55" i="4"/>
  <c r="F41" i="4"/>
  <c r="E41" i="4"/>
  <c r="H33" i="4"/>
  <c r="I33" i="4"/>
  <c r="G33" i="4"/>
  <c r="E42" i="4"/>
  <c r="F42" i="4"/>
  <c r="I47" i="4"/>
  <c r="H47" i="4"/>
  <c r="G47" i="4"/>
  <c r="A57" i="4"/>
  <c r="D56" i="4"/>
  <c r="F48" i="4"/>
  <c r="E48" i="4"/>
  <c r="I34" i="4"/>
  <c r="H34" i="4"/>
  <c r="G34" i="4"/>
  <c r="D42" i="3"/>
  <c r="L43" i="3"/>
  <c r="M24" i="3" a="1"/>
  <c r="M24" i="3" s="1"/>
  <c r="I47" i="3"/>
  <c r="H47" i="3"/>
  <c r="G47" i="3"/>
  <c r="M17" i="3" s="1" a="1"/>
  <c r="M17" i="3" s="1"/>
  <c r="D49" i="3"/>
  <c r="L35" i="3"/>
  <c r="A50" i="3"/>
  <c r="F48" i="3"/>
  <c r="E48" i="3"/>
  <c r="I40" i="3"/>
  <c r="H40" i="3"/>
  <c r="G40" i="3"/>
  <c r="F41" i="3"/>
  <c r="E41" i="3"/>
  <c r="E34" i="3"/>
  <c r="F34" i="3"/>
  <c r="I33" i="3"/>
  <c r="H33" i="3"/>
  <c r="G33" i="3"/>
  <c r="M33" i="3" s="1" a="1"/>
  <c r="M33" i="3" s="1"/>
  <c r="M16" i="3" a="1"/>
  <c r="M16" i="3" s="1"/>
  <c r="F55" i="3"/>
  <c r="E55" i="3"/>
  <c r="A57" i="3"/>
  <c r="D56" i="3"/>
  <c r="L27" i="3"/>
  <c r="H33" i="1"/>
  <c r="G33" i="1"/>
  <c r="I33" i="1"/>
  <c r="I40" i="1"/>
  <c r="H40" i="1"/>
  <c r="G40" i="1"/>
  <c r="M25" i="1" s="1" a="1"/>
  <c r="M25" i="1" s="1"/>
  <c r="F41" i="1"/>
  <c r="E41" i="1"/>
  <c r="F42" i="1"/>
  <c r="E42" i="1"/>
  <c r="I34" i="1"/>
  <c r="H34" i="1"/>
  <c r="G34" i="1"/>
  <c r="A57" i="1"/>
  <c r="L27" i="1"/>
  <c r="D56" i="1"/>
  <c r="A50" i="1"/>
  <c r="D50" i="1" s="1"/>
  <c r="D49" i="1"/>
  <c r="F55" i="1"/>
  <c r="E55" i="1"/>
  <c r="G47" i="1"/>
  <c r="H47" i="1"/>
  <c r="I47" i="1"/>
  <c r="F48" i="1"/>
  <c r="E48" i="1"/>
  <c r="M16" i="1" a="1"/>
  <c r="M16" i="1" s="1"/>
  <c r="H42" i="4" l="1"/>
  <c r="I42" i="4"/>
  <c r="G42" i="4"/>
  <c r="F56" i="4"/>
  <c r="E56" i="4"/>
  <c r="G55" i="4"/>
  <c r="I55" i="4"/>
  <c r="H55" i="4"/>
  <c r="G41" i="4"/>
  <c r="I41" i="4"/>
  <c r="H41" i="4"/>
  <c r="F49" i="4"/>
  <c r="E49" i="4"/>
  <c r="I48" i="4"/>
  <c r="H48" i="4"/>
  <c r="G48" i="4"/>
  <c r="D57" i="4"/>
  <c r="A58" i="4"/>
  <c r="D58" i="4" s="1"/>
  <c r="F50" i="4"/>
  <c r="E50" i="4"/>
  <c r="H48" i="3"/>
  <c r="G48" i="3"/>
  <c r="I48" i="3"/>
  <c r="L44" i="3"/>
  <c r="D50" i="3"/>
  <c r="F49" i="3"/>
  <c r="E49" i="3"/>
  <c r="I34" i="3"/>
  <c r="H34" i="3"/>
  <c r="G34" i="3"/>
  <c r="M42" i="3" s="1" a="1"/>
  <c r="M42" i="3" s="1"/>
  <c r="F56" i="3"/>
  <c r="E56" i="3"/>
  <c r="I55" i="3"/>
  <c r="H55" i="3"/>
  <c r="G55" i="3"/>
  <c r="H41" i="3"/>
  <c r="I41" i="3"/>
  <c r="G41" i="3"/>
  <c r="M34" i="3" s="1" a="1"/>
  <c r="M34" i="3" s="1"/>
  <c r="M25" i="3" a="1"/>
  <c r="M25" i="3" s="1"/>
  <c r="D57" i="3"/>
  <c r="L36" i="3"/>
  <c r="A58" i="3"/>
  <c r="E42" i="3"/>
  <c r="F42" i="3"/>
  <c r="I42" i="1"/>
  <c r="H42" i="1"/>
  <c r="G42" i="1"/>
  <c r="I55" i="1"/>
  <c r="H55" i="1"/>
  <c r="G55" i="1"/>
  <c r="M18" i="1" s="1" a="1"/>
  <c r="M18" i="1" s="1"/>
  <c r="G41" i="1"/>
  <c r="I41" i="1"/>
  <c r="H41" i="1"/>
  <c r="M17" i="1" a="1"/>
  <c r="M17" i="1" s="1"/>
  <c r="E49" i="1"/>
  <c r="F49" i="1"/>
  <c r="E50" i="1"/>
  <c r="F50" i="1"/>
  <c r="E56" i="1"/>
  <c r="F56" i="1"/>
  <c r="D57" i="1"/>
  <c r="A58" i="1"/>
  <c r="D58" i="1" s="1"/>
  <c r="I48" i="1"/>
  <c r="G48" i="1"/>
  <c r="H48" i="1"/>
  <c r="H49" i="4" l="1"/>
  <c r="I49" i="4"/>
  <c r="G49" i="4"/>
  <c r="I50" i="4"/>
  <c r="H50" i="4"/>
  <c r="G50" i="4"/>
  <c r="F58" i="4"/>
  <c r="E58" i="4"/>
  <c r="E57" i="4"/>
  <c r="F57" i="4"/>
  <c r="I56" i="4"/>
  <c r="H56" i="4"/>
  <c r="G56" i="4"/>
  <c r="G42" i="3"/>
  <c r="I42" i="3"/>
  <c r="H42" i="3"/>
  <c r="H49" i="3"/>
  <c r="G49" i="3"/>
  <c r="I49" i="3"/>
  <c r="E50" i="3"/>
  <c r="F50" i="3"/>
  <c r="D58" i="3"/>
  <c r="L45" i="3"/>
  <c r="E57" i="3"/>
  <c r="F57" i="3"/>
  <c r="M18" i="3" a="1"/>
  <c r="M18" i="3" s="1"/>
  <c r="I56" i="3"/>
  <c r="H56" i="3"/>
  <c r="G56" i="3"/>
  <c r="M26" i="3" a="1"/>
  <c r="M26" i="3" s="1"/>
  <c r="G49" i="1"/>
  <c r="I49" i="1"/>
  <c r="H49" i="1"/>
  <c r="M26" i="1" a="1"/>
  <c r="M26" i="1" s="1"/>
  <c r="F58" i="1"/>
  <c r="E58" i="1"/>
  <c r="F57" i="1"/>
  <c r="E57" i="1"/>
  <c r="I56" i="1"/>
  <c r="H56" i="1"/>
  <c r="G56" i="1"/>
  <c r="M27" i="1" s="1" a="1"/>
  <c r="M27" i="1" s="1"/>
  <c r="I50" i="1"/>
  <c r="H50" i="1"/>
  <c r="G50" i="1"/>
  <c r="I57" i="4" l="1"/>
  <c r="H57" i="4"/>
  <c r="G57" i="4"/>
  <c r="I58" i="4"/>
  <c r="H58" i="4"/>
  <c r="G58" i="4"/>
  <c r="M43" i="3" a="1"/>
  <c r="M43" i="3" s="1"/>
  <c r="F58" i="3"/>
  <c r="E58" i="3"/>
  <c r="G57" i="3"/>
  <c r="I57" i="3"/>
  <c r="H57" i="3"/>
  <c r="I50" i="3"/>
  <c r="H50" i="3"/>
  <c r="G50" i="3"/>
  <c r="M35" i="3" a="1"/>
  <c r="M35" i="3" s="1"/>
  <c r="M27" i="3" a="1"/>
  <c r="M27" i="3" s="1"/>
  <c r="G57" i="1"/>
  <c r="I57" i="1"/>
  <c r="H57" i="1"/>
  <c r="I58" i="1"/>
  <c r="H58" i="1"/>
  <c r="G58" i="1"/>
  <c r="M44" i="3" l="1" a="1"/>
  <c r="M44" i="3" s="1"/>
  <c r="M36" i="3" a="1"/>
  <c r="M36" i="3" s="1"/>
  <c r="I58" i="3"/>
  <c r="H58" i="3"/>
  <c r="G58" i="3"/>
  <c r="M45" i="3" l="1" a="1"/>
  <c r="M4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<sst xmlns="http://schemas.openxmlformats.org/spreadsheetml/2006/main" count="336" uniqueCount="83">
  <si>
    <t>Wingspan (mm)</t>
  </si>
  <si>
    <t>Air Viscosity (kg/m/s)</t>
  </si>
  <si>
    <t>Air Density (kg/m/m/m)</t>
  </si>
  <si>
    <t>Wingspan (m)</t>
  </si>
  <si>
    <t>Wing Aspect Ratio</t>
  </si>
  <si>
    <t>Inputs</t>
  </si>
  <si>
    <t>Reynolds Number</t>
  </si>
  <si>
    <t>Cruising Speed (m/s)</t>
  </si>
  <si>
    <t>Outputs</t>
  </si>
  <si>
    <t>Average Wing Chord (m)</t>
  </si>
  <si>
    <t>Wing Area (m^2)</t>
  </si>
  <si>
    <t>500 mm Wingspan</t>
  </si>
  <si>
    <t>750 mm Wingspan</t>
  </si>
  <si>
    <t>1000 mm Wingspan</t>
  </si>
  <si>
    <t>1250 mm Wingspan</t>
  </si>
  <si>
    <t>1500 mm Wingspan</t>
  </si>
  <si>
    <t>250 mm Wingspan</t>
  </si>
  <si>
    <t>Lift</t>
  </si>
  <si>
    <t>S7055 Flatbottom</t>
  </si>
  <si>
    <t>Alpha = 0 deg</t>
  </si>
  <si>
    <t>Alpha = 5 deg</t>
  </si>
  <si>
    <t>Alpha = 10 deg</t>
  </si>
  <si>
    <t>Drag</t>
  </si>
  <si>
    <t>Lift (N) @ Alpha = 0</t>
  </si>
  <si>
    <t>Lift(N) @ Alpha = 5</t>
  </si>
  <si>
    <t>Lift(N) @ Alpha = 10</t>
  </si>
  <si>
    <t>Aspect Ratio 5, Lift By Wingspan @ 9 m/s cruising</t>
  </si>
  <si>
    <t>Aspect Ratio 5, Lift By Wingspan @ 13.5 m/s cruising</t>
  </si>
  <si>
    <t>Aspect Ratio 6, Lift By Wingspan @ 9 m/s cruising</t>
  </si>
  <si>
    <t>Aspect Ratio 6, Lift By Wingspan @ 13.5 m/s cruising</t>
  </si>
  <si>
    <t>13.5m/s Lift(N) @ Alpha = 5</t>
  </si>
  <si>
    <t>13.5m/s Lift(N) @ Alpha = 10</t>
  </si>
  <si>
    <t>13.5m/s Lift (N) @ Alpha = 0</t>
  </si>
  <si>
    <t>9m/s Lift (N) @ Alpha = 0</t>
  </si>
  <si>
    <t>9m/s Lift(N) @ Alpha = 5</t>
  </si>
  <si>
    <t>9m/s Lift(N) @ Alpha = 10</t>
  </si>
  <si>
    <t>Here we will make all Lift greater than 1 kg (9.81 N) equal to yellow, to indicate a possible cruising condition at 1 kg plane weight</t>
  </si>
  <si>
    <t>We will mark anything greater than 13 N as green to indicate that it can handle the full 1kg plane and 300 gram payload</t>
  </si>
  <si>
    <t>Aspect Ratio 5, Lift By Wingspan @ 15 m/s cruising</t>
  </si>
  <si>
    <t>Aspect Ratio 6, Lift By Wingspan @ 15 m/s cruising</t>
  </si>
  <si>
    <t>Aspect Ratio 5, Lift By Wingspan @ 17 m/s cruising</t>
  </si>
  <si>
    <t>Aspect Ratio 6, Lift By Wingspan @ 17 m/s cruising</t>
  </si>
  <si>
    <t>Drag(N) @ Alpha = 5</t>
  </si>
  <si>
    <t>Drag(N) @ Alpha = 10</t>
  </si>
  <si>
    <t>Drag (N) @ Alpha = 0</t>
  </si>
  <si>
    <t>Air Density</t>
  </si>
  <si>
    <t>Wing Chord (m)</t>
  </si>
  <si>
    <t>Air Viscosity( kg/m/sec)</t>
  </si>
  <si>
    <t>Polar key</t>
  </si>
  <si>
    <t>xf-s7055-il-200000</t>
  </si>
  <si>
    <t>Airfoil</t>
  </si>
  <si>
    <t>s7055-il</t>
  </si>
  <si>
    <t>Reynolds number</t>
  </si>
  <si>
    <t>Ncrit</t>
  </si>
  <si>
    <t>Mach</t>
  </si>
  <si>
    <t>Max Cl/Cd</t>
  </si>
  <si>
    <t>Max Cl/Cd alpha</t>
  </si>
  <si>
    <t>Url</t>
  </si>
  <si>
    <t>http://airfoiltools.com/polar/csv?polar=xf-s7055-il-200000</t>
  </si>
  <si>
    <t>Alpha</t>
  </si>
  <si>
    <t>Cl</t>
  </si>
  <si>
    <t>Cd</t>
  </si>
  <si>
    <t>Cdp</t>
  </si>
  <si>
    <t>Cm</t>
  </si>
  <si>
    <t>Top_Xtr</t>
  </si>
  <si>
    <t>Bot_Xtr</t>
  </si>
  <si>
    <t>Chord Length (m)</t>
  </si>
  <si>
    <t>AoA</t>
  </si>
  <si>
    <t>AoA (degrees)</t>
  </si>
  <si>
    <t>Prop Dia. (in)</t>
  </si>
  <si>
    <t>Prop. Pitch (in)</t>
  </si>
  <si>
    <t>Forward Air Speed (m/s)</t>
  </si>
  <si>
    <t xml:space="preserve">Motor RPM </t>
  </si>
  <si>
    <t>Motor KV</t>
  </si>
  <si>
    <t>Nominal Voltage per Cell</t>
  </si>
  <si>
    <t>Battery # of Cells)</t>
  </si>
  <si>
    <t>Motor % Voltage</t>
  </si>
  <si>
    <t>Plane Weight (kg)</t>
  </si>
  <si>
    <t>Payload Weight (kg)</t>
  </si>
  <si>
    <t>Air Speed</t>
  </si>
  <si>
    <t xml:space="preserve">Formula </t>
  </si>
  <si>
    <t>Cosine(AoA) * Lift Force @ Cruising Speed &amp; AoA + Sin(AoA)*Thrust of Prop (50% throttle) minus Weight minus drag</t>
  </si>
  <si>
    <t>COS(RADIANS($A10))*('Lift @ Cruising Speed vs. AoA'!B11)+SIN(RADIANS($A10))*'Prop. Thrust vs Airspeed vs RPM'!$C$18-(9.81*($B$1+$B$2)) - SIN(RADIANS($A10))*'Drag @ Cruising Speed vs AoA'!B10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</si>
</sst>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3" fontId="0" fillId="0" borderId="0" xfId="0" applyNumberFormat="1"/>
    <xf numFmtId="0" fontId="0" fillId="0" borderId="1" xfId="0" applyBorder="1"/>
    <xf numFmtId="0" fontId="0" fillId="5" borderId="1" xfId="0" applyFill="1" applyBorder="1"/>
    <xf numFmtId="0" fontId="2" fillId="3" borderId="1" xfId="2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1" fillId="2" borderId="1" xfId="1" applyBorder="1" applyAlignment="1">
      <alignment horizontal="center"/>
    </xf>
    <xf numFmtId="9" fontId="0" fillId="4" borderId="1" xfId="0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78"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S7055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'S7055 Lift and Drag Function'!$B$11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'S7055 Lift and Drag Function'!$A$12:$A$117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'S7055 Lift and Drag Function'!$B$12:$B$117</c:f>
              <c:numCache>
                <c:formatCode>General</c:formatCode>
                <c:ptCount val="106"/>
                <c:pt idx="0">
                  <c:v>-0.32829999999999998</c:v>
                </c:pt>
                <c:pt idx="1">
                  <c:v>-0.32950000000000002</c:v>
                </c:pt>
                <c:pt idx="2">
                  <c:v>-0.34260000000000002</c:v>
                </c:pt>
                <c:pt idx="3">
                  <c:v>-0.36890000000000001</c:v>
                </c:pt>
                <c:pt idx="4">
                  <c:v>-0.38179999999999997</c:v>
                </c:pt>
                <c:pt idx="5">
                  <c:v>-0.36070000000000002</c:v>
                </c:pt>
                <c:pt idx="6">
                  <c:v>-0.33329999999999999</c:v>
                </c:pt>
                <c:pt idx="7">
                  <c:v>-0.31869999999999998</c:v>
                </c:pt>
                <c:pt idx="8">
                  <c:v>-0.29580000000000001</c:v>
                </c:pt>
                <c:pt idx="9">
                  <c:v>-0.2707</c:v>
                </c:pt>
                <c:pt idx="10">
                  <c:v>-0.2382</c:v>
                </c:pt>
                <c:pt idx="11">
                  <c:v>-0.22109999999999999</c:v>
                </c:pt>
                <c:pt idx="12">
                  <c:v>-0.19059999999999999</c:v>
                </c:pt>
                <c:pt idx="13">
                  <c:v>-0.17480000000000001</c:v>
                </c:pt>
                <c:pt idx="14">
                  <c:v>-0.1467</c:v>
                </c:pt>
                <c:pt idx="15">
                  <c:v>-0.12709999999999999</c:v>
                </c:pt>
                <c:pt idx="16">
                  <c:v>-9.6600000000000005E-2</c:v>
                </c:pt>
                <c:pt idx="17">
                  <c:v>-7.2800000000000004E-2</c:v>
                </c:pt>
                <c:pt idx="18">
                  <c:v>-4.2599999999999999E-2</c:v>
                </c:pt>
                <c:pt idx="19">
                  <c:v>-1.9900000000000001E-2</c:v>
                </c:pt>
                <c:pt idx="20">
                  <c:v>8.3999999999999995E-3</c:v>
                </c:pt>
                <c:pt idx="21">
                  <c:v>3.1199999999999999E-2</c:v>
                </c:pt>
                <c:pt idx="22">
                  <c:v>5.8200000000000002E-2</c:v>
                </c:pt>
                <c:pt idx="23">
                  <c:v>8.1299999999999997E-2</c:v>
                </c:pt>
                <c:pt idx="24">
                  <c:v>0.10680000000000001</c:v>
                </c:pt>
                <c:pt idx="25">
                  <c:v>0.12989999999999999</c:v>
                </c:pt>
                <c:pt idx="26">
                  <c:v>0.1532</c:v>
                </c:pt>
                <c:pt idx="27">
                  <c:v>0.1681</c:v>
                </c:pt>
                <c:pt idx="28">
                  <c:v>0.1825</c:v>
                </c:pt>
                <c:pt idx="29">
                  <c:v>0.26719999999999999</c:v>
                </c:pt>
                <c:pt idx="30">
                  <c:v>0.34150000000000003</c:v>
                </c:pt>
                <c:pt idx="31">
                  <c:v>0.36270000000000002</c:v>
                </c:pt>
                <c:pt idx="32">
                  <c:v>0.38490000000000002</c:v>
                </c:pt>
                <c:pt idx="33">
                  <c:v>0.40810000000000002</c:v>
                </c:pt>
                <c:pt idx="34">
                  <c:v>0.4304</c:v>
                </c:pt>
                <c:pt idx="35">
                  <c:v>0.45369999999999999</c:v>
                </c:pt>
                <c:pt idx="36">
                  <c:v>0.4778</c:v>
                </c:pt>
                <c:pt idx="37">
                  <c:v>0.501</c:v>
                </c:pt>
                <c:pt idx="38">
                  <c:v>0.52490000000000003</c:v>
                </c:pt>
                <c:pt idx="39">
                  <c:v>0.54959999999999998</c:v>
                </c:pt>
                <c:pt idx="40">
                  <c:v>0.57330000000000003</c:v>
                </c:pt>
                <c:pt idx="41">
                  <c:v>0.59730000000000005</c:v>
                </c:pt>
                <c:pt idx="42">
                  <c:v>0.62170000000000003</c:v>
                </c:pt>
                <c:pt idx="43">
                  <c:v>0.64670000000000005</c:v>
                </c:pt>
                <c:pt idx="44">
                  <c:v>0.67049999999999998</c:v>
                </c:pt>
                <c:pt idx="45">
                  <c:v>0.6946</c:v>
                </c:pt>
                <c:pt idx="46">
                  <c:v>0.71899999999999997</c:v>
                </c:pt>
                <c:pt idx="47">
                  <c:v>0.74350000000000005</c:v>
                </c:pt>
                <c:pt idx="48">
                  <c:v>0.76819999999999999</c:v>
                </c:pt>
                <c:pt idx="49">
                  <c:v>0.79220000000000002</c:v>
                </c:pt>
                <c:pt idx="50">
                  <c:v>0.81610000000000005</c:v>
                </c:pt>
                <c:pt idx="51">
                  <c:v>0.84009999999999996</c:v>
                </c:pt>
                <c:pt idx="52">
                  <c:v>0.86399999999999999</c:v>
                </c:pt>
                <c:pt idx="53">
                  <c:v>0.88800000000000001</c:v>
                </c:pt>
                <c:pt idx="54">
                  <c:v>0.91180000000000005</c:v>
                </c:pt>
                <c:pt idx="55">
                  <c:v>0.93540000000000001</c:v>
                </c:pt>
                <c:pt idx="56">
                  <c:v>0.95879999999999999</c:v>
                </c:pt>
                <c:pt idx="57">
                  <c:v>0.98180000000000001</c:v>
                </c:pt>
                <c:pt idx="58">
                  <c:v>1.0046999999999999</c:v>
                </c:pt>
                <c:pt idx="59">
                  <c:v>1.0273000000000001</c:v>
                </c:pt>
                <c:pt idx="60">
                  <c:v>1.0494000000000001</c:v>
                </c:pt>
                <c:pt idx="61">
                  <c:v>1.0711999999999999</c:v>
                </c:pt>
                <c:pt idx="62">
                  <c:v>1.0923</c:v>
                </c:pt>
                <c:pt idx="63">
                  <c:v>1.1129</c:v>
                </c:pt>
                <c:pt idx="64">
                  <c:v>1.1329</c:v>
                </c:pt>
                <c:pt idx="65">
                  <c:v>1.1521999999999999</c:v>
                </c:pt>
                <c:pt idx="66">
                  <c:v>1.1706000000000001</c:v>
                </c:pt>
                <c:pt idx="67">
                  <c:v>1.1875</c:v>
                </c:pt>
                <c:pt idx="68">
                  <c:v>1.2035</c:v>
                </c:pt>
                <c:pt idx="69">
                  <c:v>1.2182999999999999</c:v>
                </c:pt>
                <c:pt idx="70">
                  <c:v>1.2312000000000001</c:v>
                </c:pt>
                <c:pt idx="71">
                  <c:v>1.2427999999999999</c:v>
                </c:pt>
                <c:pt idx="72">
                  <c:v>1.2512000000000001</c:v>
                </c:pt>
                <c:pt idx="73">
                  <c:v>1.256</c:v>
                </c:pt>
                <c:pt idx="74">
                  <c:v>1.2591000000000001</c:v>
                </c:pt>
                <c:pt idx="75">
                  <c:v>1.262</c:v>
                </c:pt>
                <c:pt idx="76">
                  <c:v>1.2645999999999999</c:v>
                </c:pt>
                <c:pt idx="77">
                  <c:v>1.2652000000000001</c:v>
                </c:pt>
                <c:pt idx="78">
                  <c:v>1.2615000000000001</c:v>
                </c:pt>
                <c:pt idx="79">
                  <c:v>1.2548999999999999</c:v>
                </c:pt>
                <c:pt idx="80">
                  <c:v>1.2484</c:v>
                </c:pt>
                <c:pt idx="81">
                  <c:v>1.2390000000000001</c:v>
                </c:pt>
                <c:pt idx="82">
                  <c:v>1.2384999999999999</c:v>
                </c:pt>
                <c:pt idx="83">
                  <c:v>1.2351000000000001</c:v>
                </c:pt>
                <c:pt idx="84">
                  <c:v>1.2275</c:v>
                </c:pt>
                <c:pt idx="85">
                  <c:v>1.2222</c:v>
                </c:pt>
                <c:pt idx="86">
                  <c:v>1.2235</c:v>
                </c:pt>
                <c:pt idx="87">
                  <c:v>1.2248000000000001</c:v>
                </c:pt>
                <c:pt idx="88">
                  <c:v>1.2269000000000001</c:v>
                </c:pt>
                <c:pt idx="89">
                  <c:v>1.23</c:v>
                </c:pt>
                <c:pt idx="90">
                  <c:v>1.2322</c:v>
                </c:pt>
                <c:pt idx="91">
                  <c:v>1.2349000000000001</c:v>
                </c:pt>
                <c:pt idx="92">
                  <c:v>1.2375</c:v>
                </c:pt>
                <c:pt idx="93">
                  <c:v>1.2383999999999999</c:v>
                </c:pt>
                <c:pt idx="94">
                  <c:v>1.2379</c:v>
                </c:pt>
                <c:pt idx="95">
                  <c:v>1.2351000000000001</c:v>
                </c:pt>
                <c:pt idx="96">
                  <c:v>1.2292000000000001</c:v>
                </c:pt>
                <c:pt idx="97">
                  <c:v>1.2203999999999999</c:v>
                </c:pt>
                <c:pt idx="98">
                  <c:v>1.2053</c:v>
                </c:pt>
                <c:pt idx="99">
                  <c:v>1.1914</c:v>
                </c:pt>
                <c:pt idx="100">
                  <c:v>1.1846000000000001</c:v>
                </c:pt>
                <c:pt idx="101">
                  <c:v>1.1632</c:v>
                </c:pt>
                <c:pt idx="102">
                  <c:v>1.1556999999999999</c:v>
                </c:pt>
                <c:pt idx="103">
                  <c:v>1.1380999999999999</c:v>
                </c:pt>
                <c:pt idx="104">
                  <c:v>1.1269</c:v>
                </c:pt>
                <c:pt idx="105">
                  <c:v>1.1094999999999999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07-4ED3-947A-8A6AF17EA448}"/>
            </c:ext>
          </c:extLst>
        </c:ser>
        <c:ser>
          <c:idx val="1"/>
          <c:order val="1"/>
          <c:tx>
            <c:strRef>
              <c:f>'S7055 Lift and Drag Function'!$C$11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'S7055 Lift and Drag Function'!$A$12:$A$117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'S7055 Lift and Drag Function'!$C$12:$C$117</c:f>
              <c:numCache>
                <c:formatCode>General</c:formatCode>
                <c:ptCount val="106"/>
                <c:pt idx="0">
                  <c:v>8.8760000000000006E-2</c:v>
                </c:pt>
                <c:pt idx="1">
                  <c:v>8.6629999999999999E-2</c:v>
                </c:pt>
                <c:pt idx="2">
                  <c:v>8.4970000000000004E-2</c:v>
                </c:pt>
                <c:pt idx="3">
                  <c:v>8.4580000000000002E-2</c:v>
                </c:pt>
                <c:pt idx="4">
                  <c:v>8.2890000000000005E-2</c:v>
                </c:pt>
                <c:pt idx="5">
                  <c:v>7.6069999999999999E-2</c:v>
                </c:pt>
                <c:pt idx="6">
                  <c:v>6.7330000000000001E-2</c:v>
                </c:pt>
                <c:pt idx="7">
                  <c:v>5.9760000000000001E-2</c:v>
                </c:pt>
                <c:pt idx="8">
                  <c:v>5.6730000000000003E-2</c:v>
                </c:pt>
                <c:pt idx="9">
                  <c:v>5.287E-2</c:v>
                </c:pt>
                <c:pt idx="10">
                  <c:v>4.9000000000000002E-2</c:v>
                </c:pt>
                <c:pt idx="11">
                  <c:v>4.2130000000000001E-2</c:v>
                </c:pt>
                <c:pt idx="12">
                  <c:v>3.9140000000000001E-2</c:v>
                </c:pt>
                <c:pt idx="13">
                  <c:v>3.1489999999999997E-2</c:v>
                </c:pt>
                <c:pt idx="14">
                  <c:v>2.656E-2</c:v>
                </c:pt>
                <c:pt idx="15">
                  <c:v>2.2970000000000001E-2</c:v>
                </c:pt>
                <c:pt idx="16">
                  <c:v>2.1059999999999999E-2</c:v>
                </c:pt>
                <c:pt idx="17">
                  <c:v>2.001E-2</c:v>
                </c:pt>
                <c:pt idx="18">
                  <c:v>1.9230000000000001E-2</c:v>
                </c:pt>
                <c:pt idx="19">
                  <c:v>1.737E-2</c:v>
                </c:pt>
                <c:pt idx="20">
                  <c:v>1.678E-2</c:v>
                </c:pt>
                <c:pt idx="21">
                  <c:v>1.5820000000000001E-2</c:v>
                </c:pt>
                <c:pt idx="22">
                  <c:v>1.52E-2</c:v>
                </c:pt>
                <c:pt idx="23">
                  <c:v>1.4710000000000001E-2</c:v>
                </c:pt>
                <c:pt idx="24">
                  <c:v>1.4069999999999999E-2</c:v>
                </c:pt>
                <c:pt idx="25">
                  <c:v>1.3599999999999999E-2</c:v>
                </c:pt>
                <c:pt idx="26">
                  <c:v>1.286E-2</c:v>
                </c:pt>
                <c:pt idx="27">
                  <c:v>1.145E-2</c:v>
                </c:pt>
                <c:pt idx="28">
                  <c:v>1.0489999999999999E-2</c:v>
                </c:pt>
                <c:pt idx="29">
                  <c:v>1.018E-2</c:v>
                </c:pt>
                <c:pt idx="30">
                  <c:v>1.001E-2</c:v>
                </c:pt>
                <c:pt idx="31">
                  <c:v>1.0019999999999999E-2</c:v>
                </c:pt>
                <c:pt idx="32">
                  <c:v>1.0019999999999999E-2</c:v>
                </c:pt>
                <c:pt idx="33">
                  <c:v>0.01</c:v>
                </c:pt>
                <c:pt idx="34">
                  <c:v>1.004E-2</c:v>
                </c:pt>
                <c:pt idx="35">
                  <c:v>1.0059999999999999E-2</c:v>
                </c:pt>
                <c:pt idx="36">
                  <c:v>1.0070000000000001E-2</c:v>
                </c:pt>
                <c:pt idx="37">
                  <c:v>1.0120000000000001E-2</c:v>
                </c:pt>
                <c:pt idx="38">
                  <c:v>1.017E-2</c:v>
                </c:pt>
                <c:pt idx="39">
                  <c:v>1.021E-2</c:v>
                </c:pt>
                <c:pt idx="40">
                  <c:v>1.0279999999999999E-2</c:v>
                </c:pt>
                <c:pt idx="41">
                  <c:v>1.0359999999999999E-2</c:v>
                </c:pt>
                <c:pt idx="42">
                  <c:v>1.044E-2</c:v>
                </c:pt>
                <c:pt idx="43">
                  <c:v>1.052E-2</c:v>
                </c:pt>
                <c:pt idx="44">
                  <c:v>1.0619999999999999E-2</c:v>
                </c:pt>
                <c:pt idx="45">
                  <c:v>1.074E-2</c:v>
                </c:pt>
                <c:pt idx="46">
                  <c:v>1.086E-2</c:v>
                </c:pt>
                <c:pt idx="47">
                  <c:v>1.099E-2</c:v>
                </c:pt>
                <c:pt idx="48">
                  <c:v>1.112E-2</c:v>
                </c:pt>
                <c:pt idx="49">
                  <c:v>1.1259999999999999E-2</c:v>
                </c:pt>
                <c:pt idx="50">
                  <c:v>1.141E-2</c:v>
                </c:pt>
                <c:pt idx="51">
                  <c:v>1.157E-2</c:v>
                </c:pt>
                <c:pt idx="52">
                  <c:v>1.175E-2</c:v>
                </c:pt>
                <c:pt idx="53">
                  <c:v>1.193E-2</c:v>
                </c:pt>
                <c:pt idx="54">
                  <c:v>1.213E-2</c:v>
                </c:pt>
                <c:pt idx="55">
                  <c:v>1.234E-2</c:v>
                </c:pt>
                <c:pt idx="56">
                  <c:v>1.256E-2</c:v>
                </c:pt>
                <c:pt idx="57">
                  <c:v>1.2789999999999999E-2</c:v>
                </c:pt>
                <c:pt idx="58">
                  <c:v>1.303E-2</c:v>
                </c:pt>
                <c:pt idx="59">
                  <c:v>1.3299999999999999E-2</c:v>
                </c:pt>
                <c:pt idx="60">
                  <c:v>1.358E-2</c:v>
                </c:pt>
                <c:pt idx="61">
                  <c:v>1.3899999999999999E-2</c:v>
                </c:pt>
                <c:pt idx="62">
                  <c:v>1.421E-2</c:v>
                </c:pt>
                <c:pt idx="63">
                  <c:v>1.4540000000000001E-2</c:v>
                </c:pt>
                <c:pt idx="64">
                  <c:v>1.4919999999999999E-2</c:v>
                </c:pt>
                <c:pt idx="65">
                  <c:v>1.533E-2</c:v>
                </c:pt>
                <c:pt idx="66">
                  <c:v>1.576E-2</c:v>
                </c:pt>
                <c:pt idx="67">
                  <c:v>1.6250000000000001E-2</c:v>
                </c:pt>
                <c:pt idx="68">
                  <c:v>1.678E-2</c:v>
                </c:pt>
                <c:pt idx="69">
                  <c:v>1.736E-2</c:v>
                </c:pt>
                <c:pt idx="70">
                  <c:v>1.8030000000000001E-2</c:v>
                </c:pt>
                <c:pt idx="71">
                  <c:v>1.8749999999999999E-2</c:v>
                </c:pt>
                <c:pt idx="72">
                  <c:v>1.9539999999999998E-2</c:v>
                </c:pt>
                <c:pt idx="73">
                  <c:v>2.0459999999999999E-2</c:v>
                </c:pt>
                <c:pt idx="74">
                  <c:v>2.1579999999999998E-2</c:v>
                </c:pt>
                <c:pt idx="75">
                  <c:v>2.283E-2</c:v>
                </c:pt>
                <c:pt idx="76">
                  <c:v>2.4230000000000002E-2</c:v>
                </c:pt>
                <c:pt idx="77">
                  <c:v>2.5860000000000001E-2</c:v>
                </c:pt>
                <c:pt idx="78">
                  <c:v>2.792E-2</c:v>
                </c:pt>
                <c:pt idx="79">
                  <c:v>3.0360000000000002E-2</c:v>
                </c:pt>
                <c:pt idx="80">
                  <c:v>3.2939999999999997E-2</c:v>
                </c:pt>
                <c:pt idx="81">
                  <c:v>3.5920000000000001E-2</c:v>
                </c:pt>
                <c:pt idx="82">
                  <c:v>3.8280000000000002E-2</c:v>
                </c:pt>
                <c:pt idx="83">
                  <c:v>4.0989999999999999E-2</c:v>
                </c:pt>
                <c:pt idx="84">
                  <c:v>4.4249999999999998E-2</c:v>
                </c:pt>
                <c:pt idx="85">
                  <c:v>4.7440000000000003E-2</c:v>
                </c:pt>
                <c:pt idx="86">
                  <c:v>5.0029999999999998E-2</c:v>
                </c:pt>
                <c:pt idx="87">
                  <c:v>5.2699999999999997E-2</c:v>
                </c:pt>
                <c:pt idx="88">
                  <c:v>5.5350000000000003E-2</c:v>
                </c:pt>
                <c:pt idx="89">
                  <c:v>5.7979999999999997E-2</c:v>
                </c:pt>
                <c:pt idx="90">
                  <c:v>6.0780000000000001E-2</c:v>
                </c:pt>
                <c:pt idx="91">
                  <c:v>6.3640000000000002E-2</c:v>
                </c:pt>
                <c:pt idx="92">
                  <c:v>6.6610000000000003E-2</c:v>
                </c:pt>
                <c:pt idx="93">
                  <c:v>6.9879999999999998E-2</c:v>
                </c:pt>
                <c:pt idx="94">
                  <c:v>7.3450000000000001E-2</c:v>
                </c:pt>
                <c:pt idx="95">
                  <c:v>7.7380000000000004E-2</c:v>
                </c:pt>
                <c:pt idx="96">
                  <c:v>8.1930000000000003E-2</c:v>
                </c:pt>
                <c:pt idx="97">
                  <c:v>8.6959999999999996E-2</c:v>
                </c:pt>
                <c:pt idx="98">
                  <c:v>9.3189999999999995E-2</c:v>
                </c:pt>
                <c:pt idx="99">
                  <c:v>9.9269999999999997E-2</c:v>
                </c:pt>
                <c:pt idx="100">
                  <c:v>0.1042</c:v>
                </c:pt>
                <c:pt idx="101">
                  <c:v>0.11216</c:v>
                </c:pt>
                <c:pt idx="102">
                  <c:v>0.11767</c:v>
                </c:pt>
                <c:pt idx="103">
                  <c:v>0.12548000000000001</c:v>
                </c:pt>
                <c:pt idx="104">
                  <c:v>0.13239000000000001</c:v>
                </c:pt>
                <c:pt idx="105">
                  <c:v>0.14094999999999999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07-4ED3-947A-8A6AF17EA448}"/>
            </c:ext>
          </c:extLst>
        </c:ser>
        <c:ser>
          <c:idx val="2"/>
          <c:order val="2"/>
          <c:tx>
            <c:strRef>
              <c:f>'S7055 Lift and Drag Function'!$D$11</c:f>
              <c:strCache>
                <c:ptCount val="1"/>
                <c:pt idx="0">
                  <c:v>Cdp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'S7055 Lift and Drag Function'!$A$12:$A$117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'S7055 Lift and Drag Function'!$D$12:$D$117</c:f>
              <c:numCache>
                <c:formatCode>General</c:formatCode>
                <c:ptCount val="106"/>
                <c:pt idx="0">
                  <c:v>8.5519999999999999E-2</c:v>
                </c:pt>
                <c:pt idx="1">
                  <c:v>8.3460000000000006E-2</c:v>
                </c:pt>
                <c:pt idx="2">
                  <c:v>8.1890000000000004E-2</c:v>
                </c:pt>
                <c:pt idx="3">
                  <c:v>8.1619999999999998E-2</c:v>
                </c:pt>
                <c:pt idx="4">
                  <c:v>0.08</c:v>
                </c:pt>
                <c:pt idx="5">
                  <c:v>7.3150000000000007E-2</c:v>
                </c:pt>
                <c:pt idx="6">
                  <c:v>6.404E-2</c:v>
                </c:pt>
                <c:pt idx="7">
                  <c:v>5.6500000000000002E-2</c:v>
                </c:pt>
                <c:pt idx="8">
                  <c:v>5.3469999999999997E-2</c:v>
                </c:pt>
                <c:pt idx="9">
                  <c:v>4.9509999999999998E-2</c:v>
                </c:pt>
                <c:pt idx="10">
                  <c:v>4.4760000000000001E-2</c:v>
                </c:pt>
                <c:pt idx="11">
                  <c:v>3.805E-2</c:v>
                </c:pt>
                <c:pt idx="12">
                  <c:v>3.4979999999999997E-2</c:v>
                </c:pt>
                <c:pt idx="13">
                  <c:v>2.6339999999999999E-2</c:v>
                </c:pt>
                <c:pt idx="14">
                  <c:v>2.0820000000000002E-2</c:v>
                </c:pt>
                <c:pt idx="15">
                  <c:v>1.6490000000000001E-2</c:v>
                </c:pt>
                <c:pt idx="16">
                  <c:v>1.4250000000000001E-2</c:v>
                </c:pt>
                <c:pt idx="17">
                  <c:v>1.299E-2</c:v>
                </c:pt>
                <c:pt idx="18">
                  <c:v>1.187E-2</c:v>
                </c:pt>
                <c:pt idx="19">
                  <c:v>9.9399999999999992E-3</c:v>
                </c:pt>
                <c:pt idx="20">
                  <c:v>9.2099999999999994E-3</c:v>
                </c:pt>
                <c:pt idx="21">
                  <c:v>8.2500000000000004E-3</c:v>
                </c:pt>
                <c:pt idx="22">
                  <c:v>7.5300000000000002E-3</c:v>
                </c:pt>
                <c:pt idx="23">
                  <c:v>7.0699999999999999E-3</c:v>
                </c:pt>
                <c:pt idx="24">
                  <c:v>6.43E-3</c:v>
                </c:pt>
                <c:pt idx="25">
                  <c:v>5.9899999999999997E-3</c:v>
                </c:pt>
                <c:pt idx="26">
                  <c:v>5.5199999999999997E-3</c:v>
                </c:pt>
                <c:pt idx="27">
                  <c:v>5.3400000000000001E-3</c:v>
                </c:pt>
                <c:pt idx="28">
                  <c:v>5.3800000000000002E-3</c:v>
                </c:pt>
                <c:pt idx="29">
                  <c:v>5.2100000000000002E-3</c:v>
                </c:pt>
                <c:pt idx="30">
                  <c:v>4.7800000000000004E-3</c:v>
                </c:pt>
                <c:pt idx="31">
                  <c:v>4.6699999999999997E-3</c:v>
                </c:pt>
                <c:pt idx="32">
                  <c:v>4.5500000000000002E-3</c:v>
                </c:pt>
                <c:pt idx="33">
                  <c:v>4.3899999999999998E-3</c:v>
                </c:pt>
                <c:pt idx="34">
                  <c:v>4.3299999999999996E-3</c:v>
                </c:pt>
                <c:pt idx="35">
                  <c:v>4.2500000000000003E-3</c:v>
                </c:pt>
                <c:pt idx="36">
                  <c:v>4.13E-3</c:v>
                </c:pt>
                <c:pt idx="37">
                  <c:v>4.1200000000000004E-3</c:v>
                </c:pt>
                <c:pt idx="38">
                  <c:v>4.0800000000000003E-3</c:v>
                </c:pt>
                <c:pt idx="39">
                  <c:v>4.0000000000000001E-3</c:v>
                </c:pt>
                <c:pt idx="40">
                  <c:v>4.0200000000000001E-3</c:v>
                </c:pt>
                <c:pt idx="41">
                  <c:v>4.0499999999999998E-3</c:v>
                </c:pt>
                <c:pt idx="42">
                  <c:v>4.0499999999999998E-3</c:v>
                </c:pt>
                <c:pt idx="43">
                  <c:v>4.0400000000000002E-3</c:v>
                </c:pt>
                <c:pt idx="44">
                  <c:v>4.1099999999999999E-3</c:v>
                </c:pt>
                <c:pt idx="45">
                  <c:v>4.1999999999999997E-3</c:v>
                </c:pt>
                <c:pt idx="46">
                  <c:v>4.28E-3</c:v>
                </c:pt>
                <c:pt idx="47">
                  <c:v>4.3499999999999997E-3</c:v>
                </c:pt>
                <c:pt idx="48">
                  <c:v>4.4299999999999999E-3</c:v>
                </c:pt>
                <c:pt idx="49">
                  <c:v>4.5500000000000002E-3</c:v>
                </c:pt>
                <c:pt idx="50">
                  <c:v>4.6899999999999997E-3</c:v>
                </c:pt>
                <c:pt idx="51">
                  <c:v>4.8399999999999997E-3</c:v>
                </c:pt>
                <c:pt idx="52">
                  <c:v>5.0099999999999997E-3</c:v>
                </c:pt>
                <c:pt idx="53">
                  <c:v>5.1900000000000002E-3</c:v>
                </c:pt>
                <c:pt idx="54">
                  <c:v>5.3699999999999998E-3</c:v>
                </c:pt>
                <c:pt idx="55">
                  <c:v>5.5700000000000003E-3</c:v>
                </c:pt>
                <c:pt idx="56">
                  <c:v>5.8100000000000001E-3</c:v>
                </c:pt>
                <c:pt idx="57">
                  <c:v>6.0400000000000002E-3</c:v>
                </c:pt>
                <c:pt idx="58">
                  <c:v>6.2899999999999996E-3</c:v>
                </c:pt>
                <c:pt idx="59">
                  <c:v>6.5500000000000003E-3</c:v>
                </c:pt>
                <c:pt idx="60">
                  <c:v>6.8399999999999997E-3</c:v>
                </c:pt>
                <c:pt idx="61">
                  <c:v>7.1399999999999996E-3</c:v>
                </c:pt>
                <c:pt idx="62">
                  <c:v>7.4799999999999997E-3</c:v>
                </c:pt>
                <c:pt idx="63">
                  <c:v>7.8399999999999997E-3</c:v>
                </c:pt>
                <c:pt idx="64">
                  <c:v>8.2199999999999999E-3</c:v>
                </c:pt>
                <c:pt idx="65">
                  <c:v>8.6499999999999997E-3</c:v>
                </c:pt>
                <c:pt idx="66">
                  <c:v>9.0900000000000009E-3</c:v>
                </c:pt>
                <c:pt idx="67">
                  <c:v>9.5600000000000008E-3</c:v>
                </c:pt>
                <c:pt idx="68">
                  <c:v>1.0070000000000001E-2</c:v>
                </c:pt>
                <c:pt idx="69">
                  <c:v>1.064E-2</c:v>
                </c:pt>
                <c:pt idx="70">
                  <c:v>1.1259999999999999E-2</c:v>
                </c:pt>
                <c:pt idx="71">
                  <c:v>1.197E-2</c:v>
                </c:pt>
                <c:pt idx="72">
                  <c:v>1.2699999999999999E-2</c:v>
                </c:pt>
                <c:pt idx="73">
                  <c:v>1.3520000000000001E-2</c:v>
                </c:pt>
                <c:pt idx="74">
                  <c:v>1.4500000000000001E-2</c:v>
                </c:pt>
                <c:pt idx="75">
                  <c:v>1.5610000000000001E-2</c:v>
                </c:pt>
                <c:pt idx="76">
                  <c:v>1.6899999999999998E-2</c:v>
                </c:pt>
                <c:pt idx="77">
                  <c:v>1.8429999999999998E-2</c:v>
                </c:pt>
                <c:pt idx="78">
                  <c:v>2.035E-2</c:v>
                </c:pt>
                <c:pt idx="79">
                  <c:v>2.273E-2</c:v>
                </c:pt>
                <c:pt idx="80">
                  <c:v>2.53E-2</c:v>
                </c:pt>
                <c:pt idx="81">
                  <c:v>2.8330000000000001E-2</c:v>
                </c:pt>
                <c:pt idx="82">
                  <c:v>3.082E-2</c:v>
                </c:pt>
                <c:pt idx="83">
                  <c:v>3.3610000000000001E-2</c:v>
                </c:pt>
                <c:pt idx="84">
                  <c:v>3.6940000000000001E-2</c:v>
                </c:pt>
                <c:pt idx="85">
                  <c:v>4.0230000000000002E-2</c:v>
                </c:pt>
                <c:pt idx="86">
                  <c:v>4.2950000000000002E-2</c:v>
                </c:pt>
                <c:pt idx="87">
                  <c:v>4.5749999999999999E-2</c:v>
                </c:pt>
                <c:pt idx="88">
                  <c:v>4.8520000000000001E-2</c:v>
                </c:pt>
                <c:pt idx="89">
                  <c:v>5.1270000000000003E-2</c:v>
                </c:pt>
                <c:pt idx="90">
                  <c:v>5.4179999999999999E-2</c:v>
                </c:pt>
                <c:pt idx="91">
                  <c:v>5.7160000000000002E-2</c:v>
                </c:pt>
                <c:pt idx="92">
                  <c:v>6.0269999999999997E-2</c:v>
                </c:pt>
                <c:pt idx="93">
                  <c:v>6.3689999999999997E-2</c:v>
                </c:pt>
                <c:pt idx="94">
                  <c:v>6.744E-2</c:v>
                </c:pt>
                <c:pt idx="95">
                  <c:v>7.152E-2</c:v>
                </c:pt>
                <c:pt idx="96">
                  <c:v>7.6270000000000004E-2</c:v>
                </c:pt>
                <c:pt idx="97">
                  <c:v>8.1509999999999999E-2</c:v>
                </c:pt>
                <c:pt idx="98">
                  <c:v>8.7970000000000007E-2</c:v>
                </c:pt>
                <c:pt idx="99">
                  <c:v>9.4270000000000007E-2</c:v>
                </c:pt>
                <c:pt idx="100">
                  <c:v>9.9379999999999996E-2</c:v>
                </c:pt>
                <c:pt idx="101">
                  <c:v>0.10757</c:v>
                </c:pt>
                <c:pt idx="102">
                  <c:v>0.11323999999999999</c:v>
                </c:pt>
                <c:pt idx="103">
                  <c:v>0.12124</c:v>
                </c:pt>
                <c:pt idx="104">
                  <c:v>0.12833</c:v>
                </c:pt>
                <c:pt idx="105">
                  <c:v>0.13705000000000001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07-4ED3-947A-8A6AF17EA448}"/>
            </c:ext>
          </c:extLst>
        </c:ser>
        <c:ser>
          <c:idx val="3"/>
          <c:order val="3"/>
          <c:tx>
            <c:strRef>
              <c:f>'S7055 Lift and Drag Function'!$E$11</c:f>
              <c:strCache>
                <c:ptCount val="1"/>
                <c:pt idx="0">
                  <c:v>Cm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'S7055 Lift and Drag Function'!$A$12:$A$117</c:f>
              <c:numCache>
                <c:formatCode>General</c:formatCode>
                <c:ptCount val="106"/>
                <c:pt idx="0">
                  <c:v>-8.5</c:v>
                </c:pt>
                <c:pt idx="1">
                  <c:v>-8.25</c:v>
                </c:pt>
                <c:pt idx="2">
                  <c:v>-8</c:v>
                </c:pt>
                <c:pt idx="3">
                  <c:v>-7.75</c:v>
                </c:pt>
                <c:pt idx="4">
                  <c:v>-7.5</c:v>
                </c:pt>
                <c:pt idx="5">
                  <c:v>-7.25</c:v>
                </c:pt>
                <c:pt idx="6">
                  <c:v>-7</c:v>
                </c:pt>
                <c:pt idx="7">
                  <c:v>-6.75</c:v>
                </c:pt>
                <c:pt idx="8">
                  <c:v>-6.5</c:v>
                </c:pt>
                <c:pt idx="9">
                  <c:v>-6.25</c:v>
                </c:pt>
                <c:pt idx="10">
                  <c:v>-6</c:v>
                </c:pt>
                <c:pt idx="11">
                  <c:v>-5.75</c:v>
                </c:pt>
                <c:pt idx="12">
                  <c:v>-5.5</c:v>
                </c:pt>
                <c:pt idx="13">
                  <c:v>-5.25</c:v>
                </c:pt>
                <c:pt idx="14">
                  <c:v>-5</c:v>
                </c:pt>
                <c:pt idx="15">
                  <c:v>-4.75</c:v>
                </c:pt>
                <c:pt idx="16">
                  <c:v>-4.5</c:v>
                </c:pt>
                <c:pt idx="17">
                  <c:v>-4.25</c:v>
                </c:pt>
                <c:pt idx="18">
                  <c:v>-4</c:v>
                </c:pt>
                <c:pt idx="19">
                  <c:v>-3.75</c:v>
                </c:pt>
                <c:pt idx="20">
                  <c:v>-3.5</c:v>
                </c:pt>
                <c:pt idx="21">
                  <c:v>-3.25</c:v>
                </c:pt>
                <c:pt idx="22">
                  <c:v>-3</c:v>
                </c:pt>
                <c:pt idx="23">
                  <c:v>-2.75</c:v>
                </c:pt>
                <c:pt idx="24">
                  <c:v>-2.5</c:v>
                </c:pt>
                <c:pt idx="25">
                  <c:v>-2.25</c:v>
                </c:pt>
                <c:pt idx="26">
                  <c:v>-2</c:v>
                </c:pt>
                <c:pt idx="27">
                  <c:v>-1.75</c:v>
                </c:pt>
                <c:pt idx="28">
                  <c:v>-1.5</c:v>
                </c:pt>
                <c:pt idx="29">
                  <c:v>-1.25</c:v>
                </c:pt>
                <c:pt idx="30">
                  <c:v>-1</c:v>
                </c:pt>
                <c:pt idx="31">
                  <c:v>-0.75</c:v>
                </c:pt>
                <c:pt idx="32">
                  <c:v>-0.5</c:v>
                </c:pt>
                <c:pt idx="33">
                  <c:v>-0.25</c:v>
                </c:pt>
                <c:pt idx="34">
                  <c:v>0</c:v>
                </c:pt>
                <c:pt idx="35">
                  <c:v>0.25</c:v>
                </c:pt>
                <c:pt idx="36">
                  <c:v>0.5</c:v>
                </c:pt>
                <c:pt idx="37">
                  <c:v>0.75</c:v>
                </c:pt>
                <c:pt idx="38">
                  <c:v>1</c:v>
                </c:pt>
                <c:pt idx="39">
                  <c:v>1.25</c:v>
                </c:pt>
                <c:pt idx="40">
                  <c:v>1.5</c:v>
                </c:pt>
                <c:pt idx="41">
                  <c:v>1.75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3.25</c:v>
                </c:pt>
                <c:pt idx="48">
                  <c:v>3.5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4.75</c:v>
                </c:pt>
                <c:pt idx="54">
                  <c:v>5</c:v>
                </c:pt>
                <c:pt idx="55">
                  <c:v>5.25</c:v>
                </c:pt>
                <c:pt idx="56">
                  <c:v>5.5</c:v>
                </c:pt>
                <c:pt idx="57">
                  <c:v>5.75</c:v>
                </c:pt>
                <c:pt idx="58">
                  <c:v>6</c:v>
                </c:pt>
                <c:pt idx="59">
                  <c:v>6.25</c:v>
                </c:pt>
                <c:pt idx="60">
                  <c:v>6.5</c:v>
                </c:pt>
                <c:pt idx="61">
                  <c:v>6.75</c:v>
                </c:pt>
                <c:pt idx="62">
                  <c:v>7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8.5</c:v>
                </c:pt>
                <c:pt idx="69">
                  <c:v>8.75</c:v>
                </c:pt>
                <c:pt idx="70">
                  <c:v>9</c:v>
                </c:pt>
                <c:pt idx="71">
                  <c:v>9.25</c:v>
                </c:pt>
                <c:pt idx="72">
                  <c:v>9.5</c:v>
                </c:pt>
                <c:pt idx="73">
                  <c:v>9.75</c:v>
                </c:pt>
                <c:pt idx="74">
                  <c:v>10</c:v>
                </c:pt>
                <c:pt idx="75">
                  <c:v>10.25</c:v>
                </c:pt>
                <c:pt idx="76">
                  <c:v>10.5</c:v>
                </c:pt>
                <c:pt idx="77">
                  <c:v>10.75</c:v>
                </c:pt>
                <c:pt idx="78">
                  <c:v>11</c:v>
                </c:pt>
                <c:pt idx="79">
                  <c:v>11.25</c:v>
                </c:pt>
                <c:pt idx="80">
                  <c:v>11.5</c:v>
                </c:pt>
                <c:pt idx="81">
                  <c:v>11.75</c:v>
                </c:pt>
                <c:pt idx="82">
                  <c:v>12</c:v>
                </c:pt>
                <c:pt idx="83">
                  <c:v>12.25</c:v>
                </c:pt>
                <c:pt idx="84">
                  <c:v>12.5</c:v>
                </c:pt>
                <c:pt idx="85">
                  <c:v>12.75</c:v>
                </c:pt>
                <c:pt idx="86">
                  <c:v>13</c:v>
                </c:pt>
                <c:pt idx="87">
                  <c:v>13.25</c:v>
                </c:pt>
                <c:pt idx="88">
                  <c:v>13.5</c:v>
                </c:pt>
                <c:pt idx="89">
                  <c:v>13.75</c:v>
                </c:pt>
                <c:pt idx="90">
                  <c:v>14</c:v>
                </c:pt>
                <c:pt idx="91">
                  <c:v>14.25</c:v>
                </c:pt>
                <c:pt idx="92">
                  <c:v>14.5</c:v>
                </c:pt>
                <c:pt idx="93">
                  <c:v>14.75</c:v>
                </c:pt>
                <c:pt idx="94">
                  <c:v>15</c:v>
                </c:pt>
                <c:pt idx="95">
                  <c:v>15.25</c:v>
                </c:pt>
                <c:pt idx="96">
                  <c:v>15.5</c:v>
                </c:pt>
                <c:pt idx="97">
                  <c:v>15.75</c:v>
                </c:pt>
                <c:pt idx="98">
                  <c:v>16</c:v>
                </c:pt>
                <c:pt idx="99">
                  <c:v>16.25</c:v>
                </c:pt>
                <c:pt idx="100">
                  <c:v>16.5</c:v>
                </c:pt>
                <c:pt idx="101">
                  <c:v>16.75</c:v>
                </c:pt>
                <c:pt idx="102">
                  <c:v>17</c:v>
                </c:pt>
                <c:pt idx="103">
                  <c:v>17.25</c:v>
                </c:pt>
                <c:pt idx="104">
                  <c:v>17.5</c:v>
                </c:pt>
                <c:pt idx="105">
                  <c:v>17.75</c:v>
                </c:pt>
              </c:numCache>
            </c:numRef>
          </c:xVal>
          <c:yVal>
            <c:numRef>
              <c:f>'S7055 Lift and Drag Function'!$E$12:$E$117</c:f>
              <c:numCache>
                <c:formatCode>General</c:formatCode>
                <c:ptCount val="106"/>
                <c:pt idx="0">
                  <c:v>-4.0800000000000003E-2</c:v>
                </c:pt>
                <c:pt idx="1">
                  <c:v>-3.9899999999999998E-2</c:v>
                </c:pt>
                <c:pt idx="2">
                  <c:v>-3.78E-2</c:v>
                </c:pt>
                <c:pt idx="3">
                  <c:v>-3.2899999999999999E-2</c:v>
                </c:pt>
                <c:pt idx="4">
                  <c:v>-3.2099999999999997E-2</c:v>
                </c:pt>
                <c:pt idx="5">
                  <c:v>-4.5999999999999999E-2</c:v>
                </c:pt>
                <c:pt idx="6">
                  <c:v>-6.59E-2</c:v>
                </c:pt>
                <c:pt idx="7">
                  <c:v>-6.9900000000000004E-2</c:v>
                </c:pt>
                <c:pt idx="8">
                  <c:v>-7.17E-2</c:v>
                </c:pt>
                <c:pt idx="9">
                  <c:v>-7.5600000000000001E-2</c:v>
                </c:pt>
                <c:pt idx="10">
                  <c:v>-8.2900000000000001E-2</c:v>
                </c:pt>
                <c:pt idx="11">
                  <c:v>-8.5099999999999995E-2</c:v>
                </c:pt>
                <c:pt idx="12">
                  <c:v>-8.7599999999999997E-2</c:v>
                </c:pt>
                <c:pt idx="13">
                  <c:v>-8.6800000000000002E-2</c:v>
                </c:pt>
                <c:pt idx="14">
                  <c:v>-8.6999999999999994E-2</c:v>
                </c:pt>
                <c:pt idx="15">
                  <c:v>-8.5000000000000006E-2</c:v>
                </c:pt>
                <c:pt idx="16">
                  <c:v>-8.5199999999999998E-2</c:v>
                </c:pt>
                <c:pt idx="17">
                  <c:v>-8.4199999999999997E-2</c:v>
                </c:pt>
                <c:pt idx="18">
                  <c:v>-8.3900000000000002E-2</c:v>
                </c:pt>
                <c:pt idx="19">
                  <c:v>-8.2799999999999999E-2</c:v>
                </c:pt>
                <c:pt idx="20">
                  <c:v>-8.2400000000000001E-2</c:v>
                </c:pt>
                <c:pt idx="21">
                  <c:v>-8.1299999999999997E-2</c:v>
                </c:pt>
                <c:pt idx="22">
                  <c:v>-8.0699999999999994E-2</c:v>
                </c:pt>
                <c:pt idx="23">
                  <c:v>-7.9699999999999993E-2</c:v>
                </c:pt>
                <c:pt idx="24">
                  <c:v>-7.8799999999999995E-2</c:v>
                </c:pt>
                <c:pt idx="25">
                  <c:v>-7.7700000000000005E-2</c:v>
                </c:pt>
                <c:pt idx="26">
                  <c:v>-7.6700000000000004E-2</c:v>
                </c:pt>
                <c:pt idx="27">
                  <c:v>-7.46E-2</c:v>
                </c:pt>
                <c:pt idx="28">
                  <c:v>-7.0999999999999994E-2</c:v>
                </c:pt>
                <c:pt idx="29">
                  <c:v>-8.1000000000000003E-2</c:v>
                </c:pt>
                <c:pt idx="30">
                  <c:v>-9.0300000000000005E-2</c:v>
                </c:pt>
                <c:pt idx="31">
                  <c:v>-8.8999999999999996E-2</c:v>
                </c:pt>
                <c:pt idx="32">
                  <c:v>-8.7800000000000003E-2</c:v>
                </c:pt>
                <c:pt idx="33">
                  <c:v>-8.6699999999999999E-2</c:v>
                </c:pt>
                <c:pt idx="34">
                  <c:v>-8.5599999999999996E-2</c:v>
                </c:pt>
                <c:pt idx="35">
                  <c:v>-8.4599999999999995E-2</c:v>
                </c:pt>
                <c:pt idx="36">
                  <c:v>-8.3699999999999997E-2</c:v>
                </c:pt>
                <c:pt idx="37">
                  <c:v>-8.2699999999999996E-2</c:v>
                </c:pt>
                <c:pt idx="38">
                  <c:v>-8.1799999999999998E-2</c:v>
                </c:pt>
                <c:pt idx="39">
                  <c:v>-8.09E-2</c:v>
                </c:pt>
                <c:pt idx="40">
                  <c:v>-0.08</c:v>
                </c:pt>
                <c:pt idx="41">
                  <c:v>-7.9200000000000007E-2</c:v>
                </c:pt>
                <c:pt idx="42">
                  <c:v>-7.8399999999999997E-2</c:v>
                </c:pt>
                <c:pt idx="43">
                  <c:v>-7.7600000000000002E-2</c:v>
                </c:pt>
                <c:pt idx="44">
                  <c:v>-7.6799999999999993E-2</c:v>
                </c:pt>
                <c:pt idx="45">
                  <c:v>-7.5899999999999995E-2</c:v>
                </c:pt>
                <c:pt idx="46">
                  <c:v>-7.5200000000000003E-2</c:v>
                </c:pt>
                <c:pt idx="47">
                  <c:v>-7.4399999999999994E-2</c:v>
                </c:pt>
                <c:pt idx="48">
                  <c:v>-7.3700000000000002E-2</c:v>
                </c:pt>
                <c:pt idx="49">
                  <c:v>-7.2800000000000004E-2</c:v>
                </c:pt>
                <c:pt idx="50">
                  <c:v>-7.1999999999999995E-2</c:v>
                </c:pt>
                <c:pt idx="51">
                  <c:v>-7.1199999999999999E-2</c:v>
                </c:pt>
                <c:pt idx="52">
                  <c:v>-7.0400000000000004E-2</c:v>
                </c:pt>
                <c:pt idx="53">
                  <c:v>-6.9599999999999995E-2</c:v>
                </c:pt>
                <c:pt idx="54">
                  <c:v>-6.88E-2</c:v>
                </c:pt>
                <c:pt idx="55">
                  <c:v>-6.8000000000000005E-2</c:v>
                </c:pt>
                <c:pt idx="56">
                  <c:v>-6.7100000000000007E-2</c:v>
                </c:pt>
                <c:pt idx="57">
                  <c:v>-6.6199999999999995E-2</c:v>
                </c:pt>
                <c:pt idx="58">
                  <c:v>-6.5299999999999997E-2</c:v>
                </c:pt>
                <c:pt idx="59">
                  <c:v>-6.4299999999999996E-2</c:v>
                </c:pt>
                <c:pt idx="60">
                  <c:v>-6.3299999999999995E-2</c:v>
                </c:pt>
                <c:pt idx="61">
                  <c:v>-6.2300000000000001E-2</c:v>
                </c:pt>
                <c:pt idx="62">
                  <c:v>-6.1100000000000002E-2</c:v>
                </c:pt>
                <c:pt idx="63">
                  <c:v>-5.9900000000000002E-2</c:v>
                </c:pt>
                <c:pt idx="64">
                  <c:v>-5.8599999999999999E-2</c:v>
                </c:pt>
                <c:pt idx="65">
                  <c:v>-5.7200000000000001E-2</c:v>
                </c:pt>
                <c:pt idx="66">
                  <c:v>-5.57E-2</c:v>
                </c:pt>
                <c:pt idx="67">
                  <c:v>-5.3999999999999999E-2</c:v>
                </c:pt>
                <c:pt idx="68">
                  <c:v>-5.21E-2</c:v>
                </c:pt>
                <c:pt idx="69">
                  <c:v>-5.0200000000000002E-2</c:v>
                </c:pt>
                <c:pt idx="70">
                  <c:v>-4.8000000000000001E-2</c:v>
                </c:pt>
                <c:pt idx="71">
                  <c:v>-4.5699999999999998E-2</c:v>
                </c:pt>
                <c:pt idx="72">
                  <c:v>-4.2900000000000001E-2</c:v>
                </c:pt>
                <c:pt idx="73">
                  <c:v>-3.9600000000000003E-2</c:v>
                </c:pt>
                <c:pt idx="74">
                  <c:v>-3.6400000000000002E-2</c:v>
                </c:pt>
                <c:pt idx="75">
                  <c:v>-3.3500000000000002E-2</c:v>
                </c:pt>
                <c:pt idx="76">
                  <c:v>-3.0800000000000001E-2</c:v>
                </c:pt>
                <c:pt idx="77">
                  <c:v>-2.81E-2</c:v>
                </c:pt>
                <c:pt idx="78">
                  <c:v>-2.53E-2</c:v>
                </c:pt>
                <c:pt idx="79">
                  <c:v>-2.2599999999999999E-2</c:v>
                </c:pt>
                <c:pt idx="80">
                  <c:v>-2.0199999999999999E-2</c:v>
                </c:pt>
                <c:pt idx="81">
                  <c:v>-1.8100000000000002E-2</c:v>
                </c:pt>
                <c:pt idx="82">
                  <c:v>-1.67E-2</c:v>
                </c:pt>
                <c:pt idx="83">
                  <c:v>-1.5599999999999999E-2</c:v>
                </c:pt>
                <c:pt idx="84">
                  <c:v>-1.44E-2</c:v>
                </c:pt>
                <c:pt idx="85">
                  <c:v>-1.34E-2</c:v>
                </c:pt>
                <c:pt idx="86">
                  <c:v>-1.26E-2</c:v>
                </c:pt>
                <c:pt idx="87">
                  <c:v>-1.1900000000000001E-2</c:v>
                </c:pt>
                <c:pt idx="88">
                  <c:v>-1.1299999999999999E-2</c:v>
                </c:pt>
                <c:pt idx="89">
                  <c:v>-1.0699999999999999E-2</c:v>
                </c:pt>
                <c:pt idx="90">
                  <c:v>-1.0200000000000001E-2</c:v>
                </c:pt>
                <c:pt idx="91">
                  <c:v>-9.7999999999999997E-3</c:v>
                </c:pt>
                <c:pt idx="92">
                  <c:v>-9.4999999999999998E-3</c:v>
                </c:pt>
                <c:pt idx="93">
                  <c:v>-9.2999999999999992E-3</c:v>
                </c:pt>
                <c:pt idx="94">
                  <c:v>-9.4999999999999998E-3</c:v>
                </c:pt>
                <c:pt idx="95">
                  <c:v>-9.7999999999999997E-3</c:v>
                </c:pt>
                <c:pt idx="96">
                  <c:v>-1.0500000000000001E-2</c:v>
                </c:pt>
                <c:pt idx="97">
                  <c:v>-1.18E-2</c:v>
                </c:pt>
                <c:pt idx="98">
                  <c:v>-1.38E-2</c:v>
                </c:pt>
                <c:pt idx="99">
                  <c:v>-1.6299999999999999E-2</c:v>
                </c:pt>
                <c:pt idx="100">
                  <c:v>-1.8700000000000001E-2</c:v>
                </c:pt>
                <c:pt idx="101">
                  <c:v>-2.2700000000000001E-2</c:v>
                </c:pt>
                <c:pt idx="102">
                  <c:v>-2.5899999999999999E-2</c:v>
                </c:pt>
                <c:pt idx="103">
                  <c:v>-3.0499999999999999E-2</c:v>
                </c:pt>
                <c:pt idx="104">
                  <c:v>-3.5000000000000003E-2</c:v>
                </c:pt>
                <c:pt idx="105">
                  <c:v>-4.0399999999999998E-2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07-4ED3-947A-8A6AF17EA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344320"/>
        <c:axId val="537371184"/>
      </c:scatterChart>
      <c:valAx>
        <c:axId val="48834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71184"/>
        <c:crosses val="autoZero"/>
        <c:crossBetween val="midCat"/>
      </c:valAx>
      <c:valAx>
        <c:axId val="53737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4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555624</xdr:colOff>
      <xdr:row>0</xdr:row>
      <xdr:rowOff>6350</xdr:rowOff>
    </xdr:from>
    <xdr:to>
      <xdr:col>18</xdr:col>
      <xdr:colOff>44449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FC77D-6B76-22D2-E66B-7BA7B9BEE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C31C5C-2C65-49F2-A8D3-786E03167E3D}" name="Table1315" displayName="Table1315" ref="A14:I18" totalsRowShown="0">
  <autoFilter ref="A14:I18" xr:uid="{B3C31C5C-2C65-49F2-A8D3-786E03167E3D}"/>
  <tableColumns count="9">
    <tableColumn id="1" xr3:uid="{558F50AF-D768-437C-9FFF-BEE5D78B7BB9}" name="Wingspan (m)"/>
    <tableColumn id="2" xr3:uid="{E076D790-2C4D-48FF-87D5-4472C518ADF4}" name="Wing Aspect Ratio"/>
    <tableColumn id="3" xr3:uid="{BB4DF1C8-2FF0-4946-8315-F1F390788E66}" name="Cruising Speed (m/s)"/>
    <tableColumn id="4" xr3:uid="{62DB681A-D727-44AA-82CA-99C323B05F8C}" name="Average Wing Chord (m)">
      <calculatedColumnFormula>Table1315[[#This Row],[Wingspan (m)]]/Table1315[[#This Row],[Wing Aspect Ratio]]</calculatedColumnFormula>
    </tableColumn>
    <tableColumn id="5" xr3:uid="{CB61A1CC-DEA3-4D86-97A2-339DF9F12CA1}" name="Wing Area (m^2)">
      <calculatedColumnFormula>Table1315[[#This Row],[Average Wing Chord (m)]]*Table1315[[#This Row],[Wingspan (m)]]</calculatedColumnFormula>
    </tableColumn>
    <tableColumn id="6" xr3:uid="{220D8262-EB3D-47B6-A9EE-9BE53028CCD9}" name="Reynolds Number">
      <calculatedColumnFormula>($B$2/$B$1)*D15*C15</calculatedColumnFormula>
    </tableColumn>
    <tableColumn id="8" xr3:uid="{B492564E-F345-487B-ACE7-C85C29D31AC4}" name="Lift (N) @ Alpha = 0" dataDxfId="77">
      <calculatedColumnFormula>(0.5)*$B$2*Table1315[[#This Row],[Wing Area (m^2)]]*$B$6*Table1315[[#This Row],[Cruising Speed (m/s)]]*Table1315[[#This Row],[Cruising Speed (m/s)]]</calculatedColumnFormula>
    </tableColumn>
    <tableColumn id="9" xr3:uid="{47FCD394-1CE0-4B38-8EF3-6F89DFAA3777}" name="Lift(N) @ Alpha = 5" dataDxfId="76">
      <calculatedColumnFormula>(0.5)*$B$2*Table1315[[#This Row],[Wing Area (m^2)]]*$C$6*Table1315[[#This Row],[Cruising Speed (m/s)]]*Table1315[[#This Row],[Cruising Speed (m/s)]]</calculatedColumnFormula>
    </tableColumn>
    <tableColumn id="10" xr3:uid="{0B9356EA-6790-4169-A282-6F417EAEC645}" name="Lift(N) @ Alpha = 10" dataDxfId="75">
      <calculatedColumnFormula>(0.5)*$B$2*Table1315[[#This Row],[Wing Area (m^2)]]*$D$6*Table1315[[#This Row],[Cruising Speed (m/s)]]*Table1315[[#This Row],[Cruising Speed (m/s)]]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92530B-9F2D-4C7C-8529-3560E40AD453}" name="Table131516" displayName="Table131516" ref="A22:I26" totalsRowShown="0">
  <autoFilter ref="A22:I26" xr:uid="{1D92530B-9F2D-4C7C-8529-3560E40AD453}"/>
  <tableColumns count="9">
    <tableColumn id="1" xr3:uid="{98F126FC-3B2E-436E-BABA-F0C0B6E9F8D2}" name="Wingspan (m)"/>
    <tableColumn id="2" xr3:uid="{D5E2EA0D-2D59-468D-B634-EC8CFD3AC9E2}" name="Wing Aspect Ratio"/>
    <tableColumn id="3" xr3:uid="{DBE52444-F526-4E10-B8B1-41E0471922A5}" name="Cruising Speed (m/s)"/>
    <tableColumn id="4" xr3:uid="{A3984588-2F4F-42C0-8C37-B0FE392C953C}" name="Average Wing Chord (m)">
      <calculatedColumnFormula>Table131516[[#This Row],[Wingspan (m)]]/Table131516[[#This Row],[Wing Aspect Ratio]]</calculatedColumnFormula>
    </tableColumn>
    <tableColumn id="5" xr3:uid="{20BE2E5B-B513-426F-9215-BD949B993AEC}" name="Wing Area (m^2)">
      <calculatedColumnFormula>Table131516[[#This Row],[Average Wing Chord (m)]]*Table131516[[#This Row],[Wingspan (m)]]</calculatedColumnFormula>
    </tableColumn>
    <tableColumn id="6" xr3:uid="{E70F979D-E92B-4753-A3B7-97AEBE67EC11}" name="Reynolds Number">
      <calculatedColumnFormula>($B$2/$B$1)*D23*C23</calculatedColumnFormula>
    </tableColumn>
    <tableColumn id="8" xr3:uid="{76B2CC29-695C-4C48-BBC8-090F8D4CA7CB}" name="Lift (N) @ Alpha = 0" dataDxfId="74">
      <calculatedColumnFormula>(0.5)*$B$2*$E23*IF($F23&lt;75000,B$6,IF($F23&lt;150000,B$7,B$8))*$C23*$C23</calculatedColumnFormula>
    </tableColumn>
    <tableColumn id="9" xr3:uid="{F5F75FCF-FD39-48D2-B3CB-33DA9B2B76D8}" name="Lift(N) @ Alpha = 5" dataDxfId="73">
      <calculatedColumnFormula>(0.5)*$B$2*$E23*IF($F23&lt;75000,C$6,IF($F23&lt;150000,C$7,C$8))*$C23*$C23</calculatedColumnFormula>
    </tableColumn>
    <tableColumn id="10" xr3:uid="{A5E70780-4EDB-499E-90C3-0AB10A4442E7}" name="Lift(N) @ Alpha = 10" dataDxfId="72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73D58B-D880-413E-9DBA-F413B1B0ACAF}" name="Table13151621" displayName="Table13151621" ref="A30:I34" totalsRowShown="0">
  <autoFilter ref="A30:I34" xr:uid="{9E73D58B-D880-413E-9DBA-F413B1B0ACAF}"/>
  <tableColumns count="9">
    <tableColumn id="1" xr3:uid="{F0353F97-52E9-4EE6-A357-2FC3DB9BD11D}" name="Wingspan (m)"/>
    <tableColumn id="2" xr3:uid="{D00F8594-65CA-4C35-9BF2-B87611D2E27C}" name="Wing Aspect Ratio"/>
    <tableColumn id="3" xr3:uid="{0E22833F-50E4-47E9-9DBF-922117061DF7}" name="Cruising Speed (m/s)"/>
    <tableColumn id="4" xr3:uid="{A1257DCE-AE58-4C03-B352-630C87BCF941}" name="Average Wing Chord (m)">
      <calculatedColumnFormula>Table13151621[[#This Row],[Wingspan (m)]]/Table13151621[[#This Row],[Wing Aspect Ratio]]</calculatedColumnFormula>
    </tableColumn>
    <tableColumn id="5" xr3:uid="{FF127A1A-808D-4745-AA11-8B410DA5BC18}" name="Wing Area (m^2)">
      <calculatedColumnFormula>Table13151621[[#This Row],[Average Wing Chord (m)]]*Table13151621[[#This Row],[Wingspan (m)]]</calculatedColumnFormula>
    </tableColumn>
    <tableColumn id="6" xr3:uid="{4BF09C91-724A-497E-9B5B-6F29B04E6B33}" name="Reynolds Number">
      <calculatedColumnFormula>($B$2/$B$1)*D31*C31</calculatedColumnFormula>
    </tableColumn>
    <tableColumn id="8" xr3:uid="{DCCED2F5-F916-461F-A833-FA2D61480251}" name="Lift (N) @ Alpha = 0" dataDxfId="71">
      <calculatedColumnFormula>(0.5)*$B$2*$E31*IF($F31&lt;75000,B$6,IF($F31&lt;150000,B$7,B$8))*$C31*$C31</calculatedColumnFormula>
    </tableColumn>
    <tableColumn id="9" xr3:uid="{3E56F7C7-5CF5-40CA-8866-CD34DFE02022}" name="Lift(N) @ Alpha = 5" dataDxfId="70">
      <calculatedColumnFormula>(0.5)*$B$2*$E31*IF($F31&lt;75000,C$6,IF($F31&lt;150000,C$7,C$8))*$C31*$C31</calculatedColumnFormula>
    </tableColumn>
    <tableColumn id="10" xr3:uid="{F9D769C3-B8A8-4389-A2EC-57700BB17640}" name="Lift(N) @ Alpha = 10" dataDxfId="69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47F9CA-C86B-4E36-8350-1FA331C15C03}" name="Table13151622" displayName="Table13151622" ref="A38:I42" totalsRowShown="0">
  <autoFilter ref="A38:I42" xr:uid="{5047F9CA-C86B-4E36-8350-1FA331C15C03}"/>
  <tableColumns count="9">
    <tableColumn id="1" xr3:uid="{0BFEEC01-4540-4CDF-B55E-9DA66DD19A74}" name="Wingspan (m)"/>
    <tableColumn id="2" xr3:uid="{C97109D9-F24D-40C7-84F9-0FD2A635C4AE}" name="Wing Aspect Ratio"/>
    <tableColumn id="3" xr3:uid="{709ABD9D-056E-4ED8-945B-56A91A158A45}" name="Cruising Speed (m/s)"/>
    <tableColumn id="4" xr3:uid="{2F78B300-2D1D-4FDF-857F-7586C4F6F6AE}" name="Average Wing Chord (m)">
      <calculatedColumnFormula>Table13151622[[#This Row],[Wingspan (m)]]/Table13151622[[#This Row],[Wing Aspect Ratio]]</calculatedColumnFormula>
    </tableColumn>
    <tableColumn id="5" xr3:uid="{BCF8CBAD-8645-4A49-A8AA-4A059DECA357}" name="Wing Area (m^2)">
      <calculatedColumnFormula>Table13151622[[#This Row],[Average Wing Chord (m)]]*Table13151622[[#This Row],[Wingspan (m)]]</calculatedColumnFormula>
    </tableColumn>
    <tableColumn id="6" xr3:uid="{2F7D40B4-A778-4F22-B99A-26E2060820A4}" name="Reynolds Number">
      <calculatedColumnFormula>($B$2/$B$1)*D39*C39</calculatedColumnFormula>
    </tableColumn>
    <tableColumn id="8" xr3:uid="{DC15C01C-F4F8-4AF2-9D58-E3E56DE140EE}" name="Lift (N) @ Alpha = 0" dataDxfId="68">
      <calculatedColumnFormula>(0.5)*$B$2*$E39*IF($F39&lt;75000,B$6,IF($F39&lt;150000,B$7,B$8))*$C39*$C39</calculatedColumnFormula>
    </tableColumn>
    <tableColumn id="9" xr3:uid="{E494E95C-EF7D-4C4F-B679-E89A51EBBF7F}" name="Lift(N) @ Alpha = 5" dataDxfId="67">
      <calculatedColumnFormula>(0.5)*$B$2*$E39*IF($F39&lt;75000,C$6,IF($F39&lt;150000,C$7,C$8))*$C39*$C39</calculatedColumnFormula>
    </tableColumn>
    <tableColumn id="10" xr3:uid="{92311E89-F9BF-44CA-96E1-ECB0BFFF2DE3}" name="Lift(N) @ Alpha = 10" dataDxfId="66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60A6657-5453-4425-9689-E40CCA72D8F0}" name="Table13151623" displayName="Table13151623" ref="A46:I50" totalsRowShown="0">
  <autoFilter ref="A46:I50" xr:uid="{760A6657-5453-4425-9689-E40CCA72D8F0}"/>
  <tableColumns count="9">
    <tableColumn id="1" xr3:uid="{5A68DA93-B8FE-444A-8A23-EE53BA1BE31E}" name="Wingspan (m)"/>
    <tableColumn id="2" xr3:uid="{B4ED793D-1EF3-494C-BAAA-9BC884B6A033}" name="Wing Aspect Ratio"/>
    <tableColumn id="3" xr3:uid="{5E4CC6B6-D305-43C8-84B0-3FDC9F25C80B}" name="Cruising Speed (m/s)"/>
    <tableColumn id="4" xr3:uid="{FFDBB685-BC33-4031-911C-62B23EAF090D}" name="Average Wing Chord (m)">
      <calculatedColumnFormula>Table13151623[[#This Row],[Wingspan (m)]]/Table13151623[[#This Row],[Wing Aspect Ratio]]</calculatedColumnFormula>
    </tableColumn>
    <tableColumn id="5" xr3:uid="{A43D9200-DAD1-4579-8F2B-6F410DF25801}" name="Wing Area (m^2)">
      <calculatedColumnFormula>Table13151623[[#This Row],[Average Wing Chord (m)]]*Table13151623[[#This Row],[Wingspan (m)]]</calculatedColumnFormula>
    </tableColumn>
    <tableColumn id="6" xr3:uid="{2288D3CF-85E1-46CF-A59F-7B065BBE5889}" name="Reynolds Number">
      <calculatedColumnFormula>($B$2/$B$1)*D47*C47</calculatedColumnFormula>
    </tableColumn>
    <tableColumn id="8" xr3:uid="{988FBBB0-BE5E-4FDD-AA85-D5F12F47B2F4}" name="Lift (N) @ Alpha = 0" dataDxfId="65">
      <calculatedColumnFormula>(0.5)*$B$2*$E47*IF($F47&lt;75000,B$6,IF($F47&lt;150000,B$7,B$8))*$C47*$C47</calculatedColumnFormula>
    </tableColumn>
    <tableColumn id="9" xr3:uid="{32251241-16C2-454C-9C4A-448F482C5681}" name="Lift(N) @ Alpha = 5" dataDxfId="64">
      <calculatedColumnFormula>(0.5)*$B$2*$E47*IF($F47&lt;75000,C$6,IF($F47&lt;150000,C$7,C$8))*$C47*$C47</calculatedColumnFormula>
    </tableColumn>
    <tableColumn id="10" xr3:uid="{B48DDDBF-853E-4425-8562-DCEA5E66025D}" name="Lift(N) @ Alpha = 10" dataDxfId="63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4B490B0-9B87-44B2-BCF7-F488CD3BEBFE}" name="Table13151624" displayName="Table13151624" ref="A54:I58" totalsRowShown="0">
  <autoFilter ref="A54:I58" xr:uid="{B4B490B0-9B87-44B2-BCF7-F488CD3BEBFE}"/>
  <tableColumns count="9">
    <tableColumn id="1" xr3:uid="{D43979D0-082B-4DF2-B911-BB0FEDE747DF}" name="Wingspan (m)"/>
    <tableColumn id="2" xr3:uid="{2A404AE5-FC2F-4452-A2CE-9CD1FADFA7CD}" name="Wing Aspect Ratio"/>
    <tableColumn id="3" xr3:uid="{E936AD39-F9EE-428C-AAAB-E8401D01B4CB}" name="Cruising Speed (m/s)"/>
    <tableColumn id="4" xr3:uid="{0806BEEA-A186-4C4A-86DF-05DCC7D6A740}" name="Average Wing Chord (m)">
      <calculatedColumnFormula>Table13151624[[#This Row],[Wingspan (m)]]/Table13151624[[#This Row],[Wing Aspect Ratio]]</calculatedColumnFormula>
    </tableColumn>
    <tableColumn id="5" xr3:uid="{1C770A57-8F36-446A-8C3A-34FA4DA3966F}" name="Wing Area (m^2)">
      <calculatedColumnFormula>Table13151624[[#This Row],[Average Wing Chord (m)]]*Table13151624[[#This Row],[Wingspan (m)]]</calculatedColumnFormula>
    </tableColumn>
    <tableColumn id="6" xr3:uid="{B7A68358-C3A9-4ECF-8B85-E3F9E966EB8E}" name="Reynolds Number">
      <calculatedColumnFormula>($B$2/$B$1)*D55*C55</calculatedColumnFormula>
    </tableColumn>
    <tableColumn id="8" xr3:uid="{392B989C-C8FB-40D0-8D3E-D1467D1ACC88}" name="Lift (N) @ Alpha = 0" dataDxfId="62">
      <calculatedColumnFormula>(0.5)*$B$2*$E55*IF($F55&lt;75000,B$6,IF($F55&lt;150000,B$7,B$8))*$C55*$C55</calculatedColumnFormula>
    </tableColumn>
    <tableColumn id="9" xr3:uid="{85F41EAD-49D5-4B72-80B1-001AB0E70B80}" name="Lift(N) @ Alpha = 5" dataDxfId="61">
      <calculatedColumnFormula>(0.5)*$B$2*$E55*IF($F55&lt;75000,C$6,IF($F55&lt;150000,C$7,C$8))*$C55*$C55</calculatedColumnFormula>
    </tableColumn>
    <tableColumn id="10" xr3:uid="{90BD4C45-BCB3-45DC-8987-2B9F9C9D634B}" name="Lift(N) @ Alpha = 10" dataDxfId="60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B1383D4-A5A0-46DA-A8CB-0E9BFED25C19}" name="Table131527" displayName="Table131527" ref="A14:I18" totalsRowShown="0">
  <autoFilter ref="A14:I18" xr:uid="{9B1383D4-A5A0-46DA-A8CB-0E9BFED25C19}"/>
  <tableColumns count="9">
    <tableColumn id="1" xr3:uid="{E6ABB8B5-EC66-4B01-A420-3154C6ACFBAA}" name="Wingspan (m)"/>
    <tableColumn id="2" xr3:uid="{CE8561DE-79B8-4E0F-8380-77E65FA5D3E5}" name="Wing Aspect Ratio"/>
    <tableColumn id="3" xr3:uid="{017A7F9C-2889-4B76-BB05-AE4976A79612}" name="Cruising Speed (m/s)"/>
    <tableColumn id="4" xr3:uid="{36F8E1C2-08B8-4BEF-8254-2242CD906ADF}" name="Average Wing Chord (m)">
      <calculatedColumnFormula>Table131527[[#This Row],[Wingspan (m)]]/Table131527[[#This Row],[Wing Aspect Ratio]]</calculatedColumnFormula>
    </tableColumn>
    <tableColumn id="5" xr3:uid="{43806D15-3A4E-4912-BC85-C4CB152FBE85}" name="Wing Area (m^2)">
      <calculatedColumnFormula>Table131527[[#This Row],[Average Wing Chord (m)]]*Table131527[[#This Row],[Wingspan (m)]]</calculatedColumnFormula>
    </tableColumn>
    <tableColumn id="6" xr3:uid="{33BB6987-1A4C-4FBC-A86E-C9306A81202C}" name="Reynolds Number">
      <calculatedColumnFormula>($B$2/$B$1)*D15*C15</calculatedColumnFormula>
    </tableColumn>
    <tableColumn id="8" xr3:uid="{CB064F7E-76C4-432B-A9AB-FF6CEE2008E3}" name="Lift (N) @ Alpha = 0" dataDxfId="59">
      <calculatedColumnFormula>(0.5)*$B$2*Table131527[[#This Row],[Wing Area (m^2)]]*$B$6*Table131527[[#This Row],[Cruising Speed (m/s)]]*Table131527[[#This Row],[Cruising Speed (m/s)]]</calculatedColumnFormula>
    </tableColumn>
    <tableColumn id="9" xr3:uid="{8BBF02E8-3D20-4ADE-99E4-C352DEF87C92}" name="Lift(N) @ Alpha = 5" dataDxfId="58">
      <calculatedColumnFormula>(0.5)*$B$2*Table131527[[#This Row],[Wing Area (m^2)]]*$C$6*Table131527[[#This Row],[Cruising Speed (m/s)]]*Table131527[[#This Row],[Cruising Speed (m/s)]]</calculatedColumnFormula>
    </tableColumn>
    <tableColumn id="10" xr3:uid="{AA3C3453-B264-4F65-9172-54FD8848A854}" name="Lift(N) @ Alpha = 10" dataDxfId="57">
      <calculatedColumnFormula>(0.5)*$B$2*Table131527[[#This Row],[Wing Area (m^2)]]*$D$6*Table131527[[#This Row],[Cruising Speed (m/s)]]*Table131527[[#This Row],[Cruising Speed (m/s)]]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B5A9897-A448-4D4A-8086-3AB40B894BB3}" name="Table13151628" displayName="Table13151628" ref="A22:I26" totalsRowShown="0">
  <autoFilter ref="A22:I26" xr:uid="{3B5A9897-A448-4D4A-8086-3AB40B894BB3}"/>
  <tableColumns count="9">
    <tableColumn id="1" xr3:uid="{CCA58AEC-DCC4-4B7F-B113-E102F23ED024}" name="Wingspan (m)"/>
    <tableColumn id="2" xr3:uid="{0232C630-0954-463B-BBFE-3E6EFEB96961}" name="Wing Aspect Ratio"/>
    <tableColumn id="3" xr3:uid="{0CBE0930-8287-4028-80B1-29A503378E73}" name="Cruising Speed (m/s)"/>
    <tableColumn id="4" xr3:uid="{CC151AA5-89F9-4B46-ABE0-209030010F8C}" name="Average Wing Chord (m)">
      <calculatedColumnFormula>Table13151628[[#This Row],[Wingspan (m)]]/Table13151628[[#This Row],[Wing Aspect Ratio]]</calculatedColumnFormula>
    </tableColumn>
    <tableColumn id="5" xr3:uid="{E6D6FA0F-2E81-4B4E-AEFB-07D2A9DB8113}" name="Wing Area (m^2)">
      <calculatedColumnFormula>Table13151628[[#This Row],[Average Wing Chord (m)]]*Table13151628[[#This Row],[Wingspan (m)]]</calculatedColumnFormula>
    </tableColumn>
    <tableColumn id="6" xr3:uid="{FA9E18FF-B653-4F02-970B-406B51AAA82B}" name="Reynolds Number">
      <calculatedColumnFormula>($B$2/$B$1)*D23*C23</calculatedColumnFormula>
    </tableColumn>
    <tableColumn id="8" xr3:uid="{784768F7-8498-4703-9443-F8DCDD6FDA23}" name="Lift (N) @ Alpha = 0" dataDxfId="56">
      <calculatedColumnFormula>(0.5)*$B$2*$E23*IF($F23&lt;75000,B$6,IF($F23&lt;150000,B$7,B$8))*$C23*$C23</calculatedColumnFormula>
    </tableColumn>
    <tableColumn id="9" xr3:uid="{AC39E8A7-A34B-42A9-9100-AEFE7635128A}" name="Lift(N) @ Alpha = 5" dataDxfId="55">
      <calculatedColumnFormula>(0.5)*$B$2*$E23*IF($F23&lt;75000,C$6,IF($F23&lt;150000,C$7,C$8))*$C23*$C23</calculatedColumnFormula>
    </tableColumn>
    <tableColumn id="10" xr3:uid="{C79E6D62-9AE0-4156-9123-408D95F05523}" name="Lift(N) @ Alpha = 10" dataDxfId="54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F3DD7BC-EFA6-41A2-96D9-AF809CD81599}" name="Table1315162129" displayName="Table1315162129" ref="A30:I34" totalsRowShown="0">
  <autoFilter ref="A30:I34" xr:uid="{AF3DD7BC-EFA6-41A2-96D9-AF809CD81599}"/>
  <tableColumns count="9">
    <tableColumn id="1" xr3:uid="{9FFAC559-94A9-4CA3-A3CF-1617C7FAC869}" name="Wingspan (m)"/>
    <tableColumn id="2" xr3:uid="{EB08BE34-BB18-4369-8790-AA88FEF75A88}" name="Wing Aspect Ratio"/>
    <tableColumn id="3" xr3:uid="{FE30F61B-4029-4A1D-B981-214DF10599C6}" name="Cruising Speed (m/s)"/>
    <tableColumn id="4" xr3:uid="{A3D58889-66E7-4ED0-AB99-60282F8B6113}" name="Average Wing Chord (m)">
      <calculatedColumnFormula>Table1315162129[[#This Row],[Wingspan (m)]]/Table1315162129[[#This Row],[Wing Aspect Ratio]]</calculatedColumnFormula>
    </tableColumn>
    <tableColumn id="5" xr3:uid="{D40355F0-7636-4CE1-B20E-5847354EAF46}" name="Wing Area (m^2)">
      <calculatedColumnFormula>Table1315162129[[#This Row],[Average Wing Chord (m)]]*Table1315162129[[#This Row],[Wingspan (m)]]</calculatedColumnFormula>
    </tableColumn>
    <tableColumn id="6" xr3:uid="{E552715F-FC80-49BC-8563-AA5476D5AC9F}" name="Reynolds Number">
      <calculatedColumnFormula>($B$2/$B$1)*D31*C31</calculatedColumnFormula>
    </tableColumn>
    <tableColumn id="8" xr3:uid="{ABE93194-C645-42C6-908B-9C1569844975}" name="Lift (N) @ Alpha = 0" dataDxfId="53">
      <calculatedColumnFormula>(0.5)*$B$2*$E31*IF($F31&lt;75000,B$6,IF($F31&lt;150000,B$7,B$8))*$C31*$C31</calculatedColumnFormula>
    </tableColumn>
    <tableColumn id="9" xr3:uid="{20B17C4F-DEF3-4841-ACCE-616461977A50}" name="Lift(N) @ Alpha = 5" dataDxfId="52">
      <calculatedColumnFormula>(0.5)*$B$2*$E31*IF($F31&lt;75000,C$6,IF($F31&lt;150000,C$7,C$8))*$C31*$C31</calculatedColumnFormula>
    </tableColumn>
    <tableColumn id="10" xr3:uid="{8A33FC02-2145-48A9-8681-04FE27644629}" name="Lift(N) @ Alpha = 10" dataDxfId="51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339DA88-2A89-4D1A-A43B-26B7F8EF3CFC}" name="Table1315162230" displayName="Table1315162230" ref="A38:I42" totalsRowShown="0">
  <autoFilter ref="A38:I42" xr:uid="{F339DA88-2A89-4D1A-A43B-26B7F8EF3CFC}"/>
  <tableColumns count="9">
    <tableColumn id="1" xr3:uid="{B86A28A7-7CBB-4B4D-955D-AFECDF4B85E4}" name="Wingspan (m)"/>
    <tableColumn id="2" xr3:uid="{4C0CD054-325C-41C9-99CC-C0C907917C48}" name="Wing Aspect Ratio"/>
    <tableColumn id="3" xr3:uid="{F8030747-7EE1-4C68-8273-E27686292E74}" name="Cruising Speed (m/s)"/>
    <tableColumn id="4" xr3:uid="{6BED6187-A633-471B-A7DF-6D7D5F20142B}" name="Average Wing Chord (m)">
      <calculatedColumnFormula>Table1315162230[[#This Row],[Wingspan (m)]]/Table1315162230[[#This Row],[Wing Aspect Ratio]]</calculatedColumnFormula>
    </tableColumn>
    <tableColumn id="5" xr3:uid="{B78EAC45-3A91-480C-9793-FA7296DC4504}" name="Wing Area (m^2)">
      <calculatedColumnFormula>Table1315162230[[#This Row],[Average Wing Chord (m)]]*Table1315162230[[#This Row],[Wingspan (m)]]</calculatedColumnFormula>
    </tableColumn>
    <tableColumn id="6" xr3:uid="{839D8AD9-ED65-4034-8567-42D8A9523AD4}" name="Reynolds Number">
      <calculatedColumnFormula>($B$2/$B$1)*D39*C39</calculatedColumnFormula>
    </tableColumn>
    <tableColumn id="8" xr3:uid="{D123E2B9-0B87-4187-9A28-6B3DD78A7341}" name="Lift (N) @ Alpha = 0" dataDxfId="50">
      <calculatedColumnFormula>(0.5)*$B$2*$E39*IF($F39&lt;75000,B$6,IF($F39&lt;150000,B$7,B$8))*$C39*$C39</calculatedColumnFormula>
    </tableColumn>
    <tableColumn id="9" xr3:uid="{EDB6E6FC-B0B4-414F-AE2F-3441953CCDE2}" name="Lift(N) @ Alpha = 5" dataDxfId="49">
      <calculatedColumnFormula>(0.5)*$B$2*$E39*IF($F39&lt;75000,C$6,IF($F39&lt;150000,C$7,C$8))*$C39*$C39</calculatedColumnFormula>
    </tableColumn>
    <tableColumn id="10" xr3:uid="{09629FC7-092F-4EE7-9084-08B84F18BD51}" name="Lift(N) @ Alpha = 10" dataDxfId="48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9610387-F7EB-42D3-95DE-6E4D3EB722F6}" name="Table1315162331" displayName="Table1315162331" ref="A46:I50" totalsRowShown="0">
  <autoFilter ref="A46:I50" xr:uid="{49610387-F7EB-42D3-95DE-6E4D3EB722F6}"/>
  <tableColumns count="9">
    <tableColumn id="1" xr3:uid="{7327FBDE-15B4-44D3-B49E-759BDCD8FDF1}" name="Wingspan (m)"/>
    <tableColumn id="2" xr3:uid="{4D3FC3A1-5282-4B3D-9320-D5B1955967A9}" name="Wing Aspect Ratio"/>
    <tableColumn id="3" xr3:uid="{D5DD4A4B-E5E3-4F19-8C71-2CDF90CBDFE1}" name="Cruising Speed (m/s)"/>
    <tableColumn id="4" xr3:uid="{9C089651-2747-4825-AA4E-64C41B62DBAC}" name="Average Wing Chord (m)">
      <calculatedColumnFormula>Table1315162331[[#This Row],[Wingspan (m)]]/Table1315162331[[#This Row],[Wing Aspect Ratio]]</calculatedColumnFormula>
    </tableColumn>
    <tableColumn id="5" xr3:uid="{068B701D-107B-498C-8863-09478263DF01}" name="Wing Area (m^2)">
      <calculatedColumnFormula>Table1315162331[[#This Row],[Average Wing Chord (m)]]*Table1315162331[[#This Row],[Wingspan (m)]]</calculatedColumnFormula>
    </tableColumn>
    <tableColumn id="6" xr3:uid="{8409B62C-04A6-43E5-83B2-5B4DB781EC87}" name="Reynolds Number">
      <calculatedColumnFormula>($B$2/$B$1)*D47*C47</calculatedColumnFormula>
    </tableColumn>
    <tableColumn id="8" xr3:uid="{31E48BA4-1C67-4A31-8356-437743AC31BC}" name="Lift (N) @ Alpha = 0" dataDxfId="47">
      <calculatedColumnFormula>(0.5)*$B$2*$E47*IF($F47&lt;75000,B$6,IF($F47&lt;150000,B$7,B$8))*$C47*$C47</calculatedColumnFormula>
    </tableColumn>
    <tableColumn id="9" xr3:uid="{87375CCE-1D7C-4442-B54D-6EB8A5502D44}" name="Lift(N) @ Alpha = 5" dataDxfId="46">
      <calculatedColumnFormula>(0.5)*$B$2*$E47*IF($F47&lt;75000,C$6,IF($F47&lt;150000,C$7,C$8))*$C47*$C47</calculatedColumnFormula>
    </tableColumn>
    <tableColumn id="10" xr3:uid="{35A281BE-3318-415C-857E-7DD224958496}" name="Lift(N) @ Alpha = 10" dataDxfId="45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386D2EF-FC74-4071-A196-AAFA4934F943}" name="Table1315162432" displayName="Table1315162432" ref="A54:I58" totalsRowShown="0">
  <autoFilter ref="A54:I58" xr:uid="{3386D2EF-FC74-4071-A196-AAFA4934F943}"/>
  <tableColumns count="9">
    <tableColumn id="1" xr3:uid="{9838CC89-2900-4FE4-9E17-17B26F768ECC}" name="Wingspan (m)"/>
    <tableColumn id="2" xr3:uid="{C8D09D4D-568F-4BE4-B757-8ABAD4E0F4CF}" name="Wing Aspect Ratio"/>
    <tableColumn id="3" xr3:uid="{FEBFD382-4C40-4172-8337-9A89F7036B02}" name="Cruising Speed (m/s)"/>
    <tableColumn id="4" xr3:uid="{57D040E2-CE91-4177-94F5-6C3D4714A593}" name="Average Wing Chord (m)">
      <calculatedColumnFormula>Table1315162432[[#This Row],[Wingspan (m)]]/Table1315162432[[#This Row],[Wing Aspect Ratio]]</calculatedColumnFormula>
    </tableColumn>
    <tableColumn id="5" xr3:uid="{E76D1049-324B-4794-9F48-DC251D3C5BB1}" name="Wing Area (m^2)">
      <calculatedColumnFormula>Table1315162432[[#This Row],[Average Wing Chord (m)]]*Table1315162432[[#This Row],[Wingspan (m)]]</calculatedColumnFormula>
    </tableColumn>
    <tableColumn id="6" xr3:uid="{A5B1BE7B-435C-41F0-A79F-9FEA3D38FC24}" name="Reynolds Number">
      <calculatedColumnFormula>($B$2/$B$1)*D55*C55</calculatedColumnFormula>
    </tableColumn>
    <tableColumn id="8" xr3:uid="{0748DF0E-516E-42FC-88D7-A93504795D98}" name="Lift (N) @ Alpha = 0" dataDxfId="44">
      <calculatedColumnFormula>(0.5)*$B$2*$E55*IF($F55&lt;75000,B$6,IF($F55&lt;150000,B$7,B$8))*$C55*$C55</calculatedColumnFormula>
    </tableColumn>
    <tableColumn id="9" xr3:uid="{CA297FC0-541A-47E9-ACE8-E1EA0D4C38EA}" name="Lift(N) @ Alpha = 5" dataDxfId="43">
      <calculatedColumnFormula>(0.5)*$B$2*$E55*IF($F55&lt;75000,C$6,IF($F55&lt;150000,C$7,C$8))*$C55*$C55</calculatedColumnFormula>
    </tableColumn>
    <tableColumn id="10" xr3:uid="{54C817E4-B9A2-4489-8C12-4A6940EBAFE8}" name="Lift(N) @ Alpha = 10" dataDxfId="42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B63BEF-60D8-4C27-9A83-E7128BB37C98}" name="Table13152739" displayName="Table13152739" ref="A14:I18" totalsRowShown="0">
  <autoFilter ref="A14:I18" xr:uid="{00B63BEF-60D8-4C27-9A83-E7128BB37C98}"/>
  <tableColumns count="9">
    <tableColumn id="1" xr3:uid="{1F7FD72E-89C0-4FCE-AC86-AC0A0CCACA81}" name="Wingspan (m)"/>
    <tableColumn id="2" xr3:uid="{08FD67AC-332B-4BF6-8AB5-E2DB62074191}" name="Wing Aspect Ratio"/>
    <tableColumn id="3" xr3:uid="{B99B21EB-C310-4913-B07B-0E898044F6B0}" name="Cruising Speed (m/s)"/>
    <tableColumn id="4" xr3:uid="{9DEDD54E-B06F-4CFE-B324-A28A52586CE2}" name="Average Wing Chord (m)">
      <calculatedColumnFormula>Table13152739[[#This Row],[Wingspan (m)]]/Table13152739[[#This Row],[Wing Aspect Ratio]]</calculatedColumnFormula>
    </tableColumn>
    <tableColumn id="5" xr3:uid="{345F7243-5A47-4DF0-B81B-EED3C008FEEC}" name="Wing Area (m^2)">
      <calculatedColumnFormula>Table13152739[[#This Row],[Average Wing Chord (m)]]*Table13152739[[#This Row],[Wingspan (m)]]</calculatedColumnFormula>
    </tableColumn>
    <tableColumn id="6" xr3:uid="{5CF327D7-779E-4796-A70B-47C6E400F960}" name="Reynolds Number">
      <calculatedColumnFormula>($B$2/$B$1)*D15*C15</calculatedColumnFormula>
    </tableColumn>
    <tableColumn id="8" xr3:uid="{29C1CCAB-DA3B-4ED0-9861-BF5FA60270ED}" name="Drag (N) @ Alpha = 0" dataDxfId="41">
      <calculatedColumnFormula>(0.5)*$B$2*Table13152739[[#This Row],[Wing Area (m^2)]]*$B$6*Table13152739[[#This Row],[Cruising Speed (m/s)]]*Table13152739[[#This Row],[Cruising Speed (m/s)]]</calculatedColumnFormula>
    </tableColumn>
    <tableColumn id="9" xr3:uid="{CC73E81A-0A02-4FFA-99A6-96DD45F2B1BD}" name="Drag(N) @ Alpha = 5" dataDxfId="40">
      <calculatedColumnFormula>(0.5)*$B$2*Table13152739[[#This Row],[Wing Area (m^2)]]*$C$6*Table13152739[[#This Row],[Cruising Speed (m/s)]]*Table13152739[[#This Row],[Cruising Speed (m/s)]]</calculatedColumnFormula>
    </tableColumn>
    <tableColumn id="10" xr3:uid="{F6E26037-3D1C-41A6-BD1C-7E1EA1B6D578}" name="Drag(N) @ Alpha = 10" dataDxfId="39">
      <calculatedColumnFormula>(0.5)*$B$2*Table13152739[[#This Row],[Wing Area (m^2)]]*$D$6*Table13152739[[#This Row],[Cruising Speed (m/s)]]*Table13152739[[#This Row],[Cruising Speed (m/s)]]</calculatedColumnFormula>
    </tableColumn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2CD3B5A-4513-4CE3-8D2C-1BBFC6F56EFF}" name="Table1315162840" displayName="Table1315162840" ref="A22:I26" totalsRowShown="0">
  <autoFilter ref="A22:I26" xr:uid="{72CD3B5A-4513-4CE3-8D2C-1BBFC6F56EFF}"/>
  <tableColumns count="9">
    <tableColumn id="1" xr3:uid="{EF737E80-B0F5-49B8-BD51-4FF2608FCC2A}" name="Wingspan (m)"/>
    <tableColumn id="2" xr3:uid="{04164767-E4D5-43C0-9753-024DD1820DBC}" name="Wing Aspect Ratio"/>
    <tableColumn id="3" xr3:uid="{D2C873AE-6191-4D54-B18E-E6D0DBE84A79}" name="Cruising Speed (m/s)"/>
    <tableColumn id="4" xr3:uid="{53F511C7-2504-414E-B219-5606FEBBDE2C}" name="Average Wing Chord (m)">
      <calculatedColumnFormula>Table1315162840[[#This Row],[Wingspan (m)]]/Table1315162840[[#This Row],[Wing Aspect Ratio]]</calculatedColumnFormula>
    </tableColumn>
    <tableColumn id="5" xr3:uid="{AA0DAC3A-D604-4DBA-B197-66B9292D70E1}" name="Wing Area (m^2)">
      <calculatedColumnFormula>Table1315162840[[#This Row],[Average Wing Chord (m)]]*Table1315162840[[#This Row],[Wingspan (m)]]</calculatedColumnFormula>
    </tableColumn>
    <tableColumn id="6" xr3:uid="{AF1B1C24-1257-4C87-AF18-DF20BA389119}" name="Reynolds Number">
      <calculatedColumnFormula>($B$2/$B$1)*D23*C23</calculatedColumnFormula>
    </tableColumn>
    <tableColumn id="8" xr3:uid="{F75245A7-CB76-41FC-A8CA-53B1AC7D27FB}" name="Drag (N) @ Alpha = 0" dataDxfId="38">
      <calculatedColumnFormula>(0.5)*$B$2*$E23*IF($F23&lt;75000,B$6,IF($F23&lt;150000,B$7,B$8))*$C23*$C23</calculatedColumnFormula>
    </tableColumn>
    <tableColumn id="9" xr3:uid="{78A1E58C-15D7-466C-966D-7467776C6FCC}" name="Drag(N) @ Alpha = 5" dataDxfId="37">
      <calculatedColumnFormula>(0.5)*$B$2*$E23*IF($F23&lt;75000,C$6,IF($F23&lt;150000,C$7,C$8))*$C23*$C23</calculatedColumnFormula>
    </tableColumn>
    <tableColumn id="10" xr3:uid="{33D8A32B-CF4E-47D7-84C2-839793A7759C}" name="Drag(N) @ Alpha = 10" dataDxfId="36">
      <calculatedColumnFormula>(0.5)*$B$2*$E23*IF($F23&lt;75000,D$6,IF($F23&lt;150000,D$7,D$8))*$C23*$C23</calculatedColumnFormula>
    </tableColumn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3A59C5A-2F34-495D-B13B-0FE3FE996DE9}" name="Table131516212941" displayName="Table131516212941" ref="A30:I34" totalsRowShown="0">
  <autoFilter ref="A30:I34" xr:uid="{43A59C5A-2F34-495D-B13B-0FE3FE996DE9}"/>
  <tableColumns count="9">
    <tableColumn id="1" xr3:uid="{64626006-A285-49CE-A31A-C1E7232A7BA7}" name="Wingspan (m)"/>
    <tableColumn id="2" xr3:uid="{F1E92DAD-9003-4622-AC90-9B49D3D21606}" name="Wing Aspect Ratio"/>
    <tableColumn id="3" xr3:uid="{91B388EC-5127-40F6-B0B2-EB4F402476CB}" name="Cruising Speed (m/s)"/>
    <tableColumn id="4" xr3:uid="{7FC7D5BC-E0EB-409B-B2AF-A4FF078CDAD1}" name="Average Wing Chord (m)">
      <calculatedColumnFormula>Table131516212941[[#This Row],[Wingspan (m)]]/Table131516212941[[#This Row],[Wing Aspect Ratio]]</calculatedColumnFormula>
    </tableColumn>
    <tableColumn id="5" xr3:uid="{3E5C5DAB-39CD-4777-836F-C7CA42A2546D}" name="Wing Area (m^2)">
      <calculatedColumnFormula>Table131516212941[[#This Row],[Average Wing Chord (m)]]*Table131516212941[[#This Row],[Wingspan (m)]]</calculatedColumnFormula>
    </tableColumn>
    <tableColumn id="6" xr3:uid="{D7D827CE-8237-4C5F-878E-DCDEF757D8DB}" name="Reynolds Number">
      <calculatedColumnFormula>($B$2/$B$1)*D31*C31</calculatedColumnFormula>
    </tableColumn>
    <tableColumn id="8" xr3:uid="{ED0D5DED-0DED-4685-BC63-59B1C6843F6D}" name="Drag (N) @ Alpha = 0" dataDxfId="35">
      <calculatedColumnFormula>(0.5)*$B$2*$E31*IF($F31&lt;75000,B$6,IF($F31&lt;150000,B$7,B$8))*$C31*$C31</calculatedColumnFormula>
    </tableColumn>
    <tableColumn id="9" xr3:uid="{9BA0CB14-37A3-4BA4-85E3-5F3440D67E54}" name="Drag(N) @ Alpha = 5" dataDxfId="34">
      <calculatedColumnFormula>(0.5)*$B$2*$E31*IF($F31&lt;75000,C$6,IF($F31&lt;150000,C$7,C$8))*$C31*$C31</calculatedColumnFormula>
    </tableColumn>
    <tableColumn id="10" xr3:uid="{88D23607-A7ED-454C-89D6-E4D6A0FD1D02}" name="Drag(N) @ Alpha = 10" dataDxfId="33">
      <calculatedColumnFormula>(0.5)*$B$2*$E31*IF($F31&lt;75000,D$6,IF($F31&lt;150000,D$7,D$8))*$C31*$C31</calculatedColumnFormula>
    </tableColumn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FC284A6-65BD-4D5F-B985-C7CD418E3B1D}" name="Table131516223042" displayName="Table131516223042" ref="A38:I42" totalsRowShown="0">
  <autoFilter ref="A38:I42" xr:uid="{6FC284A6-65BD-4D5F-B985-C7CD418E3B1D}"/>
  <tableColumns count="9">
    <tableColumn id="1" xr3:uid="{5CFCC329-CCB8-4EEF-A3C2-C38C75849ABF}" name="Wingspan (m)"/>
    <tableColumn id="2" xr3:uid="{E71D43EF-89ED-41B3-984C-1E6A3727F695}" name="Wing Aspect Ratio"/>
    <tableColumn id="3" xr3:uid="{DF78D161-B705-4F0E-A2D9-368797319B5D}" name="Cruising Speed (m/s)"/>
    <tableColumn id="4" xr3:uid="{84C78407-9245-4DC7-A282-5C4E9288E174}" name="Average Wing Chord (m)">
      <calculatedColumnFormula>Table131516223042[[#This Row],[Wingspan (m)]]/Table131516223042[[#This Row],[Wing Aspect Ratio]]</calculatedColumnFormula>
    </tableColumn>
    <tableColumn id="5" xr3:uid="{3CDA2EA4-E651-49BF-994D-2A7A50DB6BA3}" name="Wing Area (m^2)">
      <calculatedColumnFormula>Table131516223042[[#This Row],[Average Wing Chord (m)]]*Table131516223042[[#This Row],[Wingspan (m)]]</calculatedColumnFormula>
    </tableColumn>
    <tableColumn id="6" xr3:uid="{12CEA453-6913-491D-B5D1-DB85E1DDDB7E}" name="Reynolds Number">
      <calculatedColumnFormula>($B$2/$B$1)*D39*C39</calculatedColumnFormula>
    </tableColumn>
    <tableColumn id="8" xr3:uid="{10623185-97AA-4E1A-85DF-6C4323F0E89A}" name="Drag (N) @ Alpha = 0" dataDxfId="32">
      <calculatedColumnFormula>(0.5)*$B$2*$E39*IF($F39&lt;75000,B$6,IF($F39&lt;150000,B$7,B$8))*$C39*$C39</calculatedColumnFormula>
    </tableColumn>
    <tableColumn id="9" xr3:uid="{94CFE4A3-1373-40FC-BBC4-9B5A7821CD3D}" name="Drag(N) @ Alpha = 5" dataDxfId="31">
      <calculatedColumnFormula>(0.5)*$B$2*$E39*IF($F39&lt;75000,C$6,IF($F39&lt;150000,C$7,C$8))*$C39*$C39</calculatedColumnFormula>
    </tableColumn>
    <tableColumn id="10" xr3:uid="{0E2C50D9-B400-4CCB-939F-6A442A977C22}" name="Drag(N) @ Alpha = 10" dataDxfId="30">
      <calculatedColumnFormula>(0.5)*$B$2*$E39*IF($F39&lt;75000,D$6,IF($F39&lt;150000,D$7,D$8))*$C39*$C39</calculatedColumnFormula>
    </tableColumn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DA833AB-C19D-4E26-A64C-A126905A5500}" name="Table131516233143" displayName="Table131516233143" ref="A46:I50" totalsRowShown="0">
  <autoFilter ref="A46:I50" xr:uid="{2DA833AB-C19D-4E26-A64C-A126905A5500}"/>
  <tableColumns count="9">
    <tableColumn id="1" xr3:uid="{FC9DCF05-1900-4629-B399-23AC105B92BD}" name="Wingspan (m)"/>
    <tableColumn id="2" xr3:uid="{C53261F4-F5D7-43E6-949A-C0EFC0493A7F}" name="Wing Aspect Ratio"/>
    <tableColumn id="3" xr3:uid="{F73B6F7D-F291-48E1-80A2-BAB0E7FC2ADD}" name="Cruising Speed (m/s)"/>
    <tableColumn id="4" xr3:uid="{644BEE4C-1BB4-41ED-81D0-7A7010F94791}" name="Average Wing Chord (m)">
      <calculatedColumnFormula>Table131516233143[[#This Row],[Wingspan (m)]]/Table131516233143[[#This Row],[Wing Aspect Ratio]]</calculatedColumnFormula>
    </tableColumn>
    <tableColumn id="5" xr3:uid="{4321F146-DD67-44C1-87F6-3A655631685F}" name="Wing Area (m^2)">
      <calculatedColumnFormula>Table131516233143[[#This Row],[Average Wing Chord (m)]]*Table131516233143[[#This Row],[Wingspan (m)]]</calculatedColumnFormula>
    </tableColumn>
    <tableColumn id="6" xr3:uid="{67729E08-9806-4D60-91F8-0AD6EEB1CD36}" name="Reynolds Number">
      <calculatedColumnFormula>($B$2/$B$1)*D47*C47</calculatedColumnFormula>
    </tableColumn>
    <tableColumn id="8" xr3:uid="{73AB84A6-EA2D-4647-ADC1-A95856222163}" name="Drag (N) @ Alpha = 0" dataDxfId="29">
      <calculatedColumnFormula>(0.5)*$B$2*$E47*IF($F47&lt;75000,B$6,IF($F47&lt;150000,B$7,B$8))*$C47*$C47</calculatedColumnFormula>
    </tableColumn>
    <tableColumn id="9" xr3:uid="{65C4DEF2-C613-4AAF-8C4A-34B7F284F15C}" name="Drag(N) @ Alpha = 5" dataDxfId="28">
      <calculatedColumnFormula>(0.5)*$B$2*$E47*IF($F47&lt;75000,C$6,IF($F47&lt;150000,C$7,C$8))*$C47*$C47</calculatedColumnFormula>
    </tableColumn>
    <tableColumn id="10" xr3:uid="{F5824F39-1620-468D-94AF-4D6F3D89013E}" name="Drag(N) @ Alpha = 10" dataDxfId="27">
      <calculatedColumnFormula>(0.5)*$B$2*$E47*IF($F47&lt;75000,D$6,IF($F47&lt;150000,D$7,D$8))*$C47*$C47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DBAE2AF-8EC8-442B-AF62-7B4E78A05DF3}" name="Table131516243244" displayName="Table131516243244" ref="A54:I58" totalsRowShown="0">
  <autoFilter ref="A54:I58" xr:uid="{4DBAE2AF-8EC8-442B-AF62-7B4E78A05DF3}"/>
  <tableColumns count="9">
    <tableColumn id="1" xr3:uid="{F25DF041-6E52-47BE-94BE-C3141431E1EC}" name="Wingspan (m)"/>
    <tableColumn id="2" xr3:uid="{9182E608-FC29-462A-ADD9-E0DD720D5178}" name="Wing Aspect Ratio"/>
    <tableColumn id="3" xr3:uid="{E8623208-0F43-4185-91C1-E2AF349EDD8E}" name="Cruising Speed (m/s)"/>
    <tableColumn id="4" xr3:uid="{9BC78C1F-A3A6-4B03-833C-918B934CF1B1}" name="Average Wing Chord (m)">
      <calculatedColumnFormula>Table131516243244[[#This Row],[Wingspan (m)]]/Table131516243244[[#This Row],[Wing Aspect Ratio]]</calculatedColumnFormula>
    </tableColumn>
    <tableColumn id="5" xr3:uid="{729CBD93-E81A-402A-8B1D-36F100F739FE}" name="Wing Area (m^2)">
      <calculatedColumnFormula>Table131516243244[[#This Row],[Average Wing Chord (m)]]*Table131516243244[[#This Row],[Wingspan (m)]]</calculatedColumnFormula>
    </tableColumn>
    <tableColumn id="6" xr3:uid="{F163900B-FC09-40B6-8F94-C74F3C56AB52}" name="Reynolds Number">
      <calculatedColumnFormula>($B$2/$B$1)*D55*C55</calculatedColumnFormula>
    </tableColumn>
    <tableColumn id="8" xr3:uid="{10D9F849-A0A4-4A9B-A023-FEF74B6CE220}" name="Drag (N) @ Alpha = 0" dataDxfId="26">
      <calculatedColumnFormula>(0.5)*$B$2*$E55*IF($F55&lt;75000,B$6,IF($F55&lt;150000,B$7,B$8))*$C55*$C55</calculatedColumnFormula>
    </tableColumn>
    <tableColumn id="9" xr3:uid="{C20E0FFB-248A-4F66-A181-6F6F5166936C}" name="Drag(N) @ Alpha = 5" dataDxfId="25">
      <calculatedColumnFormula>(0.5)*$B$2*$E55*IF($F55&lt;75000,C$6,IF($F55&lt;150000,C$7,C$8))*$C55*$C55</calculatedColumnFormula>
    </tableColumn>
    <tableColumn id="10" xr3:uid="{7EDD8CB3-739A-45CA-91CB-A8363E08601C}" name="Drag(N) @ Alpha = 10" dataDxfId="24">
      <calculatedColumnFormula>(0.5)*$B$2*$E55*IF($F55&lt;75000,D$6,IF($F55&lt;150000,D$7,D$8))*$C55*$C55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workbookViewId="0">
      <selection activeCell="E16" sqref="E16"/>
    </sheetView>
  </sheetViews>
  <sheetFormatPr defaultRowHeight="14.5" x14ac:dyDescent="0.35"/>
  <cols>
    <col min="1" max="1" width="22.453125" customWidth="1"/>
    <col min="2" max="2" width="26.26953125" bestFit="1" customWidth="1"/>
    <col min="3" max="3" width="26.81640625" bestFit="1" customWidth="1"/>
    <col min="4" max="4" width="24.7265625" customWidth="1"/>
    <col min="5" max="5" width="17.81640625" customWidth="1"/>
    <col min="6" max="6" width="19" customWidth="1"/>
    <col min="7" max="8" width="17" bestFit="1" customWidth="1"/>
    <col min="9" max="9" width="18" bestFit="1" customWidth="1"/>
    <col min="12" max="12" width="16.453125" customWidth="1"/>
    <col min="13" max="13" width="25.81640625" bestFit="1" customWidth="1"/>
    <col min="14" max="14" width="25.26953125" bestFit="1" customWidth="1"/>
    <col min="15" max="15" width="26.453125" bestFit="1" customWidth="1"/>
    <col min="17" max="17" width="9.1796875" customWidth="1"/>
  </cols>
  <sheetData>
    <row r="1" spans="1:15" x14ac:dyDescent="0.35">
      <c r="A1" t="s">
        <v>1</v>
      </c>
      <c r="B1">
        <v>1.7900000000000001E-5</v>
      </c>
    </row>
    <row r="2" spans="1:15" x14ac:dyDescent="0.35">
      <c r="A2" t="s">
        <v>2</v>
      </c>
      <c r="B2">
        <v>1.2250000000000001</v>
      </c>
    </row>
    <row r="4" spans="1:15" x14ac:dyDescent="0.35">
      <c r="A4" t="s">
        <v>17</v>
      </c>
      <c r="B4" t="s">
        <v>18</v>
      </c>
    </row>
    <row r="5" spans="1:15" x14ac:dyDescent="0.35">
      <c r="A5" t="s">
        <v>6</v>
      </c>
      <c r="B5" t="s">
        <v>19</v>
      </c>
      <c r="C5" t="s">
        <v>20</v>
      </c>
      <c r="D5" t="s">
        <v>21</v>
      </c>
    </row>
    <row r="6" spans="1:15" x14ac:dyDescent="0.35">
      <c r="A6" s="2">
        <v>50000</v>
      </c>
      <c r="B6">
        <v>8.1199999999999994E-2</v>
      </c>
      <c r="C6">
        <v>0.66190000000000004</v>
      </c>
      <c r="D6">
        <v>1.2661</v>
      </c>
      <c r="E6" s="2"/>
    </row>
    <row r="7" spans="1:15" x14ac:dyDescent="0.35">
      <c r="A7" s="2">
        <v>100000</v>
      </c>
      <c r="B7">
        <v>0.3952</v>
      </c>
      <c r="C7">
        <v>0.8992</v>
      </c>
      <c r="D7">
        <v>1.2615000000000001</v>
      </c>
      <c r="E7" s="2"/>
      <c r="L7" t="s">
        <v>36</v>
      </c>
    </row>
    <row r="8" spans="1:15" x14ac:dyDescent="0.35">
      <c r="A8" s="2">
        <v>200000</v>
      </c>
      <c r="B8">
        <v>0.4304</v>
      </c>
      <c r="C8">
        <v>0.91180000000000005</v>
      </c>
      <c r="D8">
        <v>1.2591000000000001</v>
      </c>
      <c r="E8" s="2"/>
      <c r="L8" t="s">
        <v>37</v>
      </c>
    </row>
    <row r="11" spans="1:15" x14ac:dyDescent="0.35">
      <c r="L11" s="6" t="s">
        <v>26</v>
      </c>
      <c r="M11" s="6"/>
      <c r="N11" s="6"/>
      <c r="O11" s="6"/>
    </row>
    <row r="12" spans="1:15" x14ac:dyDescent="0.35">
      <c r="A12" s="7" t="s">
        <v>16</v>
      </c>
      <c r="B12" s="7"/>
      <c r="C12" s="7"/>
      <c r="D12" s="7"/>
      <c r="E12" s="7"/>
      <c r="F12" s="7"/>
      <c r="G12" s="7"/>
      <c r="H12" s="7"/>
      <c r="I12" s="7"/>
      <c r="L12" s="1" t="s">
        <v>0</v>
      </c>
      <c r="M12" s="1" t="s">
        <v>33</v>
      </c>
      <c r="N12" s="1" t="s">
        <v>34</v>
      </c>
      <c r="O12" s="1" t="s">
        <v>35</v>
      </c>
    </row>
    <row r="13" spans="1:15" x14ac:dyDescent="0.35">
      <c r="A13" s="5" t="s">
        <v>5</v>
      </c>
      <c r="B13" s="5"/>
      <c r="C13" s="5"/>
      <c r="D13" s="5" t="s">
        <v>8</v>
      </c>
      <c r="E13" s="5"/>
      <c r="F13" s="5"/>
      <c r="G13" s="5"/>
      <c r="H13" s="5"/>
      <c r="I13" s="5"/>
      <c r="L13" s="4">
        <f>A15</f>
        <v>0.25</v>
      </c>
      <c r="M13" s="3" cm="1">
        <f t="array" ref="M13:O13">G15:I15</f>
        <v>5.0356687500000004E-2</v>
      </c>
      <c r="N13" s="3">
        <v>0.41048142187500003</v>
      </c>
      <c r="O13" s="3">
        <v>0.78517982812500009</v>
      </c>
    </row>
    <row r="14" spans="1:15" x14ac:dyDescent="0.3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23</v>
      </c>
      <c r="H14" t="s">
        <v>24</v>
      </c>
      <c r="I14" t="s">
        <v>25</v>
      </c>
      <c r="L14" s="4">
        <f>A23</f>
        <v>0.5</v>
      </c>
      <c r="M14" s="3" cm="1">
        <f t="array" ref="M14:O14">G23:I23</f>
        <v>0.20142675000000002</v>
      </c>
      <c r="N14" s="3">
        <v>1.6419256875000001</v>
      </c>
      <c r="O14" s="3">
        <v>3.1407193125000004</v>
      </c>
    </row>
    <row r="15" spans="1:15" x14ac:dyDescent="0.35">
      <c r="A15">
        <v>0.25</v>
      </c>
      <c r="B15">
        <v>5</v>
      </c>
      <c r="C15">
        <v>9</v>
      </c>
      <c r="D15">
        <f>Table1315[[#This Row],[Wingspan (m)]]/Table1315[[#This Row],[Wing Aspect Ratio]]</f>
        <v>0.05</v>
      </c>
      <c r="E15">
        <f>Table1315[[#This Row],[Average Wing Chord (m)]]*Table1315[[#This Row],[Wingspan (m)]]</f>
        <v>1.2500000000000001E-2</v>
      </c>
      <c r="F15">
        <f>($B$2/$B$1)*D15*C15</f>
        <v>30796.089385474857</v>
      </c>
      <c r="G15">
        <f>(0.5)*$B$2*Table1315[[#This Row],[Wing Area (m^2)]]*$B$6*Table1315[[#This Row],[Cruising Speed (m/s)]]*Table1315[[#This Row],[Cruising Speed (m/s)]]</f>
        <v>5.0356687500000004E-2</v>
      </c>
      <c r="H15">
        <f>(0.5)*$B$2*Table1315[[#This Row],[Wing Area (m^2)]]*$C$6*Table1315[[#This Row],[Cruising Speed (m/s)]]*Table1315[[#This Row],[Cruising Speed (m/s)]]</f>
        <v>0.41048142187500003</v>
      </c>
      <c r="I15">
        <f>(0.5)*$B$2*Table1315[[#This Row],[Wing Area (m^2)]]*$D$6*Table1315[[#This Row],[Cruising Speed (m/s)]]*Table1315[[#This Row],[Cruising Speed (m/s)]]</f>
        <v>0.78517982812500009</v>
      </c>
      <c r="L15" s="4">
        <f>A31</f>
        <v>0.75</v>
      </c>
      <c r="M15" s="3" cm="1">
        <f t="array" ref="M15:O15">G31:I31</f>
        <v>2.2057717499999998</v>
      </c>
      <c r="N15" s="3">
        <v>5.0188005000000002</v>
      </c>
      <c r="O15" s="3">
        <v>7.0409439843750006</v>
      </c>
    </row>
    <row r="16" spans="1:15" x14ac:dyDescent="0.35">
      <c r="A16">
        <f>A15</f>
        <v>0.25</v>
      </c>
      <c r="B16">
        <v>5</v>
      </c>
      <c r="C16">
        <v>13.5</v>
      </c>
      <c r="D16">
        <f>Table1315[[#This Row],[Wingspan (m)]]/Table1315[[#This Row],[Wing Aspect Ratio]]</f>
        <v>0.05</v>
      </c>
      <c r="E16">
        <f>Table1315[[#This Row],[Average Wing Chord (m)]]*Table1315[[#This Row],[Wingspan (m)]]</f>
        <v>1.2500000000000001E-2</v>
      </c>
      <c r="F16">
        <f>($B$2/$B$1)*D16*C16</f>
        <v>46194.134078212286</v>
      </c>
      <c r="G16">
        <f>(0.5)*$B$2*Table1315[[#This Row],[Wing Area (m^2)]]*$B$6*Table1315[[#This Row],[Cruising Speed (m/s)]]*Table1315[[#This Row],[Cruising Speed (m/s)]]</f>
        <v>0.11330254687500001</v>
      </c>
      <c r="H16">
        <f>(0.5)*$B$2*Table1315[[#This Row],[Wing Area (m^2)]]*$C$6*Table1315[[#This Row],[Cruising Speed (m/s)]]*Table1315[[#This Row],[Cruising Speed (m/s)]]</f>
        <v>0.92358319921875009</v>
      </c>
      <c r="I16">
        <f>(0.5)*$B$2*Table1315[[#This Row],[Wing Area (m^2)]]*$D$6*Table1315[[#This Row],[Cruising Speed (m/s)]]*Table1315[[#This Row],[Cruising Speed (m/s)]]</f>
        <v>1.7666546132812502</v>
      </c>
      <c r="L16" s="4">
        <f>A39</f>
        <v>1</v>
      </c>
      <c r="M16" s="3" cm="1">
        <f t="array" ref="M16:O16">G39:I39</f>
        <v>3.9213720000000003</v>
      </c>
      <c r="N16" s="3">
        <v>8.9223120000000016</v>
      </c>
      <c r="O16" s="3">
        <v>12.517233750000003</v>
      </c>
    </row>
    <row r="17" spans="1:15" x14ac:dyDescent="0.35">
      <c r="A17">
        <f>A16</f>
        <v>0.25</v>
      </c>
      <c r="B17">
        <v>6</v>
      </c>
      <c r="C17">
        <v>9</v>
      </c>
      <c r="D17">
        <f>Table1315[[#This Row],[Wingspan (m)]]/Table1315[[#This Row],[Wing Aspect Ratio]]</f>
        <v>4.1666666666666664E-2</v>
      </c>
      <c r="E17">
        <f>Table1315[[#This Row],[Average Wing Chord (m)]]*Table1315[[#This Row],[Wingspan (m)]]</f>
        <v>1.0416666666666666E-2</v>
      </c>
      <c r="F17">
        <f>($B$2/$B$1)*D17*C17</f>
        <v>25663.407821229048</v>
      </c>
      <c r="G17">
        <f>(0.5)*$B$2*Table1315[[#This Row],[Wing Area (m^2)]]*$B$6*Table1315[[#This Row],[Cruising Speed (m/s)]]*Table1315[[#This Row],[Cruising Speed (m/s)]]</f>
        <v>4.1963906249999995E-2</v>
      </c>
      <c r="H17">
        <f>(0.5)*$B$2*Table1315[[#This Row],[Wing Area (m^2)]]*$C$6*Table1315[[#This Row],[Cruising Speed (m/s)]]*Table1315[[#This Row],[Cruising Speed (m/s)]]</f>
        <v>0.34206785156249997</v>
      </c>
      <c r="I17">
        <f>(0.5)*$B$2*Table1315[[#This Row],[Wing Area (m^2)]]*$D$6*Table1315[[#This Row],[Cruising Speed (m/s)]]*Table1315[[#This Row],[Cruising Speed (m/s)]]</f>
        <v>0.65431652343749991</v>
      </c>
      <c r="L17" s="4">
        <f>A47</f>
        <v>1.25</v>
      </c>
      <c r="M17" s="3" cm="1">
        <f t="array" ref="M17:O17">G47:I47</f>
        <v>6.6728812499999997</v>
      </c>
      <c r="N17" s="3">
        <v>14.136461718750001</v>
      </c>
      <c r="O17" s="3">
        <v>19.520968359375004</v>
      </c>
    </row>
    <row r="18" spans="1:15" x14ac:dyDescent="0.35">
      <c r="A18">
        <f>A17</f>
        <v>0.25</v>
      </c>
      <c r="B18">
        <v>6</v>
      </c>
      <c r="C18">
        <v>13.5</v>
      </c>
      <c r="D18">
        <f>Table1315[[#This Row],[Wingspan (m)]]/Table1315[[#This Row],[Wing Aspect Ratio]]</f>
        <v>4.1666666666666664E-2</v>
      </c>
      <c r="E18">
        <f>Table1315[[#This Row],[Average Wing Chord (m)]]*Table1315[[#This Row],[Wingspan (m)]]</f>
        <v>1.0416666666666666E-2</v>
      </c>
      <c r="F18">
        <f>($B$2/$B$1)*D18*C18</f>
        <v>38495.111731843572</v>
      </c>
      <c r="G18">
        <f>(0.5)*$B$2*Table1315[[#This Row],[Wing Area (m^2)]]*$B$6*Table1315[[#This Row],[Cruising Speed (m/s)]]*Table1315[[#This Row],[Cruising Speed (m/s)]]</f>
        <v>9.441878906249998E-2</v>
      </c>
      <c r="H18">
        <f>(0.5)*$B$2*Table1315[[#This Row],[Wing Area (m^2)]]*$C$6*Table1315[[#This Row],[Cruising Speed (m/s)]]*Table1315[[#This Row],[Cruising Speed (m/s)]]</f>
        <v>0.76965266601562499</v>
      </c>
      <c r="I18">
        <f>(0.5)*$B$2*Table1315[[#This Row],[Wing Area (m^2)]]*$D$6*Table1315[[#This Row],[Cruising Speed (m/s)]]*Table1315[[#This Row],[Cruising Speed (m/s)]]</f>
        <v>1.4722121777343748</v>
      </c>
      <c r="L18" s="4">
        <f>A55</f>
        <v>1.5</v>
      </c>
      <c r="M18" s="3" cm="1">
        <f t="array" ref="M18:O18">G55:I55</f>
        <v>9.6089489999999991</v>
      </c>
      <c r="N18" s="3">
        <v>20.356504875000006</v>
      </c>
      <c r="O18" s="3">
        <v>28.110194437500002</v>
      </c>
    </row>
    <row r="20" spans="1:15" x14ac:dyDescent="0.35">
      <c r="A20" s="7" t="s">
        <v>11</v>
      </c>
      <c r="B20" s="7"/>
      <c r="C20" s="7"/>
      <c r="D20" s="7"/>
      <c r="E20" s="7"/>
      <c r="F20" s="7"/>
      <c r="G20" s="7"/>
      <c r="H20" s="7"/>
      <c r="I20" s="7"/>
      <c r="L20" s="6" t="s">
        <v>27</v>
      </c>
      <c r="M20" s="6"/>
      <c r="N20" s="6"/>
      <c r="O20" s="6"/>
    </row>
    <row r="21" spans="1:15" x14ac:dyDescent="0.35">
      <c r="A21" s="5" t="s">
        <v>5</v>
      </c>
      <c r="B21" s="5"/>
      <c r="C21" s="5"/>
      <c r="D21" s="5" t="s">
        <v>8</v>
      </c>
      <c r="E21" s="5"/>
      <c r="F21" s="5"/>
      <c r="G21" s="5"/>
      <c r="H21" s="5"/>
      <c r="I21" s="5"/>
      <c r="L21" s="1" t="s">
        <v>0</v>
      </c>
      <c r="M21" s="1" t="s">
        <v>32</v>
      </c>
      <c r="N21" s="1" t="s">
        <v>30</v>
      </c>
      <c r="O21" s="1" t="s">
        <v>31</v>
      </c>
    </row>
    <row r="22" spans="1:15" x14ac:dyDescent="0.3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23</v>
      </c>
      <c r="H22" t="s">
        <v>24</v>
      </c>
      <c r="I22" t="s">
        <v>25</v>
      </c>
      <c r="L22" s="4">
        <f>A16</f>
        <v>0.25</v>
      </c>
      <c r="M22" s="3" cm="1">
        <f t="array" ref="M22:O22">G16:I16</f>
        <v>0.11330254687500001</v>
      </c>
      <c r="N22" s="3">
        <v>0.92358319921875009</v>
      </c>
      <c r="O22" s="3">
        <v>1.7666546132812502</v>
      </c>
    </row>
    <row r="23" spans="1:15" x14ac:dyDescent="0.35">
      <c r="A23">
        <f>A15+0.25</f>
        <v>0.5</v>
      </c>
      <c r="B23">
        <v>5</v>
      </c>
      <c r="C23">
        <v>9</v>
      </c>
      <c r="D23">
        <f>Table131516[[#This Row],[Wingspan (m)]]/Table131516[[#This Row],[Wing Aspect Ratio]]</f>
        <v>0.1</v>
      </c>
      <c r="E23">
        <f>Table131516[[#This Row],[Average Wing Chord (m)]]*Table131516[[#This Row],[Wingspan (m)]]</f>
        <v>0.05</v>
      </c>
      <c r="F23">
        <f>($B$2/$B$1)*D23*C23</f>
        <v>61592.178770949715</v>
      </c>
      <c r="G23">
        <f t="shared" ref="G23:I23" si="0">(0.5)*$B$2*$E23*IF($F23&lt;75000,B$6,IF($F23&lt;150000,B$7,B$8))*$C23*$C23</f>
        <v>0.20142675000000002</v>
      </c>
      <c r="H23">
        <f t="shared" si="0"/>
        <v>1.6419256875000001</v>
      </c>
      <c r="I23">
        <f t="shared" si="0"/>
        <v>3.1407193125000004</v>
      </c>
      <c r="L23" s="4">
        <f>A24</f>
        <v>0.5</v>
      </c>
      <c r="M23" s="3" cm="1">
        <f t="array" ref="M23:O23">G24:I24</f>
        <v>2.2057717500000003</v>
      </c>
      <c r="N23" s="3">
        <v>5.0188005000000011</v>
      </c>
      <c r="O23" s="3">
        <v>7.0409439843750006</v>
      </c>
    </row>
    <row r="24" spans="1:15" x14ac:dyDescent="0.35">
      <c r="A24">
        <f>A23</f>
        <v>0.5</v>
      </c>
      <c r="B24">
        <v>5</v>
      </c>
      <c r="C24">
        <v>13.5</v>
      </c>
      <c r="D24">
        <f>Table131516[[#This Row],[Wingspan (m)]]/Table131516[[#This Row],[Wing Aspect Ratio]]</f>
        <v>0.1</v>
      </c>
      <c r="E24">
        <f>Table131516[[#This Row],[Average Wing Chord (m)]]*Table131516[[#This Row],[Wingspan (m)]]</f>
        <v>0.05</v>
      </c>
      <c r="F24">
        <f>($B$2/$B$1)*D24*C24</f>
        <v>92388.268156424572</v>
      </c>
      <c r="G24">
        <f t="shared" ref="G24:I26" si="1">(0.5)*$B$2*$E24*IF($F24&lt;75000,B$6,IF($F24&lt;150000,B$7,B$8))*$C24*$C24</f>
        <v>2.2057717500000003</v>
      </c>
      <c r="H24">
        <f t="shared" ref="H24:H26" si="2">(0.5)*$B$2*$E24*IF($F24&lt;75000,C$6,IF($F24&lt;150000,C$7,C$8))*$C24*$C24</f>
        <v>5.0188005000000011</v>
      </c>
      <c r="I24">
        <f t="shared" si="1"/>
        <v>7.0409439843750006</v>
      </c>
      <c r="L24" s="4">
        <f>A32</f>
        <v>0.75</v>
      </c>
      <c r="M24" s="3" cm="1">
        <f t="array" ref="M24:O24">G32:I32</f>
        <v>4.9629864374999997</v>
      </c>
      <c r="N24" s="3">
        <v>11.292301125</v>
      </c>
      <c r="O24" s="3">
        <v>15.842123964843751</v>
      </c>
    </row>
    <row r="25" spans="1:15" x14ac:dyDescent="0.35">
      <c r="A25">
        <f>A24</f>
        <v>0.5</v>
      </c>
      <c r="B25">
        <v>6</v>
      </c>
      <c r="C25">
        <v>9</v>
      </c>
      <c r="D25">
        <f>Table131516[[#This Row],[Wingspan (m)]]/Table131516[[#This Row],[Wing Aspect Ratio]]</f>
        <v>8.3333333333333329E-2</v>
      </c>
      <c r="E25">
        <f>Table131516[[#This Row],[Average Wing Chord (m)]]*Table131516[[#This Row],[Wingspan (m)]]</f>
        <v>4.1666666666666664E-2</v>
      </c>
      <c r="F25">
        <f>($B$2/$B$1)*D25*C25</f>
        <v>51326.815642458096</v>
      </c>
      <c r="G25">
        <f t="shared" si="1"/>
        <v>0.16785562499999998</v>
      </c>
      <c r="H25">
        <f t="shared" si="2"/>
        <v>1.3682714062499999</v>
      </c>
      <c r="I25">
        <f t="shared" si="1"/>
        <v>2.6172660937499996</v>
      </c>
      <c r="L25" s="4">
        <f>A40</f>
        <v>1</v>
      </c>
      <c r="M25" s="3" cm="1">
        <f t="array" ref="M25:O25">G40:I40</f>
        <v>9.6089490000000026</v>
      </c>
      <c r="N25" s="3">
        <v>20.356504875000002</v>
      </c>
      <c r="O25" s="3">
        <v>28.110194437500009</v>
      </c>
    </row>
    <row r="26" spans="1:15" x14ac:dyDescent="0.35">
      <c r="A26">
        <f>A25</f>
        <v>0.5</v>
      </c>
      <c r="B26">
        <v>6</v>
      </c>
      <c r="C26">
        <v>13.5</v>
      </c>
      <c r="D26">
        <f>Table131516[[#This Row],[Wingspan (m)]]/Table131516[[#This Row],[Wing Aspect Ratio]]</f>
        <v>8.3333333333333329E-2</v>
      </c>
      <c r="E26">
        <f>Table131516[[#This Row],[Average Wing Chord (m)]]*Table131516[[#This Row],[Wingspan (m)]]</f>
        <v>4.1666666666666664E-2</v>
      </c>
      <c r="F26">
        <f>($B$2/$B$1)*D26*C26</f>
        <v>76990.223463687144</v>
      </c>
      <c r="G26">
        <f t="shared" si="1"/>
        <v>1.838143125</v>
      </c>
      <c r="H26">
        <f t="shared" si="2"/>
        <v>4.1823337500000006</v>
      </c>
      <c r="I26">
        <f t="shared" si="1"/>
        <v>5.8674533203124994</v>
      </c>
      <c r="L26" s="4">
        <f>A48</f>
        <v>1.25</v>
      </c>
      <c r="M26" s="3" cm="1">
        <f t="array" ref="M26:O26">G48:I48</f>
        <v>15.013982812500002</v>
      </c>
      <c r="N26" s="3">
        <v>31.807038867187501</v>
      </c>
      <c r="O26" s="3">
        <v>43.922178808593756</v>
      </c>
    </row>
    <row r="27" spans="1:15" x14ac:dyDescent="0.35">
      <c r="L27" s="4">
        <f>A56</f>
        <v>1.5</v>
      </c>
      <c r="M27" s="3" cm="1">
        <f t="array" ref="M27:O27">G56:I56</f>
        <v>21.620135250000001</v>
      </c>
      <c r="N27" s="3">
        <v>45.802135968750008</v>
      </c>
      <c r="O27" s="3">
        <v>63.247937484375008</v>
      </c>
    </row>
    <row r="28" spans="1:15" x14ac:dyDescent="0.35">
      <c r="A28" s="7" t="s">
        <v>12</v>
      </c>
      <c r="B28" s="7"/>
      <c r="C28" s="7"/>
      <c r="D28" s="7"/>
      <c r="E28" s="7"/>
      <c r="F28" s="7"/>
      <c r="G28" s="7"/>
      <c r="H28" s="7"/>
      <c r="I28" s="7"/>
    </row>
    <row r="29" spans="1:15" x14ac:dyDescent="0.35">
      <c r="A29" s="5" t="s">
        <v>5</v>
      </c>
      <c r="B29" s="5"/>
      <c r="C29" s="5"/>
      <c r="D29" s="5" t="s">
        <v>8</v>
      </c>
      <c r="E29" s="5"/>
      <c r="F29" s="5"/>
      <c r="G29" s="5"/>
      <c r="H29" s="5"/>
      <c r="I29" s="5"/>
      <c r="L29" s="6" t="s">
        <v>28</v>
      </c>
      <c r="M29" s="6"/>
      <c r="N29" s="6"/>
      <c r="O29" s="6"/>
    </row>
    <row r="30" spans="1:15" x14ac:dyDescent="0.3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23</v>
      </c>
      <c r="H30" t="s">
        <v>24</v>
      </c>
      <c r="I30" t="s">
        <v>25</v>
      </c>
      <c r="L30" s="1" t="s">
        <v>0</v>
      </c>
      <c r="M30" s="1" t="s">
        <v>23</v>
      </c>
      <c r="N30" s="1" t="s">
        <v>24</v>
      </c>
      <c r="O30" s="1" t="s">
        <v>25</v>
      </c>
    </row>
    <row r="31" spans="1:15" x14ac:dyDescent="0.35">
      <c r="A31">
        <f>A23+0.25</f>
        <v>0.75</v>
      </c>
      <c r="B31">
        <v>5</v>
      </c>
      <c r="C31">
        <v>9</v>
      </c>
      <c r="D31">
        <f>Table13151621[[#This Row],[Wingspan (m)]]/Table13151621[[#This Row],[Wing Aspect Ratio]]</f>
        <v>0.15</v>
      </c>
      <c r="E31">
        <f>Table13151621[[#This Row],[Average Wing Chord (m)]]*Table13151621[[#This Row],[Wingspan (m)]]</f>
        <v>0.11249999999999999</v>
      </c>
      <c r="F31">
        <f>($B$2/$B$1)*D31*C31</f>
        <v>92388.268156424572</v>
      </c>
      <c r="G31">
        <f t="shared" ref="G31:G34" si="3">(0.5)*$B$2*$E31*IF($F31&lt;75000,B$6,IF($F31&lt;150000,B$7,B$8))*$C31*$C31</f>
        <v>2.2057717499999998</v>
      </c>
      <c r="H31">
        <f t="shared" ref="H31:H34" si="4">(0.5)*$B$2*$E31*IF($F31&lt;75000,C$6,IF($F31&lt;150000,C$7,C$8))*$C31*$C31</f>
        <v>5.0188005000000002</v>
      </c>
      <c r="I31">
        <f t="shared" ref="I31:I34" si="5">(0.5)*$B$2*$E31*IF($F31&lt;75000,D$6,IF($F31&lt;150000,D$7,D$8))*$C31*$C31</f>
        <v>7.0409439843750006</v>
      </c>
      <c r="L31" s="4">
        <f>A17</f>
        <v>0.25</v>
      </c>
      <c r="M31" s="3" cm="1">
        <f t="array" ref="M31:O31">G17:I17</f>
        <v>4.1963906249999995E-2</v>
      </c>
      <c r="N31" s="3">
        <v>0.34206785156249997</v>
      </c>
      <c r="O31" s="3">
        <v>0.65431652343749991</v>
      </c>
    </row>
    <row r="32" spans="1:15" x14ac:dyDescent="0.35">
      <c r="A32">
        <f>A31</f>
        <v>0.75</v>
      </c>
      <c r="B32">
        <v>5</v>
      </c>
      <c r="C32">
        <v>13.5</v>
      </c>
      <c r="D32">
        <f>Table13151621[[#This Row],[Wingspan (m)]]/Table13151621[[#This Row],[Wing Aspect Ratio]]</f>
        <v>0.15</v>
      </c>
      <c r="E32">
        <f>Table13151621[[#This Row],[Average Wing Chord (m)]]*Table13151621[[#This Row],[Wingspan (m)]]</f>
        <v>0.11249999999999999</v>
      </c>
      <c r="F32">
        <f>($B$2/$B$1)*D32*C32</f>
        <v>138582.40223463686</v>
      </c>
      <c r="G32">
        <f t="shared" si="3"/>
        <v>4.9629864374999997</v>
      </c>
      <c r="H32">
        <f t="shared" si="4"/>
        <v>11.292301125</v>
      </c>
      <c r="I32">
        <f t="shared" si="5"/>
        <v>15.842123964843751</v>
      </c>
      <c r="L32" s="4">
        <f>A25</f>
        <v>0.5</v>
      </c>
      <c r="M32" s="3" cm="1">
        <f t="array" ref="M32:O32">G25:I25</f>
        <v>0.16785562499999998</v>
      </c>
      <c r="N32" s="3">
        <v>1.3682714062499999</v>
      </c>
      <c r="O32" s="3">
        <v>2.6172660937499996</v>
      </c>
    </row>
    <row r="33" spans="1:15" x14ac:dyDescent="0.35">
      <c r="A33">
        <f>A32</f>
        <v>0.75</v>
      </c>
      <c r="B33">
        <v>6</v>
      </c>
      <c r="C33">
        <v>9</v>
      </c>
      <c r="D33">
        <f>Table13151621[[#This Row],[Wingspan (m)]]/Table13151621[[#This Row],[Wing Aspect Ratio]]</f>
        <v>0.125</v>
      </c>
      <c r="E33">
        <f>Table13151621[[#This Row],[Average Wing Chord (m)]]*Table13151621[[#This Row],[Wingspan (m)]]</f>
        <v>9.375E-2</v>
      </c>
      <c r="F33">
        <f>($B$2/$B$1)*D33*C33</f>
        <v>76990.223463687144</v>
      </c>
      <c r="G33">
        <f t="shared" si="3"/>
        <v>1.8381431250000002</v>
      </c>
      <c r="H33">
        <f t="shared" si="4"/>
        <v>4.1823337500000006</v>
      </c>
      <c r="I33">
        <f t="shared" si="5"/>
        <v>5.8674533203125003</v>
      </c>
      <c r="L33" s="4">
        <f>A33</f>
        <v>0.75</v>
      </c>
      <c r="M33" s="3" cm="1">
        <f t="array" ref="M33:O33">G33:I33</f>
        <v>1.8381431250000002</v>
      </c>
      <c r="N33" s="3">
        <v>4.1823337500000006</v>
      </c>
      <c r="O33" s="3">
        <v>5.8674533203125003</v>
      </c>
    </row>
    <row r="34" spans="1:15" x14ac:dyDescent="0.35">
      <c r="A34">
        <f>A33</f>
        <v>0.75</v>
      </c>
      <c r="B34">
        <v>6</v>
      </c>
      <c r="C34">
        <v>13.5</v>
      </c>
      <c r="D34">
        <f>Table13151621[[#This Row],[Wingspan (m)]]/Table13151621[[#This Row],[Wing Aspect Ratio]]</f>
        <v>0.125</v>
      </c>
      <c r="E34">
        <f>Table13151621[[#This Row],[Average Wing Chord (m)]]*Table13151621[[#This Row],[Wingspan (m)]]</f>
        <v>9.375E-2</v>
      </c>
      <c r="F34">
        <f>($B$2/$B$1)*D34*C34</f>
        <v>115485.33519553072</v>
      </c>
      <c r="G34">
        <f t="shared" si="3"/>
        <v>4.13582203125</v>
      </c>
      <c r="H34">
        <f t="shared" si="4"/>
        <v>9.4102509375000007</v>
      </c>
      <c r="I34">
        <f t="shared" si="5"/>
        <v>13.201769970703126</v>
      </c>
      <c r="L34" s="4">
        <f>A41</f>
        <v>1</v>
      </c>
      <c r="M34" s="3" cm="1">
        <f t="array" ref="M34:O34">G41:I41</f>
        <v>3.2678100000000003</v>
      </c>
      <c r="N34" s="3">
        <v>7.4352600000000013</v>
      </c>
      <c r="O34" s="3">
        <v>10.431028124999999</v>
      </c>
    </row>
    <row r="35" spans="1:15" x14ac:dyDescent="0.35">
      <c r="L35" s="4">
        <f>A49</f>
        <v>1.25</v>
      </c>
      <c r="M35" s="3" cm="1">
        <f t="array" ref="M35:O35">G49:I49</f>
        <v>5.105953125000001</v>
      </c>
      <c r="N35" s="3">
        <v>11.617593750000001</v>
      </c>
      <c r="O35" s="3">
        <v>16.2984814453125</v>
      </c>
    </row>
    <row r="36" spans="1:15" x14ac:dyDescent="0.35">
      <c r="A36" s="7" t="s">
        <v>13</v>
      </c>
      <c r="B36" s="7"/>
      <c r="C36" s="7"/>
      <c r="D36" s="7"/>
      <c r="E36" s="7"/>
      <c r="F36" s="7"/>
      <c r="G36" s="7"/>
      <c r="H36" s="7"/>
      <c r="I36" s="7"/>
      <c r="L36" s="4">
        <f>A57</f>
        <v>1.5</v>
      </c>
      <c r="M36" s="3" cm="1">
        <f t="array" ref="M36:O36">G57:I57</f>
        <v>8.007457500000001</v>
      </c>
      <c r="N36" s="3">
        <v>16.963754062500001</v>
      </c>
      <c r="O36" s="3">
        <v>23.425162031250004</v>
      </c>
    </row>
    <row r="37" spans="1:15" x14ac:dyDescent="0.35">
      <c r="A37" s="5" t="s">
        <v>5</v>
      </c>
      <c r="B37" s="5"/>
      <c r="C37" s="5"/>
      <c r="D37" s="5" t="s">
        <v>8</v>
      </c>
      <c r="E37" s="5"/>
      <c r="F37" s="5"/>
      <c r="G37" s="5"/>
      <c r="H37" s="5"/>
      <c r="I37" s="5"/>
    </row>
    <row r="38" spans="1:15" x14ac:dyDescent="0.3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23</v>
      </c>
      <c r="H38" t="s">
        <v>24</v>
      </c>
      <c r="I38" t="s">
        <v>25</v>
      </c>
      <c r="L38" s="6" t="s">
        <v>29</v>
      </c>
      <c r="M38" s="6"/>
      <c r="N38" s="6"/>
      <c r="O38" s="6"/>
    </row>
    <row r="39" spans="1:15" x14ac:dyDescent="0.35">
      <c r="A39">
        <f>A31+0.25</f>
        <v>1</v>
      </c>
      <c r="B39">
        <v>5</v>
      </c>
      <c r="C39">
        <v>9</v>
      </c>
      <c r="D39">
        <f>Table13151622[[#This Row],[Wingspan (m)]]/Table13151622[[#This Row],[Wing Aspect Ratio]]</f>
        <v>0.2</v>
      </c>
      <c r="E39">
        <f>Table13151622[[#This Row],[Average Wing Chord (m)]]*Table13151622[[#This Row],[Wingspan (m)]]</f>
        <v>0.2</v>
      </c>
      <c r="F39">
        <f>($B$2/$B$1)*D39*C39</f>
        <v>123184.35754189943</v>
      </c>
      <c r="G39">
        <f t="shared" ref="G39:G42" si="6">(0.5)*$B$2*$E39*IF($F39&lt;75000,B$6,IF($F39&lt;150000,B$7,B$8))*$C39*$C39</f>
        <v>3.9213720000000003</v>
      </c>
      <c r="H39">
        <f t="shared" ref="H39:H42" si="7">(0.5)*$B$2*$E39*IF($F39&lt;75000,C$6,IF($F39&lt;150000,C$7,C$8))*$C39*$C39</f>
        <v>8.9223120000000016</v>
      </c>
      <c r="I39">
        <f t="shared" ref="I39:I42" si="8">(0.5)*$B$2*$E39*IF($F39&lt;75000,D$6,IF($F39&lt;150000,D$7,D$8))*$C39*$C39</f>
        <v>12.517233750000003</v>
      </c>
      <c r="L39" s="1" t="s">
        <v>0</v>
      </c>
      <c r="M39" s="1" t="s">
        <v>23</v>
      </c>
      <c r="N39" s="1" t="s">
        <v>24</v>
      </c>
      <c r="O39" s="1" t="s">
        <v>25</v>
      </c>
    </row>
    <row r="40" spans="1:15" x14ac:dyDescent="0.35">
      <c r="A40">
        <f>A39</f>
        <v>1</v>
      </c>
      <c r="B40">
        <v>5</v>
      </c>
      <c r="C40">
        <v>13.5</v>
      </c>
      <c r="D40">
        <f>Table13151622[[#This Row],[Wingspan (m)]]/Table13151622[[#This Row],[Wing Aspect Ratio]]</f>
        <v>0.2</v>
      </c>
      <c r="E40">
        <f>Table13151622[[#This Row],[Average Wing Chord (m)]]*Table13151622[[#This Row],[Wingspan (m)]]</f>
        <v>0.2</v>
      </c>
      <c r="F40">
        <f>($B$2/$B$1)*D40*C40</f>
        <v>184776.53631284914</v>
      </c>
      <c r="G40">
        <f t="shared" si="6"/>
        <v>9.6089490000000026</v>
      </c>
      <c r="H40">
        <f t="shared" si="7"/>
        <v>20.356504875000002</v>
      </c>
      <c r="I40">
        <f t="shared" si="8"/>
        <v>28.110194437500009</v>
      </c>
      <c r="L40" s="4">
        <f>A18</f>
        <v>0.25</v>
      </c>
      <c r="M40" s="3" cm="1">
        <f t="array" ref="M40:O40">G18:I18</f>
        <v>9.441878906249998E-2</v>
      </c>
      <c r="N40" s="3">
        <v>0.76965266601562499</v>
      </c>
      <c r="O40" s="3">
        <v>1.4722121777343748</v>
      </c>
    </row>
    <row r="41" spans="1:15" x14ac:dyDescent="0.35">
      <c r="A41">
        <f>A40</f>
        <v>1</v>
      </c>
      <c r="B41">
        <v>6</v>
      </c>
      <c r="C41">
        <v>9</v>
      </c>
      <c r="D41">
        <f>Table13151622[[#This Row],[Wingspan (m)]]/Table13151622[[#This Row],[Wing Aspect Ratio]]</f>
        <v>0.16666666666666666</v>
      </c>
      <c r="E41">
        <f>Table13151622[[#This Row],[Average Wing Chord (m)]]*Table13151622[[#This Row],[Wingspan (m)]]</f>
        <v>0.16666666666666666</v>
      </c>
      <c r="F41">
        <f>($B$2/$B$1)*D41*C41</f>
        <v>102653.63128491619</v>
      </c>
      <c r="G41">
        <f t="shared" si="6"/>
        <v>3.2678100000000003</v>
      </c>
      <c r="H41">
        <f t="shared" si="7"/>
        <v>7.4352600000000013</v>
      </c>
      <c r="I41">
        <f t="shared" si="8"/>
        <v>10.431028124999999</v>
      </c>
      <c r="L41" s="4">
        <f>A26</f>
        <v>0.5</v>
      </c>
      <c r="M41" s="3" cm="1">
        <f t="array" ref="M41:O41">G26:I26</f>
        <v>1.838143125</v>
      </c>
      <c r="N41" s="3">
        <v>4.1823337500000006</v>
      </c>
      <c r="O41" s="3">
        <v>5.8674533203124994</v>
      </c>
    </row>
    <row r="42" spans="1:15" x14ac:dyDescent="0.35">
      <c r="A42">
        <f>A41</f>
        <v>1</v>
      </c>
      <c r="B42">
        <v>6</v>
      </c>
      <c r="C42">
        <v>13.5</v>
      </c>
      <c r="D42">
        <f>Table13151622[[#This Row],[Wingspan (m)]]/Table13151622[[#This Row],[Wing Aspect Ratio]]</f>
        <v>0.16666666666666666</v>
      </c>
      <c r="E42">
        <f>Table13151622[[#This Row],[Average Wing Chord (m)]]*Table13151622[[#This Row],[Wingspan (m)]]</f>
        <v>0.16666666666666666</v>
      </c>
      <c r="F42">
        <f>($B$2/$B$1)*D42*C42</f>
        <v>153980.44692737429</v>
      </c>
      <c r="G42">
        <f t="shared" si="6"/>
        <v>8.007457500000001</v>
      </c>
      <c r="H42">
        <f t="shared" si="7"/>
        <v>16.963754062500001</v>
      </c>
      <c r="I42">
        <f t="shared" si="8"/>
        <v>23.42516203125</v>
      </c>
      <c r="L42" s="4">
        <f>A34</f>
        <v>0.75</v>
      </c>
      <c r="M42" s="3" cm="1">
        <f t="array" ref="M42:O42">G34:I34</f>
        <v>4.13582203125</v>
      </c>
      <c r="N42" s="3">
        <v>9.4102509375000007</v>
      </c>
      <c r="O42" s="3">
        <v>13.201769970703126</v>
      </c>
    </row>
    <row r="43" spans="1:15" x14ac:dyDescent="0.35">
      <c r="L43" s="4">
        <f>A42</f>
        <v>1</v>
      </c>
      <c r="M43" s="3" cm="1">
        <f t="array" ref="M43:O43">G42:I42</f>
        <v>8.007457500000001</v>
      </c>
      <c r="N43" s="3">
        <v>16.963754062500001</v>
      </c>
      <c r="O43" s="3">
        <v>23.42516203125</v>
      </c>
    </row>
    <row r="44" spans="1:15" x14ac:dyDescent="0.35">
      <c r="A44" s="7" t="s">
        <v>14</v>
      </c>
      <c r="B44" s="7"/>
      <c r="C44" s="7"/>
      <c r="D44" s="7"/>
      <c r="E44" s="7"/>
      <c r="F44" s="7"/>
      <c r="G44" s="7"/>
      <c r="H44" s="7"/>
      <c r="I44" s="7"/>
      <c r="L44" s="4">
        <f>A50</f>
        <v>1.25</v>
      </c>
      <c r="M44" s="3" cm="1">
        <f t="array" ref="M44:O44">G50:I50</f>
        <v>12.511652343750002</v>
      </c>
      <c r="N44" s="3">
        <v>26.50586572265625</v>
      </c>
      <c r="O44" s="3">
        <v>36.601815673828128</v>
      </c>
    </row>
    <row r="45" spans="1:15" x14ac:dyDescent="0.35">
      <c r="A45" s="5" t="s">
        <v>5</v>
      </c>
      <c r="B45" s="5"/>
      <c r="C45" s="5"/>
      <c r="D45" s="5" t="s">
        <v>8</v>
      </c>
      <c r="E45" s="5"/>
      <c r="F45" s="5"/>
      <c r="G45" s="5"/>
      <c r="H45" s="5"/>
      <c r="I45" s="5"/>
      <c r="L45" s="4">
        <f>A58</f>
        <v>1.5</v>
      </c>
      <c r="M45" s="3" cm="1">
        <f t="array" ref="M45:O45">G58:I58</f>
        <v>18.016779375000002</v>
      </c>
      <c r="N45" s="3">
        <v>38.168446640625007</v>
      </c>
      <c r="O45" s="3">
        <v>52.706614570312503</v>
      </c>
    </row>
    <row r="46" spans="1:15" x14ac:dyDescent="0.3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23</v>
      </c>
      <c r="H46" t="s">
        <v>24</v>
      </c>
      <c r="I46" t="s">
        <v>25</v>
      </c>
    </row>
    <row r="47" spans="1:15" x14ac:dyDescent="0.35">
      <c r="A47">
        <f>A39+0.25</f>
        <v>1.25</v>
      </c>
      <c r="B47">
        <v>5</v>
      </c>
      <c r="C47">
        <v>9</v>
      </c>
      <c r="D47">
        <f>Table13151623[[#This Row],[Wingspan (m)]]/Table13151623[[#This Row],[Wing Aspect Ratio]]</f>
        <v>0.25</v>
      </c>
      <c r="E47">
        <f>Table13151623[[#This Row],[Average Wing Chord (m)]]*Table13151623[[#This Row],[Wingspan (m)]]</f>
        <v>0.3125</v>
      </c>
      <c r="F47">
        <f>($B$2/$B$1)*D47*C47</f>
        <v>153980.44692737429</v>
      </c>
      <c r="G47">
        <f t="shared" ref="G47:G50" si="9">(0.5)*$B$2*$E47*IF($F47&lt;75000,B$6,IF($F47&lt;150000,B$7,B$8))*$C47*$C47</f>
        <v>6.6728812499999997</v>
      </c>
      <c r="H47">
        <f t="shared" ref="H47:H50" si="10">(0.5)*$B$2*$E47*IF($F47&lt;75000,C$6,IF($F47&lt;150000,C$7,C$8))*$C47*$C47</f>
        <v>14.136461718750001</v>
      </c>
      <c r="I47">
        <f t="shared" ref="I47:I50" si="11">(0.5)*$B$2*$E47*IF($F47&lt;75000,D$6,IF($F47&lt;150000,D$7,D$8))*$C47*$C47</f>
        <v>19.520968359375004</v>
      </c>
    </row>
    <row r="48" spans="1:15" x14ac:dyDescent="0.35">
      <c r="A48">
        <f>A47</f>
        <v>1.25</v>
      </c>
      <c r="B48">
        <v>5</v>
      </c>
      <c r="C48">
        <v>13.5</v>
      </c>
      <c r="D48">
        <f>Table13151623[[#This Row],[Wingspan (m)]]/Table13151623[[#This Row],[Wing Aspect Ratio]]</f>
        <v>0.25</v>
      </c>
      <c r="E48">
        <f>Table13151623[[#This Row],[Average Wing Chord (m)]]*Table13151623[[#This Row],[Wingspan (m)]]</f>
        <v>0.3125</v>
      </c>
      <c r="F48">
        <f>($B$2/$B$1)*D48*C48</f>
        <v>230970.67039106143</v>
      </c>
      <c r="G48">
        <f t="shared" si="9"/>
        <v>15.013982812500002</v>
      </c>
      <c r="H48">
        <f t="shared" si="10"/>
        <v>31.807038867187501</v>
      </c>
      <c r="I48">
        <f t="shared" si="11"/>
        <v>43.922178808593756</v>
      </c>
    </row>
    <row r="49" spans="1:9" x14ac:dyDescent="0.35">
      <c r="A49">
        <f>A48</f>
        <v>1.25</v>
      </c>
      <c r="B49">
        <v>6</v>
      </c>
      <c r="C49">
        <v>9</v>
      </c>
      <c r="D49">
        <f>Table13151623[[#This Row],[Wingspan (m)]]/Table13151623[[#This Row],[Wing Aspect Ratio]]</f>
        <v>0.20833333333333334</v>
      </c>
      <c r="E49">
        <f>Table13151623[[#This Row],[Average Wing Chord (m)]]*Table13151623[[#This Row],[Wingspan (m)]]</f>
        <v>0.26041666666666669</v>
      </c>
      <c r="F49">
        <f>($B$2/$B$1)*D49*C49</f>
        <v>128317.03910614524</v>
      </c>
      <c r="G49">
        <f t="shared" si="9"/>
        <v>5.105953125000001</v>
      </c>
      <c r="H49">
        <f t="shared" si="10"/>
        <v>11.617593750000001</v>
      </c>
      <c r="I49">
        <f t="shared" si="11"/>
        <v>16.2984814453125</v>
      </c>
    </row>
    <row r="50" spans="1:9" x14ac:dyDescent="0.35">
      <c r="A50">
        <f>A49</f>
        <v>1.25</v>
      </c>
      <c r="B50">
        <v>6</v>
      </c>
      <c r="C50">
        <v>13.5</v>
      </c>
      <c r="D50">
        <f>Table13151623[[#This Row],[Wingspan (m)]]/Table13151623[[#This Row],[Wing Aspect Ratio]]</f>
        <v>0.20833333333333334</v>
      </c>
      <c r="E50">
        <f>Table13151623[[#This Row],[Average Wing Chord (m)]]*Table13151623[[#This Row],[Wingspan (m)]]</f>
        <v>0.26041666666666669</v>
      </c>
      <c r="F50">
        <f>($B$2/$B$1)*D50*C50</f>
        <v>192475.55865921787</v>
      </c>
      <c r="G50">
        <f t="shared" si="9"/>
        <v>12.511652343750002</v>
      </c>
      <c r="H50">
        <f t="shared" si="10"/>
        <v>26.50586572265625</v>
      </c>
      <c r="I50">
        <f t="shared" si="11"/>
        <v>36.601815673828128</v>
      </c>
    </row>
    <row r="52" spans="1:9" x14ac:dyDescent="0.35">
      <c r="A52" s="7" t="s">
        <v>15</v>
      </c>
      <c r="B52" s="7"/>
      <c r="C52" s="7"/>
      <c r="D52" s="7"/>
      <c r="E52" s="7"/>
      <c r="F52" s="7"/>
      <c r="G52" s="7"/>
      <c r="H52" s="7"/>
      <c r="I52" s="7"/>
    </row>
    <row r="53" spans="1:9" x14ac:dyDescent="0.35">
      <c r="A53" s="5" t="s">
        <v>5</v>
      </c>
      <c r="B53" s="5"/>
      <c r="C53" s="5"/>
      <c r="D53" s="5" t="s">
        <v>8</v>
      </c>
      <c r="E53" s="5"/>
      <c r="F53" s="5"/>
      <c r="G53" s="5"/>
      <c r="H53" s="5"/>
      <c r="I53" s="5"/>
    </row>
    <row r="54" spans="1:9" x14ac:dyDescent="0.3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23</v>
      </c>
      <c r="H54" t="s">
        <v>24</v>
      </c>
      <c r="I54" t="s">
        <v>25</v>
      </c>
    </row>
    <row r="55" spans="1:9" x14ac:dyDescent="0.35">
      <c r="A55">
        <f>A47+0.25</f>
        <v>1.5</v>
      </c>
      <c r="B55">
        <v>5</v>
      </c>
      <c r="C55">
        <v>9</v>
      </c>
      <c r="D55">
        <f>Table13151624[[#This Row],[Wingspan (m)]]/Table13151624[[#This Row],[Wing Aspect Ratio]]</f>
        <v>0.3</v>
      </c>
      <c r="E55">
        <f>Table13151624[[#This Row],[Average Wing Chord (m)]]*Table13151624[[#This Row],[Wingspan (m)]]</f>
        <v>0.44999999999999996</v>
      </c>
      <c r="F55">
        <f>($B$2/$B$1)*D55*C55</f>
        <v>184776.53631284914</v>
      </c>
      <c r="G55">
        <f t="shared" ref="G55:G58" si="12">(0.5)*$B$2*$E55*IF($F55&lt;75000,B$6,IF($F55&lt;150000,B$7,B$8))*$C55*$C55</f>
        <v>9.6089489999999991</v>
      </c>
      <c r="H55">
        <f t="shared" ref="H55:H58" si="13">(0.5)*$B$2*$E55*IF($F55&lt;75000,C$6,IF($F55&lt;150000,C$7,C$8))*$C55*$C55</f>
        <v>20.356504875000006</v>
      </c>
      <c r="I55">
        <f t="shared" ref="I55:I58" si="14">(0.5)*$B$2*$E55*IF($F55&lt;75000,D$6,IF($F55&lt;150000,D$7,D$8))*$C55*$C55</f>
        <v>28.110194437500002</v>
      </c>
    </row>
    <row r="56" spans="1:9" x14ac:dyDescent="0.35">
      <c r="A56">
        <f>A55</f>
        <v>1.5</v>
      </c>
      <c r="B56">
        <v>5</v>
      </c>
      <c r="C56">
        <v>13.5</v>
      </c>
      <c r="D56">
        <f>Table13151624[[#This Row],[Wingspan (m)]]/Table13151624[[#This Row],[Wing Aspect Ratio]]</f>
        <v>0.3</v>
      </c>
      <c r="E56">
        <f>Table13151624[[#This Row],[Average Wing Chord (m)]]*Table13151624[[#This Row],[Wingspan (m)]]</f>
        <v>0.44999999999999996</v>
      </c>
      <c r="F56">
        <f>($B$2/$B$1)*D56*C56</f>
        <v>277164.80446927372</v>
      </c>
      <c r="G56">
        <f t="shared" si="12"/>
        <v>21.620135250000001</v>
      </c>
      <c r="H56">
        <f t="shared" si="13"/>
        <v>45.802135968750008</v>
      </c>
      <c r="I56">
        <f t="shared" si="14"/>
        <v>63.247937484375008</v>
      </c>
    </row>
    <row r="57" spans="1:9" x14ac:dyDescent="0.35">
      <c r="A57">
        <f>A56</f>
        <v>1.5</v>
      </c>
      <c r="B57">
        <v>6</v>
      </c>
      <c r="C57">
        <v>9</v>
      </c>
      <c r="D57">
        <f>Table13151624[[#This Row],[Wingspan (m)]]/Table13151624[[#This Row],[Wing Aspect Ratio]]</f>
        <v>0.25</v>
      </c>
      <c r="E57">
        <f>Table13151624[[#This Row],[Average Wing Chord (m)]]*Table13151624[[#This Row],[Wingspan (m)]]</f>
        <v>0.375</v>
      </c>
      <c r="F57">
        <f>($B$2/$B$1)*D57*C57</f>
        <v>153980.44692737429</v>
      </c>
      <c r="G57">
        <f t="shared" si="12"/>
        <v>8.007457500000001</v>
      </c>
      <c r="H57">
        <f t="shared" si="13"/>
        <v>16.963754062500001</v>
      </c>
      <c r="I57">
        <f t="shared" si="14"/>
        <v>23.425162031250004</v>
      </c>
    </row>
    <row r="58" spans="1:9" x14ac:dyDescent="0.35">
      <c r="A58">
        <f>A57</f>
        <v>1.5</v>
      </c>
      <c r="B58">
        <v>6</v>
      </c>
      <c r="C58">
        <v>13.5</v>
      </c>
      <c r="D58">
        <f>Table13151624[[#This Row],[Wingspan (m)]]/Table13151624[[#This Row],[Wing Aspect Ratio]]</f>
        <v>0.25</v>
      </c>
      <c r="E58">
        <f>Table13151624[[#This Row],[Average Wing Chord (m)]]*Table13151624[[#This Row],[Wingspan (m)]]</f>
        <v>0.375</v>
      </c>
      <c r="F58">
        <f>($B$2/$B$1)*D58*C58</f>
        <v>230970.67039106143</v>
      </c>
      <c r="G58">
        <f t="shared" si="12"/>
        <v>18.016779375000002</v>
      </c>
      <c r="H58">
        <f t="shared" si="13"/>
        <v>38.168446640625007</v>
      </c>
      <c r="I58">
        <f t="shared" si="14"/>
        <v>52.706614570312503</v>
      </c>
    </row>
  </sheetData>
  <mergeCells count="22">
    <mergeCell ref="A36:I36"/>
    <mergeCell ref="A21:C21"/>
    <mergeCell ref="D21:I21"/>
    <mergeCell ref="A28:I28"/>
    <mergeCell ref="A29:C29"/>
    <mergeCell ref="D29:I29"/>
    <mergeCell ref="A53:C53"/>
    <mergeCell ref="D53:I53"/>
    <mergeCell ref="L11:O11"/>
    <mergeCell ref="L20:O20"/>
    <mergeCell ref="L29:O29"/>
    <mergeCell ref="L38:O38"/>
    <mergeCell ref="A37:C37"/>
    <mergeCell ref="D37:I37"/>
    <mergeCell ref="A44:I44"/>
    <mergeCell ref="A45:C45"/>
    <mergeCell ref="D45:I45"/>
    <mergeCell ref="A52:I52"/>
    <mergeCell ref="D13:I13"/>
    <mergeCell ref="A12:I12"/>
    <mergeCell ref="A13:C13"/>
    <mergeCell ref="A20:I20"/>
  </mergeCells>
  <conditionalFormatting sqref="M13:O18">
    <cfRule type="cellIs" dxfId="23" priority="19" operator="lessThan">
      <formula>9.81</formula>
    </cfRule>
    <cfRule type="cellIs" dxfId="22" priority="20" operator="greaterThan">
      <formula>13</formula>
    </cfRule>
    <cfRule type="cellIs" dxfId="21" priority="29" operator="between">
      <formula>9.81</formula>
      <formula>13</formula>
    </cfRule>
  </conditionalFormatting>
  <conditionalFormatting sqref="M22:O27">
    <cfRule type="cellIs" dxfId="20" priority="7" operator="lessThan">
      <formula>9.81</formula>
    </cfRule>
    <cfRule type="cellIs" dxfId="19" priority="8" operator="greaterThan">
      <formula>13</formula>
    </cfRule>
    <cfRule type="cellIs" dxfId="18" priority="9" operator="between">
      <formula>9.81</formula>
      <formula>13</formula>
    </cfRule>
  </conditionalFormatting>
  <conditionalFormatting sqref="M31:O36">
    <cfRule type="cellIs" dxfId="17" priority="4" operator="lessThan">
      <formula>9.81</formula>
    </cfRule>
    <cfRule type="cellIs" dxfId="16" priority="5" operator="greaterThan">
      <formula>13</formula>
    </cfRule>
    <cfRule type="cellIs" dxfId="15" priority="6" operator="between">
      <formula>9.81</formula>
      <formula>13</formula>
    </cfRule>
  </conditionalFormatting>
  <conditionalFormatting sqref="M40:O45">
    <cfRule type="cellIs" dxfId="14" priority="1" operator="lessThan">
      <formula>9.81</formula>
    </cfRule>
    <cfRule type="cellIs" dxfId="13" priority="2" operator="greaterThan">
      <formula>13</formula>
    </cfRule>
    <cfRule type="cellIs" dxfId="12" priority="3" operator="between">
      <formula>9.81</formula>
      <formula>13</formula>
    </cfRule>
  </conditionalFormatting>
  <pageMargins left="0.7" right="0.7" top="0.75" bottom="0.75" header="0.3" footer="0.3"/>
  <pageSetup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D9E8-C363-4043-8E5E-BB9E4B59A8BE}">
  <dimension ref="A1:O58"/>
  <sheetViews>
    <sheetView topLeftCell="A22" workbookViewId="0">
      <selection activeCell="A12" sqref="A12:I58"/>
    </sheetView>
  </sheetViews>
  <sheetFormatPr defaultRowHeight="14.5" x14ac:dyDescent="0.35"/>
  <cols>
    <col min="1" max="1" width="22.7265625" bestFit="1" customWidth="1"/>
    <col min="2" max="2" width="19.7265625" bestFit="1" customWidth="1"/>
    <col min="3" max="3" width="22" bestFit="1" customWidth="1"/>
    <col min="4" max="4" width="25.453125" bestFit="1" customWidth="1"/>
    <col min="5" max="5" width="18.26953125" bestFit="1" customWidth="1"/>
    <col min="7" max="7" width="20.453125" bestFit="1" customWidth="1"/>
    <col min="8" max="8" width="20" bestFit="1" customWidth="1"/>
    <col min="9" max="9" width="21" bestFit="1" customWidth="1"/>
    <col min="12" max="12" width="16.1796875" customWidth="1"/>
    <col min="13" max="13" width="25.81640625" bestFit="1" customWidth="1"/>
    <col min="14" max="14" width="25.26953125" bestFit="1" customWidth="1"/>
    <col min="15" max="15" width="26.453125" bestFit="1" customWidth="1"/>
  </cols>
  <sheetData>
    <row r="1" spans="1:15" x14ac:dyDescent="0.35">
      <c r="A1" t="s">
        <v>1</v>
      </c>
      <c r="B1">
        <v>1.7900000000000001E-5</v>
      </c>
    </row>
    <row r="2" spans="1:15" x14ac:dyDescent="0.35">
      <c r="A2" t="s">
        <v>2</v>
      </c>
      <c r="B2">
        <v>1.2250000000000001</v>
      </c>
    </row>
    <row r="4" spans="1:15" x14ac:dyDescent="0.35">
      <c r="A4" t="s">
        <v>17</v>
      </c>
      <c r="B4" t="s">
        <v>18</v>
      </c>
    </row>
    <row r="5" spans="1:15" x14ac:dyDescent="0.35">
      <c r="A5" t="s">
        <v>6</v>
      </c>
      <c r="B5" t="s">
        <v>19</v>
      </c>
      <c r="C5" t="s">
        <v>20</v>
      </c>
      <c r="D5" t="s">
        <v>21</v>
      </c>
    </row>
    <row r="6" spans="1:15" x14ac:dyDescent="0.35">
      <c r="A6" s="2">
        <v>50000</v>
      </c>
      <c r="B6">
        <v>8.1199999999999994E-2</v>
      </c>
      <c r="C6">
        <v>0.66190000000000004</v>
      </c>
      <c r="D6">
        <v>1.2661</v>
      </c>
      <c r="E6" s="2"/>
    </row>
    <row r="7" spans="1:15" x14ac:dyDescent="0.35">
      <c r="A7" s="2">
        <v>100000</v>
      </c>
      <c r="B7">
        <v>0.3952</v>
      </c>
      <c r="C7">
        <v>0.8992</v>
      </c>
      <c r="D7">
        <v>1.2615000000000001</v>
      </c>
      <c r="E7" s="2"/>
      <c r="L7" t="s">
        <v>36</v>
      </c>
    </row>
    <row r="8" spans="1:15" x14ac:dyDescent="0.35">
      <c r="A8" s="2">
        <v>200000</v>
      </c>
      <c r="B8">
        <v>0.4304</v>
      </c>
      <c r="C8">
        <v>0.91180000000000005</v>
      </c>
      <c r="D8">
        <v>1.2591000000000001</v>
      </c>
      <c r="E8" s="2"/>
      <c r="L8" t="s">
        <v>37</v>
      </c>
    </row>
    <row r="11" spans="1:15" x14ac:dyDescent="0.35">
      <c r="L11" s="6" t="s">
        <v>38</v>
      </c>
      <c r="M11" s="6"/>
      <c r="N11" s="6"/>
      <c r="O11" s="6"/>
    </row>
    <row r="12" spans="1:15" x14ac:dyDescent="0.35">
      <c r="A12" s="7" t="s">
        <v>16</v>
      </c>
      <c r="B12" s="7"/>
      <c r="C12" s="7"/>
      <c r="D12" s="7"/>
      <c r="E12" s="7"/>
      <c r="F12" s="7"/>
      <c r="G12" s="7"/>
      <c r="H12" s="7"/>
      <c r="I12" s="7"/>
      <c r="L12" s="1" t="s">
        <v>0</v>
      </c>
      <c r="M12" s="1" t="s">
        <v>33</v>
      </c>
      <c r="N12" s="1" t="s">
        <v>34</v>
      </c>
      <c r="O12" s="1" t="s">
        <v>35</v>
      </c>
    </row>
    <row r="13" spans="1:15" x14ac:dyDescent="0.35">
      <c r="A13" s="5" t="s">
        <v>5</v>
      </c>
      <c r="B13" s="5"/>
      <c r="C13" s="5"/>
      <c r="D13" s="5" t="s">
        <v>8</v>
      </c>
      <c r="E13" s="5"/>
      <c r="F13" s="5"/>
      <c r="G13" s="5"/>
      <c r="H13" s="5"/>
      <c r="I13" s="5"/>
      <c r="L13" s="4">
        <f>A15</f>
        <v>0.25</v>
      </c>
      <c r="M13" s="3" cm="1">
        <f t="array" ref="M13:O13">G15:I15</f>
        <v>0.13987968750000002</v>
      </c>
      <c r="N13" s="3">
        <v>1.1402261718750002</v>
      </c>
      <c r="O13" s="3">
        <v>2.1810550781250004</v>
      </c>
    </row>
    <row r="14" spans="1:15" x14ac:dyDescent="0.3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23</v>
      </c>
      <c r="H14" t="s">
        <v>24</v>
      </c>
      <c r="I14" t="s">
        <v>25</v>
      </c>
      <c r="L14" s="4">
        <f>A23</f>
        <v>0.5</v>
      </c>
      <c r="M14" s="3" cm="1">
        <f t="array" ref="M14:O14">G23:I23</f>
        <v>2.7231750000000003</v>
      </c>
      <c r="N14" s="3">
        <v>6.1960500000000005</v>
      </c>
      <c r="O14" s="3">
        <v>8.6925234375000002</v>
      </c>
    </row>
    <row r="15" spans="1:15" x14ac:dyDescent="0.35">
      <c r="A15">
        <v>0.25</v>
      </c>
      <c r="B15">
        <v>5</v>
      </c>
      <c r="C15">
        <v>15</v>
      </c>
      <c r="D15">
        <f>Table131527[[#This Row],[Wingspan (m)]]/Table131527[[#This Row],[Wing Aspect Ratio]]</f>
        <v>0.05</v>
      </c>
      <c r="E15">
        <f>Table131527[[#This Row],[Average Wing Chord (m)]]*Table131527[[#This Row],[Wingspan (m)]]</f>
        <v>1.2500000000000001E-2</v>
      </c>
      <c r="F15">
        <f>($B$2/$B$1)*D15*C15</f>
        <v>51326.815642458096</v>
      </c>
      <c r="G15">
        <f>(0.5)*$B$2*Table131527[[#This Row],[Wing Area (m^2)]]*$B$6*Table131527[[#This Row],[Cruising Speed (m/s)]]*Table131527[[#This Row],[Cruising Speed (m/s)]]</f>
        <v>0.13987968750000002</v>
      </c>
      <c r="H15">
        <f>(0.5)*$B$2*Table131527[[#This Row],[Wing Area (m^2)]]*$C$6*Table131527[[#This Row],[Cruising Speed (m/s)]]*Table131527[[#This Row],[Cruising Speed (m/s)]]</f>
        <v>1.1402261718750002</v>
      </c>
      <c r="I15">
        <f>(0.5)*$B$2*Table131527[[#This Row],[Wing Area (m^2)]]*$D$6*Table131527[[#This Row],[Cruising Speed (m/s)]]*Table131527[[#This Row],[Cruising Speed (m/s)]]</f>
        <v>2.1810550781250004</v>
      </c>
      <c r="L15" s="4">
        <f>A31</f>
        <v>0.75</v>
      </c>
      <c r="M15" s="3" cm="1">
        <f t="array" ref="M15:O15">G31:I31</f>
        <v>6.6728812499999997</v>
      </c>
      <c r="N15" s="3">
        <v>14.136461718750002</v>
      </c>
      <c r="O15" s="3">
        <v>19.520968359375001</v>
      </c>
    </row>
    <row r="16" spans="1:15" x14ac:dyDescent="0.35">
      <c r="A16">
        <f>A15</f>
        <v>0.25</v>
      </c>
      <c r="B16">
        <v>5</v>
      </c>
      <c r="C16">
        <v>17</v>
      </c>
      <c r="D16">
        <f>Table131527[[#This Row],[Wingspan (m)]]/Table131527[[#This Row],[Wing Aspect Ratio]]</f>
        <v>0.05</v>
      </c>
      <c r="E16">
        <f>Table131527[[#This Row],[Average Wing Chord (m)]]*Table131527[[#This Row],[Wingspan (m)]]</f>
        <v>1.2500000000000001E-2</v>
      </c>
      <c r="F16">
        <f>($B$2/$B$1)*D16*C16</f>
        <v>58170.391061452508</v>
      </c>
      <c r="G16">
        <f>(0.5)*$B$2*Table131527[[#This Row],[Wing Area (m^2)]]*$B$6*Table131527[[#This Row],[Cruising Speed (m/s)]]*Table131527[[#This Row],[Cruising Speed (m/s)]]</f>
        <v>0.17966768750000003</v>
      </c>
      <c r="H16">
        <f>(0.5)*$B$2*Table131527[[#This Row],[Wing Area (m^2)]]*$C$6*Table131527[[#This Row],[Cruising Speed (m/s)]]*Table131527[[#This Row],[Cruising Speed (m/s)]]</f>
        <v>1.4645571718750001</v>
      </c>
      <c r="I16">
        <f>(0.5)*$B$2*Table131527[[#This Row],[Wing Area (m^2)]]*$D$6*Table131527[[#This Row],[Cruising Speed (m/s)]]*Table131527[[#This Row],[Cruising Speed (m/s)]]</f>
        <v>2.8014440781250003</v>
      </c>
      <c r="L16" s="4">
        <f>A39</f>
        <v>1</v>
      </c>
      <c r="M16" s="3" cm="1">
        <f t="array" ref="M16:O16">G39:I39</f>
        <v>11.862900000000002</v>
      </c>
      <c r="N16" s="3">
        <v>25.131487500000006</v>
      </c>
      <c r="O16" s="3">
        <v>34.703943750000008</v>
      </c>
    </row>
    <row r="17" spans="1:15" x14ac:dyDescent="0.35">
      <c r="A17">
        <f>A16</f>
        <v>0.25</v>
      </c>
      <c r="B17">
        <v>6</v>
      </c>
      <c r="C17">
        <v>15</v>
      </c>
      <c r="D17">
        <f>Table131527[[#This Row],[Wingspan (m)]]/Table131527[[#This Row],[Wing Aspect Ratio]]</f>
        <v>4.1666666666666664E-2</v>
      </c>
      <c r="E17">
        <f>Table131527[[#This Row],[Average Wing Chord (m)]]*Table131527[[#This Row],[Wingspan (m)]]</f>
        <v>1.0416666666666666E-2</v>
      </c>
      <c r="F17">
        <f>($B$2/$B$1)*D17*C17</f>
        <v>42772.34636871508</v>
      </c>
      <c r="G17">
        <f>(0.5)*$B$2*Table131527[[#This Row],[Wing Area (m^2)]]*$B$6*Table131527[[#This Row],[Cruising Speed (m/s)]]*Table131527[[#This Row],[Cruising Speed (m/s)]]</f>
        <v>0.11656640624999998</v>
      </c>
      <c r="H17">
        <f>(0.5)*$B$2*Table131527[[#This Row],[Wing Area (m^2)]]*$C$6*Table131527[[#This Row],[Cruising Speed (m/s)]]*Table131527[[#This Row],[Cruising Speed (m/s)]]</f>
        <v>0.95018847656249994</v>
      </c>
      <c r="I17">
        <f>(0.5)*$B$2*Table131527[[#This Row],[Wing Area (m^2)]]*$D$6*Table131527[[#This Row],[Cruising Speed (m/s)]]*Table131527[[#This Row],[Cruising Speed (m/s)]]</f>
        <v>1.8175458984374999</v>
      </c>
      <c r="L17" s="4">
        <f>A47</f>
        <v>1.2</v>
      </c>
      <c r="M17" s="3" cm="1">
        <f t="array" ref="M17:O17">G47:I47</f>
        <v>17.082576</v>
      </c>
      <c r="N17" s="3">
        <v>36.189342000000003</v>
      </c>
      <c r="O17" s="3">
        <v>49.973679000000004</v>
      </c>
    </row>
    <row r="18" spans="1:15" x14ac:dyDescent="0.35">
      <c r="A18">
        <f>A17</f>
        <v>0.25</v>
      </c>
      <c r="B18">
        <v>6</v>
      </c>
      <c r="C18">
        <v>17</v>
      </c>
      <c r="D18">
        <f>Table131527[[#This Row],[Wingspan (m)]]/Table131527[[#This Row],[Wing Aspect Ratio]]</f>
        <v>4.1666666666666664E-2</v>
      </c>
      <c r="E18">
        <f>Table131527[[#This Row],[Average Wing Chord (m)]]*Table131527[[#This Row],[Wingspan (m)]]</f>
        <v>1.0416666666666666E-2</v>
      </c>
      <c r="F18">
        <f>($B$2/$B$1)*D18*C18</f>
        <v>48475.325884543752</v>
      </c>
      <c r="G18">
        <f>(0.5)*$B$2*Table131527[[#This Row],[Wing Area (m^2)]]*$B$6*Table131527[[#This Row],[Cruising Speed (m/s)]]*Table131527[[#This Row],[Cruising Speed (m/s)]]</f>
        <v>0.14972307291666662</v>
      </c>
      <c r="H18">
        <f>(0.5)*$B$2*Table131527[[#This Row],[Wing Area (m^2)]]*$C$6*Table131527[[#This Row],[Cruising Speed (m/s)]]*Table131527[[#This Row],[Cruising Speed (m/s)]]</f>
        <v>1.2204643098958334</v>
      </c>
      <c r="I18">
        <f>(0.5)*$B$2*Table131527[[#This Row],[Wing Area (m^2)]]*$D$6*Table131527[[#This Row],[Cruising Speed (m/s)]]*Table131527[[#This Row],[Cruising Speed (m/s)]]</f>
        <v>2.3345367317708332</v>
      </c>
      <c r="L18" s="4">
        <f>A55</f>
        <v>1.5</v>
      </c>
      <c r="M18" s="3" cm="1">
        <f t="array" ref="M18:O18">G55:I55</f>
        <v>26.691524999999999</v>
      </c>
      <c r="N18" s="3">
        <v>56.545846875000009</v>
      </c>
      <c r="O18" s="3">
        <v>78.083873437500003</v>
      </c>
    </row>
    <row r="20" spans="1:15" x14ac:dyDescent="0.35">
      <c r="A20" s="7" t="s">
        <v>11</v>
      </c>
      <c r="B20" s="7"/>
      <c r="C20" s="7"/>
      <c r="D20" s="7"/>
      <c r="E20" s="7"/>
      <c r="F20" s="7"/>
      <c r="G20" s="7"/>
      <c r="H20" s="7"/>
      <c r="I20" s="7"/>
      <c r="L20" s="6" t="s">
        <v>40</v>
      </c>
      <c r="M20" s="6"/>
      <c r="N20" s="6"/>
      <c r="O20" s="6"/>
    </row>
    <row r="21" spans="1:15" x14ac:dyDescent="0.35">
      <c r="A21" s="5" t="s">
        <v>5</v>
      </c>
      <c r="B21" s="5"/>
      <c r="C21" s="5"/>
      <c r="D21" s="5" t="s">
        <v>8</v>
      </c>
      <c r="E21" s="5"/>
      <c r="F21" s="5"/>
      <c r="G21" s="5"/>
      <c r="H21" s="5"/>
      <c r="I21" s="5"/>
      <c r="L21" s="1" t="s">
        <v>0</v>
      </c>
      <c r="M21" s="1" t="s">
        <v>32</v>
      </c>
      <c r="N21" s="1" t="s">
        <v>30</v>
      </c>
      <c r="O21" s="1" t="s">
        <v>31</v>
      </c>
    </row>
    <row r="22" spans="1:15" x14ac:dyDescent="0.3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23</v>
      </c>
      <c r="H22" t="s">
        <v>24</v>
      </c>
      <c r="I22" t="s">
        <v>25</v>
      </c>
      <c r="L22" s="4">
        <f>A16</f>
        <v>0.25</v>
      </c>
      <c r="M22" s="3" cm="1">
        <f t="array" ref="M22:O22">G16:I16</f>
        <v>0.17966768750000003</v>
      </c>
      <c r="N22" s="3">
        <v>1.4645571718750001</v>
      </c>
      <c r="O22" s="3">
        <v>2.8014440781250003</v>
      </c>
    </row>
    <row r="23" spans="1:15" x14ac:dyDescent="0.35">
      <c r="A23">
        <f>A15+0.25</f>
        <v>0.5</v>
      </c>
      <c r="B23">
        <v>5</v>
      </c>
      <c r="C23">
        <v>15</v>
      </c>
      <c r="D23">
        <f>Table13151628[[#This Row],[Wingspan (m)]]/Table13151628[[#This Row],[Wing Aspect Ratio]]</f>
        <v>0.1</v>
      </c>
      <c r="E23">
        <f>Table13151628[[#This Row],[Average Wing Chord (m)]]*Table13151628[[#This Row],[Wingspan (m)]]</f>
        <v>0.05</v>
      </c>
      <c r="F23">
        <f>($B$2/$B$1)*D23*C23</f>
        <v>102653.63128491619</v>
      </c>
      <c r="G23">
        <f t="shared" ref="G23:I26" si="0">(0.5)*$B$2*$E23*IF($F23&lt;75000,B$6,IF($F23&lt;150000,B$7,B$8))*$C23*$C23</f>
        <v>2.7231750000000003</v>
      </c>
      <c r="H23">
        <f t="shared" si="0"/>
        <v>6.1960500000000005</v>
      </c>
      <c r="I23">
        <f t="shared" si="0"/>
        <v>8.6925234375000002</v>
      </c>
      <c r="L23" s="4">
        <f>A24</f>
        <v>0.5</v>
      </c>
      <c r="M23" s="3" cm="1">
        <f t="array" ref="M23:O23">G24:I24</f>
        <v>3.4977670000000005</v>
      </c>
      <c r="N23" s="3">
        <v>7.9584820000000009</v>
      </c>
      <c r="O23" s="3">
        <v>11.165063437500002</v>
      </c>
    </row>
    <row r="24" spans="1:15" x14ac:dyDescent="0.35">
      <c r="A24">
        <f>A23</f>
        <v>0.5</v>
      </c>
      <c r="B24">
        <v>5</v>
      </c>
      <c r="C24">
        <v>17</v>
      </c>
      <c r="D24">
        <f>Table13151628[[#This Row],[Wingspan (m)]]/Table13151628[[#This Row],[Wing Aspect Ratio]]</f>
        <v>0.1</v>
      </c>
      <c r="E24">
        <f>Table13151628[[#This Row],[Average Wing Chord (m)]]*Table13151628[[#This Row],[Wingspan (m)]]</f>
        <v>0.05</v>
      </c>
      <c r="F24">
        <f>($B$2/$B$1)*D24*C24</f>
        <v>116340.78212290502</v>
      </c>
      <c r="G24">
        <f t="shared" si="0"/>
        <v>3.4977670000000005</v>
      </c>
      <c r="H24">
        <f t="shared" si="0"/>
        <v>7.9584820000000009</v>
      </c>
      <c r="I24">
        <f t="shared" si="0"/>
        <v>11.165063437500002</v>
      </c>
      <c r="L24" s="4">
        <f>A32</f>
        <v>0.75</v>
      </c>
      <c r="M24" s="3" cm="1">
        <f t="array" ref="M24:O24">G32:I32</f>
        <v>8.5709452500000012</v>
      </c>
      <c r="N24" s="3">
        <v>18.157499718750003</v>
      </c>
      <c r="O24" s="3">
        <v>25.073599359375006</v>
      </c>
    </row>
    <row r="25" spans="1:15" x14ac:dyDescent="0.35">
      <c r="A25">
        <f>A24</f>
        <v>0.5</v>
      </c>
      <c r="B25">
        <v>6</v>
      </c>
      <c r="C25">
        <v>15</v>
      </c>
      <c r="D25">
        <f>Table13151628[[#This Row],[Wingspan (m)]]/Table13151628[[#This Row],[Wing Aspect Ratio]]</f>
        <v>8.3333333333333329E-2</v>
      </c>
      <c r="E25">
        <f>Table13151628[[#This Row],[Average Wing Chord (m)]]*Table13151628[[#This Row],[Wingspan (m)]]</f>
        <v>4.1666666666666664E-2</v>
      </c>
      <c r="F25">
        <f>($B$2/$B$1)*D25*C25</f>
        <v>85544.692737430159</v>
      </c>
      <c r="G25">
        <f t="shared" si="0"/>
        <v>2.2693125000000003</v>
      </c>
      <c r="H25">
        <f t="shared" si="0"/>
        <v>5.1633750000000003</v>
      </c>
      <c r="I25">
        <f t="shared" si="0"/>
        <v>7.2437695312499999</v>
      </c>
      <c r="L25" s="4">
        <f>A40</f>
        <v>1</v>
      </c>
      <c r="M25" s="3" cm="1">
        <f t="array" ref="M25:O25">G40:I40</f>
        <v>15.237236000000001</v>
      </c>
      <c r="N25" s="3">
        <v>32.279999500000002</v>
      </c>
      <c r="O25" s="3">
        <v>44.575287750000008</v>
      </c>
    </row>
    <row r="26" spans="1:15" x14ac:dyDescent="0.35">
      <c r="A26">
        <f>A25</f>
        <v>0.5</v>
      </c>
      <c r="B26">
        <v>6</v>
      </c>
      <c r="C26">
        <v>17</v>
      </c>
      <c r="D26">
        <f>Table13151628[[#This Row],[Wingspan (m)]]/Table13151628[[#This Row],[Wing Aspect Ratio]]</f>
        <v>8.3333333333333329E-2</v>
      </c>
      <c r="E26">
        <f>Table13151628[[#This Row],[Average Wing Chord (m)]]*Table13151628[[#This Row],[Wingspan (m)]]</f>
        <v>4.1666666666666664E-2</v>
      </c>
      <c r="F26">
        <f>($B$2/$B$1)*D26*C26</f>
        <v>96950.651769087504</v>
      </c>
      <c r="G26">
        <f t="shared" si="0"/>
        <v>2.9148058333333333</v>
      </c>
      <c r="H26">
        <f t="shared" si="0"/>
        <v>6.6320683333333337</v>
      </c>
      <c r="I26">
        <f t="shared" si="0"/>
        <v>9.3042195312500002</v>
      </c>
      <c r="L26" s="4">
        <f>A48</f>
        <v>1.2</v>
      </c>
      <c r="M26" s="3" cm="1">
        <f t="array" ref="M26:O26">G48:I48</f>
        <v>21.941619840000001</v>
      </c>
      <c r="N26" s="3">
        <v>46.483199280000001</v>
      </c>
      <c r="O26" s="3">
        <v>64.188414359999996</v>
      </c>
    </row>
    <row r="27" spans="1:15" x14ac:dyDescent="0.35">
      <c r="L27" s="4">
        <f>A56</f>
        <v>1.5</v>
      </c>
      <c r="M27" s="3" cm="1">
        <f t="array" ref="M27:O27">G56:I56</f>
        <v>34.283781000000005</v>
      </c>
      <c r="N27" s="3">
        <v>72.629998875000013</v>
      </c>
      <c r="O27" s="3">
        <v>100.29439743750002</v>
      </c>
    </row>
    <row r="28" spans="1:15" x14ac:dyDescent="0.35">
      <c r="A28" s="7" t="s">
        <v>12</v>
      </c>
      <c r="B28" s="7"/>
      <c r="C28" s="7"/>
      <c r="D28" s="7"/>
      <c r="E28" s="7"/>
      <c r="F28" s="7"/>
      <c r="G28" s="7"/>
      <c r="H28" s="7"/>
      <c r="I28" s="7"/>
    </row>
    <row r="29" spans="1:15" x14ac:dyDescent="0.35">
      <c r="A29" s="5" t="s">
        <v>5</v>
      </c>
      <c r="B29" s="5"/>
      <c r="C29" s="5"/>
      <c r="D29" s="5" t="s">
        <v>8</v>
      </c>
      <c r="E29" s="5"/>
      <c r="F29" s="5"/>
      <c r="G29" s="5"/>
      <c r="H29" s="5"/>
      <c r="I29" s="5"/>
      <c r="L29" s="6" t="s">
        <v>39</v>
      </c>
      <c r="M29" s="6"/>
      <c r="N29" s="6"/>
      <c r="O29" s="6"/>
    </row>
    <row r="30" spans="1:15" x14ac:dyDescent="0.3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23</v>
      </c>
      <c r="H30" t="s">
        <v>24</v>
      </c>
      <c r="I30" t="s">
        <v>25</v>
      </c>
      <c r="L30" s="1" t="s">
        <v>0</v>
      </c>
      <c r="M30" s="1" t="s">
        <v>23</v>
      </c>
      <c r="N30" s="1" t="s">
        <v>24</v>
      </c>
      <c r="O30" s="1" t="s">
        <v>25</v>
      </c>
    </row>
    <row r="31" spans="1:15" x14ac:dyDescent="0.35">
      <c r="A31">
        <f>A23+0.25</f>
        <v>0.75</v>
      </c>
      <c r="B31">
        <v>5</v>
      </c>
      <c r="C31">
        <v>15</v>
      </c>
      <c r="D31">
        <f>Table1315162129[[#This Row],[Wingspan (m)]]/Table1315162129[[#This Row],[Wing Aspect Ratio]]</f>
        <v>0.15</v>
      </c>
      <c r="E31">
        <f>Table1315162129[[#This Row],[Average Wing Chord (m)]]*Table1315162129[[#This Row],[Wingspan (m)]]</f>
        <v>0.11249999999999999</v>
      </c>
      <c r="F31">
        <f>($B$2/$B$1)*D31*C31</f>
        <v>153980.44692737429</v>
      </c>
      <c r="G31">
        <f t="shared" ref="G31:I34" si="1">(0.5)*$B$2*$E31*IF($F31&lt;75000,B$6,IF($F31&lt;150000,B$7,B$8))*$C31*$C31</f>
        <v>6.6728812499999997</v>
      </c>
      <c r="H31">
        <f t="shared" si="1"/>
        <v>14.136461718750002</v>
      </c>
      <c r="I31">
        <f t="shared" si="1"/>
        <v>19.520968359375001</v>
      </c>
      <c r="L31" s="4">
        <f>A17</f>
        <v>0.25</v>
      </c>
      <c r="M31" s="3" cm="1">
        <f t="array" ref="M31:O31">G17:I17</f>
        <v>0.11656640624999998</v>
      </c>
      <c r="N31" s="3">
        <v>0.95018847656249994</v>
      </c>
      <c r="O31" s="3">
        <v>1.8175458984374999</v>
      </c>
    </row>
    <row r="32" spans="1:15" x14ac:dyDescent="0.35">
      <c r="A32">
        <f>A31</f>
        <v>0.75</v>
      </c>
      <c r="B32">
        <v>5</v>
      </c>
      <c r="C32">
        <v>17</v>
      </c>
      <c r="D32">
        <f>Table1315162129[[#This Row],[Wingspan (m)]]/Table1315162129[[#This Row],[Wing Aspect Ratio]]</f>
        <v>0.15</v>
      </c>
      <c r="E32">
        <f>Table1315162129[[#This Row],[Average Wing Chord (m)]]*Table1315162129[[#This Row],[Wingspan (m)]]</f>
        <v>0.11249999999999999</v>
      </c>
      <c r="F32">
        <f>($B$2/$B$1)*D32*C32</f>
        <v>174511.17318435753</v>
      </c>
      <c r="G32">
        <f t="shared" si="1"/>
        <v>8.5709452500000012</v>
      </c>
      <c r="H32">
        <f t="shared" si="1"/>
        <v>18.157499718750003</v>
      </c>
      <c r="I32">
        <f t="shared" si="1"/>
        <v>25.073599359375006</v>
      </c>
      <c r="L32" s="4">
        <f>A25</f>
        <v>0.5</v>
      </c>
      <c r="M32" s="3" cm="1">
        <f t="array" ref="M32:O32">G25:I25</f>
        <v>2.2693125000000003</v>
      </c>
      <c r="N32" s="3">
        <v>5.1633750000000003</v>
      </c>
      <c r="O32" s="3">
        <v>7.2437695312499999</v>
      </c>
    </row>
    <row r="33" spans="1:15" x14ac:dyDescent="0.35">
      <c r="A33">
        <f>A32</f>
        <v>0.75</v>
      </c>
      <c r="B33">
        <v>6</v>
      </c>
      <c r="C33">
        <v>15</v>
      </c>
      <c r="D33">
        <f>Table1315162129[[#This Row],[Wingspan (m)]]/Table1315162129[[#This Row],[Wing Aspect Ratio]]</f>
        <v>0.125</v>
      </c>
      <c r="E33">
        <f>Table1315162129[[#This Row],[Average Wing Chord (m)]]*Table1315162129[[#This Row],[Wingspan (m)]]</f>
        <v>9.375E-2</v>
      </c>
      <c r="F33">
        <f>($B$2/$B$1)*D33*C33</f>
        <v>128317.03910614524</v>
      </c>
      <c r="G33">
        <f t="shared" si="1"/>
        <v>5.105953125000001</v>
      </c>
      <c r="H33">
        <f t="shared" si="1"/>
        <v>11.617593750000001</v>
      </c>
      <c r="I33">
        <f t="shared" si="1"/>
        <v>16.2984814453125</v>
      </c>
      <c r="L33" s="4">
        <f>A33</f>
        <v>0.75</v>
      </c>
      <c r="M33" s="3" cm="1">
        <f t="array" ref="M33:O33">G33:I33</f>
        <v>5.105953125000001</v>
      </c>
      <c r="N33" s="3">
        <v>11.617593750000001</v>
      </c>
      <c r="O33" s="3">
        <v>16.2984814453125</v>
      </c>
    </row>
    <row r="34" spans="1:15" x14ac:dyDescent="0.35">
      <c r="A34">
        <f>A33</f>
        <v>0.75</v>
      </c>
      <c r="B34">
        <v>6</v>
      </c>
      <c r="C34">
        <v>17</v>
      </c>
      <c r="D34">
        <f>Table1315162129[[#This Row],[Wingspan (m)]]/Table1315162129[[#This Row],[Wing Aspect Ratio]]</f>
        <v>0.125</v>
      </c>
      <c r="E34">
        <f>Table1315162129[[#This Row],[Average Wing Chord (m)]]*Table1315162129[[#This Row],[Wingspan (m)]]</f>
        <v>9.375E-2</v>
      </c>
      <c r="F34">
        <f>($B$2/$B$1)*D34*C34</f>
        <v>145425.97765363127</v>
      </c>
      <c r="G34">
        <f t="shared" si="1"/>
        <v>6.5583131249999997</v>
      </c>
      <c r="H34">
        <f t="shared" si="1"/>
        <v>14.922153750000001</v>
      </c>
      <c r="I34">
        <f t="shared" si="1"/>
        <v>20.934493945312504</v>
      </c>
      <c r="L34" s="4">
        <f>A41</f>
        <v>1</v>
      </c>
      <c r="M34" s="3" cm="1">
        <f t="array" ref="M34:O34">G41:I41</f>
        <v>9.8857499999999998</v>
      </c>
      <c r="N34" s="3">
        <v>20.94290625</v>
      </c>
      <c r="O34" s="3">
        <v>28.919953124999999</v>
      </c>
    </row>
    <row r="35" spans="1:15" x14ac:dyDescent="0.35">
      <c r="L35" s="4">
        <f>A49</f>
        <v>1.2</v>
      </c>
      <c r="M35" s="3" cm="1">
        <f t="array" ref="M35:O35">G49:I49</f>
        <v>14.235479999999999</v>
      </c>
      <c r="N35" s="3">
        <v>30.157785000000001</v>
      </c>
      <c r="O35" s="3">
        <v>41.644732499999996</v>
      </c>
    </row>
    <row r="36" spans="1:15" x14ac:dyDescent="0.35">
      <c r="A36" s="7" t="s">
        <v>13</v>
      </c>
      <c r="B36" s="7"/>
      <c r="C36" s="7"/>
      <c r="D36" s="7"/>
      <c r="E36" s="7"/>
      <c r="F36" s="7"/>
      <c r="G36" s="7"/>
      <c r="H36" s="7"/>
      <c r="I36" s="7"/>
      <c r="L36" s="4">
        <f>A57</f>
        <v>1.5</v>
      </c>
      <c r="M36" s="3" cm="1">
        <f t="array" ref="M36:O36">G57:I57</f>
        <v>22.242937500000004</v>
      </c>
      <c r="N36" s="3">
        <v>47.121539062500013</v>
      </c>
      <c r="O36" s="3">
        <v>65.06989453125</v>
      </c>
    </row>
    <row r="37" spans="1:15" x14ac:dyDescent="0.35">
      <c r="A37" s="5" t="s">
        <v>5</v>
      </c>
      <c r="B37" s="5"/>
      <c r="C37" s="5"/>
      <c r="D37" s="5" t="s">
        <v>8</v>
      </c>
      <c r="E37" s="5"/>
      <c r="F37" s="5"/>
      <c r="G37" s="5"/>
      <c r="H37" s="5"/>
      <c r="I37" s="5"/>
    </row>
    <row r="38" spans="1:15" x14ac:dyDescent="0.3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23</v>
      </c>
      <c r="H38" t="s">
        <v>24</v>
      </c>
      <c r="I38" t="s">
        <v>25</v>
      </c>
      <c r="L38" s="6" t="s">
        <v>41</v>
      </c>
      <c r="M38" s="6"/>
      <c r="N38" s="6"/>
      <c r="O38" s="6"/>
    </row>
    <row r="39" spans="1:15" x14ac:dyDescent="0.35">
      <c r="A39">
        <f>A31+0.25</f>
        <v>1</v>
      </c>
      <c r="B39">
        <v>5</v>
      </c>
      <c r="C39">
        <v>15</v>
      </c>
      <c r="D39">
        <f>Table1315162230[[#This Row],[Wingspan (m)]]/Table1315162230[[#This Row],[Wing Aspect Ratio]]</f>
        <v>0.2</v>
      </c>
      <c r="E39">
        <f>Table1315162230[[#This Row],[Average Wing Chord (m)]]*Table1315162230[[#This Row],[Wingspan (m)]]</f>
        <v>0.2</v>
      </c>
      <c r="F39">
        <f>($B$2/$B$1)*D39*C39</f>
        <v>205307.26256983238</v>
      </c>
      <c r="G39">
        <f t="shared" ref="G39:I42" si="2">(0.5)*$B$2*$E39*IF($F39&lt;75000,B$6,IF($F39&lt;150000,B$7,B$8))*$C39*$C39</f>
        <v>11.862900000000002</v>
      </c>
      <c r="H39">
        <f t="shared" si="2"/>
        <v>25.131487500000006</v>
      </c>
      <c r="I39">
        <f t="shared" si="2"/>
        <v>34.703943750000008</v>
      </c>
      <c r="L39" s="1" t="s">
        <v>0</v>
      </c>
      <c r="M39" s="1" t="s">
        <v>23</v>
      </c>
      <c r="N39" s="1" t="s">
        <v>24</v>
      </c>
      <c r="O39" s="1" t="s">
        <v>25</v>
      </c>
    </row>
    <row r="40" spans="1:15" x14ac:dyDescent="0.35">
      <c r="A40">
        <f>A39</f>
        <v>1</v>
      </c>
      <c r="B40">
        <v>5</v>
      </c>
      <c r="C40">
        <v>17</v>
      </c>
      <c r="D40">
        <f>Table1315162230[[#This Row],[Wingspan (m)]]/Table1315162230[[#This Row],[Wing Aspect Ratio]]</f>
        <v>0.2</v>
      </c>
      <c r="E40">
        <f>Table1315162230[[#This Row],[Average Wing Chord (m)]]*Table1315162230[[#This Row],[Wingspan (m)]]</f>
        <v>0.2</v>
      </c>
      <c r="F40">
        <f>($B$2/$B$1)*D40*C40</f>
        <v>232681.56424581003</v>
      </c>
      <c r="G40">
        <f t="shared" si="2"/>
        <v>15.237236000000001</v>
      </c>
      <c r="H40">
        <f t="shared" si="2"/>
        <v>32.279999500000002</v>
      </c>
      <c r="I40">
        <f t="shared" si="2"/>
        <v>44.575287750000008</v>
      </c>
      <c r="L40" s="4">
        <f>A18</f>
        <v>0.25</v>
      </c>
      <c r="M40" s="3" cm="1">
        <f t="array" ref="M40:O40">G18:I18</f>
        <v>0.14972307291666662</v>
      </c>
      <c r="N40" s="3">
        <v>1.2204643098958334</v>
      </c>
      <c r="O40" s="3">
        <v>2.3345367317708332</v>
      </c>
    </row>
    <row r="41" spans="1:15" x14ac:dyDescent="0.35">
      <c r="A41">
        <f>A40</f>
        <v>1</v>
      </c>
      <c r="B41">
        <v>6</v>
      </c>
      <c r="C41">
        <v>15</v>
      </c>
      <c r="D41">
        <f>Table1315162230[[#This Row],[Wingspan (m)]]/Table1315162230[[#This Row],[Wing Aspect Ratio]]</f>
        <v>0.16666666666666666</v>
      </c>
      <c r="E41">
        <f>Table1315162230[[#This Row],[Average Wing Chord (m)]]*Table1315162230[[#This Row],[Wingspan (m)]]</f>
        <v>0.16666666666666666</v>
      </c>
      <c r="F41">
        <f>($B$2/$B$1)*D41*C41</f>
        <v>171089.38547486032</v>
      </c>
      <c r="G41">
        <f t="shared" si="2"/>
        <v>9.8857499999999998</v>
      </c>
      <c r="H41">
        <f t="shared" si="2"/>
        <v>20.94290625</v>
      </c>
      <c r="I41">
        <f t="shared" si="2"/>
        <v>28.919953124999999</v>
      </c>
      <c r="L41" s="4">
        <f>A26</f>
        <v>0.5</v>
      </c>
      <c r="M41" s="3" cm="1">
        <f t="array" ref="M41:O41">G26:I26</f>
        <v>2.9148058333333333</v>
      </c>
      <c r="N41" s="3">
        <v>6.6320683333333337</v>
      </c>
      <c r="O41" s="3">
        <v>9.3042195312500002</v>
      </c>
    </row>
    <row r="42" spans="1:15" x14ac:dyDescent="0.35">
      <c r="A42">
        <f>A41</f>
        <v>1</v>
      </c>
      <c r="B42">
        <v>6</v>
      </c>
      <c r="C42">
        <v>17</v>
      </c>
      <c r="D42">
        <f>Table1315162230[[#This Row],[Wingspan (m)]]/Table1315162230[[#This Row],[Wing Aspect Ratio]]</f>
        <v>0.16666666666666666</v>
      </c>
      <c r="E42">
        <f>Table1315162230[[#This Row],[Average Wing Chord (m)]]*Table1315162230[[#This Row],[Wingspan (m)]]</f>
        <v>0.16666666666666666</v>
      </c>
      <c r="F42">
        <f>($B$2/$B$1)*D42*C42</f>
        <v>193901.30353817501</v>
      </c>
      <c r="G42">
        <f t="shared" si="2"/>
        <v>12.697696666666666</v>
      </c>
      <c r="H42">
        <f t="shared" si="2"/>
        <v>26.899999583333337</v>
      </c>
      <c r="I42">
        <f t="shared" si="2"/>
        <v>37.146073125000001</v>
      </c>
      <c r="L42" s="4">
        <f>A34</f>
        <v>0.75</v>
      </c>
      <c r="M42" s="3" cm="1">
        <f t="array" ref="M42:O42">G34:I34</f>
        <v>6.5583131249999997</v>
      </c>
      <c r="N42" s="3">
        <v>14.922153750000001</v>
      </c>
      <c r="O42" s="3">
        <v>20.934493945312504</v>
      </c>
    </row>
    <row r="43" spans="1:15" x14ac:dyDescent="0.35">
      <c r="L43" s="4">
        <f>A42</f>
        <v>1</v>
      </c>
      <c r="M43" s="3" cm="1">
        <f t="array" ref="M43:O43">G42:I42</f>
        <v>12.697696666666666</v>
      </c>
      <c r="N43" s="3">
        <v>26.899999583333337</v>
      </c>
      <c r="O43" s="3">
        <v>37.146073125000001</v>
      </c>
    </row>
    <row r="44" spans="1:15" x14ac:dyDescent="0.35">
      <c r="A44" s="7" t="s">
        <v>14</v>
      </c>
      <c r="B44" s="7"/>
      <c r="C44" s="7"/>
      <c r="D44" s="7"/>
      <c r="E44" s="7"/>
      <c r="F44" s="7"/>
      <c r="G44" s="7"/>
      <c r="H44" s="7"/>
      <c r="I44" s="7"/>
      <c r="L44" s="4">
        <f>A50</f>
        <v>1.2</v>
      </c>
      <c r="M44" s="3" cm="1">
        <f t="array" ref="M44:O44">G50:I50</f>
        <v>18.2846832</v>
      </c>
      <c r="N44" s="3">
        <v>38.735999400000004</v>
      </c>
      <c r="O44" s="3">
        <v>53.490345300000001</v>
      </c>
    </row>
    <row r="45" spans="1:15" x14ac:dyDescent="0.35">
      <c r="A45" s="5" t="s">
        <v>5</v>
      </c>
      <c r="B45" s="5"/>
      <c r="C45" s="5"/>
      <c r="D45" s="5" t="s">
        <v>8</v>
      </c>
      <c r="E45" s="5"/>
      <c r="F45" s="5"/>
      <c r="G45" s="5"/>
      <c r="H45" s="5"/>
      <c r="I45" s="5"/>
      <c r="L45" s="4">
        <f>A58</f>
        <v>1.5</v>
      </c>
      <c r="M45" s="3" cm="1">
        <f t="array" ref="M45:O45">G58:I58</f>
        <v>28.569817500000006</v>
      </c>
      <c r="N45" s="3">
        <v>60.524999062500008</v>
      </c>
      <c r="O45" s="3">
        <v>83.578664531250013</v>
      </c>
    </row>
    <row r="46" spans="1:15" x14ac:dyDescent="0.3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23</v>
      </c>
      <c r="H46" t="s">
        <v>24</v>
      </c>
      <c r="I46" t="s">
        <v>25</v>
      </c>
    </row>
    <row r="47" spans="1:15" x14ac:dyDescent="0.35">
      <c r="A47">
        <f>A39+0.2</f>
        <v>1.2</v>
      </c>
      <c r="B47">
        <v>5</v>
      </c>
      <c r="C47">
        <v>15</v>
      </c>
      <c r="D47">
        <f>Table1315162331[[#This Row],[Wingspan (m)]]/Table1315162331[[#This Row],[Wing Aspect Ratio]]</f>
        <v>0.24</v>
      </c>
      <c r="E47">
        <f>Table1315162331[[#This Row],[Average Wing Chord (m)]]*Table1315162331[[#This Row],[Wingspan (m)]]</f>
        <v>0.28799999999999998</v>
      </c>
      <c r="F47">
        <f>($B$2/$B$1)*D47*C47</f>
        <v>246368.71508379886</v>
      </c>
      <c r="G47">
        <f t="shared" ref="G47:I50" si="3">(0.5)*$B$2*$E47*IF($F47&lt;75000,B$6,IF($F47&lt;150000,B$7,B$8))*$C47*$C47</f>
        <v>17.082576</v>
      </c>
      <c r="H47">
        <f t="shared" si="3"/>
        <v>36.189342000000003</v>
      </c>
      <c r="I47">
        <f t="shared" si="3"/>
        <v>49.973679000000004</v>
      </c>
    </row>
    <row r="48" spans="1:15" x14ac:dyDescent="0.35">
      <c r="A48">
        <f>A47</f>
        <v>1.2</v>
      </c>
      <c r="B48">
        <v>5</v>
      </c>
      <c r="C48">
        <v>17</v>
      </c>
      <c r="D48">
        <f>Table1315162331[[#This Row],[Wingspan (m)]]/Table1315162331[[#This Row],[Wing Aspect Ratio]]</f>
        <v>0.24</v>
      </c>
      <c r="E48">
        <f>Table1315162331[[#This Row],[Average Wing Chord (m)]]*Table1315162331[[#This Row],[Wingspan (m)]]</f>
        <v>0.28799999999999998</v>
      </c>
      <c r="F48">
        <f>($B$2/$B$1)*D48*C48</f>
        <v>279217.87709497206</v>
      </c>
      <c r="G48">
        <f t="shared" si="3"/>
        <v>21.941619840000001</v>
      </c>
      <c r="H48">
        <f t="shared" si="3"/>
        <v>46.483199280000001</v>
      </c>
      <c r="I48">
        <f t="shared" si="3"/>
        <v>64.188414359999996</v>
      </c>
    </row>
    <row r="49" spans="1:9" x14ac:dyDescent="0.35">
      <c r="A49">
        <f>A48</f>
        <v>1.2</v>
      </c>
      <c r="B49">
        <v>6</v>
      </c>
      <c r="C49">
        <v>15</v>
      </c>
      <c r="D49">
        <f>Table1315162331[[#This Row],[Wingspan (m)]]/Table1315162331[[#This Row],[Wing Aspect Ratio]]</f>
        <v>0.19999999999999998</v>
      </c>
      <c r="E49">
        <f>Table1315162331[[#This Row],[Average Wing Chord (m)]]*Table1315162331[[#This Row],[Wingspan (m)]]</f>
        <v>0.23999999999999996</v>
      </c>
      <c r="F49">
        <f>($B$2/$B$1)*D49*C49</f>
        <v>205307.26256983235</v>
      </c>
      <c r="G49">
        <f t="shared" si="3"/>
        <v>14.235479999999999</v>
      </c>
      <c r="H49">
        <f t="shared" si="3"/>
        <v>30.157785000000001</v>
      </c>
      <c r="I49">
        <f t="shared" si="3"/>
        <v>41.644732499999996</v>
      </c>
    </row>
    <row r="50" spans="1:9" x14ac:dyDescent="0.35">
      <c r="A50">
        <f>A49</f>
        <v>1.2</v>
      </c>
      <c r="B50">
        <v>6</v>
      </c>
      <c r="C50">
        <v>17</v>
      </c>
      <c r="D50">
        <f>Table1315162331[[#This Row],[Wingspan (m)]]/Table1315162331[[#This Row],[Wing Aspect Ratio]]</f>
        <v>0.19999999999999998</v>
      </c>
      <c r="E50">
        <f>Table1315162331[[#This Row],[Average Wing Chord (m)]]*Table1315162331[[#This Row],[Wingspan (m)]]</f>
        <v>0.23999999999999996</v>
      </c>
      <c r="F50">
        <f>($B$2/$B$1)*D50*C50</f>
        <v>232681.56424581</v>
      </c>
      <c r="G50">
        <f t="shared" si="3"/>
        <v>18.2846832</v>
      </c>
      <c r="H50">
        <f t="shared" si="3"/>
        <v>38.735999400000004</v>
      </c>
      <c r="I50">
        <f t="shared" si="3"/>
        <v>53.490345300000001</v>
      </c>
    </row>
    <row r="52" spans="1:9" x14ac:dyDescent="0.35">
      <c r="A52" s="7" t="s">
        <v>15</v>
      </c>
      <c r="B52" s="7"/>
      <c r="C52" s="7"/>
      <c r="D52" s="7"/>
      <c r="E52" s="7"/>
      <c r="F52" s="7"/>
      <c r="G52" s="7"/>
      <c r="H52" s="7"/>
      <c r="I52" s="7"/>
    </row>
    <row r="53" spans="1:9" x14ac:dyDescent="0.35">
      <c r="A53" s="5" t="s">
        <v>5</v>
      </c>
      <c r="B53" s="5"/>
      <c r="C53" s="5"/>
      <c r="D53" s="5" t="s">
        <v>8</v>
      </c>
      <c r="E53" s="5"/>
      <c r="F53" s="5"/>
      <c r="G53" s="5"/>
      <c r="H53" s="5"/>
      <c r="I53" s="5"/>
    </row>
    <row r="54" spans="1:9" x14ac:dyDescent="0.3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23</v>
      </c>
      <c r="H54" t="s">
        <v>24</v>
      </c>
      <c r="I54" t="s">
        <v>25</v>
      </c>
    </row>
    <row r="55" spans="1:9" x14ac:dyDescent="0.35">
      <c r="A55">
        <f>A47+0.3</f>
        <v>1.5</v>
      </c>
      <c r="B55">
        <v>5</v>
      </c>
      <c r="C55">
        <v>15</v>
      </c>
      <c r="D55">
        <f>Table1315162432[[#This Row],[Wingspan (m)]]/Table1315162432[[#This Row],[Wing Aspect Ratio]]</f>
        <v>0.3</v>
      </c>
      <c r="E55">
        <f>Table1315162432[[#This Row],[Average Wing Chord (m)]]*Table1315162432[[#This Row],[Wingspan (m)]]</f>
        <v>0.44999999999999996</v>
      </c>
      <c r="F55">
        <f>($B$2/$B$1)*D55*C55</f>
        <v>307960.89385474857</v>
      </c>
      <c r="G55">
        <f t="shared" ref="G55:I58" si="4">(0.5)*$B$2*$E55*IF($F55&lt;75000,B$6,IF($F55&lt;150000,B$7,B$8))*$C55*$C55</f>
        <v>26.691524999999999</v>
      </c>
      <c r="H55">
        <f t="shared" si="4"/>
        <v>56.545846875000009</v>
      </c>
      <c r="I55">
        <f t="shared" si="4"/>
        <v>78.083873437500003</v>
      </c>
    </row>
    <row r="56" spans="1:9" x14ac:dyDescent="0.35">
      <c r="A56">
        <f>A55</f>
        <v>1.5</v>
      </c>
      <c r="B56">
        <v>5</v>
      </c>
      <c r="C56">
        <v>17</v>
      </c>
      <c r="D56">
        <f>Table1315162432[[#This Row],[Wingspan (m)]]/Table1315162432[[#This Row],[Wing Aspect Ratio]]</f>
        <v>0.3</v>
      </c>
      <c r="E56">
        <f>Table1315162432[[#This Row],[Average Wing Chord (m)]]*Table1315162432[[#This Row],[Wingspan (m)]]</f>
        <v>0.44999999999999996</v>
      </c>
      <c r="F56">
        <f>($B$2/$B$1)*D56*C56</f>
        <v>349022.34636871505</v>
      </c>
      <c r="G56">
        <f t="shared" si="4"/>
        <v>34.283781000000005</v>
      </c>
      <c r="H56">
        <f t="shared" si="4"/>
        <v>72.629998875000013</v>
      </c>
      <c r="I56">
        <f t="shared" si="4"/>
        <v>100.29439743750002</v>
      </c>
    </row>
    <row r="57" spans="1:9" x14ac:dyDescent="0.35">
      <c r="A57">
        <f>A56</f>
        <v>1.5</v>
      </c>
      <c r="B57">
        <v>6</v>
      </c>
      <c r="C57">
        <v>15</v>
      </c>
      <c r="D57">
        <f>Table1315162432[[#This Row],[Wingspan (m)]]/Table1315162432[[#This Row],[Wing Aspect Ratio]]</f>
        <v>0.25</v>
      </c>
      <c r="E57">
        <f>Table1315162432[[#This Row],[Average Wing Chord (m)]]*Table1315162432[[#This Row],[Wingspan (m)]]</f>
        <v>0.375</v>
      </c>
      <c r="F57">
        <f>($B$2/$B$1)*D57*C57</f>
        <v>256634.07821229048</v>
      </c>
      <c r="G57">
        <f t="shared" si="4"/>
        <v>22.242937500000004</v>
      </c>
      <c r="H57">
        <f t="shared" si="4"/>
        <v>47.121539062500013</v>
      </c>
      <c r="I57">
        <f t="shared" si="4"/>
        <v>65.06989453125</v>
      </c>
    </row>
    <row r="58" spans="1:9" x14ac:dyDescent="0.35">
      <c r="A58">
        <f>A57</f>
        <v>1.5</v>
      </c>
      <c r="B58">
        <v>6</v>
      </c>
      <c r="C58">
        <v>17</v>
      </c>
      <c r="D58">
        <f>Table1315162432[[#This Row],[Wingspan (m)]]/Table1315162432[[#This Row],[Wing Aspect Ratio]]</f>
        <v>0.25</v>
      </c>
      <c r="E58">
        <f>Table1315162432[[#This Row],[Average Wing Chord (m)]]*Table1315162432[[#This Row],[Wingspan (m)]]</f>
        <v>0.375</v>
      </c>
      <c r="F58">
        <f>($B$2/$B$1)*D58*C58</f>
        <v>290851.95530726254</v>
      </c>
      <c r="G58">
        <f t="shared" si="4"/>
        <v>28.569817500000006</v>
      </c>
      <c r="H58">
        <f t="shared" si="4"/>
        <v>60.524999062500008</v>
      </c>
      <c r="I58">
        <f t="shared" si="4"/>
        <v>83.578664531250013</v>
      </c>
    </row>
  </sheetData>
  <mergeCells count="22">
    <mergeCell ref="L11:O11"/>
    <mergeCell ref="A12:I12"/>
    <mergeCell ref="A13:C13"/>
    <mergeCell ref="D13:I13"/>
    <mergeCell ref="A20:I20"/>
    <mergeCell ref="L20:O20"/>
    <mergeCell ref="L38:O38"/>
    <mergeCell ref="A44:I44"/>
    <mergeCell ref="A45:C45"/>
    <mergeCell ref="D45:I45"/>
    <mergeCell ref="A21:C21"/>
    <mergeCell ref="D21:I21"/>
    <mergeCell ref="A28:I28"/>
    <mergeCell ref="A29:C29"/>
    <mergeCell ref="D29:I29"/>
    <mergeCell ref="L29:O29"/>
    <mergeCell ref="A52:I52"/>
    <mergeCell ref="A53:C53"/>
    <mergeCell ref="D53:I53"/>
    <mergeCell ref="A36:I36"/>
    <mergeCell ref="A37:C37"/>
    <mergeCell ref="D37:I37"/>
  </mergeCells>
  <conditionalFormatting sqref="M13:O18">
    <cfRule type="cellIs" dxfId="11" priority="10" operator="lessThan">
      <formula>9.81</formula>
    </cfRule>
    <cfRule type="cellIs" dxfId="10" priority="11" operator="greaterThan">
      <formula>13</formula>
    </cfRule>
    <cfRule type="cellIs" dxfId="9" priority="12" operator="between">
      <formula>9.81</formula>
      <formula>13</formula>
    </cfRule>
  </conditionalFormatting>
  <conditionalFormatting sqref="M22:O27">
    <cfRule type="cellIs" dxfId="8" priority="7" operator="lessThan">
      <formula>9.81</formula>
    </cfRule>
    <cfRule type="cellIs" dxfId="7" priority="8" operator="greaterThan">
      <formula>13</formula>
    </cfRule>
    <cfRule type="cellIs" dxfId="6" priority="9" operator="between">
      <formula>9.81</formula>
      <formula>13</formula>
    </cfRule>
  </conditionalFormatting>
  <conditionalFormatting sqref="M31:O36">
    <cfRule type="cellIs" dxfId="5" priority="4" operator="lessThan">
      <formula>9.81</formula>
    </cfRule>
    <cfRule type="cellIs" dxfId="4" priority="5" operator="greaterThan">
      <formula>13</formula>
    </cfRule>
    <cfRule type="cellIs" dxfId="3" priority="6" operator="between">
      <formula>9.81</formula>
      <formula>13</formula>
    </cfRule>
  </conditionalFormatting>
  <conditionalFormatting sqref="M40:O45">
    <cfRule type="cellIs" dxfId="2" priority="1" operator="lessThan">
      <formula>9.81</formula>
    </cfRule>
    <cfRule type="cellIs" dxfId="1" priority="2" operator="greaterThan">
      <formula>13</formula>
    </cfRule>
    <cfRule type="cellIs" dxfId="0" priority="3" operator="between">
      <formula>9.81</formula>
      <formula>13</formula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5AB4-A923-4638-8652-1F76A9993C69}">
  <dimension ref="A1:I58"/>
  <sheetViews>
    <sheetView workbookViewId="0">
      <selection activeCell="F6" sqref="F6"/>
    </sheetView>
  </sheetViews>
  <sheetFormatPr defaultRowHeight="14.5" x14ac:dyDescent="0.35"/>
  <cols>
    <col min="1" max="1" width="22.7265625" bestFit="1" customWidth="1"/>
    <col min="2" max="2" width="19.7265625" bestFit="1" customWidth="1"/>
    <col min="3" max="3" width="22" bestFit="1" customWidth="1"/>
    <col min="4" max="4" width="25.453125" bestFit="1" customWidth="1"/>
    <col min="5" max="5" width="18.26953125" bestFit="1" customWidth="1"/>
    <col min="6" max="6" width="19.26953125" bestFit="1" customWidth="1"/>
    <col min="7" max="7" width="21.54296875" bestFit="1" customWidth="1"/>
    <col min="8" max="8" width="21.1796875" bestFit="1" customWidth="1"/>
    <col min="9" max="9" width="22.1796875" bestFit="1" customWidth="1"/>
  </cols>
  <sheetData>
    <row r="1" spans="1:9" x14ac:dyDescent="0.35">
      <c r="A1" t="s">
        <v>1</v>
      </c>
      <c r="B1">
        <v>1.7900000000000001E-5</v>
      </c>
    </row>
    <row r="2" spans="1:9" x14ac:dyDescent="0.35">
      <c r="A2" t="s">
        <v>2</v>
      </c>
      <c r="B2">
        <v>1.2250000000000001</v>
      </c>
    </row>
    <row r="4" spans="1:9" x14ac:dyDescent="0.35">
      <c r="A4" t="s">
        <v>22</v>
      </c>
      <c r="B4" t="s">
        <v>18</v>
      </c>
    </row>
    <row r="5" spans="1:9" x14ac:dyDescent="0.35">
      <c r="A5" t="s">
        <v>6</v>
      </c>
      <c r="B5" t="s">
        <v>19</v>
      </c>
      <c r="C5" t="s">
        <v>20</v>
      </c>
      <c r="D5" t="s">
        <v>21</v>
      </c>
    </row>
    <row r="6" spans="1:9" x14ac:dyDescent="0.35">
      <c r="A6" s="2">
        <v>50000</v>
      </c>
      <c r="B6">
        <v>0.2893</v>
      </c>
      <c r="C6">
        <v>0.46739999999999998</v>
      </c>
      <c r="D6">
        <v>4.0719999999999999E-2</v>
      </c>
      <c r="E6" s="2"/>
    </row>
    <row r="7" spans="1:9" x14ac:dyDescent="0.35">
      <c r="A7" s="2">
        <v>100000</v>
      </c>
      <c r="B7">
        <v>1.8089999999999998E-2</v>
      </c>
      <c r="C7">
        <v>1.891E-2</v>
      </c>
      <c r="D7">
        <v>2.6919999999999999E-2</v>
      </c>
      <c r="E7" s="2"/>
    </row>
    <row r="8" spans="1:9" x14ac:dyDescent="0.35">
      <c r="A8" s="2">
        <v>200000</v>
      </c>
      <c r="B8">
        <v>1.004E-2</v>
      </c>
      <c r="C8">
        <v>1.213E-2</v>
      </c>
      <c r="D8">
        <v>2.1579999999999998E-2</v>
      </c>
      <c r="E8" s="2"/>
    </row>
    <row r="12" spans="1:9" x14ac:dyDescent="0.35">
      <c r="A12" s="7" t="s">
        <v>16</v>
      </c>
      <c r="B12" s="7"/>
      <c r="C12" s="7"/>
      <c r="D12" s="7"/>
      <c r="E12" s="7"/>
      <c r="F12" s="7"/>
      <c r="G12" s="7"/>
      <c r="H12" s="7"/>
      <c r="I12" s="7"/>
    </row>
    <row r="13" spans="1:9" x14ac:dyDescent="0.35">
      <c r="A13" s="5" t="s">
        <v>5</v>
      </c>
      <c r="B13" s="5"/>
      <c r="C13" s="5"/>
      <c r="D13" s="5" t="s">
        <v>8</v>
      </c>
      <c r="E13" s="5"/>
      <c r="F13" s="5"/>
      <c r="G13" s="5"/>
      <c r="H13" s="5"/>
      <c r="I13" s="5"/>
    </row>
    <row r="14" spans="1:9" x14ac:dyDescent="0.35">
      <c r="A14" t="s">
        <v>3</v>
      </c>
      <c r="B14" t="s">
        <v>4</v>
      </c>
      <c r="C14" t="s">
        <v>7</v>
      </c>
      <c r="D14" t="s">
        <v>9</v>
      </c>
      <c r="E14" t="s">
        <v>10</v>
      </c>
      <c r="F14" t="s">
        <v>6</v>
      </c>
      <c r="G14" t="s">
        <v>44</v>
      </c>
      <c r="H14" t="s">
        <v>42</v>
      </c>
      <c r="I14" t="s">
        <v>43</v>
      </c>
    </row>
    <row r="15" spans="1:9" x14ac:dyDescent="0.35">
      <c r="A15">
        <v>0.25</v>
      </c>
      <c r="B15">
        <v>5</v>
      </c>
      <c r="C15">
        <v>15</v>
      </c>
      <c r="D15">
        <f>Table13152739[[#This Row],[Wingspan (m)]]/Table13152739[[#This Row],[Wing Aspect Ratio]]</f>
        <v>0.05</v>
      </c>
      <c r="E15">
        <f>Table13152739[[#This Row],[Average Wing Chord (m)]]*Table13152739[[#This Row],[Wingspan (m)]]</f>
        <v>1.2500000000000001E-2</v>
      </c>
      <c r="F15">
        <f>($B$2/$B$1)*D15*C15</f>
        <v>51326.815642458096</v>
      </c>
      <c r="G15">
        <f>(0.5)*$B$2*Table13152739[[#This Row],[Wing Area (m^2)]]*$B$6*Table13152739[[#This Row],[Cruising Speed (m/s)]]*Table13152739[[#This Row],[Cruising Speed (m/s)]]</f>
        <v>0.49836445312500005</v>
      </c>
      <c r="H15">
        <f>(0.5)*$B$2*Table13152739[[#This Row],[Wing Area (m^2)]]*$C$6*Table13152739[[#This Row],[Cruising Speed (m/s)]]*Table13152739[[#This Row],[Cruising Speed (m/s)]]</f>
        <v>0.80516953125000001</v>
      </c>
      <c r="I15">
        <f>(0.5)*$B$2*Table13152739[[#This Row],[Wing Area (m^2)]]*$D$6*Table13152739[[#This Row],[Cruising Speed (m/s)]]*Table13152739[[#This Row],[Cruising Speed (m/s)]]</f>
        <v>7.0146562500000009E-2</v>
      </c>
    </row>
    <row r="16" spans="1:9" x14ac:dyDescent="0.35">
      <c r="A16">
        <f>A15</f>
        <v>0.25</v>
      </c>
      <c r="B16">
        <v>5</v>
      </c>
      <c r="C16">
        <v>17</v>
      </c>
      <c r="D16">
        <f>Table13152739[[#This Row],[Wingspan (m)]]/Table13152739[[#This Row],[Wing Aspect Ratio]]</f>
        <v>0.05</v>
      </c>
      <c r="E16">
        <f>Table13152739[[#This Row],[Average Wing Chord (m)]]*Table13152739[[#This Row],[Wingspan (m)]]</f>
        <v>1.2500000000000001E-2</v>
      </c>
      <c r="F16">
        <f>($B$2/$B$1)*D16*C16</f>
        <v>58170.391061452508</v>
      </c>
      <c r="G16">
        <f>(0.5)*$B$2*Table13152739[[#This Row],[Wing Area (m^2)]]*$B$6*Table13152739[[#This Row],[Cruising Speed (m/s)]]*Table13152739[[#This Row],[Cruising Speed (m/s)]]</f>
        <v>0.64012145312500013</v>
      </c>
      <c r="H16">
        <f>(0.5)*$B$2*Table13152739[[#This Row],[Wing Area (m^2)]]*$C$6*Table13152739[[#This Row],[Cruising Speed (m/s)]]*Table13152739[[#This Row],[Cruising Speed (m/s)]]</f>
        <v>1.03419553125</v>
      </c>
      <c r="I16">
        <f>(0.5)*$B$2*Table13152739[[#This Row],[Wing Area (m^2)]]*$D$6*Table13152739[[#This Row],[Cruising Speed (m/s)]]*Table13152739[[#This Row],[Cruising Speed (m/s)]]</f>
        <v>9.0099362500000016E-2</v>
      </c>
    </row>
    <row r="17" spans="1:9" x14ac:dyDescent="0.35">
      <c r="A17">
        <f>A16</f>
        <v>0.25</v>
      </c>
      <c r="B17">
        <v>6</v>
      </c>
      <c r="C17">
        <v>15</v>
      </c>
      <c r="D17">
        <f>Table13152739[[#This Row],[Wingspan (m)]]/Table13152739[[#This Row],[Wing Aspect Ratio]]</f>
        <v>4.1666666666666664E-2</v>
      </c>
      <c r="E17">
        <f>Table13152739[[#This Row],[Average Wing Chord (m)]]*Table13152739[[#This Row],[Wingspan (m)]]</f>
        <v>1.0416666666666666E-2</v>
      </c>
      <c r="F17">
        <f>($B$2/$B$1)*D17*C17</f>
        <v>42772.34636871508</v>
      </c>
      <c r="G17">
        <f>(0.5)*$B$2*Table13152739[[#This Row],[Wing Area (m^2)]]*$B$6*Table13152739[[#This Row],[Cruising Speed (m/s)]]*Table13152739[[#This Row],[Cruising Speed (m/s)]]</f>
        <v>0.41530371093750001</v>
      </c>
      <c r="H17">
        <f>(0.5)*$B$2*Table13152739[[#This Row],[Wing Area (m^2)]]*$C$6*Table13152739[[#This Row],[Cruising Speed (m/s)]]*Table13152739[[#This Row],[Cruising Speed (m/s)]]</f>
        <v>0.67097460937499998</v>
      </c>
      <c r="I17">
        <f>(0.5)*$B$2*Table13152739[[#This Row],[Wing Area (m^2)]]*$D$6*Table13152739[[#This Row],[Cruising Speed (m/s)]]*Table13152739[[#This Row],[Cruising Speed (m/s)]]</f>
        <v>5.8455468750000003E-2</v>
      </c>
    </row>
    <row r="18" spans="1:9" x14ac:dyDescent="0.35">
      <c r="A18">
        <f>A17</f>
        <v>0.25</v>
      </c>
      <c r="B18">
        <v>6</v>
      </c>
      <c r="C18">
        <v>17</v>
      </c>
      <c r="D18">
        <f>Table13152739[[#This Row],[Wingspan (m)]]/Table13152739[[#This Row],[Wing Aspect Ratio]]</f>
        <v>4.1666666666666664E-2</v>
      </c>
      <c r="E18">
        <f>Table13152739[[#This Row],[Average Wing Chord (m)]]*Table13152739[[#This Row],[Wingspan (m)]]</f>
        <v>1.0416666666666666E-2</v>
      </c>
      <c r="F18">
        <f>($B$2/$B$1)*D18*C18</f>
        <v>48475.325884543752</v>
      </c>
      <c r="G18">
        <f>(0.5)*$B$2*Table13152739[[#This Row],[Wing Area (m^2)]]*$B$6*Table13152739[[#This Row],[Cruising Speed (m/s)]]*Table13152739[[#This Row],[Cruising Speed (m/s)]]</f>
        <v>0.53343454427083337</v>
      </c>
      <c r="H18">
        <f>(0.5)*$B$2*Table13152739[[#This Row],[Wing Area (m^2)]]*$C$6*Table13152739[[#This Row],[Cruising Speed (m/s)]]*Table13152739[[#This Row],[Cruising Speed (m/s)]]</f>
        <v>0.86182960937499997</v>
      </c>
      <c r="I18">
        <f>(0.5)*$B$2*Table13152739[[#This Row],[Wing Area (m^2)]]*$D$6*Table13152739[[#This Row],[Cruising Speed (m/s)]]*Table13152739[[#This Row],[Cruising Speed (m/s)]]</f>
        <v>7.508280208333333E-2</v>
      </c>
    </row>
    <row r="20" spans="1:9" x14ac:dyDescent="0.35">
      <c r="A20" s="7" t="s">
        <v>11</v>
      </c>
      <c r="B20" s="7"/>
      <c r="C20" s="7"/>
      <c r="D20" s="7"/>
      <c r="E20" s="7"/>
      <c r="F20" s="7"/>
      <c r="G20" s="7"/>
      <c r="H20" s="7"/>
      <c r="I20" s="7"/>
    </row>
    <row r="21" spans="1:9" x14ac:dyDescent="0.35">
      <c r="A21" s="5" t="s">
        <v>5</v>
      </c>
      <c r="B21" s="5"/>
      <c r="C21" s="5"/>
      <c r="D21" s="5" t="s">
        <v>8</v>
      </c>
      <c r="E21" s="5"/>
      <c r="F21" s="5"/>
      <c r="G21" s="5"/>
      <c r="H21" s="5"/>
      <c r="I21" s="5"/>
    </row>
    <row r="22" spans="1:9" x14ac:dyDescent="0.35">
      <c r="A22" t="s">
        <v>3</v>
      </c>
      <c r="B22" t="s">
        <v>4</v>
      </c>
      <c r="C22" t="s">
        <v>7</v>
      </c>
      <c r="D22" t="s">
        <v>9</v>
      </c>
      <c r="E22" t="s">
        <v>10</v>
      </c>
      <c r="F22" t="s">
        <v>6</v>
      </c>
      <c r="G22" t="s">
        <v>44</v>
      </c>
      <c r="H22" t="s">
        <v>42</v>
      </c>
      <c r="I22" t="s">
        <v>43</v>
      </c>
    </row>
    <row r="23" spans="1:9" x14ac:dyDescent="0.35">
      <c r="A23">
        <f>A15+0.25</f>
        <v>0.5</v>
      </c>
      <c r="B23">
        <v>5</v>
      </c>
      <c r="C23">
        <v>15</v>
      </c>
      <c r="D23">
        <f>Table1315162840[[#This Row],[Wingspan (m)]]/Table1315162840[[#This Row],[Wing Aspect Ratio]]</f>
        <v>0.1</v>
      </c>
      <c r="E23">
        <f>Table1315162840[[#This Row],[Average Wing Chord (m)]]*Table1315162840[[#This Row],[Wingspan (m)]]</f>
        <v>0.05</v>
      </c>
      <c r="F23">
        <f>($B$2/$B$1)*D23*C23</f>
        <v>102653.63128491619</v>
      </c>
      <c r="G23">
        <f t="shared" ref="G23:I26" si="0">(0.5)*$B$2*$E23*IF($F23&lt;75000,B$6,IF($F23&lt;150000,B$7,B$8))*$C23*$C23</f>
        <v>0.12465140625000001</v>
      </c>
      <c r="H23">
        <f t="shared" si="0"/>
        <v>0.13030171875000002</v>
      </c>
      <c r="I23">
        <f t="shared" si="0"/>
        <v>0.185495625</v>
      </c>
    </row>
    <row r="24" spans="1:9" x14ac:dyDescent="0.35">
      <c r="A24">
        <f>A23</f>
        <v>0.5</v>
      </c>
      <c r="B24">
        <v>5</v>
      </c>
      <c r="C24">
        <v>17</v>
      </c>
      <c r="D24">
        <f>Table1315162840[[#This Row],[Wingspan (m)]]/Table1315162840[[#This Row],[Wing Aspect Ratio]]</f>
        <v>0.1</v>
      </c>
      <c r="E24">
        <f>Table1315162840[[#This Row],[Average Wing Chord (m)]]*Table1315162840[[#This Row],[Wingspan (m)]]</f>
        <v>0.05</v>
      </c>
      <c r="F24">
        <f>($B$2/$B$1)*D24*C24</f>
        <v>116340.78212290502</v>
      </c>
      <c r="G24">
        <f t="shared" si="0"/>
        <v>0.16010780624999998</v>
      </c>
      <c r="H24">
        <f t="shared" si="0"/>
        <v>0.16736531874999999</v>
      </c>
      <c r="I24">
        <f t="shared" si="0"/>
        <v>0.23825882500000001</v>
      </c>
    </row>
    <row r="25" spans="1:9" x14ac:dyDescent="0.35">
      <c r="A25">
        <f>A24</f>
        <v>0.5</v>
      </c>
      <c r="B25">
        <v>6</v>
      </c>
      <c r="C25">
        <v>15</v>
      </c>
      <c r="D25">
        <f>Table1315162840[[#This Row],[Wingspan (m)]]/Table1315162840[[#This Row],[Wing Aspect Ratio]]</f>
        <v>8.3333333333333329E-2</v>
      </c>
      <c r="E25">
        <f>Table1315162840[[#This Row],[Average Wing Chord (m)]]*Table1315162840[[#This Row],[Wingspan (m)]]</f>
        <v>4.1666666666666664E-2</v>
      </c>
      <c r="F25">
        <f>($B$2/$B$1)*D25*C25</f>
        <v>85544.692737430159</v>
      </c>
      <c r="G25">
        <f t="shared" si="0"/>
        <v>0.10387617187499999</v>
      </c>
      <c r="H25">
        <f t="shared" si="0"/>
        <v>0.108584765625</v>
      </c>
      <c r="I25">
        <f t="shared" si="0"/>
        <v>0.15457968750000001</v>
      </c>
    </row>
    <row r="26" spans="1:9" x14ac:dyDescent="0.35">
      <c r="A26">
        <f>A25</f>
        <v>0.5</v>
      </c>
      <c r="B26">
        <v>6</v>
      </c>
      <c r="C26">
        <v>17</v>
      </c>
      <c r="D26">
        <f>Table1315162840[[#This Row],[Wingspan (m)]]/Table1315162840[[#This Row],[Wing Aspect Ratio]]</f>
        <v>8.3333333333333329E-2</v>
      </c>
      <c r="E26">
        <f>Table1315162840[[#This Row],[Average Wing Chord (m)]]*Table1315162840[[#This Row],[Wingspan (m)]]</f>
        <v>4.1666666666666664E-2</v>
      </c>
      <c r="F26">
        <f>($B$2/$B$1)*D26*C26</f>
        <v>96950.651769087504</v>
      </c>
      <c r="G26">
        <f t="shared" si="0"/>
        <v>0.133423171875</v>
      </c>
      <c r="H26">
        <f t="shared" si="0"/>
        <v>0.13947109895833332</v>
      </c>
      <c r="I26">
        <f t="shared" si="0"/>
        <v>0.19854902083333331</v>
      </c>
    </row>
    <row r="28" spans="1:9" x14ac:dyDescent="0.35">
      <c r="A28" s="7" t="s">
        <v>12</v>
      </c>
      <c r="B28" s="7"/>
      <c r="C28" s="7"/>
      <c r="D28" s="7"/>
      <c r="E28" s="7"/>
      <c r="F28" s="7"/>
      <c r="G28" s="7"/>
      <c r="H28" s="7"/>
      <c r="I28" s="7"/>
    </row>
    <row r="29" spans="1:9" x14ac:dyDescent="0.35">
      <c r="A29" s="5" t="s">
        <v>5</v>
      </c>
      <c r="B29" s="5"/>
      <c r="C29" s="5"/>
      <c r="D29" s="5" t="s">
        <v>8</v>
      </c>
      <c r="E29" s="5"/>
      <c r="F29" s="5"/>
      <c r="G29" s="5"/>
      <c r="H29" s="5"/>
      <c r="I29" s="5"/>
    </row>
    <row r="30" spans="1:9" x14ac:dyDescent="0.35">
      <c r="A30" t="s">
        <v>3</v>
      </c>
      <c r="B30" t="s">
        <v>4</v>
      </c>
      <c r="C30" t="s">
        <v>7</v>
      </c>
      <c r="D30" t="s">
        <v>9</v>
      </c>
      <c r="E30" t="s">
        <v>10</v>
      </c>
      <c r="F30" t="s">
        <v>6</v>
      </c>
      <c r="G30" t="s">
        <v>44</v>
      </c>
      <c r="H30" t="s">
        <v>42</v>
      </c>
      <c r="I30" t="s">
        <v>43</v>
      </c>
    </row>
    <row r="31" spans="1:9" x14ac:dyDescent="0.35">
      <c r="A31">
        <f>A23+0.25</f>
        <v>0.75</v>
      </c>
      <c r="B31">
        <v>5</v>
      </c>
      <c r="C31">
        <v>15</v>
      </c>
      <c r="D31">
        <f>Table131516212941[[#This Row],[Wingspan (m)]]/Table131516212941[[#This Row],[Wing Aspect Ratio]]</f>
        <v>0.15</v>
      </c>
      <c r="E31">
        <f>Table131516212941[[#This Row],[Average Wing Chord (m)]]*Table131516212941[[#This Row],[Wingspan (m)]]</f>
        <v>0.11249999999999999</v>
      </c>
      <c r="F31">
        <f>($B$2/$B$1)*D31*C31</f>
        <v>153980.44692737429</v>
      </c>
      <c r="G31">
        <f t="shared" ref="G31:I34" si="1">(0.5)*$B$2*$E31*IF($F31&lt;75000,B$6,IF($F31&lt;150000,B$7,B$8))*$C31*$C31</f>
        <v>0.15565921874999999</v>
      </c>
      <c r="H31">
        <f t="shared" si="1"/>
        <v>0.18806238281250001</v>
      </c>
      <c r="I31">
        <f t="shared" si="1"/>
        <v>0.33457429687499995</v>
      </c>
    </row>
    <row r="32" spans="1:9" x14ac:dyDescent="0.35">
      <c r="A32">
        <f>A31</f>
        <v>0.75</v>
      </c>
      <c r="B32">
        <v>5</v>
      </c>
      <c r="C32">
        <v>17</v>
      </c>
      <c r="D32">
        <f>Table131516212941[[#This Row],[Wingspan (m)]]/Table131516212941[[#This Row],[Wing Aspect Ratio]]</f>
        <v>0.15</v>
      </c>
      <c r="E32">
        <f>Table131516212941[[#This Row],[Average Wing Chord (m)]]*Table131516212941[[#This Row],[Wingspan (m)]]</f>
        <v>0.11249999999999999</v>
      </c>
      <c r="F32">
        <f>($B$2/$B$1)*D32*C32</f>
        <v>174511.17318435753</v>
      </c>
      <c r="G32">
        <f t="shared" si="1"/>
        <v>0.19993561874999999</v>
      </c>
      <c r="H32">
        <f t="shared" si="1"/>
        <v>0.24155568281250001</v>
      </c>
      <c r="I32">
        <f t="shared" si="1"/>
        <v>0.42974209687499998</v>
      </c>
    </row>
    <row r="33" spans="1:9" x14ac:dyDescent="0.35">
      <c r="A33">
        <f>A32</f>
        <v>0.75</v>
      </c>
      <c r="B33">
        <v>6</v>
      </c>
      <c r="C33">
        <v>15</v>
      </c>
      <c r="D33">
        <f>Table131516212941[[#This Row],[Wingspan (m)]]/Table131516212941[[#This Row],[Wing Aspect Ratio]]</f>
        <v>0.125</v>
      </c>
      <c r="E33">
        <f>Table131516212941[[#This Row],[Average Wing Chord (m)]]*Table131516212941[[#This Row],[Wingspan (m)]]</f>
        <v>9.375E-2</v>
      </c>
      <c r="F33">
        <f>($B$2/$B$1)*D33*C33</f>
        <v>128317.03910614524</v>
      </c>
      <c r="G33">
        <f t="shared" si="1"/>
        <v>0.23372138671875003</v>
      </c>
      <c r="H33">
        <f t="shared" si="1"/>
        <v>0.24431572265625004</v>
      </c>
      <c r="I33">
        <f t="shared" si="1"/>
        <v>0.34780429687499997</v>
      </c>
    </row>
    <row r="34" spans="1:9" x14ac:dyDescent="0.35">
      <c r="A34">
        <f>A33</f>
        <v>0.75</v>
      </c>
      <c r="B34">
        <v>6</v>
      </c>
      <c r="C34">
        <v>17</v>
      </c>
      <c r="D34">
        <f>Table131516212941[[#This Row],[Wingspan (m)]]/Table131516212941[[#This Row],[Wing Aspect Ratio]]</f>
        <v>0.125</v>
      </c>
      <c r="E34">
        <f>Table131516212941[[#This Row],[Average Wing Chord (m)]]*Table131516212941[[#This Row],[Wingspan (m)]]</f>
        <v>9.375E-2</v>
      </c>
      <c r="F34">
        <f>($B$2/$B$1)*D34*C34</f>
        <v>145425.97765363127</v>
      </c>
      <c r="G34">
        <f t="shared" si="1"/>
        <v>0.30020213671875001</v>
      </c>
      <c r="H34">
        <f t="shared" si="1"/>
        <v>0.31380997265625005</v>
      </c>
      <c r="I34">
        <f t="shared" si="1"/>
        <v>0.44673529687500002</v>
      </c>
    </row>
    <row r="36" spans="1:9" x14ac:dyDescent="0.35">
      <c r="A36" s="7" t="s">
        <v>13</v>
      </c>
      <c r="B36" s="7"/>
      <c r="C36" s="7"/>
      <c r="D36" s="7"/>
      <c r="E36" s="7"/>
      <c r="F36" s="7"/>
      <c r="G36" s="7"/>
      <c r="H36" s="7"/>
      <c r="I36" s="7"/>
    </row>
    <row r="37" spans="1:9" x14ac:dyDescent="0.35">
      <c r="A37" s="5" t="s">
        <v>5</v>
      </c>
      <c r="B37" s="5"/>
      <c r="C37" s="5"/>
      <c r="D37" s="5" t="s">
        <v>8</v>
      </c>
      <c r="E37" s="5"/>
      <c r="F37" s="5"/>
      <c r="G37" s="5"/>
      <c r="H37" s="5"/>
      <c r="I37" s="5"/>
    </row>
    <row r="38" spans="1:9" x14ac:dyDescent="0.35">
      <c r="A38" t="s">
        <v>3</v>
      </c>
      <c r="B38" t="s">
        <v>4</v>
      </c>
      <c r="C38" t="s">
        <v>7</v>
      </c>
      <c r="D38" t="s">
        <v>9</v>
      </c>
      <c r="E38" t="s">
        <v>10</v>
      </c>
      <c r="F38" t="s">
        <v>6</v>
      </c>
      <c r="G38" t="s">
        <v>44</v>
      </c>
      <c r="H38" t="s">
        <v>42</v>
      </c>
      <c r="I38" t="s">
        <v>43</v>
      </c>
    </row>
    <row r="39" spans="1:9" x14ac:dyDescent="0.35">
      <c r="A39">
        <f>A31+0.25</f>
        <v>1</v>
      </c>
      <c r="B39">
        <v>5</v>
      </c>
      <c r="C39">
        <v>15</v>
      </c>
      <c r="D39">
        <f>Table131516223042[[#This Row],[Wingspan (m)]]/Table131516223042[[#This Row],[Wing Aspect Ratio]]</f>
        <v>0.2</v>
      </c>
      <c r="E39">
        <f>Table131516223042[[#This Row],[Average Wing Chord (m)]]*Table131516223042[[#This Row],[Wingspan (m)]]</f>
        <v>0.2</v>
      </c>
      <c r="F39">
        <f>($B$2/$B$1)*D39*C39</f>
        <v>205307.26256983238</v>
      </c>
      <c r="G39">
        <f t="shared" ref="G39:I42" si="2">(0.5)*$B$2*$E39*IF($F39&lt;75000,B$6,IF($F39&lt;150000,B$7,B$8))*$C39*$C39</f>
        <v>0.27672750000000007</v>
      </c>
      <c r="H39">
        <f t="shared" si="2"/>
        <v>0.33433312500000006</v>
      </c>
      <c r="I39">
        <f t="shared" si="2"/>
        <v>0.59479875000000004</v>
      </c>
    </row>
    <row r="40" spans="1:9" x14ac:dyDescent="0.35">
      <c r="A40">
        <f>A39</f>
        <v>1</v>
      </c>
      <c r="B40">
        <v>5</v>
      </c>
      <c r="C40">
        <v>17</v>
      </c>
      <c r="D40">
        <f>Table131516223042[[#This Row],[Wingspan (m)]]/Table131516223042[[#This Row],[Wing Aspect Ratio]]</f>
        <v>0.2</v>
      </c>
      <c r="E40">
        <f>Table131516223042[[#This Row],[Average Wing Chord (m)]]*Table131516223042[[#This Row],[Wingspan (m)]]</f>
        <v>0.2</v>
      </c>
      <c r="F40">
        <f>($B$2/$B$1)*D40*C40</f>
        <v>232681.56424581003</v>
      </c>
      <c r="G40">
        <f t="shared" si="2"/>
        <v>0.35544110000000001</v>
      </c>
      <c r="H40">
        <f t="shared" si="2"/>
        <v>0.429432325</v>
      </c>
      <c r="I40">
        <f t="shared" si="2"/>
        <v>0.76398595000000002</v>
      </c>
    </row>
    <row r="41" spans="1:9" x14ac:dyDescent="0.35">
      <c r="A41">
        <f>A40</f>
        <v>1</v>
      </c>
      <c r="B41">
        <v>6</v>
      </c>
      <c r="C41">
        <v>15</v>
      </c>
      <c r="D41">
        <f>Table131516223042[[#This Row],[Wingspan (m)]]/Table131516223042[[#This Row],[Wing Aspect Ratio]]</f>
        <v>0.16666666666666666</v>
      </c>
      <c r="E41">
        <f>Table131516223042[[#This Row],[Average Wing Chord (m)]]*Table131516223042[[#This Row],[Wingspan (m)]]</f>
        <v>0.16666666666666666</v>
      </c>
      <c r="F41">
        <f>($B$2/$B$1)*D41*C41</f>
        <v>171089.38547486032</v>
      </c>
      <c r="G41">
        <f t="shared" si="2"/>
        <v>0.23060624999999998</v>
      </c>
      <c r="H41">
        <f t="shared" si="2"/>
        <v>0.27861093750000004</v>
      </c>
      <c r="I41">
        <f t="shared" si="2"/>
        <v>0.495665625</v>
      </c>
    </row>
    <row r="42" spans="1:9" x14ac:dyDescent="0.35">
      <c r="A42">
        <f>A41</f>
        <v>1</v>
      </c>
      <c r="B42">
        <v>6</v>
      </c>
      <c r="C42">
        <v>17</v>
      </c>
      <c r="D42">
        <f>Table131516223042[[#This Row],[Wingspan (m)]]/Table131516223042[[#This Row],[Wing Aspect Ratio]]</f>
        <v>0.16666666666666666</v>
      </c>
      <c r="E42">
        <f>Table131516223042[[#This Row],[Average Wing Chord (m)]]*Table131516223042[[#This Row],[Wingspan (m)]]</f>
        <v>0.16666666666666666</v>
      </c>
      <c r="F42">
        <f>($B$2/$B$1)*D42*C42</f>
        <v>193901.30353817501</v>
      </c>
      <c r="G42">
        <f t="shared" si="2"/>
        <v>0.29620091666666665</v>
      </c>
      <c r="H42">
        <f t="shared" si="2"/>
        <v>0.35786027083333333</v>
      </c>
      <c r="I42">
        <f t="shared" si="2"/>
        <v>0.6366549583333333</v>
      </c>
    </row>
    <row r="44" spans="1:9" x14ac:dyDescent="0.35">
      <c r="A44" s="7" t="s">
        <v>14</v>
      </c>
      <c r="B44" s="7"/>
      <c r="C44" s="7"/>
      <c r="D44" s="7"/>
      <c r="E44" s="7"/>
      <c r="F44" s="7"/>
      <c r="G44" s="7"/>
      <c r="H44" s="7"/>
      <c r="I44" s="7"/>
    </row>
    <row r="45" spans="1:9" x14ac:dyDescent="0.35">
      <c r="A45" s="5" t="s">
        <v>5</v>
      </c>
      <c r="B45" s="5"/>
      <c r="C45" s="5"/>
      <c r="D45" s="5" t="s">
        <v>8</v>
      </c>
      <c r="E45" s="5"/>
      <c r="F45" s="5"/>
      <c r="G45" s="5"/>
      <c r="H45" s="5"/>
      <c r="I45" s="5"/>
    </row>
    <row r="46" spans="1:9" x14ac:dyDescent="0.35">
      <c r="A46" t="s">
        <v>3</v>
      </c>
      <c r="B46" t="s">
        <v>4</v>
      </c>
      <c r="C46" t="s">
        <v>7</v>
      </c>
      <c r="D46" t="s">
        <v>9</v>
      </c>
      <c r="E46" t="s">
        <v>10</v>
      </c>
      <c r="F46" t="s">
        <v>6</v>
      </c>
      <c r="G46" t="s">
        <v>44</v>
      </c>
      <c r="H46" t="s">
        <v>42</v>
      </c>
      <c r="I46" t="s">
        <v>43</v>
      </c>
    </row>
    <row r="47" spans="1:9" x14ac:dyDescent="0.35">
      <c r="A47">
        <f>A39+0.2</f>
        <v>1.2</v>
      </c>
      <c r="B47">
        <v>5</v>
      </c>
      <c r="C47">
        <v>15</v>
      </c>
      <c r="D47">
        <f>Table131516233143[[#This Row],[Wingspan (m)]]/Table131516233143[[#This Row],[Wing Aspect Ratio]]</f>
        <v>0.24</v>
      </c>
      <c r="E47">
        <f>Table131516233143[[#This Row],[Average Wing Chord (m)]]*Table131516233143[[#This Row],[Wingspan (m)]]</f>
        <v>0.28799999999999998</v>
      </c>
      <c r="F47">
        <f>($B$2/$B$1)*D47*C47</f>
        <v>246368.71508379886</v>
      </c>
      <c r="G47">
        <f t="shared" ref="G47:I50" si="3">(0.5)*$B$2*$E47*IF($F47&lt;75000,B$6,IF($F47&lt;150000,B$7,B$8))*$C47*$C47</f>
        <v>0.3984876</v>
      </c>
      <c r="H47">
        <f t="shared" si="3"/>
        <v>0.48143970000000003</v>
      </c>
      <c r="I47">
        <f t="shared" si="3"/>
        <v>0.8565102</v>
      </c>
    </row>
    <row r="48" spans="1:9" x14ac:dyDescent="0.35">
      <c r="A48">
        <f>A47</f>
        <v>1.2</v>
      </c>
      <c r="B48">
        <v>5</v>
      </c>
      <c r="C48">
        <v>17</v>
      </c>
      <c r="D48">
        <f>Table131516233143[[#This Row],[Wingspan (m)]]/Table131516233143[[#This Row],[Wing Aspect Ratio]]</f>
        <v>0.24</v>
      </c>
      <c r="E48">
        <f>Table131516233143[[#This Row],[Average Wing Chord (m)]]*Table131516233143[[#This Row],[Wingspan (m)]]</f>
        <v>0.28799999999999998</v>
      </c>
      <c r="F48">
        <f>($B$2/$B$1)*D48*C48</f>
        <v>279217.87709497206</v>
      </c>
      <c r="G48">
        <f t="shared" si="3"/>
        <v>0.51183518400000005</v>
      </c>
      <c r="H48">
        <f t="shared" si="3"/>
        <v>0.61838254800000003</v>
      </c>
      <c r="I48">
        <f t="shared" si="3"/>
        <v>1.100139768</v>
      </c>
    </row>
    <row r="49" spans="1:9" x14ac:dyDescent="0.35">
      <c r="A49">
        <f>A48</f>
        <v>1.2</v>
      </c>
      <c r="B49">
        <v>6</v>
      </c>
      <c r="C49">
        <v>15</v>
      </c>
      <c r="D49">
        <f>Table131516233143[[#This Row],[Wingspan (m)]]/Table131516233143[[#This Row],[Wing Aspect Ratio]]</f>
        <v>0.19999999999999998</v>
      </c>
      <c r="E49">
        <f>Table131516233143[[#This Row],[Average Wing Chord (m)]]*Table131516233143[[#This Row],[Wingspan (m)]]</f>
        <v>0.23999999999999996</v>
      </c>
      <c r="F49">
        <f>($B$2/$B$1)*D49*C49</f>
        <v>205307.26256983235</v>
      </c>
      <c r="G49">
        <f t="shared" si="3"/>
        <v>0.33207300000000001</v>
      </c>
      <c r="H49">
        <f t="shared" si="3"/>
        <v>0.40119974999999997</v>
      </c>
      <c r="I49">
        <f t="shared" si="3"/>
        <v>0.71375849999999996</v>
      </c>
    </row>
    <row r="50" spans="1:9" x14ac:dyDescent="0.35">
      <c r="A50">
        <f>A49</f>
        <v>1.2</v>
      </c>
      <c r="B50">
        <v>6</v>
      </c>
      <c r="C50">
        <v>17</v>
      </c>
      <c r="D50">
        <f>Table131516233143[[#This Row],[Wingspan (m)]]/Table131516233143[[#This Row],[Wing Aspect Ratio]]</f>
        <v>0.19999999999999998</v>
      </c>
      <c r="E50">
        <f>Table131516233143[[#This Row],[Average Wing Chord (m)]]*Table131516233143[[#This Row],[Wingspan (m)]]</f>
        <v>0.23999999999999996</v>
      </c>
      <c r="F50">
        <f>($B$2/$B$1)*D50*C50</f>
        <v>232681.56424581</v>
      </c>
      <c r="G50">
        <f t="shared" si="3"/>
        <v>0.42652931999999999</v>
      </c>
      <c r="H50">
        <f t="shared" si="3"/>
        <v>0.51531879000000003</v>
      </c>
      <c r="I50">
        <f t="shared" si="3"/>
        <v>0.91678313999999983</v>
      </c>
    </row>
    <row r="52" spans="1:9" x14ac:dyDescent="0.35">
      <c r="A52" s="7" t="s">
        <v>15</v>
      </c>
      <c r="B52" s="7"/>
      <c r="C52" s="7"/>
      <c r="D52" s="7"/>
      <c r="E52" s="7"/>
      <c r="F52" s="7"/>
      <c r="G52" s="7"/>
      <c r="H52" s="7"/>
      <c r="I52" s="7"/>
    </row>
    <row r="53" spans="1:9" x14ac:dyDescent="0.35">
      <c r="A53" s="5" t="s">
        <v>5</v>
      </c>
      <c r="B53" s="5"/>
      <c r="C53" s="5"/>
      <c r="D53" s="5" t="s">
        <v>8</v>
      </c>
      <c r="E53" s="5"/>
      <c r="F53" s="5"/>
      <c r="G53" s="5"/>
      <c r="H53" s="5"/>
      <c r="I53" s="5"/>
    </row>
    <row r="54" spans="1:9" x14ac:dyDescent="0.35">
      <c r="A54" t="s">
        <v>3</v>
      </c>
      <c r="B54" t="s">
        <v>4</v>
      </c>
      <c r="C54" t="s">
        <v>7</v>
      </c>
      <c r="D54" t="s">
        <v>9</v>
      </c>
      <c r="E54" t="s">
        <v>10</v>
      </c>
      <c r="F54" t="s">
        <v>6</v>
      </c>
      <c r="G54" t="s">
        <v>44</v>
      </c>
      <c r="H54" t="s">
        <v>42</v>
      </c>
      <c r="I54" t="s">
        <v>43</v>
      </c>
    </row>
    <row r="55" spans="1:9" x14ac:dyDescent="0.35">
      <c r="A55">
        <f>A47+0.3</f>
        <v>1.5</v>
      </c>
      <c r="B55">
        <v>5</v>
      </c>
      <c r="C55">
        <v>15</v>
      </c>
      <c r="D55">
        <f>Table131516243244[[#This Row],[Wingspan (m)]]/Table131516243244[[#This Row],[Wing Aspect Ratio]]</f>
        <v>0.3</v>
      </c>
      <c r="E55">
        <f>Table131516243244[[#This Row],[Average Wing Chord (m)]]*Table131516243244[[#This Row],[Wingspan (m)]]</f>
        <v>0.44999999999999996</v>
      </c>
      <c r="F55">
        <f>($B$2/$B$1)*D55*C55</f>
        <v>307960.89385474857</v>
      </c>
      <c r="G55">
        <f t="shared" ref="G55:I58" si="4">(0.5)*$B$2*$E55*IF($F55&lt;75000,B$6,IF($F55&lt;150000,B$7,B$8))*$C55*$C55</f>
        <v>0.62263687499999998</v>
      </c>
      <c r="H55">
        <f t="shared" si="4"/>
        <v>0.75224953125000005</v>
      </c>
      <c r="I55">
        <f t="shared" si="4"/>
        <v>1.3382971874999998</v>
      </c>
    </row>
    <row r="56" spans="1:9" x14ac:dyDescent="0.35">
      <c r="A56">
        <f>A55</f>
        <v>1.5</v>
      </c>
      <c r="B56">
        <v>5</v>
      </c>
      <c r="C56">
        <v>17</v>
      </c>
      <c r="D56">
        <f>Table131516243244[[#This Row],[Wingspan (m)]]/Table131516243244[[#This Row],[Wing Aspect Ratio]]</f>
        <v>0.3</v>
      </c>
      <c r="E56">
        <f>Table131516243244[[#This Row],[Average Wing Chord (m)]]*Table131516243244[[#This Row],[Wingspan (m)]]</f>
        <v>0.44999999999999996</v>
      </c>
      <c r="F56">
        <f>($B$2/$B$1)*D56*C56</f>
        <v>349022.34636871505</v>
      </c>
      <c r="G56">
        <f t="shared" si="4"/>
        <v>0.79974247499999995</v>
      </c>
      <c r="H56">
        <f t="shared" si="4"/>
        <v>0.96622273125000002</v>
      </c>
      <c r="I56">
        <f t="shared" si="4"/>
        <v>1.7189683874999999</v>
      </c>
    </row>
    <row r="57" spans="1:9" x14ac:dyDescent="0.35">
      <c r="A57">
        <f>A56</f>
        <v>1.5</v>
      </c>
      <c r="B57">
        <v>6</v>
      </c>
      <c r="C57">
        <v>15</v>
      </c>
      <c r="D57">
        <f>Table131516243244[[#This Row],[Wingspan (m)]]/Table131516243244[[#This Row],[Wing Aspect Ratio]]</f>
        <v>0.25</v>
      </c>
      <c r="E57">
        <f>Table131516243244[[#This Row],[Average Wing Chord (m)]]*Table131516243244[[#This Row],[Wingspan (m)]]</f>
        <v>0.375</v>
      </c>
      <c r="F57">
        <f>($B$2/$B$1)*D57*C57</f>
        <v>256634.07821229048</v>
      </c>
      <c r="G57">
        <f t="shared" si="4"/>
        <v>0.51886406250000017</v>
      </c>
      <c r="H57">
        <f t="shared" si="4"/>
        <v>0.62687460937500017</v>
      </c>
      <c r="I57">
        <f t="shared" si="4"/>
        <v>1.11524765625</v>
      </c>
    </row>
    <row r="58" spans="1:9" x14ac:dyDescent="0.35">
      <c r="A58">
        <f>A57</f>
        <v>1.5</v>
      </c>
      <c r="B58">
        <v>6</v>
      </c>
      <c r="C58">
        <v>17</v>
      </c>
      <c r="D58">
        <f>Table131516243244[[#This Row],[Wingspan (m)]]/Table131516243244[[#This Row],[Wing Aspect Ratio]]</f>
        <v>0.25</v>
      </c>
      <c r="E58">
        <f>Table131516243244[[#This Row],[Average Wing Chord (m)]]*Table131516243244[[#This Row],[Wingspan (m)]]</f>
        <v>0.375</v>
      </c>
      <c r="F58">
        <f>($B$2/$B$1)*D58*C58</f>
        <v>290851.95530726254</v>
      </c>
      <c r="G58">
        <f t="shared" si="4"/>
        <v>0.66645206250000011</v>
      </c>
      <c r="H58">
        <f t="shared" si="4"/>
        <v>0.80518560937500006</v>
      </c>
      <c r="I58">
        <f t="shared" si="4"/>
        <v>1.43247365625</v>
      </c>
    </row>
  </sheetData>
  <mergeCells count="18">
    <mergeCell ref="A12:I12"/>
    <mergeCell ref="A13:C13"/>
    <mergeCell ref="D13:I13"/>
    <mergeCell ref="A20:I20"/>
    <mergeCell ref="A21:C21"/>
    <mergeCell ref="D21:I21"/>
    <mergeCell ref="A28:I28"/>
    <mergeCell ref="A29:C29"/>
    <mergeCell ref="D29:I29"/>
    <mergeCell ref="A52:I52"/>
    <mergeCell ref="A53:C53"/>
    <mergeCell ref="D53:I53"/>
    <mergeCell ref="A36:I36"/>
    <mergeCell ref="A37:C37"/>
    <mergeCell ref="D37:I37"/>
    <mergeCell ref="A44:I44"/>
    <mergeCell ref="A45:C45"/>
    <mergeCell ref="D45:I45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8642-F48F-4B14-A3F7-4900C9E94194}">
  <dimension ref="A1:B5"/>
  <sheetViews>
    <sheetView workbookViewId="0">
      <selection activeCell="A6" sqref="A6"/>
    </sheetView>
  </sheetViews>
  <sheetFormatPr defaultRowHeight="14.5" x14ac:dyDescent="0.35"/>
  <cols>
    <col min="1" max="1" width="20.36328125" bestFit="1" customWidth="1"/>
    <col min="2" max="2" width="9.81640625" bestFit="1" customWidth="1"/>
  </cols>
  <sheetData>
    <row r="1" spans="1:2" x14ac:dyDescent="0.35">
      <c r="A1" t="s">
        <v>45</v>
      </c>
      <c r="B1">
        <v>1.2250000000000001</v>
      </c>
    </row>
    <row r="2" spans="1:2" ht="14.5" customHeight="1" x14ac:dyDescent="0.35">
      <c r="A2" t="s">
        <v>47</v>
      </c>
      <c r="B2">
        <v>1.7900000000000001E-5</v>
      </c>
    </row>
    <row r="3" spans="1:2" ht="14.5" customHeight="1" x14ac:dyDescent="0.35">
      <c r="A3" t="s">
        <v>7</v>
      </c>
      <c r="B3">
        <v>17</v>
      </c>
    </row>
    <row r="4" spans="1:2" x14ac:dyDescent="0.35">
      <c r="A4" t="s">
        <v>46</v>
      </c>
      <c r="B4">
        <v>0.2</v>
      </c>
    </row>
    <row r="5" spans="1:2" x14ac:dyDescent="0.35">
      <c r="A5" t="s">
        <v>6</v>
      </c>
      <c r="B5">
        <f>(B1/Re)*B3*B4</f>
        <v>232681.56424581003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B408-9680-41FF-80B3-6E99D4E59D0D}">
  <dimension ref="A2:G117"/>
  <sheetViews>
    <sheetView workbookViewId="0">
      <selection activeCell="A12" sqref="A12:A117"/>
    </sheetView>
  </sheetViews>
  <sheetFormatPr defaultRowHeight="14.5" x14ac:dyDescent="0.35"/>
  <cols>
    <col min="1" max="1" width="15.54296875" bestFit="1" customWidth="1"/>
    <col min="2" max="2" width="7.54296875" customWidth="1"/>
    <col min="3" max="4" width="7.81640625" bestFit="1" customWidth="1"/>
    <col min="5" max="5" width="7.453125" bestFit="1" customWidth="1"/>
    <col min="6" max="6" width="7.36328125" bestFit="1" customWidth="1"/>
    <col min="7" max="7" width="7" bestFit="1" customWidth="1"/>
  </cols>
  <sheetData>
    <row r="2" spans="1:7" x14ac:dyDescent="0.35">
      <c r="A2" t="s">
        <v>48</v>
      </c>
      <c r="B2" t="s">
        <v>49</v>
      </c>
    </row>
    <row r="3" spans="1:7" x14ac:dyDescent="0.35">
      <c r="A3" t="s">
        <v>50</v>
      </c>
      <c r="B3" t="s">
        <v>51</v>
      </c>
    </row>
    <row r="4" spans="1:7" x14ac:dyDescent="0.35">
      <c r="A4" t="s">
        <v>52</v>
      </c>
      <c r="B4">
        <v>200000</v>
      </c>
    </row>
    <row r="5" spans="1:7" x14ac:dyDescent="0.35">
      <c r="A5" t="s">
        <v>53</v>
      </c>
      <c r="B5">
        <v>9</v>
      </c>
    </row>
    <row r="6" spans="1:7" x14ac:dyDescent="0.35">
      <c r="A6" t="s">
        <v>54</v>
      </c>
      <c r="B6">
        <v>0</v>
      </c>
    </row>
    <row r="7" spans="1:7" x14ac:dyDescent="0.35">
      <c r="A7" t="s">
        <v>55</v>
      </c>
      <c r="B7">
        <v>77.275400000000005</v>
      </c>
    </row>
    <row r="8" spans="1:7" x14ac:dyDescent="0.35">
      <c r="A8" t="s">
        <v>56</v>
      </c>
      <c r="B8">
        <v>6.5</v>
      </c>
    </row>
    <row r="9" spans="1:7" x14ac:dyDescent="0.35">
      <c r="A9" t="s">
        <v>57</v>
      </c>
      <c r="B9" t="s">
        <v>58</v>
      </c>
    </row>
    <row r="11" spans="1:7" x14ac:dyDescent="0.3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35">
      <c r="A12">
        <v>-8.5</v>
      </c>
      <c r="B12">
        <v>-0.32829999999999998</v>
      </c>
      <c r="C12">
        <v>8.8760000000000006E-2</v>
      </c>
      <c r="D12">
        <v>8.5519999999999999E-2</v>
      </c>
      <c r="E12">
        <v>-4.0800000000000003E-2</v>
      </c>
      <c r="F12">
        <v>1</v>
      </c>
      <c r="G12">
        <v>4.2099999999999999E-2</v>
      </c>
    </row>
    <row r="13" spans="1:7" x14ac:dyDescent="0.35">
      <c r="A13">
        <v>-8.25</v>
      </c>
      <c r="B13">
        <v>-0.32950000000000002</v>
      </c>
      <c r="C13">
        <v>8.6629999999999999E-2</v>
      </c>
      <c r="D13">
        <v>8.3460000000000006E-2</v>
      </c>
      <c r="E13">
        <v>-3.9899999999999998E-2</v>
      </c>
      <c r="F13">
        <v>1</v>
      </c>
      <c r="G13">
        <v>4.3999999999999997E-2</v>
      </c>
    </row>
    <row r="14" spans="1:7" x14ac:dyDescent="0.35">
      <c r="A14">
        <v>-8</v>
      </c>
      <c r="B14">
        <v>-0.34260000000000002</v>
      </c>
      <c r="C14">
        <v>8.4970000000000004E-2</v>
      </c>
      <c r="D14">
        <v>8.1890000000000004E-2</v>
      </c>
      <c r="E14">
        <v>-3.78E-2</v>
      </c>
      <c r="F14">
        <v>1</v>
      </c>
      <c r="G14">
        <v>4.3999999999999997E-2</v>
      </c>
    </row>
    <row r="15" spans="1:7" x14ac:dyDescent="0.35">
      <c r="A15">
        <v>-7.75</v>
      </c>
      <c r="B15">
        <v>-0.36890000000000001</v>
      </c>
      <c r="C15">
        <v>8.4580000000000002E-2</v>
      </c>
      <c r="D15">
        <v>8.1619999999999998E-2</v>
      </c>
      <c r="E15">
        <v>-3.2899999999999999E-2</v>
      </c>
      <c r="F15">
        <v>1</v>
      </c>
      <c r="G15">
        <v>4.3900000000000002E-2</v>
      </c>
    </row>
    <row r="16" spans="1:7" x14ac:dyDescent="0.35">
      <c r="A16">
        <v>-7.5</v>
      </c>
      <c r="B16">
        <v>-0.38179999999999997</v>
      </c>
      <c r="C16">
        <v>8.2890000000000005E-2</v>
      </c>
      <c r="D16">
        <v>0.08</v>
      </c>
      <c r="E16">
        <v>-3.2099999999999997E-2</v>
      </c>
      <c r="F16">
        <v>0.998</v>
      </c>
      <c r="G16">
        <v>4.5199999999999997E-2</v>
      </c>
    </row>
    <row r="17" spans="1:7" x14ac:dyDescent="0.35">
      <c r="A17">
        <v>-7.25</v>
      </c>
      <c r="B17">
        <v>-0.36070000000000002</v>
      </c>
      <c r="C17">
        <v>7.6069999999999999E-2</v>
      </c>
      <c r="D17">
        <v>7.3150000000000007E-2</v>
      </c>
      <c r="E17">
        <v>-4.5999999999999999E-2</v>
      </c>
      <c r="F17">
        <v>0.98780000000000001</v>
      </c>
      <c r="G17">
        <v>4.8899999999999999E-2</v>
      </c>
    </row>
    <row r="18" spans="1:7" x14ac:dyDescent="0.35">
      <c r="A18">
        <v>-7</v>
      </c>
      <c r="B18">
        <v>-0.33329999999999999</v>
      </c>
      <c r="C18">
        <v>6.7330000000000001E-2</v>
      </c>
      <c r="D18">
        <v>6.404E-2</v>
      </c>
      <c r="E18">
        <v>-6.59E-2</v>
      </c>
      <c r="F18">
        <v>0.97570000000000001</v>
      </c>
      <c r="G18">
        <v>5.0799999999999998E-2</v>
      </c>
    </row>
    <row r="19" spans="1:7" x14ac:dyDescent="0.35">
      <c r="A19">
        <v>-6.75</v>
      </c>
      <c r="B19">
        <v>-0.31869999999999998</v>
      </c>
      <c r="C19">
        <v>5.9760000000000001E-2</v>
      </c>
      <c r="D19">
        <v>5.6500000000000002E-2</v>
      </c>
      <c r="E19">
        <v>-6.9900000000000004E-2</v>
      </c>
      <c r="F19">
        <v>0.97160000000000002</v>
      </c>
      <c r="G19">
        <v>5.2400000000000002E-2</v>
      </c>
    </row>
    <row r="20" spans="1:7" x14ac:dyDescent="0.35">
      <c r="A20">
        <v>-6.5</v>
      </c>
      <c r="B20">
        <v>-0.29580000000000001</v>
      </c>
      <c r="C20">
        <v>5.6730000000000003E-2</v>
      </c>
      <c r="D20">
        <v>5.3469999999999997E-2</v>
      </c>
      <c r="E20">
        <v>-7.17E-2</v>
      </c>
      <c r="F20">
        <v>0.96660000000000001</v>
      </c>
      <c r="G20">
        <v>5.3999999999999999E-2</v>
      </c>
    </row>
    <row r="21" spans="1:7" x14ac:dyDescent="0.35">
      <c r="A21">
        <v>-6.25</v>
      </c>
      <c r="B21">
        <v>-0.2707</v>
      </c>
      <c r="C21">
        <v>5.287E-2</v>
      </c>
      <c r="D21">
        <v>4.9509999999999998E-2</v>
      </c>
      <c r="E21">
        <v>-7.5600000000000001E-2</v>
      </c>
      <c r="F21">
        <v>0.96060000000000001</v>
      </c>
      <c r="G21">
        <v>5.6800000000000003E-2</v>
      </c>
    </row>
    <row r="22" spans="1:7" x14ac:dyDescent="0.35">
      <c r="A22">
        <v>-6</v>
      </c>
      <c r="B22">
        <v>-0.2382</v>
      </c>
      <c r="C22">
        <v>4.9000000000000002E-2</v>
      </c>
      <c r="D22">
        <v>4.4760000000000001E-2</v>
      </c>
      <c r="E22">
        <v>-8.2900000000000001E-2</v>
      </c>
      <c r="F22">
        <v>0.95279999999999998</v>
      </c>
      <c r="G22">
        <v>6.4000000000000001E-2</v>
      </c>
    </row>
    <row r="23" spans="1:7" x14ac:dyDescent="0.35">
      <c r="A23">
        <v>-5.75</v>
      </c>
      <c r="B23">
        <v>-0.22109999999999999</v>
      </c>
      <c r="C23">
        <v>4.2130000000000001E-2</v>
      </c>
      <c r="D23">
        <v>3.805E-2</v>
      </c>
      <c r="E23">
        <v>-8.5099999999999995E-2</v>
      </c>
      <c r="F23">
        <v>0.94699999999999995</v>
      </c>
      <c r="G23">
        <v>6.6500000000000004E-2</v>
      </c>
    </row>
    <row r="24" spans="1:7" x14ac:dyDescent="0.35">
      <c r="A24">
        <v>-5.5</v>
      </c>
      <c r="B24">
        <v>-0.19059999999999999</v>
      </c>
      <c r="C24">
        <v>3.9140000000000001E-2</v>
      </c>
      <c r="D24">
        <v>3.4979999999999997E-2</v>
      </c>
      <c r="E24">
        <v>-8.7599999999999997E-2</v>
      </c>
      <c r="F24">
        <v>0.94310000000000005</v>
      </c>
      <c r="G24">
        <v>6.9699999999999998E-2</v>
      </c>
    </row>
    <row r="25" spans="1:7" x14ac:dyDescent="0.35">
      <c r="A25">
        <v>-5.25</v>
      </c>
      <c r="B25">
        <v>-0.17480000000000001</v>
      </c>
      <c r="C25">
        <v>3.1489999999999997E-2</v>
      </c>
      <c r="D25">
        <v>2.6339999999999999E-2</v>
      </c>
      <c r="E25">
        <v>-8.6800000000000002E-2</v>
      </c>
      <c r="F25">
        <v>0.93300000000000005</v>
      </c>
      <c r="G25">
        <v>5.3499999999999999E-2</v>
      </c>
    </row>
    <row r="26" spans="1:7" x14ac:dyDescent="0.35">
      <c r="A26">
        <v>-5</v>
      </c>
      <c r="B26">
        <v>-0.1467</v>
      </c>
      <c r="C26">
        <v>2.656E-2</v>
      </c>
      <c r="D26">
        <v>2.0820000000000002E-2</v>
      </c>
      <c r="E26">
        <v>-8.6999999999999994E-2</v>
      </c>
      <c r="F26">
        <v>0.92820000000000003</v>
      </c>
      <c r="G26">
        <v>4.4400000000000002E-2</v>
      </c>
    </row>
    <row r="27" spans="1:7" x14ac:dyDescent="0.35">
      <c r="A27">
        <v>-4.75</v>
      </c>
      <c r="B27">
        <v>-0.12709999999999999</v>
      </c>
      <c r="C27">
        <v>2.2970000000000001E-2</v>
      </c>
      <c r="D27">
        <v>1.6490000000000001E-2</v>
      </c>
      <c r="E27">
        <v>-8.5000000000000006E-2</v>
      </c>
      <c r="F27">
        <v>0.91910000000000003</v>
      </c>
      <c r="G27">
        <v>4.2000000000000003E-2</v>
      </c>
    </row>
    <row r="28" spans="1:7" x14ac:dyDescent="0.35">
      <c r="A28">
        <v>-4.5</v>
      </c>
      <c r="B28">
        <v>-9.6600000000000005E-2</v>
      </c>
      <c r="C28">
        <v>2.1059999999999999E-2</v>
      </c>
      <c r="D28">
        <v>1.4250000000000001E-2</v>
      </c>
      <c r="E28">
        <v>-8.5199999999999998E-2</v>
      </c>
      <c r="F28">
        <v>0.91420000000000001</v>
      </c>
      <c r="G28">
        <v>4.3400000000000001E-2</v>
      </c>
    </row>
    <row r="29" spans="1:7" x14ac:dyDescent="0.35">
      <c r="A29">
        <v>-4.25</v>
      </c>
      <c r="B29">
        <v>-7.2800000000000004E-2</v>
      </c>
      <c r="C29">
        <v>2.001E-2</v>
      </c>
      <c r="D29">
        <v>1.299E-2</v>
      </c>
      <c r="E29">
        <v>-8.4199999999999997E-2</v>
      </c>
      <c r="F29">
        <v>0.90559999999999996</v>
      </c>
      <c r="G29">
        <v>4.6800000000000001E-2</v>
      </c>
    </row>
    <row r="30" spans="1:7" x14ac:dyDescent="0.35">
      <c r="A30">
        <v>-4</v>
      </c>
      <c r="B30">
        <v>-4.2599999999999999E-2</v>
      </c>
      <c r="C30">
        <v>1.9230000000000001E-2</v>
      </c>
      <c r="D30">
        <v>1.187E-2</v>
      </c>
      <c r="E30">
        <v>-8.3900000000000002E-2</v>
      </c>
      <c r="F30">
        <v>0.9</v>
      </c>
      <c r="G30">
        <v>5.0799999999999998E-2</v>
      </c>
    </row>
    <row r="31" spans="1:7" x14ac:dyDescent="0.35">
      <c r="A31">
        <v>-3.75</v>
      </c>
      <c r="B31">
        <v>-1.9900000000000001E-2</v>
      </c>
      <c r="C31">
        <v>1.737E-2</v>
      </c>
      <c r="D31">
        <v>9.9399999999999992E-3</v>
      </c>
      <c r="E31">
        <v>-8.2799999999999999E-2</v>
      </c>
      <c r="F31">
        <v>0.89139999999999997</v>
      </c>
      <c r="G31">
        <v>5.5399999999999998E-2</v>
      </c>
    </row>
    <row r="32" spans="1:7" x14ac:dyDescent="0.35">
      <c r="A32">
        <v>-3.5</v>
      </c>
      <c r="B32">
        <v>8.3999999999999995E-3</v>
      </c>
      <c r="C32">
        <v>1.678E-2</v>
      </c>
      <c r="D32">
        <v>9.2099999999999994E-3</v>
      </c>
      <c r="E32">
        <v>-8.2400000000000001E-2</v>
      </c>
      <c r="F32">
        <v>0.88549999999999995</v>
      </c>
      <c r="G32">
        <v>6.3100000000000003E-2</v>
      </c>
    </row>
    <row r="33" spans="1:7" x14ac:dyDescent="0.35">
      <c r="A33">
        <v>-3.25</v>
      </c>
      <c r="B33">
        <v>3.1199999999999999E-2</v>
      </c>
      <c r="C33">
        <v>1.5820000000000001E-2</v>
      </c>
      <c r="D33">
        <v>8.2500000000000004E-3</v>
      </c>
      <c r="E33">
        <v>-8.1299999999999997E-2</v>
      </c>
      <c r="F33">
        <v>0.87660000000000005</v>
      </c>
      <c r="G33">
        <v>7.0599999999999996E-2</v>
      </c>
    </row>
    <row r="34" spans="1:7" x14ac:dyDescent="0.35">
      <c r="A34">
        <v>-3</v>
      </c>
      <c r="B34">
        <v>5.8200000000000002E-2</v>
      </c>
      <c r="C34">
        <v>1.52E-2</v>
      </c>
      <c r="D34">
        <v>7.5300000000000002E-3</v>
      </c>
      <c r="E34">
        <v>-8.0699999999999994E-2</v>
      </c>
      <c r="F34">
        <v>0.87080000000000002</v>
      </c>
      <c r="G34">
        <v>7.9500000000000001E-2</v>
      </c>
    </row>
    <row r="35" spans="1:7" x14ac:dyDescent="0.35">
      <c r="A35">
        <v>-2.75</v>
      </c>
      <c r="B35">
        <v>8.1299999999999997E-2</v>
      </c>
      <c r="C35">
        <v>1.4710000000000001E-2</v>
      </c>
      <c r="D35">
        <v>7.0699999999999999E-3</v>
      </c>
      <c r="E35">
        <v>-7.9699999999999993E-2</v>
      </c>
      <c r="F35">
        <v>0.86150000000000004</v>
      </c>
      <c r="G35">
        <v>8.8800000000000004E-2</v>
      </c>
    </row>
    <row r="36" spans="1:7" x14ac:dyDescent="0.35">
      <c r="A36">
        <v>-2.5</v>
      </c>
      <c r="B36">
        <v>0.10680000000000001</v>
      </c>
      <c r="C36">
        <v>1.4069999999999999E-2</v>
      </c>
      <c r="D36">
        <v>6.43E-3</v>
      </c>
      <c r="E36">
        <v>-7.8799999999999995E-2</v>
      </c>
      <c r="F36">
        <v>0.85540000000000005</v>
      </c>
      <c r="G36">
        <v>9.8799999999999999E-2</v>
      </c>
    </row>
    <row r="37" spans="1:7" x14ac:dyDescent="0.35">
      <c r="A37">
        <v>-2.25</v>
      </c>
      <c r="B37">
        <v>0.12989999999999999</v>
      </c>
      <c r="C37">
        <v>1.3599999999999999E-2</v>
      </c>
      <c r="D37">
        <v>5.9899999999999997E-3</v>
      </c>
      <c r="E37">
        <v>-7.7700000000000005E-2</v>
      </c>
      <c r="F37">
        <v>0.84609999999999996</v>
      </c>
      <c r="G37">
        <v>0.1142</v>
      </c>
    </row>
    <row r="38" spans="1:7" x14ac:dyDescent="0.35">
      <c r="A38">
        <v>-2</v>
      </c>
      <c r="B38">
        <v>0.1532</v>
      </c>
      <c r="C38">
        <v>1.286E-2</v>
      </c>
      <c r="D38">
        <v>5.5199999999999997E-3</v>
      </c>
      <c r="E38">
        <v>-7.6700000000000004E-2</v>
      </c>
      <c r="F38">
        <v>0.83889999999999998</v>
      </c>
      <c r="G38">
        <v>0.17180000000000001</v>
      </c>
    </row>
    <row r="39" spans="1:7" x14ac:dyDescent="0.35">
      <c r="A39">
        <v>-1.75</v>
      </c>
      <c r="B39">
        <v>0.1681</v>
      </c>
      <c r="C39">
        <v>1.145E-2</v>
      </c>
      <c r="D39">
        <v>5.3400000000000001E-3</v>
      </c>
      <c r="E39">
        <v>-7.46E-2</v>
      </c>
      <c r="F39">
        <v>0.83030000000000004</v>
      </c>
      <c r="G39">
        <v>0.48449999999999999</v>
      </c>
    </row>
    <row r="40" spans="1:7" x14ac:dyDescent="0.35">
      <c r="A40">
        <v>-1.5</v>
      </c>
      <c r="B40">
        <v>0.1825</v>
      </c>
      <c r="C40">
        <v>1.0489999999999999E-2</v>
      </c>
      <c r="D40">
        <v>5.3800000000000002E-3</v>
      </c>
      <c r="E40">
        <v>-7.0999999999999994E-2</v>
      </c>
      <c r="F40">
        <v>0.82230000000000003</v>
      </c>
      <c r="G40">
        <v>0.76229999999999998</v>
      </c>
    </row>
    <row r="41" spans="1:7" x14ac:dyDescent="0.35">
      <c r="A41">
        <v>-1.25</v>
      </c>
      <c r="B41">
        <v>0.26719999999999999</v>
      </c>
      <c r="C41">
        <v>1.018E-2</v>
      </c>
      <c r="D41">
        <v>5.2100000000000002E-3</v>
      </c>
      <c r="E41">
        <v>-8.1000000000000003E-2</v>
      </c>
      <c r="F41">
        <v>0.81799999999999995</v>
      </c>
      <c r="G41">
        <v>0.96730000000000005</v>
      </c>
    </row>
    <row r="42" spans="1:7" x14ac:dyDescent="0.35">
      <c r="A42">
        <v>-1</v>
      </c>
      <c r="B42">
        <v>0.34150000000000003</v>
      </c>
      <c r="C42">
        <v>1.001E-2</v>
      </c>
      <c r="D42">
        <v>4.7800000000000004E-3</v>
      </c>
      <c r="E42">
        <v>-9.0300000000000005E-2</v>
      </c>
      <c r="F42">
        <v>0.81320000000000003</v>
      </c>
      <c r="G42">
        <v>1</v>
      </c>
    </row>
    <row r="43" spans="1:7" x14ac:dyDescent="0.35">
      <c r="A43">
        <v>-0.75</v>
      </c>
      <c r="B43">
        <v>0.36270000000000002</v>
      </c>
      <c r="C43">
        <v>1.0019999999999999E-2</v>
      </c>
      <c r="D43">
        <v>4.6699999999999997E-3</v>
      </c>
      <c r="E43">
        <v>-8.8999999999999996E-2</v>
      </c>
      <c r="F43">
        <v>0.80259999999999998</v>
      </c>
      <c r="G43">
        <v>1</v>
      </c>
    </row>
    <row r="44" spans="1:7" x14ac:dyDescent="0.35">
      <c r="A44">
        <v>-0.5</v>
      </c>
      <c r="B44">
        <v>0.38490000000000002</v>
      </c>
      <c r="C44">
        <v>1.0019999999999999E-2</v>
      </c>
      <c r="D44">
        <v>4.5500000000000002E-3</v>
      </c>
      <c r="E44">
        <v>-8.7800000000000003E-2</v>
      </c>
      <c r="F44">
        <v>0.79330000000000001</v>
      </c>
      <c r="G44">
        <v>1</v>
      </c>
    </row>
    <row r="45" spans="1:7" x14ac:dyDescent="0.35">
      <c r="A45">
        <v>-0.25</v>
      </c>
      <c r="B45">
        <v>0.40810000000000002</v>
      </c>
      <c r="C45">
        <v>0.01</v>
      </c>
      <c r="D45">
        <v>4.3899999999999998E-3</v>
      </c>
      <c r="E45">
        <v>-8.6699999999999999E-2</v>
      </c>
      <c r="F45">
        <v>0.78490000000000004</v>
      </c>
      <c r="G45">
        <v>1</v>
      </c>
    </row>
    <row r="46" spans="1:7" x14ac:dyDescent="0.35">
      <c r="A46">
        <v>0</v>
      </c>
      <c r="B46">
        <v>0.4304</v>
      </c>
      <c r="C46">
        <v>1.004E-2</v>
      </c>
      <c r="D46">
        <v>4.3299999999999996E-3</v>
      </c>
      <c r="E46">
        <v>-8.5599999999999996E-2</v>
      </c>
      <c r="F46">
        <v>0.77439999999999998</v>
      </c>
      <c r="G46">
        <v>1</v>
      </c>
    </row>
    <row r="47" spans="1:7" x14ac:dyDescent="0.35">
      <c r="A47">
        <v>0.25</v>
      </c>
      <c r="B47">
        <v>0.45369999999999999</v>
      </c>
      <c r="C47">
        <v>1.0059999999999999E-2</v>
      </c>
      <c r="D47">
        <v>4.2500000000000003E-3</v>
      </c>
      <c r="E47">
        <v>-8.4599999999999995E-2</v>
      </c>
      <c r="F47">
        <v>0.7651</v>
      </c>
      <c r="G47">
        <v>1</v>
      </c>
    </row>
    <row r="48" spans="1:7" x14ac:dyDescent="0.35">
      <c r="A48">
        <v>0.5</v>
      </c>
      <c r="B48">
        <v>0.4778</v>
      </c>
      <c r="C48">
        <v>1.0070000000000001E-2</v>
      </c>
      <c r="D48">
        <v>4.13E-3</v>
      </c>
      <c r="E48">
        <v>-8.3699999999999997E-2</v>
      </c>
      <c r="F48">
        <v>0.75639999999999996</v>
      </c>
      <c r="G48">
        <v>1</v>
      </c>
    </row>
    <row r="49" spans="1:7" x14ac:dyDescent="0.35">
      <c r="A49">
        <v>0.75</v>
      </c>
      <c r="B49">
        <v>0.501</v>
      </c>
      <c r="C49">
        <v>1.0120000000000001E-2</v>
      </c>
      <c r="D49">
        <v>4.1200000000000004E-3</v>
      </c>
      <c r="E49">
        <v>-8.2699999999999996E-2</v>
      </c>
      <c r="F49">
        <v>0.74580000000000002</v>
      </c>
      <c r="G49">
        <v>1</v>
      </c>
    </row>
    <row r="50" spans="1:7" x14ac:dyDescent="0.35">
      <c r="A50">
        <v>1</v>
      </c>
      <c r="B50">
        <v>0.52490000000000003</v>
      </c>
      <c r="C50">
        <v>1.017E-2</v>
      </c>
      <c r="D50">
        <v>4.0800000000000003E-3</v>
      </c>
      <c r="E50">
        <v>-8.1799999999999998E-2</v>
      </c>
      <c r="F50">
        <v>0.73599999999999999</v>
      </c>
      <c r="G50">
        <v>1</v>
      </c>
    </row>
    <row r="51" spans="1:7" x14ac:dyDescent="0.35">
      <c r="A51">
        <v>1.25</v>
      </c>
      <c r="B51">
        <v>0.54959999999999998</v>
      </c>
      <c r="C51">
        <v>1.021E-2</v>
      </c>
      <c r="D51">
        <v>4.0000000000000001E-3</v>
      </c>
      <c r="E51">
        <v>-8.09E-2</v>
      </c>
      <c r="F51">
        <v>0.72699999999999998</v>
      </c>
      <c r="G51">
        <v>1</v>
      </c>
    </row>
    <row r="52" spans="1:7" x14ac:dyDescent="0.35">
      <c r="A52">
        <v>1.5</v>
      </c>
      <c r="B52">
        <v>0.57330000000000003</v>
      </c>
      <c r="C52">
        <v>1.0279999999999999E-2</v>
      </c>
      <c r="D52">
        <v>4.0200000000000001E-3</v>
      </c>
      <c r="E52">
        <v>-0.08</v>
      </c>
      <c r="F52">
        <v>0.71579999999999999</v>
      </c>
      <c r="G52">
        <v>1</v>
      </c>
    </row>
    <row r="53" spans="1:7" x14ac:dyDescent="0.35">
      <c r="A53">
        <v>1.75</v>
      </c>
      <c r="B53">
        <v>0.59730000000000005</v>
      </c>
      <c r="C53">
        <v>1.0359999999999999E-2</v>
      </c>
      <c r="D53">
        <v>4.0499999999999998E-3</v>
      </c>
      <c r="E53">
        <v>-7.9200000000000007E-2</v>
      </c>
      <c r="F53">
        <v>0.70499999999999996</v>
      </c>
      <c r="G53">
        <v>1</v>
      </c>
    </row>
    <row r="54" spans="1:7" x14ac:dyDescent="0.35">
      <c r="A54">
        <v>2</v>
      </c>
      <c r="B54">
        <v>0.62170000000000003</v>
      </c>
      <c r="C54">
        <v>1.044E-2</v>
      </c>
      <c r="D54">
        <v>4.0499999999999998E-3</v>
      </c>
      <c r="E54">
        <v>-7.8399999999999997E-2</v>
      </c>
      <c r="F54">
        <v>0.6946</v>
      </c>
      <c r="G54">
        <v>1</v>
      </c>
    </row>
    <row r="55" spans="1:7" x14ac:dyDescent="0.35">
      <c r="A55">
        <v>2.25</v>
      </c>
      <c r="B55">
        <v>0.64670000000000005</v>
      </c>
      <c r="C55">
        <v>1.052E-2</v>
      </c>
      <c r="D55">
        <v>4.0400000000000002E-3</v>
      </c>
      <c r="E55">
        <v>-7.7600000000000002E-2</v>
      </c>
      <c r="F55">
        <v>0.68459999999999999</v>
      </c>
      <c r="G55">
        <v>1</v>
      </c>
    </row>
    <row r="56" spans="1:7" x14ac:dyDescent="0.35">
      <c r="A56">
        <v>2.5</v>
      </c>
      <c r="B56">
        <v>0.67049999999999998</v>
      </c>
      <c r="C56">
        <v>1.0619999999999999E-2</v>
      </c>
      <c r="D56">
        <v>4.1099999999999999E-3</v>
      </c>
      <c r="E56">
        <v>-7.6799999999999993E-2</v>
      </c>
      <c r="F56">
        <v>0.67269999999999996</v>
      </c>
      <c r="G56">
        <v>1</v>
      </c>
    </row>
    <row r="57" spans="1:7" x14ac:dyDescent="0.35">
      <c r="A57">
        <v>2.75</v>
      </c>
      <c r="B57">
        <v>0.6946</v>
      </c>
      <c r="C57">
        <v>1.074E-2</v>
      </c>
      <c r="D57">
        <v>4.1999999999999997E-3</v>
      </c>
      <c r="E57">
        <v>-7.5899999999999995E-2</v>
      </c>
      <c r="F57">
        <v>0.66120000000000001</v>
      </c>
      <c r="G57">
        <v>1</v>
      </c>
    </row>
    <row r="58" spans="1:7" x14ac:dyDescent="0.35">
      <c r="A58">
        <v>3</v>
      </c>
      <c r="B58">
        <v>0.71899999999999997</v>
      </c>
      <c r="C58">
        <v>1.086E-2</v>
      </c>
      <c r="D58">
        <v>4.28E-3</v>
      </c>
      <c r="E58">
        <v>-7.5200000000000003E-2</v>
      </c>
      <c r="F58">
        <v>0.64990000000000003</v>
      </c>
      <c r="G58">
        <v>1</v>
      </c>
    </row>
    <row r="59" spans="1:7" x14ac:dyDescent="0.35">
      <c r="A59">
        <v>3.25</v>
      </c>
      <c r="B59">
        <v>0.74350000000000005</v>
      </c>
      <c r="C59">
        <v>1.099E-2</v>
      </c>
      <c r="D59">
        <v>4.3499999999999997E-3</v>
      </c>
      <c r="E59">
        <v>-7.4399999999999994E-2</v>
      </c>
      <c r="F59">
        <v>0.63870000000000005</v>
      </c>
      <c r="G59">
        <v>1</v>
      </c>
    </row>
    <row r="60" spans="1:7" x14ac:dyDescent="0.35">
      <c r="A60">
        <v>3.5</v>
      </c>
      <c r="B60">
        <v>0.76819999999999999</v>
      </c>
      <c r="C60">
        <v>1.112E-2</v>
      </c>
      <c r="D60">
        <v>4.4299999999999999E-3</v>
      </c>
      <c r="E60">
        <v>-7.3700000000000002E-2</v>
      </c>
      <c r="F60">
        <v>0.62729999999999997</v>
      </c>
      <c r="G60">
        <v>1</v>
      </c>
    </row>
    <row r="61" spans="1:7" x14ac:dyDescent="0.35">
      <c r="A61">
        <v>3.75</v>
      </c>
      <c r="B61">
        <v>0.79220000000000002</v>
      </c>
      <c r="C61">
        <v>1.1259999999999999E-2</v>
      </c>
      <c r="D61">
        <v>4.5500000000000002E-3</v>
      </c>
      <c r="E61">
        <v>-7.2800000000000004E-2</v>
      </c>
      <c r="F61">
        <v>0.61450000000000005</v>
      </c>
      <c r="G61">
        <v>1</v>
      </c>
    </row>
    <row r="62" spans="1:7" x14ac:dyDescent="0.35">
      <c r="A62">
        <v>4</v>
      </c>
      <c r="B62">
        <v>0.81610000000000005</v>
      </c>
      <c r="C62">
        <v>1.141E-2</v>
      </c>
      <c r="D62">
        <v>4.6899999999999997E-3</v>
      </c>
      <c r="E62">
        <v>-7.1999999999999995E-2</v>
      </c>
      <c r="F62">
        <v>0.60150000000000003</v>
      </c>
      <c r="G62">
        <v>1</v>
      </c>
    </row>
    <row r="63" spans="1:7" x14ac:dyDescent="0.35">
      <c r="A63">
        <v>4.25</v>
      </c>
      <c r="B63">
        <v>0.84009999999999996</v>
      </c>
      <c r="C63">
        <v>1.157E-2</v>
      </c>
      <c r="D63">
        <v>4.8399999999999997E-3</v>
      </c>
      <c r="E63">
        <v>-7.1199999999999999E-2</v>
      </c>
      <c r="F63">
        <v>0.58850000000000002</v>
      </c>
      <c r="G63">
        <v>1</v>
      </c>
    </row>
    <row r="64" spans="1:7" x14ac:dyDescent="0.35">
      <c r="A64">
        <v>4.5</v>
      </c>
      <c r="B64">
        <v>0.86399999999999999</v>
      </c>
      <c r="C64">
        <v>1.175E-2</v>
      </c>
      <c r="D64">
        <v>5.0099999999999997E-3</v>
      </c>
      <c r="E64">
        <v>-7.0400000000000004E-2</v>
      </c>
      <c r="F64">
        <v>0.57550000000000001</v>
      </c>
      <c r="G64">
        <v>1</v>
      </c>
    </row>
    <row r="65" spans="1:7" x14ac:dyDescent="0.35">
      <c r="A65">
        <v>4.75</v>
      </c>
      <c r="B65">
        <v>0.88800000000000001</v>
      </c>
      <c r="C65">
        <v>1.193E-2</v>
      </c>
      <c r="D65">
        <v>5.1900000000000002E-3</v>
      </c>
      <c r="E65">
        <v>-6.9599999999999995E-2</v>
      </c>
      <c r="F65">
        <v>0.56240000000000001</v>
      </c>
      <c r="G65">
        <v>1</v>
      </c>
    </row>
    <row r="66" spans="1:7" x14ac:dyDescent="0.35">
      <c r="A66">
        <v>5</v>
      </c>
      <c r="B66">
        <v>0.91180000000000005</v>
      </c>
      <c r="C66">
        <v>1.213E-2</v>
      </c>
      <c r="D66">
        <v>5.3699999999999998E-3</v>
      </c>
      <c r="E66">
        <v>-6.88E-2</v>
      </c>
      <c r="F66">
        <v>0.54890000000000005</v>
      </c>
      <c r="G66">
        <v>1</v>
      </c>
    </row>
    <row r="67" spans="1:7" x14ac:dyDescent="0.35">
      <c r="A67">
        <v>5.25</v>
      </c>
      <c r="B67">
        <v>0.93540000000000001</v>
      </c>
      <c r="C67">
        <v>1.234E-2</v>
      </c>
      <c r="D67">
        <v>5.5700000000000003E-3</v>
      </c>
      <c r="E67">
        <v>-6.8000000000000005E-2</v>
      </c>
      <c r="F67">
        <v>0.53500000000000003</v>
      </c>
      <c r="G67">
        <v>1</v>
      </c>
    </row>
    <row r="68" spans="1:7" x14ac:dyDescent="0.35">
      <c r="A68">
        <v>5.5</v>
      </c>
      <c r="B68">
        <v>0.95879999999999999</v>
      </c>
      <c r="C68">
        <v>1.256E-2</v>
      </c>
      <c r="D68">
        <v>5.8100000000000001E-3</v>
      </c>
      <c r="E68">
        <v>-6.7100000000000007E-2</v>
      </c>
      <c r="F68">
        <v>0.52059999999999995</v>
      </c>
      <c r="G68">
        <v>1</v>
      </c>
    </row>
    <row r="69" spans="1:7" x14ac:dyDescent="0.35">
      <c r="A69">
        <v>5.75</v>
      </c>
      <c r="B69">
        <v>0.98180000000000001</v>
      </c>
      <c r="C69">
        <v>1.2789999999999999E-2</v>
      </c>
      <c r="D69">
        <v>6.0400000000000002E-3</v>
      </c>
      <c r="E69">
        <v>-6.6199999999999995E-2</v>
      </c>
      <c r="F69">
        <v>0.50570000000000004</v>
      </c>
      <c r="G69">
        <v>1</v>
      </c>
    </row>
    <row r="70" spans="1:7" x14ac:dyDescent="0.35">
      <c r="A70">
        <v>6</v>
      </c>
      <c r="B70">
        <v>1.0046999999999999</v>
      </c>
      <c r="C70">
        <v>1.303E-2</v>
      </c>
      <c r="D70">
        <v>6.2899999999999996E-3</v>
      </c>
      <c r="E70">
        <v>-6.5299999999999997E-2</v>
      </c>
      <c r="F70">
        <v>0.49049999999999999</v>
      </c>
      <c r="G70">
        <v>1</v>
      </c>
    </row>
    <row r="71" spans="1:7" x14ac:dyDescent="0.35">
      <c r="A71">
        <v>6.25</v>
      </c>
      <c r="B71">
        <v>1.0273000000000001</v>
      </c>
      <c r="C71">
        <v>1.3299999999999999E-2</v>
      </c>
      <c r="D71">
        <v>6.5500000000000003E-3</v>
      </c>
      <c r="E71">
        <v>-6.4299999999999996E-2</v>
      </c>
      <c r="F71">
        <v>0.47489999999999999</v>
      </c>
      <c r="G71">
        <v>1</v>
      </c>
    </row>
    <row r="72" spans="1:7" x14ac:dyDescent="0.35">
      <c r="A72">
        <v>6.5</v>
      </c>
      <c r="B72">
        <v>1.0494000000000001</v>
      </c>
      <c r="C72">
        <v>1.358E-2</v>
      </c>
      <c r="D72">
        <v>6.8399999999999997E-3</v>
      </c>
      <c r="E72">
        <v>-6.3299999999999995E-2</v>
      </c>
      <c r="F72">
        <v>0.45879999999999999</v>
      </c>
      <c r="G72">
        <v>1</v>
      </c>
    </row>
    <row r="73" spans="1:7" x14ac:dyDescent="0.35">
      <c r="A73">
        <v>6.75</v>
      </c>
      <c r="B73">
        <v>1.0711999999999999</v>
      </c>
      <c r="C73">
        <v>1.3899999999999999E-2</v>
      </c>
      <c r="D73">
        <v>7.1399999999999996E-3</v>
      </c>
      <c r="E73">
        <v>-6.2300000000000001E-2</v>
      </c>
      <c r="F73">
        <v>0.4425</v>
      </c>
      <c r="G73">
        <v>1</v>
      </c>
    </row>
    <row r="74" spans="1:7" x14ac:dyDescent="0.35">
      <c r="A74">
        <v>7</v>
      </c>
      <c r="B74">
        <v>1.0923</v>
      </c>
      <c r="C74">
        <v>1.421E-2</v>
      </c>
      <c r="D74">
        <v>7.4799999999999997E-3</v>
      </c>
      <c r="E74">
        <v>-6.1100000000000002E-2</v>
      </c>
      <c r="F74">
        <v>0.42449999999999999</v>
      </c>
      <c r="G74">
        <v>1</v>
      </c>
    </row>
    <row r="75" spans="1:7" x14ac:dyDescent="0.35">
      <c r="A75">
        <v>7.25</v>
      </c>
      <c r="B75">
        <v>1.1129</v>
      </c>
      <c r="C75">
        <v>1.4540000000000001E-2</v>
      </c>
      <c r="D75">
        <v>7.8399999999999997E-3</v>
      </c>
      <c r="E75">
        <v>-5.9900000000000002E-2</v>
      </c>
      <c r="F75">
        <v>0.40610000000000002</v>
      </c>
      <c r="G75">
        <v>1</v>
      </c>
    </row>
    <row r="76" spans="1:7" x14ac:dyDescent="0.35">
      <c r="A76">
        <v>7.5</v>
      </c>
      <c r="B76">
        <v>1.1329</v>
      </c>
      <c r="C76">
        <v>1.4919999999999999E-2</v>
      </c>
      <c r="D76">
        <v>8.2199999999999999E-3</v>
      </c>
      <c r="E76">
        <v>-5.8599999999999999E-2</v>
      </c>
      <c r="F76">
        <v>0.3876</v>
      </c>
      <c r="G76">
        <v>1</v>
      </c>
    </row>
    <row r="77" spans="1:7" x14ac:dyDescent="0.35">
      <c r="A77">
        <v>7.75</v>
      </c>
      <c r="B77">
        <v>1.1521999999999999</v>
      </c>
      <c r="C77">
        <v>1.533E-2</v>
      </c>
      <c r="D77">
        <v>8.6499999999999997E-3</v>
      </c>
      <c r="E77">
        <v>-5.7200000000000001E-2</v>
      </c>
      <c r="F77">
        <v>0.36840000000000001</v>
      </c>
      <c r="G77">
        <v>1</v>
      </c>
    </row>
    <row r="78" spans="1:7" x14ac:dyDescent="0.35">
      <c r="A78">
        <v>8</v>
      </c>
      <c r="B78">
        <v>1.1706000000000001</v>
      </c>
      <c r="C78">
        <v>1.576E-2</v>
      </c>
      <c r="D78">
        <v>9.0900000000000009E-3</v>
      </c>
      <c r="E78">
        <v>-5.57E-2</v>
      </c>
      <c r="F78">
        <v>0.34760000000000002</v>
      </c>
      <c r="G78">
        <v>1</v>
      </c>
    </row>
    <row r="79" spans="1:7" x14ac:dyDescent="0.35">
      <c r="A79">
        <v>8.25</v>
      </c>
      <c r="B79">
        <v>1.1875</v>
      </c>
      <c r="C79">
        <v>1.6250000000000001E-2</v>
      </c>
      <c r="D79">
        <v>9.5600000000000008E-3</v>
      </c>
      <c r="E79">
        <v>-5.3999999999999999E-2</v>
      </c>
      <c r="F79">
        <v>0.3261</v>
      </c>
      <c r="G79">
        <v>1</v>
      </c>
    </row>
    <row r="80" spans="1:7" x14ac:dyDescent="0.35">
      <c r="A80">
        <v>8.5</v>
      </c>
      <c r="B80">
        <v>1.2035</v>
      </c>
      <c r="C80">
        <v>1.678E-2</v>
      </c>
      <c r="D80">
        <v>1.0070000000000001E-2</v>
      </c>
      <c r="E80">
        <v>-5.21E-2</v>
      </c>
      <c r="F80">
        <v>0.30280000000000001</v>
      </c>
      <c r="G80">
        <v>1</v>
      </c>
    </row>
    <row r="81" spans="1:7" x14ac:dyDescent="0.35">
      <c r="A81">
        <v>8.75</v>
      </c>
      <c r="B81">
        <v>1.2182999999999999</v>
      </c>
      <c r="C81">
        <v>1.736E-2</v>
      </c>
      <c r="D81">
        <v>1.064E-2</v>
      </c>
      <c r="E81">
        <v>-5.0200000000000002E-2</v>
      </c>
      <c r="F81">
        <v>0.27939999999999998</v>
      </c>
      <c r="G81">
        <v>1</v>
      </c>
    </row>
    <row r="82" spans="1:7" x14ac:dyDescent="0.35">
      <c r="A82">
        <v>9</v>
      </c>
      <c r="B82">
        <v>1.2312000000000001</v>
      </c>
      <c r="C82">
        <v>1.8030000000000001E-2</v>
      </c>
      <c r="D82">
        <v>1.1259999999999999E-2</v>
      </c>
      <c r="E82">
        <v>-4.8000000000000001E-2</v>
      </c>
      <c r="F82">
        <v>0.25629999999999997</v>
      </c>
      <c r="G82">
        <v>1</v>
      </c>
    </row>
    <row r="83" spans="1:7" x14ac:dyDescent="0.35">
      <c r="A83">
        <v>9.25</v>
      </c>
      <c r="B83">
        <v>1.2427999999999999</v>
      </c>
      <c r="C83">
        <v>1.8749999999999999E-2</v>
      </c>
      <c r="D83">
        <v>1.197E-2</v>
      </c>
      <c r="E83">
        <v>-4.5699999999999998E-2</v>
      </c>
      <c r="F83">
        <v>0.2321</v>
      </c>
      <c r="G83">
        <v>1</v>
      </c>
    </row>
    <row r="84" spans="1:7" x14ac:dyDescent="0.35">
      <c r="A84">
        <v>9.5</v>
      </c>
      <c r="B84">
        <v>1.2512000000000001</v>
      </c>
      <c r="C84">
        <v>1.9539999999999998E-2</v>
      </c>
      <c r="D84">
        <v>1.2699999999999999E-2</v>
      </c>
      <c r="E84">
        <v>-4.2900000000000001E-2</v>
      </c>
      <c r="F84">
        <v>0.20630000000000001</v>
      </c>
      <c r="G84">
        <v>1</v>
      </c>
    </row>
    <row r="85" spans="1:7" x14ac:dyDescent="0.35">
      <c r="A85">
        <v>9.75</v>
      </c>
      <c r="B85">
        <v>1.256</v>
      </c>
      <c r="C85">
        <v>2.0459999999999999E-2</v>
      </c>
      <c r="D85">
        <v>1.3520000000000001E-2</v>
      </c>
      <c r="E85">
        <v>-3.9600000000000003E-2</v>
      </c>
      <c r="F85">
        <v>0.1797</v>
      </c>
      <c r="G85">
        <v>1</v>
      </c>
    </row>
    <row r="86" spans="1:7" x14ac:dyDescent="0.35">
      <c r="A86">
        <v>10</v>
      </c>
      <c r="B86">
        <v>1.2591000000000001</v>
      </c>
      <c r="C86">
        <v>2.1579999999999998E-2</v>
      </c>
      <c r="D86">
        <v>1.4500000000000001E-2</v>
      </c>
      <c r="E86">
        <v>-3.6400000000000002E-2</v>
      </c>
      <c r="F86">
        <v>0.15110000000000001</v>
      </c>
      <c r="G86">
        <v>1</v>
      </c>
    </row>
    <row r="87" spans="1:7" x14ac:dyDescent="0.35">
      <c r="A87">
        <v>10.25</v>
      </c>
      <c r="B87">
        <v>1.262</v>
      </c>
      <c r="C87">
        <v>2.283E-2</v>
      </c>
      <c r="D87">
        <v>1.5610000000000001E-2</v>
      </c>
      <c r="E87">
        <v>-3.3500000000000002E-2</v>
      </c>
      <c r="F87">
        <v>0.12429999999999999</v>
      </c>
      <c r="G87">
        <v>1</v>
      </c>
    </row>
    <row r="88" spans="1:7" x14ac:dyDescent="0.35">
      <c r="A88">
        <v>10.5</v>
      </c>
      <c r="B88">
        <v>1.2645999999999999</v>
      </c>
      <c r="C88">
        <v>2.4230000000000002E-2</v>
      </c>
      <c r="D88">
        <v>1.6899999999999998E-2</v>
      </c>
      <c r="E88">
        <v>-3.0800000000000001E-2</v>
      </c>
      <c r="F88">
        <v>0.10050000000000001</v>
      </c>
      <c r="G88">
        <v>1</v>
      </c>
    </row>
    <row r="89" spans="1:7" x14ac:dyDescent="0.35">
      <c r="A89">
        <v>10.75</v>
      </c>
      <c r="B89">
        <v>1.2652000000000001</v>
      </c>
      <c r="C89">
        <v>2.5860000000000001E-2</v>
      </c>
      <c r="D89">
        <v>1.8429999999999998E-2</v>
      </c>
      <c r="E89">
        <v>-2.81E-2</v>
      </c>
      <c r="F89">
        <v>7.9500000000000001E-2</v>
      </c>
      <c r="G89">
        <v>1</v>
      </c>
    </row>
    <row r="90" spans="1:7" x14ac:dyDescent="0.35">
      <c r="A90">
        <v>11</v>
      </c>
      <c r="B90">
        <v>1.2615000000000001</v>
      </c>
      <c r="C90">
        <v>2.792E-2</v>
      </c>
      <c r="D90">
        <v>2.035E-2</v>
      </c>
      <c r="E90">
        <v>-2.53E-2</v>
      </c>
      <c r="F90">
        <v>5.9900000000000002E-2</v>
      </c>
      <c r="G90">
        <v>1</v>
      </c>
    </row>
    <row r="91" spans="1:7" x14ac:dyDescent="0.35">
      <c r="A91">
        <v>11.25</v>
      </c>
      <c r="B91">
        <v>1.2548999999999999</v>
      </c>
      <c r="C91">
        <v>3.0360000000000002E-2</v>
      </c>
      <c r="D91">
        <v>2.273E-2</v>
      </c>
      <c r="E91">
        <v>-2.2599999999999999E-2</v>
      </c>
      <c r="F91">
        <v>4.24E-2</v>
      </c>
      <c r="G91">
        <v>1</v>
      </c>
    </row>
    <row r="92" spans="1:7" x14ac:dyDescent="0.35">
      <c r="A92">
        <v>11.5</v>
      </c>
      <c r="B92">
        <v>1.2484</v>
      </c>
      <c r="C92">
        <v>3.2939999999999997E-2</v>
      </c>
      <c r="D92">
        <v>2.53E-2</v>
      </c>
      <c r="E92">
        <v>-2.0199999999999999E-2</v>
      </c>
      <c r="F92">
        <v>3.2800000000000003E-2</v>
      </c>
      <c r="G92">
        <v>1</v>
      </c>
    </row>
    <row r="93" spans="1:7" x14ac:dyDescent="0.35">
      <c r="A93">
        <v>11.75</v>
      </c>
      <c r="B93">
        <v>1.2390000000000001</v>
      </c>
      <c r="C93">
        <v>3.5920000000000001E-2</v>
      </c>
      <c r="D93">
        <v>2.8330000000000001E-2</v>
      </c>
      <c r="E93">
        <v>-1.8100000000000002E-2</v>
      </c>
      <c r="F93">
        <v>2.76E-2</v>
      </c>
      <c r="G93">
        <v>1</v>
      </c>
    </row>
    <row r="94" spans="1:7" x14ac:dyDescent="0.35">
      <c r="A94">
        <v>12</v>
      </c>
      <c r="B94">
        <v>1.2384999999999999</v>
      </c>
      <c r="C94">
        <v>3.8280000000000002E-2</v>
      </c>
      <c r="D94">
        <v>3.082E-2</v>
      </c>
      <c r="E94">
        <v>-1.67E-2</v>
      </c>
      <c r="F94">
        <v>2.4400000000000002E-2</v>
      </c>
      <c r="G94">
        <v>1</v>
      </c>
    </row>
    <row r="95" spans="1:7" x14ac:dyDescent="0.35">
      <c r="A95">
        <v>12.25</v>
      </c>
      <c r="B95">
        <v>1.2351000000000001</v>
      </c>
      <c r="C95">
        <v>4.0989999999999999E-2</v>
      </c>
      <c r="D95">
        <v>3.3610000000000001E-2</v>
      </c>
      <c r="E95">
        <v>-1.5599999999999999E-2</v>
      </c>
      <c r="F95">
        <v>2.2499999999999999E-2</v>
      </c>
      <c r="G95">
        <v>1</v>
      </c>
    </row>
    <row r="96" spans="1:7" x14ac:dyDescent="0.35">
      <c r="A96">
        <v>12.5</v>
      </c>
      <c r="B96">
        <v>1.2275</v>
      </c>
      <c r="C96">
        <v>4.4249999999999998E-2</v>
      </c>
      <c r="D96">
        <v>3.6940000000000001E-2</v>
      </c>
      <c r="E96">
        <v>-1.44E-2</v>
      </c>
      <c r="F96">
        <v>2.1399999999999999E-2</v>
      </c>
      <c r="G96">
        <v>1</v>
      </c>
    </row>
    <row r="97" spans="1:7" x14ac:dyDescent="0.35">
      <c r="A97">
        <v>12.75</v>
      </c>
      <c r="B97">
        <v>1.2222</v>
      </c>
      <c r="C97">
        <v>4.7440000000000003E-2</v>
      </c>
      <c r="D97">
        <v>4.0230000000000002E-2</v>
      </c>
      <c r="E97">
        <v>-1.34E-2</v>
      </c>
      <c r="F97">
        <v>2.0199999999999999E-2</v>
      </c>
      <c r="G97">
        <v>1</v>
      </c>
    </row>
    <row r="98" spans="1:7" x14ac:dyDescent="0.35">
      <c r="A98">
        <v>13</v>
      </c>
      <c r="B98">
        <v>1.2235</v>
      </c>
      <c r="C98">
        <v>5.0029999999999998E-2</v>
      </c>
      <c r="D98">
        <v>4.2950000000000002E-2</v>
      </c>
      <c r="E98">
        <v>-1.26E-2</v>
      </c>
      <c r="F98">
        <v>1.95E-2</v>
      </c>
      <c r="G98">
        <v>1</v>
      </c>
    </row>
    <row r="99" spans="1:7" x14ac:dyDescent="0.35">
      <c r="A99">
        <v>13.25</v>
      </c>
      <c r="B99">
        <v>1.2248000000000001</v>
      </c>
      <c r="C99">
        <v>5.2699999999999997E-2</v>
      </c>
      <c r="D99">
        <v>4.5749999999999999E-2</v>
      </c>
      <c r="E99">
        <v>-1.1900000000000001E-2</v>
      </c>
      <c r="F99">
        <v>1.8700000000000001E-2</v>
      </c>
      <c r="G99">
        <v>1</v>
      </c>
    </row>
    <row r="100" spans="1:7" x14ac:dyDescent="0.35">
      <c r="A100">
        <v>13.5</v>
      </c>
      <c r="B100">
        <v>1.2269000000000001</v>
      </c>
      <c r="C100">
        <v>5.5350000000000003E-2</v>
      </c>
      <c r="D100">
        <v>4.8520000000000001E-2</v>
      </c>
      <c r="E100">
        <v>-1.1299999999999999E-2</v>
      </c>
      <c r="F100">
        <v>1.7999999999999999E-2</v>
      </c>
      <c r="G100">
        <v>1</v>
      </c>
    </row>
    <row r="101" spans="1:7" x14ac:dyDescent="0.35">
      <c r="A101">
        <v>13.75</v>
      </c>
      <c r="B101">
        <v>1.23</v>
      </c>
      <c r="C101">
        <v>5.7979999999999997E-2</v>
      </c>
      <c r="D101">
        <v>5.1270000000000003E-2</v>
      </c>
      <c r="E101">
        <v>-1.0699999999999999E-2</v>
      </c>
      <c r="F101">
        <v>1.7600000000000001E-2</v>
      </c>
      <c r="G101">
        <v>1</v>
      </c>
    </row>
    <row r="102" spans="1:7" x14ac:dyDescent="0.35">
      <c r="A102">
        <v>14</v>
      </c>
      <c r="B102">
        <v>1.2322</v>
      </c>
      <c r="C102">
        <v>6.0780000000000001E-2</v>
      </c>
      <c r="D102">
        <v>5.4179999999999999E-2</v>
      </c>
      <c r="E102">
        <v>-1.0200000000000001E-2</v>
      </c>
      <c r="F102">
        <v>1.7000000000000001E-2</v>
      </c>
      <c r="G102">
        <v>1</v>
      </c>
    </row>
    <row r="103" spans="1:7" x14ac:dyDescent="0.35">
      <c r="A103">
        <v>14.25</v>
      </c>
      <c r="B103">
        <v>1.2349000000000001</v>
      </c>
      <c r="C103">
        <v>6.3640000000000002E-2</v>
      </c>
      <c r="D103">
        <v>5.7160000000000002E-2</v>
      </c>
      <c r="E103">
        <v>-9.7999999999999997E-3</v>
      </c>
      <c r="F103">
        <v>1.6500000000000001E-2</v>
      </c>
      <c r="G103">
        <v>1</v>
      </c>
    </row>
    <row r="104" spans="1:7" x14ac:dyDescent="0.35">
      <c r="A104">
        <v>14.5</v>
      </c>
      <c r="B104">
        <v>1.2375</v>
      </c>
      <c r="C104">
        <v>6.6610000000000003E-2</v>
      </c>
      <c r="D104">
        <v>6.0269999999999997E-2</v>
      </c>
      <c r="E104">
        <v>-9.4999999999999998E-3</v>
      </c>
      <c r="F104">
        <v>1.6299999999999999E-2</v>
      </c>
      <c r="G104">
        <v>1</v>
      </c>
    </row>
    <row r="105" spans="1:7" x14ac:dyDescent="0.35">
      <c r="A105">
        <v>14.75</v>
      </c>
      <c r="B105">
        <v>1.2383999999999999</v>
      </c>
      <c r="C105">
        <v>6.9879999999999998E-2</v>
      </c>
      <c r="D105">
        <v>6.3689999999999997E-2</v>
      </c>
      <c r="E105">
        <v>-9.2999999999999992E-3</v>
      </c>
      <c r="F105">
        <v>1.6E-2</v>
      </c>
      <c r="G105">
        <v>1</v>
      </c>
    </row>
    <row r="106" spans="1:7" x14ac:dyDescent="0.35">
      <c r="A106">
        <v>15</v>
      </c>
      <c r="B106">
        <v>1.2379</v>
      </c>
      <c r="C106">
        <v>7.3450000000000001E-2</v>
      </c>
      <c r="D106">
        <v>6.744E-2</v>
      </c>
      <c r="E106">
        <v>-9.4999999999999998E-3</v>
      </c>
      <c r="F106">
        <v>1.5900000000000001E-2</v>
      </c>
      <c r="G106">
        <v>1</v>
      </c>
    </row>
    <row r="107" spans="1:7" x14ac:dyDescent="0.35">
      <c r="A107">
        <v>15.25</v>
      </c>
      <c r="B107">
        <v>1.2351000000000001</v>
      </c>
      <c r="C107">
        <v>7.7380000000000004E-2</v>
      </c>
      <c r="D107">
        <v>7.152E-2</v>
      </c>
      <c r="E107">
        <v>-9.7999999999999997E-3</v>
      </c>
      <c r="F107">
        <v>1.54E-2</v>
      </c>
      <c r="G107">
        <v>1</v>
      </c>
    </row>
    <row r="108" spans="1:7" x14ac:dyDescent="0.35">
      <c r="A108">
        <v>15.5</v>
      </c>
      <c r="B108">
        <v>1.2292000000000001</v>
      </c>
      <c r="C108">
        <v>8.1930000000000003E-2</v>
      </c>
      <c r="D108">
        <v>7.6270000000000004E-2</v>
      </c>
      <c r="E108">
        <v>-1.0500000000000001E-2</v>
      </c>
      <c r="F108">
        <v>1.52E-2</v>
      </c>
      <c r="G108">
        <v>1</v>
      </c>
    </row>
    <row r="109" spans="1:7" x14ac:dyDescent="0.35">
      <c r="A109">
        <v>15.75</v>
      </c>
      <c r="B109">
        <v>1.2203999999999999</v>
      </c>
      <c r="C109">
        <v>8.6959999999999996E-2</v>
      </c>
      <c r="D109">
        <v>8.1509999999999999E-2</v>
      </c>
      <c r="E109">
        <v>-1.18E-2</v>
      </c>
      <c r="F109">
        <v>1.5100000000000001E-2</v>
      </c>
      <c r="G109">
        <v>1</v>
      </c>
    </row>
    <row r="110" spans="1:7" x14ac:dyDescent="0.35">
      <c r="A110">
        <v>16</v>
      </c>
      <c r="B110">
        <v>1.2053</v>
      </c>
      <c r="C110">
        <v>9.3189999999999995E-2</v>
      </c>
      <c r="D110">
        <v>8.7970000000000007E-2</v>
      </c>
      <c r="E110">
        <v>-1.38E-2</v>
      </c>
      <c r="F110">
        <v>1.49E-2</v>
      </c>
      <c r="G110">
        <v>1</v>
      </c>
    </row>
    <row r="111" spans="1:7" x14ac:dyDescent="0.35">
      <c r="A111">
        <v>16.25</v>
      </c>
      <c r="B111">
        <v>1.1914</v>
      </c>
      <c r="C111">
        <v>9.9269999999999997E-2</v>
      </c>
      <c r="D111">
        <v>9.4270000000000007E-2</v>
      </c>
      <c r="E111">
        <v>-1.6299999999999999E-2</v>
      </c>
      <c r="F111">
        <v>1.4800000000000001E-2</v>
      </c>
      <c r="G111">
        <v>1</v>
      </c>
    </row>
    <row r="112" spans="1:7" x14ac:dyDescent="0.35">
      <c r="A112">
        <v>16.5</v>
      </c>
      <c r="B112">
        <v>1.1846000000000001</v>
      </c>
      <c r="C112">
        <v>0.1042</v>
      </c>
      <c r="D112">
        <v>9.9379999999999996E-2</v>
      </c>
      <c r="E112">
        <v>-1.8700000000000001E-2</v>
      </c>
      <c r="F112">
        <v>1.4999999999999999E-2</v>
      </c>
      <c r="G112">
        <v>1</v>
      </c>
    </row>
    <row r="113" spans="1:7" x14ac:dyDescent="0.35">
      <c r="A113">
        <v>16.75</v>
      </c>
      <c r="B113">
        <v>1.1632</v>
      </c>
      <c r="C113">
        <v>0.11216</v>
      </c>
      <c r="D113">
        <v>0.10757</v>
      </c>
      <c r="E113">
        <v>-2.2700000000000001E-2</v>
      </c>
      <c r="F113">
        <v>1.4800000000000001E-2</v>
      </c>
      <c r="G113">
        <v>1</v>
      </c>
    </row>
    <row r="114" spans="1:7" x14ac:dyDescent="0.35">
      <c r="A114">
        <v>17</v>
      </c>
      <c r="B114">
        <v>1.1556999999999999</v>
      </c>
      <c r="C114">
        <v>0.11767</v>
      </c>
      <c r="D114">
        <v>0.11323999999999999</v>
      </c>
      <c r="E114">
        <v>-2.5899999999999999E-2</v>
      </c>
      <c r="F114">
        <v>1.4999999999999999E-2</v>
      </c>
      <c r="G114">
        <v>1</v>
      </c>
    </row>
    <row r="115" spans="1:7" x14ac:dyDescent="0.35">
      <c r="A115">
        <v>17.25</v>
      </c>
      <c r="B115">
        <v>1.1380999999999999</v>
      </c>
      <c r="C115">
        <v>0.12548000000000001</v>
      </c>
      <c r="D115">
        <v>0.12124</v>
      </c>
      <c r="E115">
        <v>-3.0499999999999999E-2</v>
      </c>
      <c r="F115">
        <v>1.49E-2</v>
      </c>
      <c r="G115">
        <v>1</v>
      </c>
    </row>
    <row r="116" spans="1:7" x14ac:dyDescent="0.35">
      <c r="A116">
        <v>17.5</v>
      </c>
      <c r="B116">
        <v>1.1269</v>
      </c>
      <c r="C116">
        <v>0.13239000000000001</v>
      </c>
      <c r="D116">
        <v>0.12833</v>
      </c>
      <c r="E116">
        <v>-3.5000000000000003E-2</v>
      </c>
      <c r="F116">
        <v>1.5100000000000001E-2</v>
      </c>
      <c r="G116">
        <v>1</v>
      </c>
    </row>
    <row r="117" spans="1:7" x14ac:dyDescent="0.35">
      <c r="A117">
        <v>17.75</v>
      </c>
      <c r="B117">
        <v>1.1094999999999999</v>
      </c>
      <c r="C117">
        <v>0.14094999999999999</v>
      </c>
      <c r="D117">
        <v>0.13705000000000001</v>
      </c>
      <c r="E117">
        <v>-4.0399999999999998E-2</v>
      </c>
      <c r="F117">
        <v>1.5100000000000001E-2</v>
      </c>
      <c r="G117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925F-67C1-41F5-9309-768E79369F12}">
  <dimension ref="A1:I116"/>
  <sheetViews>
    <sheetView topLeftCell="A9" zoomScaleNormal="100" workbookViewId="0">
      <selection activeCell="A11" sqref="A11:A116"/>
    </sheetView>
  </sheetViews>
  <sheetFormatPr defaultRowHeight="14.5" x14ac:dyDescent="0.35"/>
  <cols>
    <col min="1" max="1" width="18.1796875" bestFit="1" customWidth="1"/>
  </cols>
  <sheetData>
    <row r="1" spans="1:9" x14ac:dyDescent="0.35">
      <c r="A1" t="s">
        <v>7</v>
      </c>
      <c r="B1">
        <v>17</v>
      </c>
    </row>
    <row r="2" spans="1:9" x14ac:dyDescent="0.35">
      <c r="A2" t="s">
        <v>66</v>
      </c>
      <c r="B2">
        <v>0.2</v>
      </c>
    </row>
    <row r="3" spans="1:9" x14ac:dyDescent="0.35">
      <c r="A3" t="s">
        <v>3</v>
      </c>
      <c r="B3">
        <v>1</v>
      </c>
    </row>
    <row r="4" spans="1:9" x14ac:dyDescent="0.35">
      <c r="A4" t="s">
        <v>10</v>
      </c>
      <c r="B4">
        <f>B3*B2</f>
        <v>0.2</v>
      </c>
    </row>
    <row r="5" spans="1:9" x14ac:dyDescent="0.35">
      <c r="A5" t="s">
        <v>45</v>
      </c>
      <c r="B5">
        <v>1.2250000000000001</v>
      </c>
    </row>
    <row r="9" spans="1:9" x14ac:dyDescent="0.35">
      <c r="A9" s="3"/>
      <c r="B9" s="3" t="s">
        <v>7</v>
      </c>
      <c r="C9" s="3"/>
      <c r="D9" s="3"/>
      <c r="E9" s="3"/>
      <c r="F9" s="3"/>
      <c r="G9" s="3"/>
      <c r="H9" s="3"/>
      <c r="I9" s="3"/>
    </row>
    <row r="10" spans="1:9" x14ac:dyDescent="0.35">
      <c r="A10" s="3" t="s">
        <v>68</v>
      </c>
      <c r="B10" s="1">
        <v>5</v>
      </c>
      <c r="C10" s="1">
        <v>10</v>
      </c>
      <c r="D10" s="1">
        <v>12.5</v>
      </c>
      <c r="E10" s="1">
        <v>15</v>
      </c>
      <c r="F10" s="1">
        <v>17.5</v>
      </c>
      <c r="G10" s="1">
        <v>20</v>
      </c>
      <c r="H10" s="1">
        <v>25</v>
      </c>
      <c r="I10" s="1">
        <v>30</v>
      </c>
    </row>
    <row r="11" spans="1:9" x14ac:dyDescent="0.35">
      <c r="A11" s="1">
        <v>-8.5</v>
      </c>
      <c r="B11" s="3">
        <f>(0.5)*$B$5*B$10*B$10*'S7055 Lift and Drag Function'!$B12*'Lift @ Cruising Speed vs. AoA'!$B$4</f>
        <v>-1.00541875</v>
      </c>
      <c r="C11" s="3">
        <f>(0.5)*$B$5*C$10*C$10*'S7055 Lift and Drag Function'!$B12*'Lift @ Cruising Speed vs. AoA'!$B$4</f>
        <v>-4.0216750000000001</v>
      </c>
      <c r="D11" s="3">
        <f>(0.5)*$B$5*D$10*D$10*'S7055 Lift and Drag Function'!$B12*'Lift @ Cruising Speed vs. AoA'!$B$4</f>
        <v>-6.2838671875000003</v>
      </c>
      <c r="E11" s="3">
        <f>(0.5)*$B$5*E$10*E$10*'S7055 Lift and Drag Function'!$B12*'Lift @ Cruising Speed vs. AoA'!$B$4</f>
        <v>-9.0487687499999989</v>
      </c>
      <c r="F11" s="3">
        <f>(0.5)*$B$5*F$10*F$10*'S7055 Lift and Drag Function'!$B12*'Lift @ Cruising Speed vs. AoA'!$B$4</f>
        <v>-12.3163796875</v>
      </c>
      <c r="G11" s="3">
        <f>(0.5)*$B$5*G$10*G$10*'S7055 Lift and Drag Function'!$B12*'Lift @ Cruising Speed vs. AoA'!$B$4</f>
        <v>-16.0867</v>
      </c>
      <c r="H11" s="3">
        <f>(0.5)*$B$5*H$10*H$10*'S7055 Lift and Drag Function'!$B12*'Lift @ Cruising Speed vs. AoA'!$B$4</f>
        <v>-25.135468750000001</v>
      </c>
      <c r="I11" s="3">
        <f>(0.5)*$B$5*I$10*I$10*'S7055 Lift and Drag Function'!$B12*'Lift @ Cruising Speed vs. AoA'!$B$4</f>
        <v>-36.195074999999996</v>
      </c>
    </row>
    <row r="12" spans="1:9" x14ac:dyDescent="0.35">
      <c r="A12" s="1">
        <v>-8.25</v>
      </c>
      <c r="B12" s="3">
        <f>(0.5)*$B$5*B$10*B$10*'S7055 Lift and Drag Function'!$B13*'Lift @ Cruising Speed vs. AoA'!$B$4</f>
        <v>-1.0090937500000001</v>
      </c>
      <c r="C12" s="3">
        <f>(0.5)*$B$5*C$10*C$10*'S7055 Lift and Drag Function'!$B13*'Lift @ Cruising Speed vs. AoA'!$B$4</f>
        <v>-4.0363750000000005</v>
      </c>
      <c r="D12" s="3">
        <f>(0.5)*$B$5*D$10*D$10*'S7055 Lift and Drag Function'!$B13*'Lift @ Cruising Speed vs. AoA'!$B$4</f>
        <v>-6.3068359375000016</v>
      </c>
      <c r="E12" s="3">
        <f>(0.5)*$B$5*E$10*E$10*'S7055 Lift and Drag Function'!$B13*'Lift @ Cruising Speed vs. AoA'!$B$4</f>
        <v>-9.0818437500000009</v>
      </c>
      <c r="F12" s="3">
        <f>(0.5)*$B$5*F$10*F$10*'S7055 Lift and Drag Function'!$B13*'Lift @ Cruising Speed vs. AoA'!$B$4</f>
        <v>-12.3613984375</v>
      </c>
      <c r="G12" s="3">
        <f>(0.5)*$B$5*G$10*G$10*'S7055 Lift and Drag Function'!$B13*'Lift @ Cruising Speed vs. AoA'!$B$4</f>
        <v>-16.145500000000002</v>
      </c>
      <c r="H12" s="3">
        <f>(0.5)*$B$5*H$10*H$10*'S7055 Lift and Drag Function'!$B13*'Lift @ Cruising Speed vs. AoA'!$B$4</f>
        <v>-25.227343750000006</v>
      </c>
      <c r="I12" s="3">
        <f>(0.5)*$B$5*I$10*I$10*'S7055 Lift and Drag Function'!$B13*'Lift @ Cruising Speed vs. AoA'!$B$4</f>
        <v>-36.327375000000004</v>
      </c>
    </row>
    <row r="13" spans="1:9" x14ac:dyDescent="0.35">
      <c r="A13" s="1">
        <v>-8</v>
      </c>
      <c r="B13" s="3">
        <f>(0.5)*$B$5*B$10*B$10*'S7055 Lift and Drag Function'!$B14*'Lift @ Cruising Speed vs. AoA'!$B$4</f>
        <v>-1.0492125000000001</v>
      </c>
      <c r="C13" s="3">
        <f>(0.5)*$B$5*C$10*C$10*'S7055 Lift and Drag Function'!$B14*'Lift @ Cruising Speed vs. AoA'!$B$4</f>
        <v>-4.1968500000000004</v>
      </c>
      <c r="D13" s="3">
        <f>(0.5)*$B$5*D$10*D$10*'S7055 Lift and Drag Function'!$B14*'Lift @ Cruising Speed vs. AoA'!$B$4</f>
        <v>-6.5575781250000009</v>
      </c>
      <c r="E13" s="3">
        <f>(0.5)*$B$5*E$10*E$10*'S7055 Lift and Drag Function'!$B14*'Lift @ Cruising Speed vs. AoA'!$B$4</f>
        <v>-9.4429125000000003</v>
      </c>
      <c r="F13" s="3">
        <f>(0.5)*$B$5*F$10*F$10*'S7055 Lift and Drag Function'!$B14*'Lift @ Cruising Speed vs. AoA'!$B$4</f>
        <v>-12.852853125000003</v>
      </c>
      <c r="G13" s="3">
        <f>(0.5)*$B$5*G$10*G$10*'S7055 Lift and Drag Function'!$B14*'Lift @ Cruising Speed vs. AoA'!$B$4</f>
        <v>-16.787400000000002</v>
      </c>
      <c r="H13" s="3">
        <f>(0.5)*$B$5*H$10*H$10*'S7055 Lift and Drag Function'!$B14*'Lift @ Cruising Speed vs. AoA'!$B$4</f>
        <v>-26.230312500000004</v>
      </c>
      <c r="I13" s="3">
        <f>(0.5)*$B$5*I$10*I$10*'S7055 Lift and Drag Function'!$B14*'Lift @ Cruising Speed vs. AoA'!$B$4</f>
        <v>-37.771650000000001</v>
      </c>
    </row>
    <row r="14" spans="1:9" x14ac:dyDescent="0.35">
      <c r="A14" s="1">
        <v>-7.75</v>
      </c>
      <c r="B14" s="3">
        <f>(0.5)*$B$5*B$10*B$10*'S7055 Lift and Drag Function'!$B15*'Lift @ Cruising Speed vs. AoA'!$B$4</f>
        <v>-1.12975625</v>
      </c>
      <c r="C14" s="3">
        <f>(0.5)*$B$5*C$10*C$10*'S7055 Lift and Drag Function'!$B15*'Lift @ Cruising Speed vs. AoA'!$B$4</f>
        <v>-4.5190250000000001</v>
      </c>
      <c r="D14" s="3">
        <f>(0.5)*$B$5*D$10*D$10*'S7055 Lift and Drag Function'!$B15*'Lift @ Cruising Speed vs. AoA'!$B$4</f>
        <v>-7.0609765625000014</v>
      </c>
      <c r="E14" s="3">
        <f>(0.5)*$B$5*E$10*E$10*'S7055 Lift and Drag Function'!$B15*'Lift @ Cruising Speed vs. AoA'!$B$4</f>
        <v>-10.16780625</v>
      </c>
      <c r="F14" s="3">
        <f>(0.5)*$B$5*F$10*F$10*'S7055 Lift and Drag Function'!$B15*'Lift @ Cruising Speed vs. AoA'!$B$4</f>
        <v>-13.839514062500001</v>
      </c>
      <c r="G14" s="3">
        <f>(0.5)*$B$5*G$10*G$10*'S7055 Lift and Drag Function'!$B15*'Lift @ Cruising Speed vs. AoA'!$B$4</f>
        <v>-18.0761</v>
      </c>
      <c r="H14" s="3">
        <f>(0.5)*$B$5*H$10*H$10*'S7055 Lift and Drag Function'!$B15*'Lift @ Cruising Speed vs. AoA'!$B$4</f>
        <v>-28.243906250000006</v>
      </c>
      <c r="I14" s="3">
        <f>(0.5)*$B$5*I$10*I$10*'S7055 Lift and Drag Function'!$B15*'Lift @ Cruising Speed vs. AoA'!$B$4</f>
        <v>-40.671225</v>
      </c>
    </row>
    <row r="15" spans="1:9" x14ac:dyDescent="0.35">
      <c r="A15" s="1">
        <v>-7.5</v>
      </c>
      <c r="B15" s="3">
        <f>(0.5)*$B$5*B$10*B$10*'S7055 Lift and Drag Function'!$B16*'Lift @ Cruising Speed vs. AoA'!$B$4</f>
        <v>-1.1692625000000001</v>
      </c>
      <c r="C15" s="3">
        <f>(0.5)*$B$5*C$10*C$10*'S7055 Lift and Drag Function'!$B16*'Lift @ Cruising Speed vs. AoA'!$B$4</f>
        <v>-4.6770500000000004</v>
      </c>
      <c r="D15" s="3">
        <f>(0.5)*$B$5*D$10*D$10*'S7055 Lift and Drag Function'!$B16*'Lift @ Cruising Speed vs. AoA'!$B$4</f>
        <v>-7.3078906250000006</v>
      </c>
      <c r="E15" s="3">
        <f>(0.5)*$B$5*E$10*E$10*'S7055 Lift and Drag Function'!$B16*'Lift @ Cruising Speed vs. AoA'!$B$4</f>
        <v>-10.523362499999999</v>
      </c>
      <c r="F15" s="3">
        <f>(0.5)*$B$5*F$10*F$10*'S7055 Lift and Drag Function'!$B16*'Lift @ Cruising Speed vs. AoA'!$B$4</f>
        <v>-14.323465625000001</v>
      </c>
      <c r="G15" s="3">
        <f>(0.5)*$B$5*G$10*G$10*'S7055 Lift and Drag Function'!$B16*'Lift @ Cruising Speed vs. AoA'!$B$4</f>
        <v>-18.708200000000001</v>
      </c>
      <c r="H15" s="3">
        <f>(0.5)*$B$5*H$10*H$10*'S7055 Lift and Drag Function'!$B16*'Lift @ Cruising Speed vs. AoA'!$B$4</f>
        <v>-29.231562500000003</v>
      </c>
      <c r="I15" s="3">
        <f>(0.5)*$B$5*I$10*I$10*'S7055 Lift and Drag Function'!$B16*'Lift @ Cruising Speed vs. AoA'!$B$4</f>
        <v>-42.093449999999997</v>
      </c>
    </row>
    <row r="16" spans="1:9" x14ac:dyDescent="0.35">
      <c r="A16" s="1">
        <v>-7.25</v>
      </c>
      <c r="B16" s="3">
        <f>(0.5)*$B$5*B$10*B$10*'S7055 Lift and Drag Function'!$B17*'Lift @ Cruising Speed vs. AoA'!$B$4</f>
        <v>-1.1046437500000001</v>
      </c>
      <c r="C16" s="3">
        <f>(0.5)*$B$5*C$10*C$10*'S7055 Lift and Drag Function'!$B17*'Lift @ Cruising Speed vs. AoA'!$B$4</f>
        <v>-4.4185750000000006</v>
      </c>
      <c r="D16" s="3">
        <f>(0.5)*$B$5*D$10*D$10*'S7055 Lift and Drag Function'!$B17*'Lift @ Cruising Speed vs. AoA'!$B$4</f>
        <v>-6.9040234375000011</v>
      </c>
      <c r="E16" s="3">
        <f>(0.5)*$B$5*E$10*E$10*'S7055 Lift and Drag Function'!$B17*'Lift @ Cruising Speed vs. AoA'!$B$4</f>
        <v>-9.9417937500000022</v>
      </c>
      <c r="F16" s="3">
        <f>(0.5)*$B$5*F$10*F$10*'S7055 Lift and Drag Function'!$B17*'Lift @ Cruising Speed vs. AoA'!$B$4</f>
        <v>-13.531885937500002</v>
      </c>
      <c r="G16" s="3">
        <f>(0.5)*$B$5*G$10*G$10*'S7055 Lift and Drag Function'!$B17*'Lift @ Cruising Speed vs. AoA'!$B$4</f>
        <v>-17.674300000000002</v>
      </c>
      <c r="H16" s="3">
        <f>(0.5)*$B$5*H$10*H$10*'S7055 Lift and Drag Function'!$B17*'Lift @ Cruising Speed vs. AoA'!$B$4</f>
        <v>-27.616093750000005</v>
      </c>
      <c r="I16" s="3">
        <f>(0.5)*$B$5*I$10*I$10*'S7055 Lift and Drag Function'!$B17*'Lift @ Cruising Speed vs. AoA'!$B$4</f>
        <v>-39.767175000000009</v>
      </c>
    </row>
    <row r="17" spans="1:9" x14ac:dyDescent="0.35">
      <c r="A17" s="1">
        <v>-7</v>
      </c>
      <c r="B17" s="3">
        <f>(0.5)*$B$5*B$10*B$10*'S7055 Lift and Drag Function'!$B18*'Lift @ Cruising Speed vs. AoA'!$B$4</f>
        <v>-1.0207312499999999</v>
      </c>
      <c r="C17" s="3">
        <f>(0.5)*$B$5*C$10*C$10*'S7055 Lift and Drag Function'!$B18*'Lift @ Cruising Speed vs. AoA'!$B$4</f>
        <v>-4.0829249999999995</v>
      </c>
      <c r="D17" s="3">
        <f>(0.5)*$B$5*D$10*D$10*'S7055 Lift and Drag Function'!$B18*'Lift @ Cruising Speed vs. AoA'!$B$4</f>
        <v>-6.3795703125000012</v>
      </c>
      <c r="E17" s="3">
        <f>(0.5)*$B$5*E$10*E$10*'S7055 Lift and Drag Function'!$B18*'Lift @ Cruising Speed vs. AoA'!$B$4</f>
        <v>-9.1865812499999997</v>
      </c>
      <c r="F17" s="3">
        <f>(0.5)*$B$5*F$10*F$10*'S7055 Lift and Drag Function'!$B18*'Lift @ Cruising Speed vs. AoA'!$B$4</f>
        <v>-12.503957812499999</v>
      </c>
      <c r="G17" s="3">
        <f>(0.5)*$B$5*G$10*G$10*'S7055 Lift and Drag Function'!$B18*'Lift @ Cruising Speed vs. AoA'!$B$4</f>
        <v>-16.331699999999998</v>
      </c>
      <c r="H17" s="3">
        <f>(0.5)*$B$5*H$10*H$10*'S7055 Lift and Drag Function'!$B18*'Lift @ Cruising Speed vs. AoA'!$B$4</f>
        <v>-25.518281250000005</v>
      </c>
      <c r="I17" s="3">
        <f>(0.5)*$B$5*I$10*I$10*'S7055 Lift and Drag Function'!$B18*'Lift @ Cruising Speed vs. AoA'!$B$4</f>
        <v>-36.746324999999999</v>
      </c>
    </row>
    <row r="18" spans="1:9" x14ac:dyDescent="0.35">
      <c r="A18" s="1">
        <v>-6.75</v>
      </c>
      <c r="B18" s="3">
        <f>(0.5)*$B$5*B$10*B$10*'S7055 Lift and Drag Function'!$B19*'Lift @ Cruising Speed vs. AoA'!$B$4</f>
        <v>-0.97601874999999993</v>
      </c>
      <c r="C18" s="3">
        <f>(0.5)*$B$5*C$10*C$10*'S7055 Lift and Drag Function'!$B19*'Lift @ Cruising Speed vs. AoA'!$B$4</f>
        <v>-3.9040749999999997</v>
      </c>
      <c r="D18" s="3">
        <f>(0.5)*$B$5*D$10*D$10*'S7055 Lift and Drag Function'!$B19*'Lift @ Cruising Speed vs. AoA'!$B$4</f>
        <v>-6.1001171875000004</v>
      </c>
      <c r="E18" s="3">
        <f>(0.5)*$B$5*E$10*E$10*'S7055 Lift and Drag Function'!$B19*'Lift @ Cruising Speed vs. AoA'!$B$4</f>
        <v>-8.7841687499999992</v>
      </c>
      <c r="F18" s="3">
        <f>(0.5)*$B$5*F$10*F$10*'S7055 Lift and Drag Function'!$B19*'Lift @ Cruising Speed vs. AoA'!$B$4</f>
        <v>-11.956229687499999</v>
      </c>
      <c r="G18" s="3">
        <f>(0.5)*$B$5*G$10*G$10*'S7055 Lift and Drag Function'!$B19*'Lift @ Cruising Speed vs. AoA'!$B$4</f>
        <v>-15.616299999999999</v>
      </c>
      <c r="H18" s="3">
        <f>(0.5)*$B$5*H$10*H$10*'S7055 Lift and Drag Function'!$B19*'Lift @ Cruising Speed vs. AoA'!$B$4</f>
        <v>-24.400468750000002</v>
      </c>
      <c r="I18" s="3">
        <f>(0.5)*$B$5*I$10*I$10*'S7055 Lift and Drag Function'!$B19*'Lift @ Cruising Speed vs. AoA'!$B$4</f>
        <v>-35.136674999999997</v>
      </c>
    </row>
    <row r="19" spans="1:9" x14ac:dyDescent="0.35">
      <c r="A19" s="1">
        <v>-6.5</v>
      </c>
      <c r="B19" s="3">
        <f>(0.5)*$B$5*B$10*B$10*'S7055 Lift and Drag Function'!$B20*'Lift @ Cruising Speed vs. AoA'!$B$4</f>
        <v>-0.90588750000000007</v>
      </c>
      <c r="C19" s="3">
        <f>(0.5)*$B$5*C$10*C$10*'S7055 Lift and Drag Function'!$B20*'Lift @ Cruising Speed vs. AoA'!$B$4</f>
        <v>-3.6235500000000003</v>
      </c>
      <c r="D19" s="3">
        <f>(0.5)*$B$5*D$10*D$10*'S7055 Lift and Drag Function'!$B20*'Lift @ Cruising Speed vs. AoA'!$B$4</f>
        <v>-5.6617968750000012</v>
      </c>
      <c r="E19" s="3">
        <f>(0.5)*$B$5*E$10*E$10*'S7055 Lift and Drag Function'!$B20*'Lift @ Cruising Speed vs. AoA'!$B$4</f>
        <v>-8.1529875000000001</v>
      </c>
      <c r="F19" s="3">
        <f>(0.5)*$B$5*F$10*F$10*'S7055 Lift and Drag Function'!$B20*'Lift @ Cruising Speed vs. AoA'!$B$4</f>
        <v>-11.097121875000001</v>
      </c>
      <c r="G19" s="3">
        <f>(0.5)*$B$5*G$10*G$10*'S7055 Lift and Drag Function'!$B20*'Lift @ Cruising Speed vs. AoA'!$B$4</f>
        <v>-14.494200000000001</v>
      </c>
      <c r="H19" s="3">
        <f>(0.5)*$B$5*H$10*H$10*'S7055 Lift and Drag Function'!$B20*'Lift @ Cruising Speed vs. AoA'!$B$4</f>
        <v>-22.647187500000005</v>
      </c>
      <c r="I19" s="3">
        <f>(0.5)*$B$5*I$10*I$10*'S7055 Lift and Drag Function'!$B20*'Lift @ Cruising Speed vs. AoA'!$B$4</f>
        <v>-32.61195</v>
      </c>
    </row>
    <row r="20" spans="1:9" x14ac:dyDescent="0.35">
      <c r="A20" s="1">
        <v>-6.25</v>
      </c>
      <c r="B20" s="3">
        <f>(0.5)*$B$5*B$10*B$10*'S7055 Lift and Drag Function'!$B21*'Lift @ Cruising Speed vs. AoA'!$B$4</f>
        <v>-0.82901875000000003</v>
      </c>
      <c r="C20" s="3">
        <f>(0.5)*$B$5*C$10*C$10*'S7055 Lift and Drag Function'!$B21*'Lift @ Cruising Speed vs. AoA'!$B$4</f>
        <v>-3.3160750000000001</v>
      </c>
      <c r="D20" s="3">
        <f>(0.5)*$B$5*D$10*D$10*'S7055 Lift and Drag Function'!$B21*'Lift @ Cruising Speed vs. AoA'!$B$4</f>
        <v>-5.1813671875000011</v>
      </c>
      <c r="E20" s="3">
        <f>(0.5)*$B$5*E$10*E$10*'S7055 Lift and Drag Function'!$B21*'Lift @ Cruising Speed vs. AoA'!$B$4</f>
        <v>-7.4611687500000006</v>
      </c>
      <c r="F20" s="3">
        <f>(0.5)*$B$5*F$10*F$10*'S7055 Lift and Drag Function'!$B21*'Lift @ Cruising Speed vs. AoA'!$B$4</f>
        <v>-10.1554796875</v>
      </c>
      <c r="G20" s="3">
        <f>(0.5)*$B$5*G$10*G$10*'S7055 Lift and Drag Function'!$B21*'Lift @ Cruising Speed vs. AoA'!$B$4</f>
        <v>-13.2643</v>
      </c>
      <c r="H20" s="3">
        <f>(0.5)*$B$5*H$10*H$10*'S7055 Lift and Drag Function'!$B21*'Lift @ Cruising Speed vs. AoA'!$B$4</f>
        <v>-20.725468750000005</v>
      </c>
      <c r="I20" s="3">
        <f>(0.5)*$B$5*I$10*I$10*'S7055 Lift and Drag Function'!$B21*'Lift @ Cruising Speed vs. AoA'!$B$4</f>
        <v>-29.844675000000002</v>
      </c>
    </row>
    <row r="21" spans="1:9" x14ac:dyDescent="0.35">
      <c r="A21" s="1">
        <v>-6</v>
      </c>
      <c r="B21" s="3">
        <f>(0.5)*$B$5*B$10*B$10*'S7055 Lift and Drag Function'!$B22*'Lift @ Cruising Speed vs. AoA'!$B$4</f>
        <v>-0.72948750000000007</v>
      </c>
      <c r="C21" s="3">
        <f>(0.5)*$B$5*C$10*C$10*'S7055 Lift and Drag Function'!$B22*'Lift @ Cruising Speed vs. AoA'!$B$4</f>
        <v>-2.9179500000000003</v>
      </c>
      <c r="D21" s="3">
        <f>(0.5)*$B$5*D$10*D$10*'S7055 Lift and Drag Function'!$B22*'Lift @ Cruising Speed vs. AoA'!$B$4</f>
        <v>-4.5592968750000002</v>
      </c>
      <c r="E21" s="3">
        <f>(0.5)*$B$5*E$10*E$10*'S7055 Lift and Drag Function'!$B22*'Lift @ Cruising Speed vs. AoA'!$B$4</f>
        <v>-6.5653874999999999</v>
      </c>
      <c r="F21" s="3">
        <f>(0.5)*$B$5*F$10*F$10*'S7055 Lift and Drag Function'!$B22*'Lift @ Cruising Speed vs. AoA'!$B$4</f>
        <v>-8.9362218749999993</v>
      </c>
      <c r="G21" s="3">
        <f>(0.5)*$B$5*G$10*G$10*'S7055 Lift and Drag Function'!$B22*'Lift @ Cruising Speed vs. AoA'!$B$4</f>
        <v>-11.671800000000001</v>
      </c>
      <c r="H21" s="3">
        <f>(0.5)*$B$5*H$10*H$10*'S7055 Lift and Drag Function'!$B22*'Lift @ Cruising Speed vs. AoA'!$B$4</f>
        <v>-18.237187500000001</v>
      </c>
      <c r="I21" s="3">
        <f>(0.5)*$B$5*I$10*I$10*'S7055 Lift and Drag Function'!$B22*'Lift @ Cruising Speed vs. AoA'!$B$4</f>
        <v>-26.26155</v>
      </c>
    </row>
    <row r="22" spans="1:9" x14ac:dyDescent="0.35">
      <c r="A22" s="1">
        <v>-5.75</v>
      </c>
      <c r="B22" s="3">
        <f>(0.5)*$B$5*B$10*B$10*'S7055 Lift and Drag Function'!$B23*'Lift @ Cruising Speed vs. AoA'!$B$4</f>
        <v>-0.67711874999999999</v>
      </c>
      <c r="C22" s="3">
        <f>(0.5)*$B$5*C$10*C$10*'S7055 Lift and Drag Function'!$B23*'Lift @ Cruising Speed vs. AoA'!$B$4</f>
        <v>-2.708475</v>
      </c>
      <c r="D22" s="3">
        <f>(0.5)*$B$5*D$10*D$10*'S7055 Lift and Drag Function'!$B23*'Lift @ Cruising Speed vs. AoA'!$B$4</f>
        <v>-4.2319921875000004</v>
      </c>
      <c r="E22" s="3">
        <f>(0.5)*$B$5*E$10*E$10*'S7055 Lift and Drag Function'!$B23*'Lift @ Cruising Speed vs. AoA'!$B$4</f>
        <v>-6.0940687499999999</v>
      </c>
      <c r="F22" s="3">
        <f>(0.5)*$B$5*F$10*F$10*'S7055 Lift and Drag Function'!$B23*'Lift @ Cruising Speed vs. AoA'!$B$4</f>
        <v>-8.2947046874999995</v>
      </c>
      <c r="G22" s="3">
        <f>(0.5)*$B$5*G$10*G$10*'S7055 Lift and Drag Function'!$B23*'Lift @ Cruising Speed vs. AoA'!$B$4</f>
        <v>-10.8339</v>
      </c>
      <c r="H22" s="3">
        <f>(0.5)*$B$5*H$10*H$10*'S7055 Lift and Drag Function'!$B23*'Lift @ Cruising Speed vs. AoA'!$B$4</f>
        <v>-16.927968750000002</v>
      </c>
      <c r="I22" s="3">
        <f>(0.5)*$B$5*I$10*I$10*'S7055 Lift and Drag Function'!$B23*'Lift @ Cruising Speed vs. AoA'!$B$4</f>
        <v>-24.376275</v>
      </c>
    </row>
    <row r="23" spans="1:9" x14ac:dyDescent="0.35">
      <c r="A23" s="1">
        <v>-5.5</v>
      </c>
      <c r="B23" s="3">
        <f>(0.5)*$B$5*B$10*B$10*'S7055 Lift and Drag Function'!$B24*'Lift @ Cruising Speed vs. AoA'!$B$4</f>
        <v>-0.58371249999999997</v>
      </c>
      <c r="C23" s="3">
        <f>(0.5)*$B$5*C$10*C$10*'S7055 Lift and Drag Function'!$B24*'Lift @ Cruising Speed vs. AoA'!$B$4</f>
        <v>-2.3348499999999999</v>
      </c>
      <c r="D23" s="3">
        <f>(0.5)*$B$5*D$10*D$10*'S7055 Lift and Drag Function'!$B24*'Lift @ Cruising Speed vs. AoA'!$B$4</f>
        <v>-3.6482031250000007</v>
      </c>
      <c r="E23" s="3">
        <f>(0.5)*$B$5*E$10*E$10*'S7055 Lift and Drag Function'!$B24*'Lift @ Cruising Speed vs. AoA'!$B$4</f>
        <v>-5.2534124999999996</v>
      </c>
      <c r="F23" s="3">
        <f>(0.5)*$B$5*F$10*F$10*'S7055 Lift and Drag Function'!$B24*'Lift @ Cruising Speed vs. AoA'!$B$4</f>
        <v>-7.1504781249999994</v>
      </c>
      <c r="G23" s="3">
        <f>(0.5)*$B$5*G$10*G$10*'S7055 Lift and Drag Function'!$B24*'Lift @ Cruising Speed vs. AoA'!$B$4</f>
        <v>-9.3393999999999995</v>
      </c>
      <c r="H23" s="3">
        <f>(0.5)*$B$5*H$10*H$10*'S7055 Lift and Drag Function'!$B24*'Lift @ Cruising Speed vs. AoA'!$B$4</f>
        <v>-14.592812500000003</v>
      </c>
      <c r="I23" s="3">
        <f>(0.5)*$B$5*I$10*I$10*'S7055 Lift and Drag Function'!$B24*'Lift @ Cruising Speed vs. AoA'!$B$4</f>
        <v>-21.013649999999998</v>
      </c>
    </row>
    <row r="24" spans="1:9" x14ac:dyDescent="0.35">
      <c r="A24" s="1">
        <v>-5.25</v>
      </c>
      <c r="B24" s="3">
        <f>(0.5)*$B$5*B$10*B$10*'S7055 Lift and Drag Function'!$B25*'Lift @ Cruising Speed vs. AoA'!$B$4</f>
        <v>-0.53532500000000005</v>
      </c>
      <c r="C24" s="3">
        <f>(0.5)*$B$5*C$10*C$10*'S7055 Lift and Drag Function'!$B25*'Lift @ Cruising Speed vs. AoA'!$B$4</f>
        <v>-2.1413000000000002</v>
      </c>
      <c r="D24" s="3">
        <f>(0.5)*$B$5*D$10*D$10*'S7055 Lift and Drag Function'!$B25*'Lift @ Cruising Speed vs. AoA'!$B$4</f>
        <v>-3.3457812500000013</v>
      </c>
      <c r="E24" s="3">
        <f>(0.5)*$B$5*E$10*E$10*'S7055 Lift and Drag Function'!$B25*'Lift @ Cruising Speed vs. AoA'!$B$4</f>
        <v>-4.8179250000000007</v>
      </c>
      <c r="F24" s="3">
        <f>(0.5)*$B$5*F$10*F$10*'S7055 Lift and Drag Function'!$B25*'Lift @ Cruising Speed vs. AoA'!$B$4</f>
        <v>-6.5577312500000007</v>
      </c>
      <c r="G24" s="3">
        <f>(0.5)*$B$5*G$10*G$10*'S7055 Lift and Drag Function'!$B25*'Lift @ Cruising Speed vs. AoA'!$B$4</f>
        <v>-8.5652000000000008</v>
      </c>
      <c r="H24" s="3">
        <f>(0.5)*$B$5*H$10*H$10*'S7055 Lift and Drag Function'!$B25*'Lift @ Cruising Speed vs. AoA'!$B$4</f>
        <v>-13.383125000000005</v>
      </c>
      <c r="I24" s="3">
        <f>(0.5)*$B$5*I$10*I$10*'S7055 Lift and Drag Function'!$B25*'Lift @ Cruising Speed vs. AoA'!$B$4</f>
        <v>-19.271700000000003</v>
      </c>
    </row>
    <row r="25" spans="1:9" x14ac:dyDescent="0.35">
      <c r="A25" s="1">
        <v>-5</v>
      </c>
      <c r="B25" s="3">
        <f>(0.5)*$B$5*B$10*B$10*'S7055 Lift and Drag Function'!$B26*'Lift @ Cruising Speed vs. AoA'!$B$4</f>
        <v>-0.44926874999999999</v>
      </c>
      <c r="C25" s="3">
        <f>(0.5)*$B$5*C$10*C$10*'S7055 Lift and Drag Function'!$B26*'Lift @ Cruising Speed vs. AoA'!$B$4</f>
        <v>-1.797075</v>
      </c>
      <c r="D25" s="3">
        <f>(0.5)*$B$5*D$10*D$10*'S7055 Lift and Drag Function'!$B26*'Lift @ Cruising Speed vs. AoA'!$B$4</f>
        <v>-2.8079296875000006</v>
      </c>
      <c r="E25" s="3">
        <f>(0.5)*$B$5*E$10*E$10*'S7055 Lift and Drag Function'!$B26*'Lift @ Cruising Speed vs. AoA'!$B$4</f>
        <v>-4.0434187499999998</v>
      </c>
      <c r="F25" s="3">
        <f>(0.5)*$B$5*F$10*F$10*'S7055 Lift and Drag Function'!$B26*'Lift @ Cruising Speed vs. AoA'!$B$4</f>
        <v>-5.5035421874999999</v>
      </c>
      <c r="G25" s="3">
        <f>(0.5)*$B$5*G$10*G$10*'S7055 Lift and Drag Function'!$B26*'Lift @ Cruising Speed vs. AoA'!$B$4</f>
        <v>-7.1882999999999999</v>
      </c>
      <c r="H25" s="3">
        <f>(0.5)*$B$5*H$10*H$10*'S7055 Lift and Drag Function'!$B26*'Lift @ Cruising Speed vs. AoA'!$B$4</f>
        <v>-11.231718750000002</v>
      </c>
      <c r="I25" s="3">
        <f>(0.5)*$B$5*I$10*I$10*'S7055 Lift and Drag Function'!$B26*'Lift @ Cruising Speed vs. AoA'!$B$4</f>
        <v>-16.173674999999999</v>
      </c>
    </row>
    <row r="26" spans="1:9" x14ac:dyDescent="0.35">
      <c r="A26" s="1">
        <v>-4.75</v>
      </c>
      <c r="B26" s="3">
        <f>(0.5)*$B$5*B$10*B$10*'S7055 Lift and Drag Function'!$B27*'Lift @ Cruising Speed vs. AoA'!$B$4</f>
        <v>-0.38924375</v>
      </c>
      <c r="C26" s="3">
        <f>(0.5)*$B$5*C$10*C$10*'S7055 Lift and Drag Function'!$B27*'Lift @ Cruising Speed vs. AoA'!$B$4</f>
        <v>-1.556975</v>
      </c>
      <c r="D26" s="3">
        <f>(0.5)*$B$5*D$10*D$10*'S7055 Lift and Drag Function'!$B27*'Lift @ Cruising Speed vs. AoA'!$B$4</f>
        <v>-2.4327734375000003</v>
      </c>
      <c r="E26" s="3">
        <f>(0.5)*$B$5*E$10*E$10*'S7055 Lift and Drag Function'!$B27*'Lift @ Cruising Speed vs. AoA'!$B$4</f>
        <v>-3.5031937499999999</v>
      </c>
      <c r="F26" s="3">
        <f>(0.5)*$B$5*F$10*F$10*'S7055 Lift and Drag Function'!$B27*'Lift @ Cruising Speed vs. AoA'!$B$4</f>
        <v>-4.7682359375000001</v>
      </c>
      <c r="G26" s="3">
        <f>(0.5)*$B$5*G$10*G$10*'S7055 Lift and Drag Function'!$B27*'Lift @ Cruising Speed vs. AoA'!$B$4</f>
        <v>-6.2279</v>
      </c>
      <c r="H26" s="3">
        <f>(0.5)*$B$5*H$10*H$10*'S7055 Lift and Drag Function'!$B27*'Lift @ Cruising Speed vs. AoA'!$B$4</f>
        <v>-9.7310937500000012</v>
      </c>
      <c r="I26" s="3">
        <f>(0.5)*$B$5*I$10*I$10*'S7055 Lift and Drag Function'!$B27*'Lift @ Cruising Speed vs. AoA'!$B$4</f>
        <v>-14.012775</v>
      </c>
    </row>
    <row r="27" spans="1:9" x14ac:dyDescent="0.35">
      <c r="A27" s="1">
        <v>-4.5</v>
      </c>
      <c r="B27" s="3">
        <f>(0.5)*$B$5*B$10*B$10*'S7055 Lift and Drag Function'!$B28*'Lift @ Cruising Speed vs. AoA'!$B$4</f>
        <v>-0.29583750000000003</v>
      </c>
      <c r="C27" s="3">
        <f>(0.5)*$B$5*C$10*C$10*'S7055 Lift and Drag Function'!$B28*'Lift @ Cruising Speed vs. AoA'!$B$4</f>
        <v>-1.1833500000000001</v>
      </c>
      <c r="D27" s="3">
        <f>(0.5)*$B$5*D$10*D$10*'S7055 Lift and Drag Function'!$B28*'Lift @ Cruising Speed vs. AoA'!$B$4</f>
        <v>-1.8489843750000003</v>
      </c>
      <c r="E27" s="3">
        <f>(0.5)*$B$5*E$10*E$10*'S7055 Lift and Drag Function'!$B28*'Lift @ Cruising Speed vs. AoA'!$B$4</f>
        <v>-2.6625375000000004</v>
      </c>
      <c r="F27" s="3">
        <f>(0.5)*$B$5*F$10*F$10*'S7055 Lift and Drag Function'!$B28*'Lift @ Cruising Speed vs. AoA'!$B$4</f>
        <v>-3.624009375</v>
      </c>
      <c r="G27" s="3">
        <f>(0.5)*$B$5*G$10*G$10*'S7055 Lift and Drag Function'!$B28*'Lift @ Cruising Speed vs. AoA'!$B$4</f>
        <v>-4.7334000000000005</v>
      </c>
      <c r="H27" s="3">
        <f>(0.5)*$B$5*H$10*H$10*'S7055 Lift and Drag Function'!$B28*'Lift @ Cruising Speed vs. AoA'!$B$4</f>
        <v>-7.3959375000000014</v>
      </c>
      <c r="I27" s="3">
        <f>(0.5)*$B$5*I$10*I$10*'S7055 Lift and Drag Function'!$B28*'Lift @ Cruising Speed vs. AoA'!$B$4</f>
        <v>-10.650150000000002</v>
      </c>
    </row>
    <row r="28" spans="1:9" x14ac:dyDescent="0.35">
      <c r="A28" s="1">
        <v>-4.25</v>
      </c>
      <c r="B28" s="3">
        <f>(0.5)*$B$5*B$10*B$10*'S7055 Lift and Drag Function'!$B29*'Lift @ Cruising Speed vs. AoA'!$B$4</f>
        <v>-0.22295000000000004</v>
      </c>
      <c r="C28" s="3">
        <f>(0.5)*$B$5*C$10*C$10*'S7055 Lift and Drag Function'!$B29*'Lift @ Cruising Speed vs. AoA'!$B$4</f>
        <v>-0.89180000000000015</v>
      </c>
      <c r="D28" s="3">
        <f>(0.5)*$B$5*D$10*D$10*'S7055 Lift and Drag Function'!$B29*'Lift @ Cruising Speed vs. AoA'!$B$4</f>
        <v>-1.3934375000000003</v>
      </c>
      <c r="E28" s="3">
        <f>(0.5)*$B$5*E$10*E$10*'S7055 Lift and Drag Function'!$B29*'Lift @ Cruising Speed vs. AoA'!$B$4</f>
        <v>-2.0065500000000003</v>
      </c>
      <c r="F28" s="3">
        <f>(0.5)*$B$5*F$10*F$10*'S7055 Lift and Drag Function'!$B29*'Lift @ Cruising Speed vs. AoA'!$B$4</f>
        <v>-2.7311375000000004</v>
      </c>
      <c r="G28" s="3">
        <f>(0.5)*$B$5*G$10*G$10*'S7055 Lift and Drag Function'!$B29*'Lift @ Cruising Speed vs. AoA'!$B$4</f>
        <v>-3.5672000000000006</v>
      </c>
      <c r="H28" s="3">
        <f>(0.5)*$B$5*H$10*H$10*'S7055 Lift and Drag Function'!$B29*'Lift @ Cruising Speed vs. AoA'!$B$4</f>
        <v>-5.5737500000000013</v>
      </c>
      <c r="I28" s="3">
        <f>(0.5)*$B$5*I$10*I$10*'S7055 Lift and Drag Function'!$B29*'Lift @ Cruising Speed vs. AoA'!$B$4</f>
        <v>-8.0262000000000011</v>
      </c>
    </row>
    <row r="29" spans="1:9" x14ac:dyDescent="0.35">
      <c r="A29" s="1">
        <v>-4</v>
      </c>
      <c r="B29" s="3">
        <f>(0.5)*$B$5*B$10*B$10*'S7055 Lift and Drag Function'!$B30*'Lift @ Cruising Speed vs. AoA'!$B$4</f>
        <v>-0.13046250000000001</v>
      </c>
      <c r="C29" s="3">
        <f>(0.5)*$B$5*C$10*C$10*'S7055 Lift and Drag Function'!$B30*'Lift @ Cruising Speed vs. AoA'!$B$4</f>
        <v>-0.52185000000000004</v>
      </c>
      <c r="D29" s="3">
        <f>(0.5)*$B$5*D$10*D$10*'S7055 Lift and Drag Function'!$B30*'Lift @ Cruising Speed vs. AoA'!$B$4</f>
        <v>-0.81539062500000004</v>
      </c>
      <c r="E29" s="3">
        <f>(0.5)*$B$5*E$10*E$10*'S7055 Lift and Drag Function'!$B30*'Lift @ Cruising Speed vs. AoA'!$B$4</f>
        <v>-1.1741625</v>
      </c>
      <c r="F29" s="3">
        <f>(0.5)*$B$5*F$10*F$10*'S7055 Lift and Drag Function'!$B30*'Lift @ Cruising Speed vs. AoA'!$B$4</f>
        <v>-1.598165625</v>
      </c>
      <c r="G29" s="3">
        <f>(0.5)*$B$5*G$10*G$10*'S7055 Lift and Drag Function'!$B30*'Lift @ Cruising Speed vs. AoA'!$B$4</f>
        <v>-2.0874000000000001</v>
      </c>
      <c r="H29" s="3">
        <f>(0.5)*$B$5*H$10*H$10*'S7055 Lift and Drag Function'!$B30*'Lift @ Cruising Speed vs. AoA'!$B$4</f>
        <v>-3.2615625000000001</v>
      </c>
      <c r="I29" s="3">
        <f>(0.5)*$B$5*I$10*I$10*'S7055 Lift and Drag Function'!$B30*'Lift @ Cruising Speed vs. AoA'!$B$4</f>
        <v>-4.69665</v>
      </c>
    </row>
    <row r="30" spans="1:9" x14ac:dyDescent="0.35">
      <c r="A30" s="1">
        <v>-3.75</v>
      </c>
      <c r="B30" s="3">
        <f>(0.5)*$B$5*B$10*B$10*'S7055 Lift and Drag Function'!$B31*'Lift @ Cruising Speed vs. AoA'!$B$4</f>
        <v>-6.0943750000000012E-2</v>
      </c>
      <c r="C30" s="3">
        <f>(0.5)*$B$5*C$10*C$10*'S7055 Lift and Drag Function'!$B31*'Lift @ Cruising Speed vs. AoA'!$B$4</f>
        <v>-0.24377500000000005</v>
      </c>
      <c r="D30" s="3">
        <f>(0.5)*$B$5*D$10*D$10*'S7055 Lift and Drag Function'!$B31*'Lift @ Cruising Speed vs. AoA'!$B$4</f>
        <v>-0.38089843750000013</v>
      </c>
      <c r="E30" s="3">
        <f>(0.5)*$B$5*E$10*E$10*'S7055 Lift and Drag Function'!$B31*'Lift @ Cruising Speed vs. AoA'!$B$4</f>
        <v>-0.54849375</v>
      </c>
      <c r="F30" s="3">
        <f>(0.5)*$B$5*F$10*F$10*'S7055 Lift and Drag Function'!$B31*'Lift @ Cruising Speed vs. AoA'!$B$4</f>
        <v>-0.74656093750000008</v>
      </c>
      <c r="G30" s="3">
        <f>(0.5)*$B$5*G$10*G$10*'S7055 Lift and Drag Function'!$B31*'Lift @ Cruising Speed vs. AoA'!$B$4</f>
        <v>-0.97510000000000019</v>
      </c>
      <c r="H30" s="3">
        <f>(0.5)*$B$5*H$10*H$10*'S7055 Lift and Drag Function'!$B31*'Lift @ Cruising Speed vs. AoA'!$B$4</f>
        <v>-1.5235937500000005</v>
      </c>
      <c r="I30" s="3">
        <f>(0.5)*$B$5*I$10*I$10*'S7055 Lift and Drag Function'!$B31*'Lift @ Cruising Speed vs. AoA'!$B$4</f>
        <v>-2.193975</v>
      </c>
    </row>
    <row r="31" spans="1:9" x14ac:dyDescent="0.35">
      <c r="A31" s="1">
        <v>-3.5</v>
      </c>
      <c r="B31" s="3">
        <f>(0.5)*$B$5*B$10*B$10*'S7055 Lift and Drag Function'!$B32*'Lift @ Cruising Speed vs. AoA'!$B$4</f>
        <v>2.5724999999999998E-2</v>
      </c>
      <c r="C31" s="3">
        <f>(0.5)*$B$5*C$10*C$10*'S7055 Lift and Drag Function'!$B32*'Lift @ Cruising Speed vs. AoA'!$B$4</f>
        <v>0.10289999999999999</v>
      </c>
      <c r="D31" s="3">
        <f>(0.5)*$B$5*D$10*D$10*'S7055 Lift and Drag Function'!$B32*'Lift @ Cruising Speed vs. AoA'!$B$4</f>
        <v>0.16078125000000001</v>
      </c>
      <c r="E31" s="3">
        <f>(0.5)*$B$5*E$10*E$10*'S7055 Lift and Drag Function'!$B32*'Lift @ Cruising Speed vs. AoA'!$B$4</f>
        <v>0.23152499999999998</v>
      </c>
      <c r="F31" s="3">
        <f>(0.5)*$B$5*F$10*F$10*'S7055 Lift and Drag Function'!$B32*'Lift @ Cruising Speed vs. AoA'!$B$4</f>
        <v>0.31513125000000003</v>
      </c>
      <c r="G31" s="3">
        <f>(0.5)*$B$5*G$10*G$10*'S7055 Lift and Drag Function'!$B32*'Lift @ Cruising Speed vs. AoA'!$B$4</f>
        <v>0.41159999999999997</v>
      </c>
      <c r="H31" s="3">
        <f>(0.5)*$B$5*H$10*H$10*'S7055 Lift and Drag Function'!$B32*'Lift @ Cruising Speed vs. AoA'!$B$4</f>
        <v>0.64312500000000006</v>
      </c>
      <c r="I31" s="3">
        <f>(0.5)*$B$5*I$10*I$10*'S7055 Lift and Drag Function'!$B32*'Lift @ Cruising Speed vs. AoA'!$B$4</f>
        <v>0.92609999999999992</v>
      </c>
    </row>
    <row r="32" spans="1:9" x14ac:dyDescent="0.35">
      <c r="A32" s="1">
        <v>-3.25</v>
      </c>
      <c r="B32" s="3">
        <f>(0.5)*$B$5*B$10*B$10*'S7055 Lift and Drag Function'!$B33*'Lift @ Cruising Speed vs. AoA'!$B$4</f>
        <v>9.5549999999999996E-2</v>
      </c>
      <c r="C32" s="3">
        <f>(0.5)*$B$5*C$10*C$10*'S7055 Lift and Drag Function'!$B33*'Lift @ Cruising Speed vs. AoA'!$B$4</f>
        <v>0.38219999999999998</v>
      </c>
      <c r="D32" s="3">
        <f>(0.5)*$B$5*D$10*D$10*'S7055 Lift and Drag Function'!$B33*'Lift @ Cruising Speed vs. AoA'!$B$4</f>
        <v>0.59718750000000009</v>
      </c>
      <c r="E32" s="3">
        <f>(0.5)*$B$5*E$10*E$10*'S7055 Lift and Drag Function'!$B33*'Lift @ Cruising Speed vs. AoA'!$B$4</f>
        <v>0.85994999999999999</v>
      </c>
      <c r="F32" s="3">
        <f>(0.5)*$B$5*F$10*F$10*'S7055 Lift and Drag Function'!$B33*'Lift @ Cruising Speed vs. AoA'!$B$4</f>
        <v>1.1704874999999999</v>
      </c>
      <c r="G32" s="3">
        <f>(0.5)*$B$5*G$10*G$10*'S7055 Lift and Drag Function'!$B33*'Lift @ Cruising Speed vs. AoA'!$B$4</f>
        <v>1.5287999999999999</v>
      </c>
      <c r="H32" s="3">
        <f>(0.5)*$B$5*H$10*H$10*'S7055 Lift and Drag Function'!$B33*'Lift @ Cruising Speed vs. AoA'!$B$4</f>
        <v>2.3887500000000004</v>
      </c>
      <c r="I32" s="3">
        <f>(0.5)*$B$5*I$10*I$10*'S7055 Lift and Drag Function'!$B33*'Lift @ Cruising Speed vs. AoA'!$B$4</f>
        <v>3.4398</v>
      </c>
    </row>
    <row r="33" spans="1:9" x14ac:dyDescent="0.35">
      <c r="A33" s="1">
        <v>-3</v>
      </c>
      <c r="B33" s="3">
        <f>(0.5)*$B$5*B$10*B$10*'S7055 Lift and Drag Function'!$B34*'Lift @ Cruising Speed vs. AoA'!$B$4</f>
        <v>0.17823750000000002</v>
      </c>
      <c r="C33" s="3">
        <f>(0.5)*$B$5*C$10*C$10*'S7055 Lift and Drag Function'!$B34*'Lift @ Cruising Speed vs. AoA'!$B$4</f>
        <v>0.71295000000000008</v>
      </c>
      <c r="D33" s="3">
        <f>(0.5)*$B$5*D$10*D$10*'S7055 Lift and Drag Function'!$B34*'Lift @ Cruising Speed vs. AoA'!$B$4</f>
        <v>1.1139843750000002</v>
      </c>
      <c r="E33" s="3">
        <f>(0.5)*$B$5*E$10*E$10*'S7055 Lift and Drag Function'!$B34*'Lift @ Cruising Speed vs. AoA'!$B$4</f>
        <v>1.6041375000000002</v>
      </c>
      <c r="F33" s="3">
        <f>(0.5)*$B$5*F$10*F$10*'S7055 Lift and Drag Function'!$B34*'Lift @ Cruising Speed vs. AoA'!$B$4</f>
        <v>2.1834093750000001</v>
      </c>
      <c r="G33" s="3">
        <f>(0.5)*$B$5*G$10*G$10*'S7055 Lift and Drag Function'!$B34*'Lift @ Cruising Speed vs. AoA'!$B$4</f>
        <v>2.8518000000000003</v>
      </c>
      <c r="H33" s="3">
        <f>(0.5)*$B$5*H$10*H$10*'S7055 Lift and Drag Function'!$B34*'Lift @ Cruising Speed vs. AoA'!$B$4</f>
        <v>4.455937500000001</v>
      </c>
      <c r="I33" s="3">
        <f>(0.5)*$B$5*I$10*I$10*'S7055 Lift and Drag Function'!$B34*'Lift @ Cruising Speed vs. AoA'!$B$4</f>
        <v>6.4165500000000009</v>
      </c>
    </row>
    <row r="34" spans="1:9" x14ac:dyDescent="0.35">
      <c r="A34" s="1">
        <v>-2.75</v>
      </c>
      <c r="B34" s="3">
        <f>(0.5)*$B$5*B$10*B$10*'S7055 Lift and Drag Function'!$B35*'Lift @ Cruising Speed vs. AoA'!$B$4</f>
        <v>0.24898124999999999</v>
      </c>
      <c r="C34" s="3">
        <f>(0.5)*$B$5*C$10*C$10*'S7055 Lift and Drag Function'!$B35*'Lift @ Cruising Speed vs. AoA'!$B$4</f>
        <v>0.99592499999999995</v>
      </c>
      <c r="D34" s="3">
        <f>(0.5)*$B$5*D$10*D$10*'S7055 Lift and Drag Function'!$B35*'Lift @ Cruising Speed vs. AoA'!$B$4</f>
        <v>1.5561328125000002</v>
      </c>
      <c r="E34" s="3">
        <f>(0.5)*$B$5*E$10*E$10*'S7055 Lift and Drag Function'!$B35*'Lift @ Cruising Speed vs. AoA'!$B$4</f>
        <v>2.2408312500000003</v>
      </c>
      <c r="F34" s="3">
        <f>(0.5)*$B$5*F$10*F$10*'S7055 Lift and Drag Function'!$B35*'Lift @ Cruising Speed vs. AoA'!$B$4</f>
        <v>3.0500203125000001</v>
      </c>
      <c r="G34" s="3">
        <f>(0.5)*$B$5*G$10*G$10*'S7055 Lift and Drag Function'!$B35*'Lift @ Cruising Speed vs. AoA'!$B$4</f>
        <v>3.9836999999999998</v>
      </c>
      <c r="H34" s="3">
        <f>(0.5)*$B$5*H$10*H$10*'S7055 Lift and Drag Function'!$B35*'Lift @ Cruising Speed vs. AoA'!$B$4</f>
        <v>6.224531250000001</v>
      </c>
      <c r="I34" s="3">
        <f>(0.5)*$B$5*I$10*I$10*'S7055 Lift and Drag Function'!$B35*'Lift @ Cruising Speed vs. AoA'!$B$4</f>
        <v>8.9633250000000011</v>
      </c>
    </row>
    <row r="35" spans="1:9" x14ac:dyDescent="0.35">
      <c r="A35" s="1">
        <v>-2.5</v>
      </c>
      <c r="B35" s="3">
        <f>(0.5)*$B$5*B$10*B$10*'S7055 Lift and Drag Function'!$B36*'Lift @ Cruising Speed vs. AoA'!$B$4</f>
        <v>0.327075</v>
      </c>
      <c r="C35" s="3">
        <f>(0.5)*$B$5*C$10*C$10*'S7055 Lift and Drag Function'!$B36*'Lift @ Cruising Speed vs. AoA'!$B$4</f>
        <v>1.3083</v>
      </c>
      <c r="D35" s="3">
        <f>(0.5)*$B$5*D$10*D$10*'S7055 Lift and Drag Function'!$B36*'Lift @ Cruising Speed vs. AoA'!$B$4</f>
        <v>2.0442187500000002</v>
      </c>
      <c r="E35" s="3">
        <f>(0.5)*$B$5*E$10*E$10*'S7055 Lift and Drag Function'!$B36*'Lift @ Cruising Speed vs. AoA'!$B$4</f>
        <v>2.9436750000000003</v>
      </c>
      <c r="F35" s="3">
        <f>(0.5)*$B$5*F$10*F$10*'S7055 Lift and Drag Function'!$B36*'Lift @ Cruising Speed vs. AoA'!$B$4</f>
        <v>4.0066687500000002</v>
      </c>
      <c r="G35" s="3">
        <f>(0.5)*$B$5*G$10*G$10*'S7055 Lift and Drag Function'!$B36*'Lift @ Cruising Speed vs. AoA'!$B$4</f>
        <v>5.2332000000000001</v>
      </c>
      <c r="H35" s="3">
        <f>(0.5)*$B$5*H$10*H$10*'S7055 Lift and Drag Function'!$B36*'Lift @ Cruising Speed vs. AoA'!$B$4</f>
        <v>8.1768750000000008</v>
      </c>
      <c r="I35" s="3">
        <f>(0.5)*$B$5*I$10*I$10*'S7055 Lift and Drag Function'!$B36*'Lift @ Cruising Speed vs. AoA'!$B$4</f>
        <v>11.774700000000001</v>
      </c>
    </row>
    <row r="36" spans="1:9" x14ac:dyDescent="0.35">
      <c r="A36" s="1">
        <v>-2.25</v>
      </c>
      <c r="B36" s="3">
        <f>(0.5)*$B$5*B$10*B$10*'S7055 Lift and Drag Function'!$B37*'Lift @ Cruising Speed vs. AoA'!$B$4</f>
        <v>0.39781875</v>
      </c>
      <c r="C36" s="3">
        <f>(0.5)*$B$5*C$10*C$10*'S7055 Lift and Drag Function'!$B37*'Lift @ Cruising Speed vs. AoA'!$B$4</f>
        <v>1.591275</v>
      </c>
      <c r="D36" s="3">
        <f>(0.5)*$B$5*D$10*D$10*'S7055 Lift and Drag Function'!$B37*'Lift @ Cruising Speed vs. AoA'!$B$4</f>
        <v>2.4863671875000004</v>
      </c>
      <c r="E36" s="3">
        <f>(0.5)*$B$5*E$10*E$10*'S7055 Lift and Drag Function'!$B37*'Lift @ Cruising Speed vs. AoA'!$B$4</f>
        <v>3.5803687499999999</v>
      </c>
      <c r="F36" s="3">
        <f>(0.5)*$B$5*F$10*F$10*'S7055 Lift and Drag Function'!$B37*'Lift @ Cruising Speed vs. AoA'!$B$4</f>
        <v>4.8732796875000002</v>
      </c>
      <c r="G36" s="3">
        <f>(0.5)*$B$5*G$10*G$10*'S7055 Lift and Drag Function'!$B37*'Lift @ Cruising Speed vs. AoA'!$B$4</f>
        <v>6.3651</v>
      </c>
      <c r="H36" s="3">
        <f>(0.5)*$B$5*H$10*H$10*'S7055 Lift and Drag Function'!$B37*'Lift @ Cruising Speed vs. AoA'!$B$4</f>
        <v>9.9454687500000016</v>
      </c>
      <c r="I36" s="3">
        <f>(0.5)*$B$5*I$10*I$10*'S7055 Lift and Drag Function'!$B37*'Lift @ Cruising Speed vs. AoA'!$B$4</f>
        <v>14.321475</v>
      </c>
    </row>
    <row r="37" spans="1:9" x14ac:dyDescent="0.35">
      <c r="A37" s="1">
        <v>-2</v>
      </c>
      <c r="B37" s="3">
        <f>(0.5)*$B$5*B$10*B$10*'S7055 Lift and Drag Function'!$B38*'Lift @ Cruising Speed vs. AoA'!$B$4</f>
        <v>0.46917500000000001</v>
      </c>
      <c r="C37" s="3">
        <f>(0.5)*$B$5*C$10*C$10*'S7055 Lift and Drag Function'!$B38*'Lift @ Cruising Speed vs. AoA'!$B$4</f>
        <v>1.8767</v>
      </c>
      <c r="D37" s="3">
        <f>(0.5)*$B$5*D$10*D$10*'S7055 Lift and Drag Function'!$B38*'Lift @ Cruising Speed vs. AoA'!$B$4</f>
        <v>2.9323437500000007</v>
      </c>
      <c r="E37" s="3">
        <f>(0.5)*$B$5*E$10*E$10*'S7055 Lift and Drag Function'!$B38*'Lift @ Cruising Speed vs. AoA'!$B$4</f>
        <v>4.222575</v>
      </c>
      <c r="F37" s="3">
        <f>(0.5)*$B$5*F$10*F$10*'S7055 Lift and Drag Function'!$B38*'Lift @ Cruising Speed vs. AoA'!$B$4</f>
        <v>5.7473937500000005</v>
      </c>
      <c r="G37" s="3">
        <f>(0.5)*$B$5*G$10*G$10*'S7055 Lift and Drag Function'!$B38*'Lift @ Cruising Speed vs. AoA'!$B$4</f>
        <v>7.5068000000000001</v>
      </c>
      <c r="H37" s="3">
        <f>(0.5)*$B$5*H$10*H$10*'S7055 Lift and Drag Function'!$B38*'Lift @ Cruising Speed vs. AoA'!$B$4</f>
        <v>11.729375000000003</v>
      </c>
      <c r="I37" s="3">
        <f>(0.5)*$B$5*I$10*I$10*'S7055 Lift and Drag Function'!$B38*'Lift @ Cruising Speed vs. AoA'!$B$4</f>
        <v>16.8903</v>
      </c>
    </row>
    <row r="38" spans="1:9" x14ac:dyDescent="0.35">
      <c r="A38" s="1">
        <v>-1.75</v>
      </c>
      <c r="B38" s="3">
        <f>(0.5)*$B$5*B$10*B$10*'S7055 Lift and Drag Function'!$B39*'Lift @ Cruising Speed vs. AoA'!$B$4</f>
        <v>0.51480625000000002</v>
      </c>
      <c r="C38" s="3">
        <f>(0.5)*$B$5*C$10*C$10*'S7055 Lift and Drag Function'!$B39*'Lift @ Cruising Speed vs. AoA'!$B$4</f>
        <v>2.0592250000000001</v>
      </c>
      <c r="D38" s="3">
        <f>(0.5)*$B$5*D$10*D$10*'S7055 Lift and Drag Function'!$B39*'Lift @ Cruising Speed vs. AoA'!$B$4</f>
        <v>3.2175390625000007</v>
      </c>
      <c r="E38" s="3">
        <f>(0.5)*$B$5*E$10*E$10*'S7055 Lift and Drag Function'!$B39*'Lift @ Cruising Speed vs. AoA'!$B$4</f>
        <v>4.6332562500000005</v>
      </c>
      <c r="F38" s="3">
        <f>(0.5)*$B$5*F$10*F$10*'S7055 Lift and Drag Function'!$B39*'Lift @ Cruising Speed vs. AoA'!$B$4</f>
        <v>6.3063765625000006</v>
      </c>
      <c r="G38" s="3">
        <f>(0.5)*$B$5*G$10*G$10*'S7055 Lift and Drag Function'!$B39*'Lift @ Cruising Speed vs. AoA'!$B$4</f>
        <v>8.2369000000000003</v>
      </c>
      <c r="H38" s="3">
        <f>(0.5)*$B$5*H$10*H$10*'S7055 Lift and Drag Function'!$B39*'Lift @ Cruising Speed vs. AoA'!$B$4</f>
        <v>12.870156250000003</v>
      </c>
      <c r="I38" s="3">
        <f>(0.5)*$B$5*I$10*I$10*'S7055 Lift and Drag Function'!$B39*'Lift @ Cruising Speed vs. AoA'!$B$4</f>
        <v>18.533025000000002</v>
      </c>
    </row>
    <row r="39" spans="1:9" x14ac:dyDescent="0.35">
      <c r="A39" s="1">
        <v>-1.5</v>
      </c>
      <c r="B39" s="3">
        <f>(0.5)*$B$5*B$10*B$10*'S7055 Lift and Drag Function'!$B40*'Lift @ Cruising Speed vs. AoA'!$B$4</f>
        <v>0.55890625000000005</v>
      </c>
      <c r="C39" s="3">
        <f>(0.5)*$B$5*C$10*C$10*'S7055 Lift and Drag Function'!$B40*'Lift @ Cruising Speed vs. AoA'!$B$4</f>
        <v>2.2356250000000002</v>
      </c>
      <c r="D39" s="3">
        <f>(0.5)*$B$5*D$10*D$10*'S7055 Lift and Drag Function'!$B40*'Lift @ Cruising Speed vs. AoA'!$B$4</f>
        <v>3.4931640625000009</v>
      </c>
      <c r="E39" s="3">
        <f>(0.5)*$B$5*E$10*E$10*'S7055 Lift and Drag Function'!$B40*'Lift @ Cruising Speed vs. AoA'!$B$4</f>
        <v>5.0301562500000001</v>
      </c>
      <c r="F39" s="3">
        <f>(0.5)*$B$5*F$10*F$10*'S7055 Lift and Drag Function'!$B40*'Lift @ Cruising Speed vs. AoA'!$B$4</f>
        <v>6.8466015625000001</v>
      </c>
      <c r="G39" s="3">
        <f>(0.5)*$B$5*G$10*G$10*'S7055 Lift and Drag Function'!$B40*'Lift @ Cruising Speed vs. AoA'!$B$4</f>
        <v>8.9425000000000008</v>
      </c>
      <c r="H39" s="3">
        <f>(0.5)*$B$5*H$10*H$10*'S7055 Lift and Drag Function'!$B40*'Lift @ Cruising Speed vs. AoA'!$B$4</f>
        <v>13.972656250000004</v>
      </c>
      <c r="I39" s="3">
        <f>(0.5)*$B$5*I$10*I$10*'S7055 Lift and Drag Function'!$B40*'Lift @ Cruising Speed vs. AoA'!$B$4</f>
        <v>20.120625</v>
      </c>
    </row>
    <row r="40" spans="1:9" x14ac:dyDescent="0.35">
      <c r="A40" s="1">
        <v>-1.25</v>
      </c>
      <c r="B40" s="3">
        <f>(0.5)*$B$5*B$10*B$10*'S7055 Lift and Drag Function'!$B41*'Lift @ Cruising Speed vs. AoA'!$B$4</f>
        <v>0.81830000000000003</v>
      </c>
      <c r="C40" s="3">
        <f>(0.5)*$B$5*C$10*C$10*'S7055 Lift and Drag Function'!$B41*'Lift @ Cruising Speed vs. AoA'!$B$4</f>
        <v>3.2732000000000001</v>
      </c>
      <c r="D40" s="3">
        <f>(0.5)*$B$5*D$10*D$10*'S7055 Lift and Drag Function'!$B41*'Lift @ Cruising Speed vs. AoA'!$B$4</f>
        <v>5.1143750000000008</v>
      </c>
      <c r="E40" s="3">
        <f>(0.5)*$B$5*E$10*E$10*'S7055 Lift and Drag Function'!$B41*'Lift @ Cruising Speed vs. AoA'!$B$4</f>
        <v>7.3646999999999991</v>
      </c>
      <c r="F40" s="3">
        <f>(0.5)*$B$5*F$10*F$10*'S7055 Lift and Drag Function'!$B41*'Lift @ Cruising Speed vs. AoA'!$B$4</f>
        <v>10.024175</v>
      </c>
      <c r="G40" s="3">
        <f>(0.5)*$B$5*G$10*G$10*'S7055 Lift and Drag Function'!$B41*'Lift @ Cruising Speed vs. AoA'!$B$4</f>
        <v>13.0928</v>
      </c>
      <c r="H40" s="3">
        <f>(0.5)*$B$5*H$10*H$10*'S7055 Lift and Drag Function'!$B41*'Lift @ Cruising Speed vs. AoA'!$B$4</f>
        <v>20.457500000000003</v>
      </c>
      <c r="I40" s="3">
        <f>(0.5)*$B$5*I$10*I$10*'S7055 Lift and Drag Function'!$B41*'Lift @ Cruising Speed vs. AoA'!$B$4</f>
        <v>29.458799999999997</v>
      </c>
    </row>
    <row r="41" spans="1:9" x14ac:dyDescent="0.35">
      <c r="A41" s="1">
        <v>-1</v>
      </c>
      <c r="B41" s="3">
        <f>(0.5)*$B$5*B$10*B$10*'S7055 Lift and Drag Function'!$B42*'Lift @ Cruising Speed vs. AoA'!$B$4</f>
        <v>1.0458437500000002</v>
      </c>
      <c r="C41" s="3">
        <f>(0.5)*$B$5*C$10*C$10*'S7055 Lift and Drag Function'!$B42*'Lift @ Cruising Speed vs. AoA'!$B$4</f>
        <v>4.1833750000000007</v>
      </c>
      <c r="D41" s="3">
        <f>(0.5)*$B$5*D$10*D$10*'S7055 Lift and Drag Function'!$B42*'Lift @ Cruising Speed vs. AoA'!$B$4</f>
        <v>6.5365234375000014</v>
      </c>
      <c r="E41" s="3">
        <f>(0.5)*$B$5*E$10*E$10*'S7055 Lift and Drag Function'!$B42*'Lift @ Cruising Speed vs. AoA'!$B$4</f>
        <v>9.412593750000001</v>
      </c>
      <c r="F41" s="3">
        <f>(0.5)*$B$5*F$10*F$10*'S7055 Lift and Drag Function'!$B42*'Lift @ Cruising Speed vs. AoA'!$B$4</f>
        <v>12.811585937500002</v>
      </c>
      <c r="G41" s="3">
        <f>(0.5)*$B$5*G$10*G$10*'S7055 Lift and Drag Function'!$B42*'Lift @ Cruising Speed vs. AoA'!$B$4</f>
        <v>16.733500000000003</v>
      </c>
      <c r="H41" s="3">
        <f>(0.5)*$B$5*H$10*H$10*'S7055 Lift and Drag Function'!$B42*'Lift @ Cruising Speed vs. AoA'!$B$4</f>
        <v>26.146093750000006</v>
      </c>
      <c r="I41" s="3">
        <f>(0.5)*$B$5*I$10*I$10*'S7055 Lift and Drag Function'!$B42*'Lift @ Cruising Speed vs. AoA'!$B$4</f>
        <v>37.650375000000004</v>
      </c>
    </row>
    <row r="42" spans="1:9" x14ac:dyDescent="0.35">
      <c r="A42" s="1">
        <v>-0.75</v>
      </c>
      <c r="B42" s="3">
        <f>(0.5)*$B$5*B$10*B$10*'S7055 Lift and Drag Function'!$B43*'Lift @ Cruising Speed vs. AoA'!$B$4</f>
        <v>1.1107687500000001</v>
      </c>
      <c r="C42" s="3">
        <f>(0.5)*$B$5*C$10*C$10*'S7055 Lift and Drag Function'!$B43*'Lift @ Cruising Speed vs. AoA'!$B$4</f>
        <v>4.4430750000000003</v>
      </c>
      <c r="D42" s="3">
        <f>(0.5)*$B$5*D$10*D$10*'S7055 Lift and Drag Function'!$B43*'Lift @ Cruising Speed vs. AoA'!$B$4</f>
        <v>6.9423046875000018</v>
      </c>
      <c r="E42" s="3">
        <f>(0.5)*$B$5*E$10*E$10*'S7055 Lift and Drag Function'!$B43*'Lift @ Cruising Speed vs. AoA'!$B$4</f>
        <v>9.9969187500000007</v>
      </c>
      <c r="F42" s="3">
        <f>(0.5)*$B$5*F$10*F$10*'S7055 Lift and Drag Function'!$B43*'Lift @ Cruising Speed vs. AoA'!$B$4</f>
        <v>13.606917187500001</v>
      </c>
      <c r="G42" s="3">
        <f>(0.5)*$B$5*G$10*G$10*'S7055 Lift and Drag Function'!$B43*'Lift @ Cruising Speed vs. AoA'!$B$4</f>
        <v>17.772300000000001</v>
      </c>
      <c r="H42" s="3">
        <f>(0.5)*$B$5*H$10*H$10*'S7055 Lift and Drag Function'!$B43*'Lift @ Cruising Speed vs. AoA'!$B$4</f>
        <v>27.769218750000007</v>
      </c>
      <c r="I42" s="3">
        <f>(0.5)*$B$5*I$10*I$10*'S7055 Lift and Drag Function'!$B43*'Lift @ Cruising Speed vs. AoA'!$B$4</f>
        <v>39.987675000000003</v>
      </c>
    </row>
    <row r="43" spans="1:9" x14ac:dyDescent="0.35">
      <c r="A43" s="1">
        <v>-0.5</v>
      </c>
      <c r="B43" s="3">
        <f>(0.5)*$B$5*B$10*B$10*'S7055 Lift and Drag Function'!$B44*'Lift @ Cruising Speed vs. AoA'!$B$4</f>
        <v>1.1787562499999999</v>
      </c>
      <c r="C43" s="3">
        <f>(0.5)*$B$5*C$10*C$10*'S7055 Lift and Drag Function'!$B44*'Lift @ Cruising Speed vs. AoA'!$B$4</f>
        <v>4.7150249999999998</v>
      </c>
      <c r="D43" s="3">
        <f>(0.5)*$B$5*D$10*D$10*'S7055 Lift and Drag Function'!$B44*'Lift @ Cruising Speed vs. AoA'!$B$4</f>
        <v>7.3672265625000009</v>
      </c>
      <c r="E43" s="3">
        <f>(0.5)*$B$5*E$10*E$10*'S7055 Lift and Drag Function'!$B44*'Lift @ Cruising Speed vs. AoA'!$B$4</f>
        <v>10.608806250000001</v>
      </c>
      <c r="F43" s="3">
        <f>(0.5)*$B$5*F$10*F$10*'S7055 Lift and Drag Function'!$B44*'Lift @ Cruising Speed vs. AoA'!$B$4</f>
        <v>14.439764062500002</v>
      </c>
      <c r="G43" s="3">
        <f>(0.5)*$B$5*G$10*G$10*'S7055 Lift and Drag Function'!$B44*'Lift @ Cruising Speed vs. AoA'!$B$4</f>
        <v>18.860099999999999</v>
      </c>
      <c r="H43" s="3">
        <f>(0.5)*$B$5*H$10*H$10*'S7055 Lift and Drag Function'!$B44*'Lift @ Cruising Speed vs. AoA'!$B$4</f>
        <v>29.468906250000003</v>
      </c>
      <c r="I43" s="3">
        <f>(0.5)*$B$5*I$10*I$10*'S7055 Lift and Drag Function'!$B44*'Lift @ Cruising Speed vs. AoA'!$B$4</f>
        <v>42.435225000000003</v>
      </c>
    </row>
    <row r="44" spans="1:9" x14ac:dyDescent="0.35">
      <c r="A44" s="1">
        <v>-0.25</v>
      </c>
      <c r="B44" s="3">
        <f>(0.5)*$B$5*B$10*B$10*'S7055 Lift and Drag Function'!$B45*'Lift @ Cruising Speed vs. AoA'!$B$4</f>
        <v>1.2498062500000002</v>
      </c>
      <c r="C44" s="3">
        <f>(0.5)*$B$5*C$10*C$10*'S7055 Lift and Drag Function'!$B45*'Lift @ Cruising Speed vs. AoA'!$B$4</f>
        <v>4.9992250000000009</v>
      </c>
      <c r="D44" s="3">
        <f>(0.5)*$B$5*D$10*D$10*'S7055 Lift and Drag Function'!$B45*'Lift @ Cruising Speed vs. AoA'!$B$4</f>
        <v>7.811289062500002</v>
      </c>
      <c r="E44" s="3">
        <f>(0.5)*$B$5*E$10*E$10*'S7055 Lift and Drag Function'!$B45*'Lift @ Cruising Speed vs. AoA'!$B$4</f>
        <v>11.248256250000001</v>
      </c>
      <c r="F44" s="3">
        <f>(0.5)*$B$5*F$10*F$10*'S7055 Lift and Drag Function'!$B45*'Lift @ Cruising Speed vs. AoA'!$B$4</f>
        <v>15.310126562500001</v>
      </c>
      <c r="G44" s="3">
        <f>(0.5)*$B$5*G$10*G$10*'S7055 Lift and Drag Function'!$B45*'Lift @ Cruising Speed vs. AoA'!$B$4</f>
        <v>19.996900000000004</v>
      </c>
      <c r="H44" s="3">
        <f>(0.5)*$B$5*H$10*H$10*'S7055 Lift and Drag Function'!$B45*'Lift @ Cruising Speed vs. AoA'!$B$4</f>
        <v>31.245156250000008</v>
      </c>
      <c r="I44" s="3">
        <f>(0.5)*$B$5*I$10*I$10*'S7055 Lift and Drag Function'!$B45*'Lift @ Cruising Speed vs. AoA'!$B$4</f>
        <v>44.993025000000003</v>
      </c>
    </row>
    <row r="45" spans="1:9" x14ac:dyDescent="0.35">
      <c r="A45" s="1">
        <v>0</v>
      </c>
      <c r="B45" s="3">
        <f>(0.5)*$B$5*B$10*B$10*'S7055 Lift and Drag Function'!$B46*'Lift @ Cruising Speed vs. AoA'!$B$4</f>
        <v>1.3181000000000003</v>
      </c>
      <c r="C45" s="3">
        <f>(0.5)*$B$5*C$10*C$10*'S7055 Lift and Drag Function'!$B46*'Lift @ Cruising Speed vs. AoA'!$B$4</f>
        <v>5.2724000000000011</v>
      </c>
      <c r="D45" s="3">
        <f>(0.5)*$B$5*D$10*D$10*'S7055 Lift and Drag Function'!$B46*'Lift @ Cruising Speed vs. AoA'!$B$4</f>
        <v>8.2381250000000019</v>
      </c>
      <c r="E45" s="3">
        <f>(0.5)*$B$5*E$10*E$10*'S7055 Lift and Drag Function'!$B46*'Lift @ Cruising Speed vs. AoA'!$B$4</f>
        <v>11.862900000000002</v>
      </c>
      <c r="F45" s="3">
        <f>(0.5)*$B$5*F$10*F$10*'S7055 Lift and Drag Function'!$B46*'Lift @ Cruising Speed vs. AoA'!$B$4</f>
        <v>16.146725</v>
      </c>
      <c r="G45" s="3">
        <f>(0.5)*$B$5*G$10*G$10*'S7055 Lift and Drag Function'!$B46*'Lift @ Cruising Speed vs. AoA'!$B$4</f>
        <v>21.089600000000004</v>
      </c>
      <c r="H45" s="3">
        <f>(0.5)*$B$5*H$10*H$10*'S7055 Lift and Drag Function'!$B46*'Lift @ Cruising Speed vs. AoA'!$B$4</f>
        <v>32.952500000000008</v>
      </c>
      <c r="I45" s="3">
        <f>(0.5)*$B$5*I$10*I$10*'S7055 Lift and Drag Function'!$B46*'Lift @ Cruising Speed vs. AoA'!$B$4</f>
        <v>47.451600000000006</v>
      </c>
    </row>
    <row r="46" spans="1:9" x14ac:dyDescent="0.35">
      <c r="A46" s="1">
        <v>0.25</v>
      </c>
      <c r="B46" s="3">
        <f>(0.5)*$B$5*B$10*B$10*'S7055 Lift and Drag Function'!$B47*'Lift @ Cruising Speed vs. AoA'!$B$4</f>
        <v>1.3894562500000001</v>
      </c>
      <c r="C46" s="3">
        <f>(0.5)*$B$5*C$10*C$10*'S7055 Lift and Drag Function'!$B47*'Lift @ Cruising Speed vs. AoA'!$B$4</f>
        <v>5.5578250000000002</v>
      </c>
      <c r="D46" s="3">
        <f>(0.5)*$B$5*D$10*D$10*'S7055 Lift and Drag Function'!$B47*'Lift @ Cruising Speed vs. AoA'!$B$4</f>
        <v>8.6841015625000022</v>
      </c>
      <c r="E46" s="3">
        <f>(0.5)*$B$5*E$10*E$10*'S7055 Lift and Drag Function'!$B47*'Lift @ Cruising Speed vs. AoA'!$B$4</f>
        <v>12.505106250000001</v>
      </c>
      <c r="F46" s="3">
        <f>(0.5)*$B$5*F$10*F$10*'S7055 Lift and Drag Function'!$B47*'Lift @ Cruising Speed vs. AoA'!$B$4</f>
        <v>17.020839062499999</v>
      </c>
      <c r="G46" s="3">
        <f>(0.5)*$B$5*G$10*G$10*'S7055 Lift and Drag Function'!$B47*'Lift @ Cruising Speed vs. AoA'!$B$4</f>
        <v>22.231300000000001</v>
      </c>
      <c r="H46" s="3">
        <f>(0.5)*$B$5*H$10*H$10*'S7055 Lift and Drag Function'!$B47*'Lift @ Cruising Speed vs. AoA'!$B$4</f>
        <v>34.736406250000009</v>
      </c>
      <c r="I46" s="3">
        <f>(0.5)*$B$5*I$10*I$10*'S7055 Lift and Drag Function'!$B47*'Lift @ Cruising Speed vs. AoA'!$B$4</f>
        <v>50.020425000000003</v>
      </c>
    </row>
    <row r="47" spans="1:9" x14ac:dyDescent="0.35">
      <c r="A47" s="1">
        <v>0.5</v>
      </c>
      <c r="B47" s="3">
        <f>(0.5)*$B$5*B$10*B$10*'S7055 Lift and Drag Function'!$B48*'Lift @ Cruising Speed vs. AoA'!$B$4</f>
        <v>1.4632625000000001</v>
      </c>
      <c r="C47" s="3">
        <f>(0.5)*$B$5*C$10*C$10*'S7055 Lift and Drag Function'!$B48*'Lift @ Cruising Speed vs. AoA'!$B$4</f>
        <v>5.8530500000000005</v>
      </c>
      <c r="D47" s="3">
        <f>(0.5)*$B$5*D$10*D$10*'S7055 Lift and Drag Function'!$B48*'Lift @ Cruising Speed vs. AoA'!$B$4</f>
        <v>9.1453906250000028</v>
      </c>
      <c r="E47" s="3">
        <f>(0.5)*$B$5*E$10*E$10*'S7055 Lift and Drag Function'!$B48*'Lift @ Cruising Speed vs. AoA'!$B$4</f>
        <v>13.1693625</v>
      </c>
      <c r="F47" s="3">
        <f>(0.5)*$B$5*F$10*F$10*'S7055 Lift and Drag Function'!$B48*'Lift @ Cruising Speed vs. AoA'!$B$4</f>
        <v>17.924965624999999</v>
      </c>
      <c r="G47" s="3">
        <f>(0.5)*$B$5*G$10*G$10*'S7055 Lift and Drag Function'!$B48*'Lift @ Cruising Speed vs. AoA'!$B$4</f>
        <v>23.412200000000002</v>
      </c>
      <c r="H47" s="3">
        <f>(0.5)*$B$5*H$10*H$10*'S7055 Lift and Drag Function'!$B48*'Lift @ Cruising Speed vs. AoA'!$B$4</f>
        <v>36.581562500000011</v>
      </c>
      <c r="I47" s="3">
        <f>(0.5)*$B$5*I$10*I$10*'S7055 Lift and Drag Function'!$B48*'Lift @ Cruising Speed vs. AoA'!$B$4</f>
        <v>52.67745</v>
      </c>
    </row>
    <row r="48" spans="1:9" x14ac:dyDescent="0.35">
      <c r="A48" s="1">
        <v>0.75</v>
      </c>
      <c r="B48" s="3">
        <f>(0.5)*$B$5*B$10*B$10*'S7055 Lift and Drag Function'!$B49*'Lift @ Cruising Speed vs. AoA'!$B$4</f>
        <v>1.5343125000000002</v>
      </c>
      <c r="C48" s="3">
        <f>(0.5)*$B$5*C$10*C$10*'S7055 Lift and Drag Function'!$B49*'Lift @ Cruising Speed vs. AoA'!$B$4</f>
        <v>6.1372500000000008</v>
      </c>
      <c r="D48" s="3">
        <f>(0.5)*$B$5*D$10*D$10*'S7055 Lift and Drag Function'!$B49*'Lift @ Cruising Speed vs. AoA'!$B$4</f>
        <v>9.5894531250000021</v>
      </c>
      <c r="E48" s="3">
        <f>(0.5)*$B$5*E$10*E$10*'S7055 Lift and Drag Function'!$B49*'Lift @ Cruising Speed vs. AoA'!$B$4</f>
        <v>13.8088125</v>
      </c>
      <c r="F48" s="3">
        <f>(0.5)*$B$5*F$10*F$10*'S7055 Lift and Drag Function'!$B49*'Lift @ Cruising Speed vs. AoA'!$B$4</f>
        <v>18.795328125000001</v>
      </c>
      <c r="G48" s="3">
        <f>(0.5)*$B$5*G$10*G$10*'S7055 Lift and Drag Function'!$B49*'Lift @ Cruising Speed vs. AoA'!$B$4</f>
        <v>24.549000000000003</v>
      </c>
      <c r="H48" s="3">
        <f>(0.5)*$B$5*H$10*H$10*'S7055 Lift and Drag Function'!$B49*'Lift @ Cruising Speed vs. AoA'!$B$4</f>
        <v>38.357812500000009</v>
      </c>
      <c r="I48" s="3">
        <f>(0.5)*$B$5*I$10*I$10*'S7055 Lift and Drag Function'!$B49*'Lift @ Cruising Speed vs. AoA'!$B$4</f>
        <v>55.235250000000001</v>
      </c>
    </row>
    <row r="49" spans="1:9" x14ac:dyDescent="0.35">
      <c r="A49" s="1">
        <v>1</v>
      </c>
      <c r="B49" s="3">
        <f>(0.5)*$B$5*B$10*B$10*'S7055 Lift and Drag Function'!$B50*'Lift @ Cruising Speed vs. AoA'!$B$4</f>
        <v>1.6075062500000001</v>
      </c>
      <c r="C49" s="3">
        <f>(0.5)*$B$5*C$10*C$10*'S7055 Lift and Drag Function'!$B50*'Lift @ Cruising Speed vs. AoA'!$B$4</f>
        <v>6.4300250000000005</v>
      </c>
      <c r="D49" s="3">
        <f>(0.5)*$B$5*D$10*D$10*'S7055 Lift and Drag Function'!$B50*'Lift @ Cruising Speed vs. AoA'!$B$4</f>
        <v>10.046914062500003</v>
      </c>
      <c r="E49" s="3">
        <f>(0.5)*$B$5*E$10*E$10*'S7055 Lift and Drag Function'!$B50*'Lift @ Cruising Speed vs. AoA'!$B$4</f>
        <v>14.467556250000001</v>
      </c>
      <c r="F49" s="3">
        <f>(0.5)*$B$5*F$10*F$10*'S7055 Lift and Drag Function'!$B50*'Lift @ Cruising Speed vs. AoA'!$B$4</f>
        <v>19.691951562500002</v>
      </c>
      <c r="G49" s="3">
        <f>(0.5)*$B$5*G$10*G$10*'S7055 Lift and Drag Function'!$B50*'Lift @ Cruising Speed vs. AoA'!$B$4</f>
        <v>25.720100000000002</v>
      </c>
      <c r="H49" s="3">
        <f>(0.5)*$B$5*H$10*H$10*'S7055 Lift and Drag Function'!$B50*'Lift @ Cruising Speed vs. AoA'!$B$4</f>
        <v>40.187656250000011</v>
      </c>
      <c r="I49" s="3">
        <f>(0.5)*$B$5*I$10*I$10*'S7055 Lift and Drag Function'!$B50*'Lift @ Cruising Speed vs. AoA'!$B$4</f>
        <v>57.870225000000005</v>
      </c>
    </row>
    <row r="50" spans="1:9" x14ac:dyDescent="0.35">
      <c r="A50" s="1">
        <v>1.25</v>
      </c>
      <c r="B50" s="3">
        <f>(0.5)*$B$5*B$10*B$10*'S7055 Lift and Drag Function'!$B51*'Lift @ Cruising Speed vs. AoA'!$B$4</f>
        <v>1.6831499999999999</v>
      </c>
      <c r="C50" s="3">
        <f>(0.5)*$B$5*C$10*C$10*'S7055 Lift and Drag Function'!$B51*'Lift @ Cruising Speed vs. AoA'!$B$4</f>
        <v>6.7325999999999997</v>
      </c>
      <c r="D50" s="3">
        <f>(0.5)*$B$5*D$10*D$10*'S7055 Lift and Drag Function'!$B51*'Lift @ Cruising Speed vs. AoA'!$B$4</f>
        <v>10.519687500000002</v>
      </c>
      <c r="E50" s="3">
        <f>(0.5)*$B$5*E$10*E$10*'S7055 Lift and Drag Function'!$B51*'Lift @ Cruising Speed vs. AoA'!$B$4</f>
        <v>15.148350000000001</v>
      </c>
      <c r="F50" s="3">
        <f>(0.5)*$B$5*F$10*F$10*'S7055 Lift and Drag Function'!$B51*'Lift @ Cruising Speed vs. AoA'!$B$4</f>
        <v>20.6185875</v>
      </c>
      <c r="G50" s="3">
        <f>(0.5)*$B$5*G$10*G$10*'S7055 Lift and Drag Function'!$B51*'Lift @ Cruising Speed vs. AoA'!$B$4</f>
        <v>26.930399999999999</v>
      </c>
      <c r="H50" s="3">
        <f>(0.5)*$B$5*H$10*H$10*'S7055 Lift and Drag Function'!$B51*'Lift @ Cruising Speed vs. AoA'!$B$4</f>
        <v>42.078750000000007</v>
      </c>
      <c r="I50" s="3">
        <f>(0.5)*$B$5*I$10*I$10*'S7055 Lift and Drag Function'!$B51*'Lift @ Cruising Speed vs. AoA'!$B$4</f>
        <v>60.593400000000003</v>
      </c>
    </row>
    <row r="51" spans="1:9" x14ac:dyDescent="0.35">
      <c r="A51" s="1">
        <v>1.5</v>
      </c>
      <c r="B51" s="3">
        <f>(0.5)*$B$5*B$10*B$10*'S7055 Lift and Drag Function'!$B52*'Lift @ Cruising Speed vs. AoA'!$B$4</f>
        <v>1.7557312500000002</v>
      </c>
      <c r="C51" s="3">
        <f>(0.5)*$B$5*C$10*C$10*'S7055 Lift and Drag Function'!$B52*'Lift @ Cruising Speed vs. AoA'!$B$4</f>
        <v>7.0229250000000008</v>
      </c>
      <c r="D51" s="3">
        <f>(0.5)*$B$5*D$10*D$10*'S7055 Lift and Drag Function'!$B52*'Lift @ Cruising Speed vs. AoA'!$B$4</f>
        <v>10.973320312500002</v>
      </c>
      <c r="E51" s="3">
        <f>(0.5)*$B$5*E$10*E$10*'S7055 Lift and Drag Function'!$B52*'Lift @ Cruising Speed vs. AoA'!$B$4</f>
        <v>15.801581250000002</v>
      </c>
      <c r="F51" s="3">
        <f>(0.5)*$B$5*F$10*F$10*'S7055 Lift and Drag Function'!$B52*'Lift @ Cruising Speed vs. AoA'!$B$4</f>
        <v>21.507707812500001</v>
      </c>
      <c r="G51" s="3">
        <f>(0.5)*$B$5*G$10*G$10*'S7055 Lift and Drag Function'!$B52*'Lift @ Cruising Speed vs. AoA'!$B$4</f>
        <v>28.091700000000003</v>
      </c>
      <c r="H51" s="3">
        <f>(0.5)*$B$5*H$10*H$10*'S7055 Lift and Drag Function'!$B52*'Lift @ Cruising Speed vs. AoA'!$B$4</f>
        <v>43.893281250000008</v>
      </c>
      <c r="I51" s="3">
        <f>(0.5)*$B$5*I$10*I$10*'S7055 Lift and Drag Function'!$B52*'Lift @ Cruising Speed vs. AoA'!$B$4</f>
        <v>63.206325000000007</v>
      </c>
    </row>
    <row r="52" spans="1:9" x14ac:dyDescent="0.35">
      <c r="A52" s="1">
        <v>1.75</v>
      </c>
      <c r="B52" s="3">
        <f>(0.5)*$B$5*B$10*B$10*'S7055 Lift and Drag Function'!$B53*'Lift @ Cruising Speed vs. AoA'!$B$4</f>
        <v>1.8292312500000003</v>
      </c>
      <c r="C52" s="3">
        <f>(0.5)*$B$5*C$10*C$10*'S7055 Lift and Drag Function'!$B53*'Lift @ Cruising Speed vs. AoA'!$B$4</f>
        <v>7.3169250000000012</v>
      </c>
      <c r="D52" s="3">
        <f>(0.5)*$B$5*D$10*D$10*'S7055 Lift and Drag Function'!$B53*'Lift @ Cruising Speed vs. AoA'!$B$4</f>
        <v>11.432695312500003</v>
      </c>
      <c r="E52" s="3">
        <f>(0.5)*$B$5*E$10*E$10*'S7055 Lift and Drag Function'!$B53*'Lift @ Cruising Speed vs. AoA'!$B$4</f>
        <v>16.463081250000002</v>
      </c>
      <c r="F52" s="3">
        <f>(0.5)*$B$5*F$10*F$10*'S7055 Lift and Drag Function'!$B53*'Lift @ Cruising Speed vs. AoA'!$B$4</f>
        <v>22.408082812500002</v>
      </c>
      <c r="G52" s="3">
        <f>(0.5)*$B$5*G$10*G$10*'S7055 Lift and Drag Function'!$B53*'Lift @ Cruising Speed vs. AoA'!$B$4</f>
        <v>29.267700000000005</v>
      </c>
      <c r="H52" s="3">
        <f>(0.5)*$B$5*H$10*H$10*'S7055 Lift and Drag Function'!$B53*'Lift @ Cruising Speed vs. AoA'!$B$4</f>
        <v>45.730781250000014</v>
      </c>
      <c r="I52" s="3">
        <f>(0.5)*$B$5*I$10*I$10*'S7055 Lift and Drag Function'!$B53*'Lift @ Cruising Speed vs. AoA'!$B$4</f>
        <v>65.852325000000008</v>
      </c>
    </row>
    <row r="53" spans="1:9" x14ac:dyDescent="0.35">
      <c r="A53" s="1">
        <v>2</v>
      </c>
      <c r="B53" s="3">
        <f>(0.5)*$B$5*B$10*B$10*'S7055 Lift and Drag Function'!$B54*'Lift @ Cruising Speed vs. AoA'!$B$4</f>
        <v>1.9039562500000002</v>
      </c>
      <c r="C53" s="3">
        <f>(0.5)*$B$5*C$10*C$10*'S7055 Lift and Drag Function'!$B54*'Lift @ Cruising Speed vs. AoA'!$B$4</f>
        <v>7.615825000000001</v>
      </c>
      <c r="D53" s="3">
        <f>(0.5)*$B$5*D$10*D$10*'S7055 Lift and Drag Function'!$B54*'Lift @ Cruising Speed vs. AoA'!$B$4</f>
        <v>11.899726562500003</v>
      </c>
      <c r="E53" s="3">
        <f>(0.5)*$B$5*E$10*E$10*'S7055 Lift and Drag Function'!$B54*'Lift @ Cruising Speed vs. AoA'!$B$4</f>
        <v>17.135606250000002</v>
      </c>
      <c r="F53" s="3">
        <f>(0.5)*$B$5*F$10*F$10*'S7055 Lift and Drag Function'!$B54*'Lift @ Cruising Speed vs. AoA'!$B$4</f>
        <v>23.323464062500001</v>
      </c>
      <c r="G53" s="3">
        <f>(0.5)*$B$5*G$10*G$10*'S7055 Lift and Drag Function'!$B54*'Lift @ Cruising Speed vs. AoA'!$B$4</f>
        <v>30.463300000000004</v>
      </c>
      <c r="H53" s="3">
        <f>(0.5)*$B$5*H$10*H$10*'S7055 Lift and Drag Function'!$B54*'Lift @ Cruising Speed vs. AoA'!$B$4</f>
        <v>47.598906250000013</v>
      </c>
      <c r="I53" s="3">
        <f>(0.5)*$B$5*I$10*I$10*'S7055 Lift and Drag Function'!$B54*'Lift @ Cruising Speed vs. AoA'!$B$4</f>
        <v>68.542425000000009</v>
      </c>
    </row>
    <row r="54" spans="1:9" x14ac:dyDescent="0.35">
      <c r="A54" s="1">
        <v>2.25</v>
      </c>
      <c r="B54" s="3">
        <f>(0.5)*$B$5*B$10*B$10*'S7055 Lift and Drag Function'!$B55*'Lift @ Cruising Speed vs. AoA'!$B$4</f>
        <v>1.9805187500000003</v>
      </c>
      <c r="C54" s="3">
        <f>(0.5)*$B$5*C$10*C$10*'S7055 Lift and Drag Function'!$B55*'Lift @ Cruising Speed vs. AoA'!$B$4</f>
        <v>7.9220750000000013</v>
      </c>
      <c r="D54" s="3">
        <f>(0.5)*$B$5*D$10*D$10*'S7055 Lift and Drag Function'!$B55*'Lift @ Cruising Speed vs. AoA'!$B$4</f>
        <v>12.378242187500003</v>
      </c>
      <c r="E54" s="3">
        <f>(0.5)*$B$5*E$10*E$10*'S7055 Lift and Drag Function'!$B55*'Lift @ Cruising Speed vs. AoA'!$B$4</f>
        <v>17.824668750000001</v>
      </c>
      <c r="F54" s="3">
        <f>(0.5)*$B$5*F$10*F$10*'S7055 Lift and Drag Function'!$B55*'Lift @ Cruising Speed vs. AoA'!$B$4</f>
        <v>24.261354687500003</v>
      </c>
      <c r="G54" s="3">
        <f>(0.5)*$B$5*G$10*G$10*'S7055 Lift and Drag Function'!$B55*'Lift @ Cruising Speed vs. AoA'!$B$4</f>
        <v>31.688300000000005</v>
      </c>
      <c r="H54" s="3">
        <f>(0.5)*$B$5*H$10*H$10*'S7055 Lift and Drag Function'!$B55*'Lift @ Cruising Speed vs. AoA'!$B$4</f>
        <v>49.512968750000013</v>
      </c>
      <c r="I54" s="3">
        <f>(0.5)*$B$5*I$10*I$10*'S7055 Lift and Drag Function'!$B55*'Lift @ Cruising Speed vs. AoA'!$B$4</f>
        <v>71.298675000000003</v>
      </c>
    </row>
    <row r="55" spans="1:9" x14ac:dyDescent="0.35">
      <c r="A55" s="1">
        <v>2.5</v>
      </c>
      <c r="B55" s="3">
        <f>(0.5)*$B$5*B$10*B$10*'S7055 Lift and Drag Function'!$B56*'Lift @ Cruising Speed vs. AoA'!$B$4</f>
        <v>2.0534062500000001</v>
      </c>
      <c r="C55" s="3">
        <f>(0.5)*$B$5*C$10*C$10*'S7055 Lift and Drag Function'!$B56*'Lift @ Cruising Speed vs. AoA'!$B$4</f>
        <v>8.2136250000000004</v>
      </c>
      <c r="D55" s="3">
        <f>(0.5)*$B$5*D$10*D$10*'S7055 Lift and Drag Function'!$B56*'Lift @ Cruising Speed vs. AoA'!$B$4</f>
        <v>12.833789062500003</v>
      </c>
      <c r="E55" s="3">
        <f>(0.5)*$B$5*E$10*E$10*'S7055 Lift and Drag Function'!$B56*'Lift @ Cruising Speed vs. AoA'!$B$4</f>
        <v>18.480656249999999</v>
      </c>
      <c r="F55" s="3">
        <f>(0.5)*$B$5*F$10*F$10*'S7055 Lift and Drag Function'!$B56*'Lift @ Cruising Speed vs. AoA'!$B$4</f>
        <v>25.1542265625</v>
      </c>
      <c r="G55" s="3">
        <f>(0.5)*$B$5*G$10*G$10*'S7055 Lift and Drag Function'!$B56*'Lift @ Cruising Speed vs. AoA'!$B$4</f>
        <v>32.854500000000002</v>
      </c>
      <c r="H55" s="3">
        <f>(0.5)*$B$5*H$10*H$10*'S7055 Lift and Drag Function'!$B56*'Lift @ Cruising Speed vs. AoA'!$B$4</f>
        <v>51.335156250000011</v>
      </c>
      <c r="I55" s="3">
        <f>(0.5)*$B$5*I$10*I$10*'S7055 Lift and Drag Function'!$B56*'Lift @ Cruising Speed vs. AoA'!$B$4</f>
        <v>73.922624999999996</v>
      </c>
    </row>
    <row r="56" spans="1:9" x14ac:dyDescent="0.35">
      <c r="A56" s="1">
        <v>2.75</v>
      </c>
      <c r="B56" s="3">
        <f>(0.5)*$B$5*B$10*B$10*'S7055 Lift and Drag Function'!$B57*'Lift @ Cruising Speed vs. AoA'!$B$4</f>
        <v>2.1272125000000002</v>
      </c>
      <c r="C56" s="3">
        <f>(0.5)*$B$5*C$10*C$10*'S7055 Lift and Drag Function'!$B57*'Lift @ Cruising Speed vs. AoA'!$B$4</f>
        <v>8.5088500000000007</v>
      </c>
      <c r="D56" s="3">
        <f>(0.5)*$B$5*D$10*D$10*'S7055 Lift and Drag Function'!$B57*'Lift @ Cruising Speed vs. AoA'!$B$4</f>
        <v>13.295078125000002</v>
      </c>
      <c r="E56" s="3">
        <f>(0.5)*$B$5*E$10*E$10*'S7055 Lift and Drag Function'!$B57*'Lift @ Cruising Speed vs. AoA'!$B$4</f>
        <v>19.1449125</v>
      </c>
      <c r="F56" s="3">
        <f>(0.5)*$B$5*F$10*F$10*'S7055 Lift and Drag Function'!$B57*'Lift @ Cruising Speed vs. AoA'!$B$4</f>
        <v>26.058353125000004</v>
      </c>
      <c r="G56" s="3">
        <f>(0.5)*$B$5*G$10*G$10*'S7055 Lift and Drag Function'!$B57*'Lift @ Cruising Speed vs. AoA'!$B$4</f>
        <v>34.035400000000003</v>
      </c>
      <c r="H56" s="3">
        <f>(0.5)*$B$5*H$10*H$10*'S7055 Lift and Drag Function'!$B57*'Lift @ Cruising Speed vs. AoA'!$B$4</f>
        <v>53.180312500000007</v>
      </c>
      <c r="I56" s="3">
        <f>(0.5)*$B$5*I$10*I$10*'S7055 Lift and Drag Function'!$B57*'Lift @ Cruising Speed vs. AoA'!$B$4</f>
        <v>76.579650000000001</v>
      </c>
    </row>
    <row r="57" spans="1:9" x14ac:dyDescent="0.35">
      <c r="A57" s="1">
        <v>3</v>
      </c>
      <c r="B57" s="3">
        <f>(0.5)*$B$5*B$10*B$10*'S7055 Lift and Drag Function'!$B58*'Lift @ Cruising Speed vs. AoA'!$B$4</f>
        <v>2.2019375000000001</v>
      </c>
      <c r="C57" s="3">
        <f>(0.5)*$B$5*C$10*C$10*'S7055 Lift and Drag Function'!$B58*'Lift @ Cruising Speed vs. AoA'!$B$4</f>
        <v>8.8077500000000004</v>
      </c>
      <c r="D57" s="3">
        <f>(0.5)*$B$5*D$10*D$10*'S7055 Lift and Drag Function'!$B58*'Lift @ Cruising Speed vs. AoA'!$B$4</f>
        <v>13.762109375000003</v>
      </c>
      <c r="E57" s="3">
        <f>(0.5)*$B$5*E$10*E$10*'S7055 Lift and Drag Function'!$B58*'Lift @ Cruising Speed vs. AoA'!$B$4</f>
        <v>19.8174375</v>
      </c>
      <c r="F57" s="3">
        <f>(0.5)*$B$5*F$10*F$10*'S7055 Lift and Drag Function'!$B58*'Lift @ Cruising Speed vs. AoA'!$B$4</f>
        <v>26.973734374999999</v>
      </c>
      <c r="G57" s="3">
        <f>(0.5)*$B$5*G$10*G$10*'S7055 Lift and Drag Function'!$B58*'Lift @ Cruising Speed vs. AoA'!$B$4</f>
        <v>35.231000000000002</v>
      </c>
      <c r="H57" s="3">
        <f>(0.5)*$B$5*H$10*H$10*'S7055 Lift and Drag Function'!$B58*'Lift @ Cruising Speed vs. AoA'!$B$4</f>
        <v>55.048437500000013</v>
      </c>
      <c r="I57" s="3">
        <f>(0.5)*$B$5*I$10*I$10*'S7055 Lift and Drag Function'!$B58*'Lift @ Cruising Speed vs. AoA'!$B$4</f>
        <v>79.269750000000002</v>
      </c>
    </row>
    <row r="58" spans="1:9" x14ac:dyDescent="0.35">
      <c r="A58" s="1">
        <v>3.25</v>
      </c>
      <c r="B58" s="3">
        <f>(0.5)*$B$5*B$10*B$10*'S7055 Lift and Drag Function'!$B59*'Lift @ Cruising Speed vs. AoA'!$B$4</f>
        <v>2.27696875</v>
      </c>
      <c r="C58" s="3">
        <f>(0.5)*$B$5*C$10*C$10*'S7055 Lift and Drag Function'!$B59*'Lift @ Cruising Speed vs. AoA'!$B$4</f>
        <v>9.1078749999999999</v>
      </c>
      <c r="D58" s="3">
        <f>(0.5)*$B$5*D$10*D$10*'S7055 Lift and Drag Function'!$B59*'Lift @ Cruising Speed vs. AoA'!$B$4</f>
        <v>14.231054687500004</v>
      </c>
      <c r="E58" s="3">
        <f>(0.5)*$B$5*E$10*E$10*'S7055 Lift and Drag Function'!$B59*'Lift @ Cruising Speed vs. AoA'!$B$4</f>
        <v>20.492718750000002</v>
      </c>
      <c r="F58" s="3">
        <f>(0.5)*$B$5*F$10*F$10*'S7055 Lift and Drag Function'!$B59*'Lift @ Cruising Speed vs. AoA'!$B$4</f>
        <v>27.892867187500002</v>
      </c>
      <c r="G58" s="3">
        <f>(0.5)*$B$5*G$10*G$10*'S7055 Lift and Drag Function'!$B59*'Lift @ Cruising Speed vs. AoA'!$B$4</f>
        <v>36.4315</v>
      </c>
      <c r="H58" s="3">
        <f>(0.5)*$B$5*H$10*H$10*'S7055 Lift and Drag Function'!$B59*'Lift @ Cruising Speed vs. AoA'!$B$4</f>
        <v>56.924218750000016</v>
      </c>
      <c r="I58" s="3">
        <f>(0.5)*$B$5*I$10*I$10*'S7055 Lift and Drag Function'!$B59*'Lift @ Cruising Speed vs. AoA'!$B$4</f>
        <v>81.970875000000007</v>
      </c>
    </row>
    <row r="59" spans="1:9" x14ac:dyDescent="0.35">
      <c r="A59" s="1">
        <v>3.5</v>
      </c>
      <c r="B59" s="3">
        <f>(0.5)*$B$5*B$10*B$10*'S7055 Lift and Drag Function'!$B60*'Lift @ Cruising Speed vs. AoA'!$B$4</f>
        <v>2.3526125000000002</v>
      </c>
      <c r="C59" s="3">
        <f>(0.5)*$B$5*C$10*C$10*'S7055 Lift and Drag Function'!$B60*'Lift @ Cruising Speed vs. AoA'!$B$4</f>
        <v>9.4104500000000009</v>
      </c>
      <c r="D59" s="3">
        <f>(0.5)*$B$5*D$10*D$10*'S7055 Lift and Drag Function'!$B60*'Lift @ Cruising Speed vs. AoA'!$B$4</f>
        <v>14.703828125000001</v>
      </c>
      <c r="E59" s="3">
        <f>(0.5)*$B$5*E$10*E$10*'S7055 Lift and Drag Function'!$B60*'Lift @ Cruising Speed vs. AoA'!$B$4</f>
        <v>21.173512500000001</v>
      </c>
      <c r="F59" s="3">
        <f>(0.5)*$B$5*F$10*F$10*'S7055 Lift and Drag Function'!$B60*'Lift @ Cruising Speed vs. AoA'!$B$4</f>
        <v>28.819503125000001</v>
      </c>
      <c r="G59" s="3">
        <f>(0.5)*$B$5*G$10*G$10*'S7055 Lift and Drag Function'!$B60*'Lift @ Cruising Speed vs. AoA'!$B$4</f>
        <v>37.641800000000003</v>
      </c>
      <c r="H59" s="3">
        <f>(0.5)*$B$5*H$10*H$10*'S7055 Lift and Drag Function'!$B60*'Lift @ Cruising Speed vs. AoA'!$B$4</f>
        <v>58.815312500000005</v>
      </c>
      <c r="I59" s="3">
        <f>(0.5)*$B$5*I$10*I$10*'S7055 Lift and Drag Function'!$B60*'Lift @ Cruising Speed vs. AoA'!$B$4</f>
        <v>84.694050000000004</v>
      </c>
    </row>
    <row r="60" spans="1:9" x14ac:dyDescent="0.35">
      <c r="A60" s="1">
        <v>3.75</v>
      </c>
      <c r="B60" s="3">
        <f>(0.5)*$B$5*B$10*B$10*'S7055 Lift and Drag Function'!$B61*'Lift @ Cruising Speed vs. AoA'!$B$4</f>
        <v>2.4261125000000003</v>
      </c>
      <c r="C60" s="3">
        <f>(0.5)*$B$5*C$10*C$10*'S7055 Lift and Drag Function'!$B61*'Lift @ Cruising Speed vs. AoA'!$B$4</f>
        <v>9.7044500000000014</v>
      </c>
      <c r="D60" s="3">
        <f>(0.5)*$B$5*D$10*D$10*'S7055 Lift and Drag Function'!$B61*'Lift @ Cruising Speed vs. AoA'!$B$4</f>
        <v>15.163203125000003</v>
      </c>
      <c r="E60" s="3">
        <f>(0.5)*$B$5*E$10*E$10*'S7055 Lift and Drag Function'!$B61*'Lift @ Cruising Speed vs. AoA'!$B$4</f>
        <v>21.835012500000001</v>
      </c>
      <c r="F60" s="3">
        <f>(0.5)*$B$5*F$10*F$10*'S7055 Lift and Drag Function'!$B61*'Lift @ Cruising Speed vs. AoA'!$B$4</f>
        <v>29.719878125000005</v>
      </c>
      <c r="G60" s="3">
        <f>(0.5)*$B$5*G$10*G$10*'S7055 Lift and Drag Function'!$B61*'Lift @ Cruising Speed vs. AoA'!$B$4</f>
        <v>38.817800000000005</v>
      </c>
      <c r="H60" s="3">
        <f>(0.5)*$B$5*H$10*H$10*'S7055 Lift and Drag Function'!$B61*'Lift @ Cruising Speed vs. AoA'!$B$4</f>
        <v>60.65281250000001</v>
      </c>
      <c r="I60" s="3">
        <f>(0.5)*$B$5*I$10*I$10*'S7055 Lift and Drag Function'!$B61*'Lift @ Cruising Speed vs. AoA'!$B$4</f>
        <v>87.340050000000005</v>
      </c>
    </row>
    <row r="61" spans="1:9" x14ac:dyDescent="0.35">
      <c r="A61" s="1">
        <v>4</v>
      </c>
      <c r="B61" s="3">
        <f>(0.5)*$B$5*B$10*B$10*'S7055 Lift and Drag Function'!$B62*'Lift @ Cruising Speed vs. AoA'!$B$4</f>
        <v>2.4993062500000001</v>
      </c>
      <c r="C61" s="3">
        <f>(0.5)*$B$5*C$10*C$10*'S7055 Lift and Drag Function'!$B62*'Lift @ Cruising Speed vs. AoA'!$B$4</f>
        <v>9.9972250000000003</v>
      </c>
      <c r="D61" s="3">
        <f>(0.5)*$B$5*D$10*D$10*'S7055 Lift and Drag Function'!$B62*'Lift @ Cruising Speed vs. AoA'!$B$4</f>
        <v>15.620664062500005</v>
      </c>
      <c r="E61" s="3">
        <f>(0.5)*$B$5*E$10*E$10*'S7055 Lift and Drag Function'!$B62*'Lift @ Cruising Speed vs. AoA'!$B$4</f>
        <v>22.493756250000004</v>
      </c>
      <c r="F61" s="3">
        <f>(0.5)*$B$5*F$10*F$10*'S7055 Lift and Drag Function'!$B62*'Lift @ Cruising Speed vs. AoA'!$B$4</f>
        <v>30.616501562500005</v>
      </c>
      <c r="G61" s="3">
        <f>(0.5)*$B$5*G$10*G$10*'S7055 Lift and Drag Function'!$B62*'Lift @ Cruising Speed vs. AoA'!$B$4</f>
        <v>39.988900000000001</v>
      </c>
      <c r="H61" s="3">
        <f>(0.5)*$B$5*H$10*H$10*'S7055 Lift and Drag Function'!$B62*'Lift @ Cruising Speed vs. AoA'!$B$4</f>
        <v>62.482656250000019</v>
      </c>
      <c r="I61" s="3">
        <f>(0.5)*$B$5*I$10*I$10*'S7055 Lift and Drag Function'!$B62*'Lift @ Cruising Speed vs. AoA'!$B$4</f>
        <v>89.975025000000016</v>
      </c>
    </row>
    <row r="62" spans="1:9" x14ac:dyDescent="0.35">
      <c r="A62" s="1">
        <v>4.25</v>
      </c>
      <c r="B62" s="3">
        <f>(0.5)*$B$5*B$10*B$10*'S7055 Lift and Drag Function'!$B63*'Lift @ Cruising Speed vs. AoA'!$B$4</f>
        <v>2.5728062500000002</v>
      </c>
      <c r="C62" s="3">
        <f>(0.5)*$B$5*C$10*C$10*'S7055 Lift and Drag Function'!$B63*'Lift @ Cruising Speed vs. AoA'!$B$4</f>
        <v>10.291225000000001</v>
      </c>
      <c r="D62" s="3">
        <f>(0.5)*$B$5*D$10*D$10*'S7055 Lift and Drag Function'!$B63*'Lift @ Cruising Speed vs. AoA'!$B$4</f>
        <v>16.080039062500003</v>
      </c>
      <c r="E62" s="3">
        <f>(0.5)*$B$5*E$10*E$10*'S7055 Lift and Drag Function'!$B63*'Lift @ Cruising Speed vs. AoA'!$B$4</f>
        <v>23.155256250000001</v>
      </c>
      <c r="F62" s="3">
        <f>(0.5)*$B$5*F$10*F$10*'S7055 Lift and Drag Function'!$B63*'Lift @ Cruising Speed vs. AoA'!$B$4</f>
        <v>31.516876562500002</v>
      </c>
      <c r="G62" s="3">
        <f>(0.5)*$B$5*G$10*G$10*'S7055 Lift and Drag Function'!$B63*'Lift @ Cruising Speed vs. AoA'!$B$4</f>
        <v>41.164900000000003</v>
      </c>
      <c r="H62" s="3">
        <f>(0.5)*$B$5*H$10*H$10*'S7055 Lift and Drag Function'!$B63*'Lift @ Cruising Speed vs. AoA'!$B$4</f>
        <v>64.320156250000011</v>
      </c>
      <c r="I62" s="3">
        <f>(0.5)*$B$5*I$10*I$10*'S7055 Lift and Drag Function'!$B63*'Lift @ Cruising Speed vs. AoA'!$B$4</f>
        <v>92.621025000000003</v>
      </c>
    </row>
    <row r="63" spans="1:9" x14ac:dyDescent="0.35">
      <c r="A63" s="1">
        <v>4.5</v>
      </c>
      <c r="B63" s="3">
        <f>(0.5)*$B$5*B$10*B$10*'S7055 Lift and Drag Function'!$B64*'Lift @ Cruising Speed vs. AoA'!$B$4</f>
        <v>2.6460000000000004</v>
      </c>
      <c r="C63" s="3">
        <f>(0.5)*$B$5*C$10*C$10*'S7055 Lift and Drag Function'!$B64*'Lift @ Cruising Speed vs. AoA'!$B$4</f>
        <v>10.584000000000001</v>
      </c>
      <c r="D63" s="3">
        <f>(0.5)*$B$5*D$10*D$10*'S7055 Lift and Drag Function'!$B64*'Lift @ Cruising Speed vs. AoA'!$B$4</f>
        <v>16.537500000000005</v>
      </c>
      <c r="E63" s="3">
        <f>(0.5)*$B$5*E$10*E$10*'S7055 Lift and Drag Function'!$B64*'Lift @ Cruising Speed vs. AoA'!$B$4</f>
        <v>23.814</v>
      </c>
      <c r="F63" s="3">
        <f>(0.5)*$B$5*F$10*F$10*'S7055 Lift and Drag Function'!$B64*'Lift @ Cruising Speed vs. AoA'!$B$4</f>
        <v>32.413499999999999</v>
      </c>
      <c r="G63" s="3">
        <f>(0.5)*$B$5*G$10*G$10*'S7055 Lift and Drag Function'!$B64*'Lift @ Cruising Speed vs. AoA'!$B$4</f>
        <v>42.336000000000006</v>
      </c>
      <c r="H63" s="3">
        <f>(0.5)*$B$5*H$10*H$10*'S7055 Lift and Drag Function'!$B64*'Lift @ Cruising Speed vs. AoA'!$B$4</f>
        <v>66.15000000000002</v>
      </c>
      <c r="I63" s="3">
        <f>(0.5)*$B$5*I$10*I$10*'S7055 Lift and Drag Function'!$B64*'Lift @ Cruising Speed vs. AoA'!$B$4</f>
        <v>95.256</v>
      </c>
    </row>
    <row r="64" spans="1:9" x14ac:dyDescent="0.35">
      <c r="A64" s="1">
        <v>4.75</v>
      </c>
      <c r="B64" s="3">
        <f>(0.5)*$B$5*B$10*B$10*'S7055 Lift and Drag Function'!$B65*'Lift @ Cruising Speed vs. AoA'!$B$4</f>
        <v>2.7195</v>
      </c>
      <c r="C64" s="3">
        <f>(0.5)*$B$5*C$10*C$10*'S7055 Lift and Drag Function'!$B65*'Lift @ Cruising Speed vs. AoA'!$B$4</f>
        <v>10.878</v>
      </c>
      <c r="D64" s="3">
        <f>(0.5)*$B$5*D$10*D$10*'S7055 Lift and Drag Function'!$B65*'Lift @ Cruising Speed vs. AoA'!$B$4</f>
        <v>16.996875000000003</v>
      </c>
      <c r="E64" s="3">
        <f>(0.5)*$B$5*E$10*E$10*'S7055 Lift and Drag Function'!$B65*'Lift @ Cruising Speed vs. AoA'!$B$4</f>
        <v>24.4755</v>
      </c>
      <c r="F64" s="3">
        <f>(0.5)*$B$5*F$10*F$10*'S7055 Lift and Drag Function'!$B65*'Lift @ Cruising Speed vs. AoA'!$B$4</f>
        <v>33.313875000000003</v>
      </c>
      <c r="G64" s="3">
        <f>(0.5)*$B$5*G$10*G$10*'S7055 Lift and Drag Function'!$B65*'Lift @ Cruising Speed vs. AoA'!$B$4</f>
        <v>43.512</v>
      </c>
      <c r="H64" s="3">
        <f>(0.5)*$B$5*H$10*H$10*'S7055 Lift and Drag Function'!$B65*'Lift @ Cruising Speed vs. AoA'!$B$4</f>
        <v>67.987500000000011</v>
      </c>
      <c r="I64" s="3">
        <f>(0.5)*$B$5*I$10*I$10*'S7055 Lift and Drag Function'!$B65*'Lift @ Cruising Speed vs. AoA'!$B$4</f>
        <v>97.902000000000001</v>
      </c>
    </row>
    <row r="65" spans="1:9" x14ac:dyDescent="0.35">
      <c r="A65" s="1">
        <v>5</v>
      </c>
      <c r="B65" s="3">
        <f>(0.5)*$B$5*B$10*B$10*'S7055 Lift and Drag Function'!$B66*'Lift @ Cruising Speed vs. AoA'!$B$4</f>
        <v>2.7923875000000002</v>
      </c>
      <c r="C65" s="3">
        <f>(0.5)*$B$5*C$10*C$10*'S7055 Lift and Drag Function'!$B66*'Lift @ Cruising Speed vs. AoA'!$B$4</f>
        <v>11.169550000000001</v>
      </c>
      <c r="D65" s="3">
        <f>(0.5)*$B$5*D$10*D$10*'S7055 Lift and Drag Function'!$B66*'Lift @ Cruising Speed vs. AoA'!$B$4</f>
        <v>17.452421875000006</v>
      </c>
      <c r="E65" s="3">
        <f>(0.5)*$B$5*E$10*E$10*'S7055 Lift and Drag Function'!$B66*'Lift @ Cruising Speed vs. AoA'!$B$4</f>
        <v>25.131487500000006</v>
      </c>
      <c r="F65" s="3">
        <f>(0.5)*$B$5*F$10*F$10*'S7055 Lift and Drag Function'!$B66*'Lift @ Cruising Speed vs. AoA'!$B$4</f>
        <v>34.206746875000007</v>
      </c>
      <c r="G65" s="3">
        <f>(0.5)*$B$5*G$10*G$10*'S7055 Lift and Drag Function'!$B66*'Lift @ Cruising Speed vs. AoA'!$B$4</f>
        <v>44.678200000000004</v>
      </c>
      <c r="H65" s="3">
        <f>(0.5)*$B$5*H$10*H$10*'S7055 Lift and Drag Function'!$B66*'Lift @ Cruising Speed vs. AoA'!$B$4</f>
        <v>69.809687500000024</v>
      </c>
      <c r="I65" s="3">
        <f>(0.5)*$B$5*I$10*I$10*'S7055 Lift and Drag Function'!$B66*'Lift @ Cruising Speed vs. AoA'!$B$4</f>
        <v>100.52595000000002</v>
      </c>
    </row>
    <row r="66" spans="1:9" x14ac:dyDescent="0.35">
      <c r="A66" s="1">
        <v>5.25</v>
      </c>
      <c r="B66" s="3">
        <f>(0.5)*$B$5*B$10*B$10*'S7055 Lift and Drag Function'!$B67*'Lift @ Cruising Speed vs. AoA'!$B$4</f>
        <v>2.8646625000000001</v>
      </c>
      <c r="C66" s="3">
        <f>(0.5)*$B$5*C$10*C$10*'S7055 Lift and Drag Function'!$B67*'Lift @ Cruising Speed vs. AoA'!$B$4</f>
        <v>11.45865</v>
      </c>
      <c r="D66" s="3">
        <f>(0.5)*$B$5*D$10*D$10*'S7055 Lift and Drag Function'!$B67*'Lift @ Cruising Speed vs. AoA'!$B$4</f>
        <v>17.904140625000004</v>
      </c>
      <c r="E66" s="3">
        <f>(0.5)*$B$5*E$10*E$10*'S7055 Lift and Drag Function'!$B67*'Lift @ Cruising Speed vs. AoA'!$B$4</f>
        <v>25.781962500000006</v>
      </c>
      <c r="F66" s="3">
        <f>(0.5)*$B$5*F$10*F$10*'S7055 Lift and Drag Function'!$B67*'Lift @ Cruising Speed vs. AoA'!$B$4</f>
        <v>35.092115625000005</v>
      </c>
      <c r="G66" s="3">
        <f>(0.5)*$B$5*G$10*G$10*'S7055 Lift and Drag Function'!$B67*'Lift @ Cruising Speed vs. AoA'!$B$4</f>
        <v>45.834600000000002</v>
      </c>
      <c r="H66" s="3">
        <f>(0.5)*$B$5*H$10*H$10*'S7055 Lift and Drag Function'!$B67*'Lift @ Cruising Speed vs. AoA'!$B$4</f>
        <v>71.616562500000015</v>
      </c>
      <c r="I66" s="3">
        <f>(0.5)*$B$5*I$10*I$10*'S7055 Lift and Drag Function'!$B67*'Lift @ Cruising Speed vs. AoA'!$B$4</f>
        <v>103.12785000000002</v>
      </c>
    </row>
    <row r="67" spans="1:9" x14ac:dyDescent="0.35">
      <c r="A67" s="1">
        <v>5.5</v>
      </c>
      <c r="B67" s="3">
        <f>(0.5)*$B$5*B$10*B$10*'S7055 Lift and Drag Function'!$B68*'Lift @ Cruising Speed vs. AoA'!$B$4</f>
        <v>2.9363250000000001</v>
      </c>
      <c r="C67" s="3">
        <f>(0.5)*$B$5*C$10*C$10*'S7055 Lift and Drag Function'!$B68*'Lift @ Cruising Speed vs. AoA'!$B$4</f>
        <v>11.7453</v>
      </c>
      <c r="D67" s="3">
        <f>(0.5)*$B$5*D$10*D$10*'S7055 Lift and Drag Function'!$B68*'Lift @ Cruising Speed vs. AoA'!$B$4</f>
        <v>18.352031250000003</v>
      </c>
      <c r="E67" s="3">
        <f>(0.5)*$B$5*E$10*E$10*'S7055 Lift and Drag Function'!$B68*'Lift @ Cruising Speed vs. AoA'!$B$4</f>
        <v>26.426925000000001</v>
      </c>
      <c r="F67" s="3">
        <f>(0.5)*$B$5*F$10*F$10*'S7055 Lift and Drag Function'!$B68*'Lift @ Cruising Speed vs. AoA'!$B$4</f>
        <v>35.969981250000004</v>
      </c>
      <c r="G67" s="3">
        <f>(0.5)*$B$5*G$10*G$10*'S7055 Lift and Drag Function'!$B68*'Lift @ Cruising Speed vs. AoA'!$B$4</f>
        <v>46.981200000000001</v>
      </c>
      <c r="H67" s="3">
        <f>(0.5)*$B$5*H$10*H$10*'S7055 Lift and Drag Function'!$B68*'Lift @ Cruising Speed vs. AoA'!$B$4</f>
        <v>73.408125000000013</v>
      </c>
      <c r="I67" s="3">
        <f>(0.5)*$B$5*I$10*I$10*'S7055 Lift and Drag Function'!$B68*'Lift @ Cruising Speed vs. AoA'!$B$4</f>
        <v>105.7077</v>
      </c>
    </row>
    <row r="68" spans="1:9" x14ac:dyDescent="0.35">
      <c r="A68" s="1">
        <v>5.75</v>
      </c>
      <c r="B68" s="3">
        <f>(0.5)*$B$5*B$10*B$10*'S7055 Lift and Drag Function'!$B69*'Lift @ Cruising Speed vs. AoA'!$B$4</f>
        <v>3.0067625000000002</v>
      </c>
      <c r="C68" s="3">
        <f>(0.5)*$B$5*C$10*C$10*'S7055 Lift and Drag Function'!$B69*'Lift @ Cruising Speed vs. AoA'!$B$4</f>
        <v>12.027050000000001</v>
      </c>
      <c r="D68" s="3">
        <f>(0.5)*$B$5*D$10*D$10*'S7055 Lift and Drag Function'!$B69*'Lift @ Cruising Speed vs. AoA'!$B$4</f>
        <v>18.792265625000002</v>
      </c>
      <c r="E68" s="3">
        <f>(0.5)*$B$5*E$10*E$10*'S7055 Lift and Drag Function'!$B69*'Lift @ Cruising Speed vs. AoA'!$B$4</f>
        <v>27.060862500000002</v>
      </c>
      <c r="F68" s="3">
        <f>(0.5)*$B$5*F$10*F$10*'S7055 Lift and Drag Function'!$B69*'Lift @ Cruising Speed vs. AoA'!$B$4</f>
        <v>36.832840625000003</v>
      </c>
      <c r="G68" s="3">
        <f>(0.5)*$B$5*G$10*G$10*'S7055 Lift and Drag Function'!$B69*'Lift @ Cruising Speed vs. AoA'!$B$4</f>
        <v>48.108200000000004</v>
      </c>
      <c r="H68" s="3">
        <f>(0.5)*$B$5*H$10*H$10*'S7055 Lift and Drag Function'!$B69*'Lift @ Cruising Speed vs. AoA'!$B$4</f>
        <v>75.16906250000001</v>
      </c>
      <c r="I68" s="3">
        <f>(0.5)*$B$5*I$10*I$10*'S7055 Lift and Drag Function'!$B69*'Lift @ Cruising Speed vs. AoA'!$B$4</f>
        <v>108.24345000000001</v>
      </c>
    </row>
    <row r="69" spans="1:9" x14ac:dyDescent="0.35">
      <c r="A69" s="1">
        <v>6</v>
      </c>
      <c r="B69" s="3">
        <f>(0.5)*$B$5*B$10*B$10*'S7055 Lift and Drag Function'!$B70*'Lift @ Cruising Speed vs. AoA'!$B$4</f>
        <v>3.07689375</v>
      </c>
      <c r="C69" s="3">
        <f>(0.5)*$B$5*C$10*C$10*'S7055 Lift and Drag Function'!$B70*'Lift @ Cruising Speed vs. AoA'!$B$4</f>
        <v>12.307575</v>
      </c>
      <c r="D69" s="3">
        <f>(0.5)*$B$5*D$10*D$10*'S7055 Lift and Drag Function'!$B70*'Lift @ Cruising Speed vs. AoA'!$B$4</f>
        <v>19.230585937500003</v>
      </c>
      <c r="E69" s="3">
        <f>(0.5)*$B$5*E$10*E$10*'S7055 Lift and Drag Function'!$B70*'Lift @ Cruising Speed vs. AoA'!$B$4</f>
        <v>27.69204375</v>
      </c>
      <c r="F69" s="3">
        <f>(0.5)*$B$5*F$10*F$10*'S7055 Lift and Drag Function'!$B70*'Lift @ Cruising Speed vs. AoA'!$B$4</f>
        <v>37.691948437499995</v>
      </c>
      <c r="G69" s="3">
        <f>(0.5)*$B$5*G$10*G$10*'S7055 Lift and Drag Function'!$B70*'Lift @ Cruising Speed vs. AoA'!$B$4</f>
        <v>49.2303</v>
      </c>
      <c r="H69" s="3">
        <f>(0.5)*$B$5*H$10*H$10*'S7055 Lift and Drag Function'!$B70*'Lift @ Cruising Speed vs. AoA'!$B$4</f>
        <v>76.92234375000001</v>
      </c>
      <c r="I69" s="3">
        <f>(0.5)*$B$5*I$10*I$10*'S7055 Lift and Drag Function'!$B70*'Lift @ Cruising Speed vs. AoA'!$B$4</f>
        <v>110.768175</v>
      </c>
    </row>
    <row r="70" spans="1:9" x14ac:dyDescent="0.35">
      <c r="A70" s="1">
        <v>6.25</v>
      </c>
      <c r="B70" s="3">
        <f>(0.5)*$B$5*B$10*B$10*'S7055 Lift and Drag Function'!$B71*'Lift @ Cruising Speed vs. AoA'!$B$4</f>
        <v>3.1461062500000008</v>
      </c>
      <c r="C70" s="3">
        <f>(0.5)*$B$5*C$10*C$10*'S7055 Lift and Drag Function'!$B71*'Lift @ Cruising Speed vs. AoA'!$B$4</f>
        <v>12.584425000000003</v>
      </c>
      <c r="D70" s="3">
        <f>(0.5)*$B$5*D$10*D$10*'S7055 Lift and Drag Function'!$B71*'Lift @ Cruising Speed vs. AoA'!$B$4</f>
        <v>19.663164062500005</v>
      </c>
      <c r="E70" s="3">
        <f>(0.5)*$B$5*E$10*E$10*'S7055 Lift and Drag Function'!$B71*'Lift @ Cruising Speed vs. AoA'!$B$4</f>
        <v>28.314956250000002</v>
      </c>
      <c r="F70" s="3">
        <f>(0.5)*$B$5*F$10*F$10*'S7055 Lift and Drag Function'!$B71*'Lift @ Cruising Speed vs. AoA'!$B$4</f>
        <v>38.539801562500003</v>
      </c>
      <c r="G70" s="3">
        <f>(0.5)*$B$5*G$10*G$10*'S7055 Lift and Drag Function'!$B71*'Lift @ Cruising Speed vs. AoA'!$B$4</f>
        <v>50.337700000000012</v>
      </c>
      <c r="H70" s="3">
        <f>(0.5)*$B$5*H$10*H$10*'S7055 Lift and Drag Function'!$B71*'Lift @ Cruising Speed vs. AoA'!$B$4</f>
        <v>78.652656250000021</v>
      </c>
      <c r="I70" s="3">
        <f>(0.5)*$B$5*I$10*I$10*'S7055 Lift and Drag Function'!$B71*'Lift @ Cruising Speed vs. AoA'!$B$4</f>
        <v>113.25982500000001</v>
      </c>
    </row>
    <row r="71" spans="1:9" x14ac:dyDescent="0.35">
      <c r="A71" s="1">
        <v>6.5</v>
      </c>
      <c r="B71" s="3">
        <f>(0.5)*$B$5*B$10*B$10*'S7055 Lift and Drag Function'!$B72*'Lift @ Cruising Speed vs. AoA'!$B$4</f>
        <v>3.2137875000000005</v>
      </c>
      <c r="C71" s="3">
        <f>(0.5)*$B$5*C$10*C$10*'S7055 Lift and Drag Function'!$B72*'Lift @ Cruising Speed vs. AoA'!$B$4</f>
        <v>12.855150000000002</v>
      </c>
      <c r="D71" s="3">
        <f>(0.5)*$B$5*D$10*D$10*'S7055 Lift and Drag Function'!$B72*'Lift @ Cruising Speed vs. AoA'!$B$4</f>
        <v>20.086171875000005</v>
      </c>
      <c r="E71" s="3">
        <f>(0.5)*$B$5*E$10*E$10*'S7055 Lift and Drag Function'!$B72*'Lift @ Cruising Speed vs. AoA'!$B$4</f>
        <v>28.924087500000002</v>
      </c>
      <c r="F71" s="3">
        <f>(0.5)*$B$5*F$10*F$10*'S7055 Lift and Drag Function'!$B72*'Lift @ Cruising Speed vs. AoA'!$B$4</f>
        <v>39.368896875000004</v>
      </c>
      <c r="G71" s="3">
        <f>(0.5)*$B$5*G$10*G$10*'S7055 Lift and Drag Function'!$B72*'Lift @ Cruising Speed vs. AoA'!$B$4</f>
        <v>51.420600000000007</v>
      </c>
      <c r="H71" s="3">
        <f>(0.5)*$B$5*H$10*H$10*'S7055 Lift and Drag Function'!$B72*'Lift @ Cruising Speed vs. AoA'!$B$4</f>
        <v>80.34468750000002</v>
      </c>
      <c r="I71" s="3">
        <f>(0.5)*$B$5*I$10*I$10*'S7055 Lift and Drag Function'!$B72*'Lift @ Cruising Speed vs. AoA'!$B$4</f>
        <v>115.69635000000001</v>
      </c>
    </row>
    <row r="72" spans="1:9" x14ac:dyDescent="0.35">
      <c r="A72" s="1">
        <v>6.75</v>
      </c>
      <c r="B72" s="3">
        <f>(0.5)*$B$5*B$10*B$10*'S7055 Lift and Drag Function'!$B73*'Lift @ Cruising Speed vs. AoA'!$B$4</f>
        <v>3.2805499999999999</v>
      </c>
      <c r="C72" s="3">
        <f>(0.5)*$B$5*C$10*C$10*'S7055 Lift and Drag Function'!$B73*'Lift @ Cruising Speed vs. AoA'!$B$4</f>
        <v>13.122199999999999</v>
      </c>
      <c r="D72" s="3">
        <f>(0.5)*$B$5*D$10*D$10*'S7055 Lift and Drag Function'!$B73*'Lift @ Cruising Speed vs. AoA'!$B$4</f>
        <v>20.503437500000004</v>
      </c>
      <c r="E72" s="3">
        <f>(0.5)*$B$5*E$10*E$10*'S7055 Lift and Drag Function'!$B73*'Lift @ Cruising Speed vs. AoA'!$B$4</f>
        <v>29.524949999999997</v>
      </c>
      <c r="F72" s="3">
        <f>(0.5)*$B$5*F$10*F$10*'S7055 Lift and Drag Function'!$B73*'Lift @ Cruising Speed vs. AoA'!$B$4</f>
        <v>40.1867375</v>
      </c>
      <c r="G72" s="3">
        <f>(0.5)*$B$5*G$10*G$10*'S7055 Lift and Drag Function'!$B73*'Lift @ Cruising Speed vs. AoA'!$B$4</f>
        <v>52.488799999999998</v>
      </c>
      <c r="H72" s="3">
        <f>(0.5)*$B$5*H$10*H$10*'S7055 Lift and Drag Function'!$B73*'Lift @ Cruising Speed vs. AoA'!$B$4</f>
        <v>82.013750000000016</v>
      </c>
      <c r="I72" s="3">
        <f>(0.5)*$B$5*I$10*I$10*'S7055 Lift and Drag Function'!$B73*'Lift @ Cruising Speed vs. AoA'!$B$4</f>
        <v>118.09979999999999</v>
      </c>
    </row>
    <row r="73" spans="1:9" x14ac:dyDescent="0.35">
      <c r="A73" s="1">
        <v>7</v>
      </c>
      <c r="B73" s="3">
        <f>(0.5)*$B$5*B$10*B$10*'S7055 Lift and Drag Function'!$B74*'Lift @ Cruising Speed vs. AoA'!$B$4</f>
        <v>3.34516875</v>
      </c>
      <c r="C73" s="3">
        <f>(0.5)*$B$5*C$10*C$10*'S7055 Lift and Drag Function'!$B74*'Lift @ Cruising Speed vs. AoA'!$B$4</f>
        <v>13.380675</v>
      </c>
      <c r="D73" s="3">
        <f>(0.5)*$B$5*D$10*D$10*'S7055 Lift and Drag Function'!$B74*'Lift @ Cruising Speed vs. AoA'!$B$4</f>
        <v>20.907304687500005</v>
      </c>
      <c r="E73" s="3">
        <f>(0.5)*$B$5*E$10*E$10*'S7055 Lift and Drag Function'!$B74*'Lift @ Cruising Speed vs. AoA'!$B$4</f>
        <v>30.106518750000006</v>
      </c>
      <c r="F73" s="3">
        <f>(0.5)*$B$5*F$10*F$10*'S7055 Lift and Drag Function'!$B74*'Lift @ Cruising Speed vs. AoA'!$B$4</f>
        <v>40.978317187500004</v>
      </c>
      <c r="G73" s="3">
        <f>(0.5)*$B$5*G$10*G$10*'S7055 Lift and Drag Function'!$B74*'Lift @ Cruising Speed vs. AoA'!$B$4</f>
        <v>53.5227</v>
      </c>
      <c r="H73" s="3">
        <f>(0.5)*$B$5*H$10*H$10*'S7055 Lift and Drag Function'!$B74*'Lift @ Cruising Speed vs. AoA'!$B$4</f>
        <v>83.629218750000021</v>
      </c>
      <c r="I73" s="3">
        <f>(0.5)*$B$5*I$10*I$10*'S7055 Lift and Drag Function'!$B74*'Lift @ Cruising Speed vs. AoA'!$B$4</f>
        <v>120.42607500000003</v>
      </c>
    </row>
    <row r="74" spans="1:9" x14ac:dyDescent="0.35">
      <c r="A74" s="1">
        <v>7.25</v>
      </c>
      <c r="B74" s="3">
        <f>(0.5)*$B$5*B$10*B$10*'S7055 Lift and Drag Function'!$B75*'Lift @ Cruising Speed vs. AoA'!$B$4</f>
        <v>3.4082562500000004</v>
      </c>
      <c r="C74" s="3">
        <f>(0.5)*$B$5*C$10*C$10*'S7055 Lift and Drag Function'!$B75*'Lift @ Cruising Speed vs. AoA'!$B$4</f>
        <v>13.633025000000002</v>
      </c>
      <c r="D74" s="3">
        <f>(0.5)*$B$5*D$10*D$10*'S7055 Lift and Drag Function'!$B75*'Lift @ Cruising Speed vs. AoA'!$B$4</f>
        <v>21.301601562500004</v>
      </c>
      <c r="E74" s="3">
        <f>(0.5)*$B$5*E$10*E$10*'S7055 Lift and Drag Function'!$B75*'Lift @ Cruising Speed vs. AoA'!$B$4</f>
        <v>30.674306250000001</v>
      </c>
      <c r="F74" s="3">
        <f>(0.5)*$B$5*F$10*F$10*'S7055 Lift and Drag Function'!$B75*'Lift @ Cruising Speed vs. AoA'!$B$4</f>
        <v>41.751139062500002</v>
      </c>
      <c r="G74" s="3">
        <f>(0.5)*$B$5*G$10*G$10*'S7055 Lift and Drag Function'!$B75*'Lift @ Cruising Speed vs. AoA'!$B$4</f>
        <v>54.532100000000007</v>
      </c>
      <c r="H74" s="3">
        <f>(0.5)*$B$5*H$10*H$10*'S7055 Lift and Drag Function'!$B75*'Lift @ Cruising Speed vs. AoA'!$B$4</f>
        <v>85.206406250000015</v>
      </c>
      <c r="I74" s="3">
        <f>(0.5)*$B$5*I$10*I$10*'S7055 Lift and Drag Function'!$B75*'Lift @ Cruising Speed vs. AoA'!$B$4</f>
        <v>122.697225</v>
      </c>
    </row>
    <row r="75" spans="1:9" x14ac:dyDescent="0.35">
      <c r="A75" s="1">
        <v>7.5</v>
      </c>
      <c r="B75" s="3">
        <f>(0.5)*$B$5*B$10*B$10*'S7055 Lift and Drag Function'!$B76*'Lift @ Cruising Speed vs. AoA'!$B$4</f>
        <v>3.4695062500000002</v>
      </c>
      <c r="C75" s="3">
        <f>(0.5)*$B$5*C$10*C$10*'S7055 Lift and Drag Function'!$B76*'Lift @ Cruising Speed vs. AoA'!$B$4</f>
        <v>13.878025000000001</v>
      </c>
      <c r="D75" s="3">
        <f>(0.5)*$B$5*D$10*D$10*'S7055 Lift and Drag Function'!$B76*'Lift @ Cruising Speed vs. AoA'!$B$4</f>
        <v>21.684414062500004</v>
      </c>
      <c r="E75" s="3">
        <f>(0.5)*$B$5*E$10*E$10*'S7055 Lift and Drag Function'!$B76*'Lift @ Cruising Speed vs. AoA'!$B$4</f>
        <v>31.22555625</v>
      </c>
      <c r="F75" s="3">
        <f>(0.5)*$B$5*F$10*F$10*'S7055 Lift and Drag Function'!$B76*'Lift @ Cruising Speed vs. AoA'!$B$4</f>
        <v>42.501451562500002</v>
      </c>
      <c r="G75" s="3">
        <f>(0.5)*$B$5*G$10*G$10*'S7055 Lift and Drag Function'!$B76*'Lift @ Cruising Speed vs. AoA'!$B$4</f>
        <v>55.512100000000004</v>
      </c>
      <c r="H75" s="3">
        <f>(0.5)*$B$5*H$10*H$10*'S7055 Lift and Drag Function'!$B76*'Lift @ Cruising Speed vs. AoA'!$B$4</f>
        <v>86.737656250000015</v>
      </c>
      <c r="I75" s="3">
        <f>(0.5)*$B$5*I$10*I$10*'S7055 Lift and Drag Function'!$B76*'Lift @ Cruising Speed vs. AoA'!$B$4</f>
        <v>124.902225</v>
      </c>
    </row>
    <row r="76" spans="1:9" x14ac:dyDescent="0.35">
      <c r="A76" s="1">
        <v>7.75</v>
      </c>
      <c r="B76" s="3">
        <f>(0.5)*$B$5*B$10*B$10*'S7055 Lift and Drag Function'!$B77*'Lift @ Cruising Speed vs. AoA'!$B$4</f>
        <v>3.5286124999999999</v>
      </c>
      <c r="C76" s="3">
        <f>(0.5)*$B$5*C$10*C$10*'S7055 Lift and Drag Function'!$B77*'Lift @ Cruising Speed vs. AoA'!$B$4</f>
        <v>14.11445</v>
      </c>
      <c r="D76" s="3">
        <f>(0.5)*$B$5*D$10*D$10*'S7055 Lift and Drag Function'!$B77*'Lift @ Cruising Speed vs. AoA'!$B$4</f>
        <v>22.053828125000003</v>
      </c>
      <c r="E76" s="3">
        <f>(0.5)*$B$5*E$10*E$10*'S7055 Lift and Drag Function'!$B77*'Lift @ Cruising Speed vs. AoA'!$B$4</f>
        <v>31.757512499999997</v>
      </c>
      <c r="F76" s="3">
        <f>(0.5)*$B$5*F$10*F$10*'S7055 Lift and Drag Function'!$B77*'Lift @ Cruising Speed vs. AoA'!$B$4</f>
        <v>43.225503124999996</v>
      </c>
      <c r="G76" s="3">
        <f>(0.5)*$B$5*G$10*G$10*'S7055 Lift and Drag Function'!$B77*'Lift @ Cruising Speed vs. AoA'!$B$4</f>
        <v>56.457799999999999</v>
      </c>
      <c r="H76" s="3">
        <f>(0.5)*$B$5*H$10*H$10*'S7055 Lift and Drag Function'!$B77*'Lift @ Cruising Speed vs. AoA'!$B$4</f>
        <v>88.21531250000001</v>
      </c>
      <c r="I76" s="3">
        <f>(0.5)*$B$5*I$10*I$10*'S7055 Lift and Drag Function'!$B77*'Lift @ Cruising Speed vs. AoA'!$B$4</f>
        <v>127.03004999999999</v>
      </c>
    </row>
    <row r="77" spans="1:9" x14ac:dyDescent="0.35">
      <c r="A77" s="1">
        <v>8</v>
      </c>
      <c r="B77" s="3">
        <f>(0.5)*$B$5*B$10*B$10*'S7055 Lift and Drag Function'!$B78*'Lift @ Cruising Speed vs. AoA'!$B$4</f>
        <v>3.5849625000000005</v>
      </c>
      <c r="C77" s="3">
        <f>(0.5)*$B$5*C$10*C$10*'S7055 Lift and Drag Function'!$B78*'Lift @ Cruising Speed vs. AoA'!$B$4</f>
        <v>14.339850000000002</v>
      </c>
      <c r="D77" s="3">
        <f>(0.5)*$B$5*D$10*D$10*'S7055 Lift and Drag Function'!$B78*'Lift @ Cruising Speed vs. AoA'!$B$4</f>
        <v>22.406015625000009</v>
      </c>
      <c r="E77" s="3">
        <f>(0.5)*$B$5*E$10*E$10*'S7055 Lift and Drag Function'!$B78*'Lift @ Cruising Speed vs. AoA'!$B$4</f>
        <v>32.264662500000007</v>
      </c>
      <c r="F77" s="3">
        <f>(0.5)*$B$5*F$10*F$10*'S7055 Lift and Drag Function'!$B78*'Lift @ Cruising Speed vs. AoA'!$B$4</f>
        <v>43.915790625000007</v>
      </c>
      <c r="G77" s="3">
        <f>(0.5)*$B$5*G$10*G$10*'S7055 Lift and Drag Function'!$B78*'Lift @ Cruising Speed vs. AoA'!$B$4</f>
        <v>57.359400000000008</v>
      </c>
      <c r="H77" s="3">
        <f>(0.5)*$B$5*H$10*H$10*'S7055 Lift and Drag Function'!$B78*'Lift @ Cruising Speed vs. AoA'!$B$4</f>
        <v>89.624062500000036</v>
      </c>
      <c r="I77" s="3">
        <f>(0.5)*$B$5*I$10*I$10*'S7055 Lift and Drag Function'!$B78*'Lift @ Cruising Speed vs. AoA'!$B$4</f>
        <v>129.05865000000003</v>
      </c>
    </row>
    <row r="78" spans="1:9" x14ac:dyDescent="0.35">
      <c r="A78" s="1">
        <v>8.25</v>
      </c>
      <c r="B78" s="3">
        <f>(0.5)*$B$5*B$10*B$10*'S7055 Lift and Drag Function'!$B79*'Lift @ Cruising Speed vs. AoA'!$B$4</f>
        <v>3.63671875</v>
      </c>
      <c r="C78" s="3">
        <f>(0.5)*$B$5*C$10*C$10*'S7055 Lift and Drag Function'!$B79*'Lift @ Cruising Speed vs. AoA'!$B$4</f>
        <v>14.546875</v>
      </c>
      <c r="D78" s="3">
        <f>(0.5)*$B$5*D$10*D$10*'S7055 Lift and Drag Function'!$B79*'Lift @ Cruising Speed vs. AoA'!$B$4</f>
        <v>22.729492187500004</v>
      </c>
      <c r="E78" s="3">
        <f>(0.5)*$B$5*E$10*E$10*'S7055 Lift and Drag Function'!$B79*'Lift @ Cruising Speed vs. AoA'!$B$4</f>
        <v>32.73046875</v>
      </c>
      <c r="F78" s="3">
        <f>(0.5)*$B$5*F$10*F$10*'S7055 Lift and Drag Function'!$B79*'Lift @ Cruising Speed vs. AoA'!$B$4</f>
        <v>44.5498046875</v>
      </c>
      <c r="G78" s="3">
        <f>(0.5)*$B$5*G$10*G$10*'S7055 Lift and Drag Function'!$B79*'Lift @ Cruising Speed vs. AoA'!$B$4</f>
        <v>58.1875</v>
      </c>
      <c r="H78" s="3">
        <f>(0.5)*$B$5*H$10*H$10*'S7055 Lift and Drag Function'!$B79*'Lift @ Cruising Speed vs. AoA'!$B$4</f>
        <v>90.917968750000014</v>
      </c>
      <c r="I78" s="3">
        <f>(0.5)*$B$5*I$10*I$10*'S7055 Lift and Drag Function'!$B79*'Lift @ Cruising Speed vs. AoA'!$B$4</f>
        <v>130.921875</v>
      </c>
    </row>
    <row r="79" spans="1:9" x14ac:dyDescent="0.35">
      <c r="A79" s="1">
        <v>8.5</v>
      </c>
      <c r="B79" s="3">
        <f>(0.5)*$B$5*B$10*B$10*'S7055 Lift and Drag Function'!$B80*'Lift @ Cruising Speed vs. AoA'!$B$4</f>
        <v>3.6857187500000004</v>
      </c>
      <c r="C79" s="3">
        <f>(0.5)*$B$5*C$10*C$10*'S7055 Lift and Drag Function'!$B80*'Lift @ Cruising Speed vs. AoA'!$B$4</f>
        <v>14.742875000000002</v>
      </c>
      <c r="D79" s="3">
        <f>(0.5)*$B$5*D$10*D$10*'S7055 Lift and Drag Function'!$B80*'Lift @ Cruising Speed vs. AoA'!$B$4</f>
        <v>23.035742187500006</v>
      </c>
      <c r="E79" s="3">
        <f>(0.5)*$B$5*E$10*E$10*'S7055 Lift and Drag Function'!$B80*'Lift @ Cruising Speed vs. AoA'!$B$4</f>
        <v>33.171468750000003</v>
      </c>
      <c r="F79" s="3">
        <f>(0.5)*$B$5*F$10*F$10*'S7055 Lift and Drag Function'!$B80*'Lift @ Cruising Speed vs. AoA'!$B$4</f>
        <v>45.150054687500003</v>
      </c>
      <c r="G79" s="3">
        <f>(0.5)*$B$5*G$10*G$10*'S7055 Lift and Drag Function'!$B80*'Lift @ Cruising Speed vs. AoA'!$B$4</f>
        <v>58.971500000000006</v>
      </c>
      <c r="H79" s="3">
        <f>(0.5)*$B$5*H$10*H$10*'S7055 Lift and Drag Function'!$B80*'Lift @ Cruising Speed vs. AoA'!$B$4</f>
        <v>92.142968750000023</v>
      </c>
      <c r="I79" s="3">
        <f>(0.5)*$B$5*I$10*I$10*'S7055 Lift and Drag Function'!$B80*'Lift @ Cruising Speed vs. AoA'!$B$4</f>
        <v>132.68587500000001</v>
      </c>
    </row>
    <row r="80" spans="1:9" x14ac:dyDescent="0.35">
      <c r="A80" s="1">
        <v>8.75</v>
      </c>
      <c r="B80" s="3">
        <f>(0.5)*$B$5*B$10*B$10*'S7055 Lift and Drag Function'!$B81*'Lift @ Cruising Speed vs. AoA'!$B$4</f>
        <v>3.73104375</v>
      </c>
      <c r="C80" s="3">
        <f>(0.5)*$B$5*C$10*C$10*'S7055 Lift and Drag Function'!$B81*'Lift @ Cruising Speed vs. AoA'!$B$4</f>
        <v>14.924175</v>
      </c>
      <c r="D80" s="3">
        <f>(0.5)*$B$5*D$10*D$10*'S7055 Lift and Drag Function'!$B81*'Lift @ Cruising Speed vs. AoA'!$B$4</f>
        <v>23.319023437500004</v>
      </c>
      <c r="E80" s="3">
        <f>(0.5)*$B$5*E$10*E$10*'S7055 Lift and Drag Function'!$B81*'Lift @ Cruising Speed vs. AoA'!$B$4</f>
        <v>33.579393750000001</v>
      </c>
      <c r="F80" s="3">
        <f>(0.5)*$B$5*F$10*F$10*'S7055 Lift and Drag Function'!$B81*'Lift @ Cruising Speed vs. AoA'!$B$4</f>
        <v>45.705285937500001</v>
      </c>
      <c r="G80" s="3">
        <f>(0.5)*$B$5*G$10*G$10*'S7055 Lift and Drag Function'!$B81*'Lift @ Cruising Speed vs. AoA'!$B$4</f>
        <v>59.6967</v>
      </c>
      <c r="H80" s="3">
        <f>(0.5)*$B$5*H$10*H$10*'S7055 Lift and Drag Function'!$B81*'Lift @ Cruising Speed vs. AoA'!$B$4</f>
        <v>93.276093750000015</v>
      </c>
      <c r="I80" s="3">
        <f>(0.5)*$B$5*I$10*I$10*'S7055 Lift and Drag Function'!$B81*'Lift @ Cruising Speed vs. AoA'!$B$4</f>
        <v>134.31757500000001</v>
      </c>
    </row>
    <row r="81" spans="1:9" x14ac:dyDescent="0.35">
      <c r="A81" s="1">
        <v>9</v>
      </c>
      <c r="B81" s="3">
        <f>(0.5)*$B$5*B$10*B$10*'S7055 Lift and Drag Function'!$B82*'Lift @ Cruising Speed vs. AoA'!$B$4</f>
        <v>3.7705500000000001</v>
      </c>
      <c r="C81" s="3">
        <f>(0.5)*$B$5*C$10*C$10*'S7055 Lift and Drag Function'!$B82*'Lift @ Cruising Speed vs. AoA'!$B$4</f>
        <v>15.0822</v>
      </c>
      <c r="D81" s="3">
        <f>(0.5)*$B$5*D$10*D$10*'S7055 Lift and Drag Function'!$B82*'Lift @ Cruising Speed vs. AoA'!$B$4</f>
        <v>23.565937500000004</v>
      </c>
      <c r="E81" s="3">
        <f>(0.5)*$B$5*E$10*E$10*'S7055 Lift and Drag Function'!$B82*'Lift @ Cruising Speed vs. AoA'!$B$4</f>
        <v>33.934950000000008</v>
      </c>
      <c r="F81" s="3">
        <f>(0.5)*$B$5*F$10*F$10*'S7055 Lift and Drag Function'!$B82*'Lift @ Cruising Speed vs. AoA'!$B$4</f>
        <v>46.189237500000004</v>
      </c>
      <c r="G81" s="3">
        <f>(0.5)*$B$5*G$10*G$10*'S7055 Lift and Drag Function'!$B82*'Lift @ Cruising Speed vs. AoA'!$B$4</f>
        <v>60.328800000000001</v>
      </c>
      <c r="H81" s="3">
        <f>(0.5)*$B$5*H$10*H$10*'S7055 Lift and Drag Function'!$B82*'Lift @ Cruising Speed vs. AoA'!$B$4</f>
        <v>94.263750000000016</v>
      </c>
      <c r="I81" s="3">
        <f>(0.5)*$B$5*I$10*I$10*'S7055 Lift and Drag Function'!$B82*'Lift @ Cruising Speed vs. AoA'!$B$4</f>
        <v>135.73980000000003</v>
      </c>
    </row>
    <row r="82" spans="1:9" x14ac:dyDescent="0.35">
      <c r="A82" s="1">
        <v>9.25</v>
      </c>
      <c r="B82" s="3">
        <f>(0.5)*$B$5*B$10*B$10*'S7055 Lift and Drag Function'!$B83*'Lift @ Cruising Speed vs. AoA'!$B$4</f>
        <v>3.8060749999999999</v>
      </c>
      <c r="C82" s="3">
        <f>(0.5)*$B$5*C$10*C$10*'S7055 Lift and Drag Function'!$B83*'Lift @ Cruising Speed vs. AoA'!$B$4</f>
        <v>15.224299999999999</v>
      </c>
      <c r="D82" s="3">
        <f>(0.5)*$B$5*D$10*D$10*'S7055 Lift and Drag Function'!$B83*'Lift @ Cruising Speed vs. AoA'!$B$4</f>
        <v>23.787968750000005</v>
      </c>
      <c r="E82" s="3">
        <f>(0.5)*$B$5*E$10*E$10*'S7055 Lift and Drag Function'!$B83*'Lift @ Cruising Speed vs. AoA'!$B$4</f>
        <v>34.254674999999999</v>
      </c>
      <c r="F82" s="3">
        <f>(0.5)*$B$5*F$10*F$10*'S7055 Lift and Drag Function'!$B83*'Lift @ Cruising Speed vs. AoA'!$B$4</f>
        <v>46.624418749999997</v>
      </c>
      <c r="G82" s="3">
        <f>(0.5)*$B$5*G$10*G$10*'S7055 Lift and Drag Function'!$B83*'Lift @ Cruising Speed vs. AoA'!$B$4</f>
        <v>60.897199999999998</v>
      </c>
      <c r="H82" s="3">
        <f>(0.5)*$B$5*H$10*H$10*'S7055 Lift and Drag Function'!$B83*'Lift @ Cruising Speed vs. AoA'!$B$4</f>
        <v>95.151875000000018</v>
      </c>
      <c r="I82" s="3">
        <f>(0.5)*$B$5*I$10*I$10*'S7055 Lift and Drag Function'!$B83*'Lift @ Cruising Speed vs. AoA'!$B$4</f>
        <v>137.0187</v>
      </c>
    </row>
    <row r="83" spans="1:9" x14ac:dyDescent="0.35">
      <c r="A83" s="1">
        <v>9.5</v>
      </c>
      <c r="B83" s="3">
        <f>(0.5)*$B$5*B$10*B$10*'S7055 Lift and Drag Function'!$B84*'Lift @ Cruising Speed vs. AoA'!$B$4</f>
        <v>3.8318000000000008</v>
      </c>
      <c r="C83" s="3">
        <f>(0.5)*$B$5*C$10*C$10*'S7055 Lift and Drag Function'!$B84*'Lift @ Cruising Speed vs. AoA'!$B$4</f>
        <v>15.327200000000003</v>
      </c>
      <c r="D83" s="3">
        <f>(0.5)*$B$5*D$10*D$10*'S7055 Lift and Drag Function'!$B84*'Lift @ Cruising Speed vs. AoA'!$B$4</f>
        <v>23.948750000000004</v>
      </c>
      <c r="E83" s="3">
        <f>(0.5)*$B$5*E$10*E$10*'S7055 Lift and Drag Function'!$B84*'Lift @ Cruising Speed vs. AoA'!$B$4</f>
        <v>34.486200000000004</v>
      </c>
      <c r="F83" s="3">
        <f>(0.5)*$B$5*F$10*F$10*'S7055 Lift and Drag Function'!$B84*'Lift @ Cruising Speed vs. AoA'!$B$4</f>
        <v>46.939550000000004</v>
      </c>
      <c r="G83" s="3">
        <f>(0.5)*$B$5*G$10*G$10*'S7055 Lift and Drag Function'!$B84*'Lift @ Cruising Speed vs. AoA'!$B$4</f>
        <v>61.308800000000012</v>
      </c>
      <c r="H83" s="3">
        <f>(0.5)*$B$5*H$10*H$10*'S7055 Lift and Drag Function'!$B84*'Lift @ Cruising Speed vs. AoA'!$B$4</f>
        <v>95.795000000000016</v>
      </c>
      <c r="I83" s="3">
        <f>(0.5)*$B$5*I$10*I$10*'S7055 Lift and Drag Function'!$B84*'Lift @ Cruising Speed vs. AoA'!$B$4</f>
        <v>137.94480000000001</v>
      </c>
    </row>
    <row r="84" spans="1:9" x14ac:dyDescent="0.35">
      <c r="A84" s="1">
        <v>9.75</v>
      </c>
      <c r="B84" s="3">
        <f>(0.5)*$B$5*B$10*B$10*'S7055 Lift and Drag Function'!$B85*'Lift @ Cruising Speed vs. AoA'!$B$4</f>
        <v>3.8465000000000007</v>
      </c>
      <c r="C84" s="3">
        <f>(0.5)*$B$5*C$10*C$10*'S7055 Lift and Drag Function'!$B85*'Lift @ Cruising Speed vs. AoA'!$B$4</f>
        <v>15.386000000000003</v>
      </c>
      <c r="D84" s="3">
        <f>(0.5)*$B$5*D$10*D$10*'S7055 Lift and Drag Function'!$B85*'Lift @ Cruising Speed vs. AoA'!$B$4</f>
        <v>24.040625000000006</v>
      </c>
      <c r="E84" s="3">
        <f>(0.5)*$B$5*E$10*E$10*'S7055 Lift and Drag Function'!$B85*'Lift @ Cruising Speed vs. AoA'!$B$4</f>
        <v>34.618500000000004</v>
      </c>
      <c r="F84" s="3">
        <f>(0.5)*$B$5*F$10*F$10*'S7055 Lift and Drag Function'!$B85*'Lift @ Cruising Speed vs. AoA'!$B$4</f>
        <v>47.119625000000006</v>
      </c>
      <c r="G84" s="3">
        <f>(0.5)*$B$5*G$10*G$10*'S7055 Lift and Drag Function'!$B85*'Lift @ Cruising Speed vs. AoA'!$B$4</f>
        <v>61.544000000000011</v>
      </c>
      <c r="H84" s="3">
        <f>(0.5)*$B$5*H$10*H$10*'S7055 Lift and Drag Function'!$B85*'Lift @ Cruising Speed vs. AoA'!$B$4</f>
        <v>96.162500000000023</v>
      </c>
      <c r="I84" s="3">
        <f>(0.5)*$B$5*I$10*I$10*'S7055 Lift and Drag Function'!$B85*'Lift @ Cruising Speed vs. AoA'!$B$4</f>
        <v>138.47400000000002</v>
      </c>
    </row>
    <row r="85" spans="1:9" x14ac:dyDescent="0.35">
      <c r="A85" s="1">
        <v>10</v>
      </c>
      <c r="B85" s="3">
        <f>(0.5)*$B$5*B$10*B$10*'S7055 Lift and Drag Function'!$B86*'Lift @ Cruising Speed vs. AoA'!$B$4</f>
        <v>3.8559937500000006</v>
      </c>
      <c r="C85" s="3">
        <f>(0.5)*$B$5*C$10*C$10*'S7055 Lift and Drag Function'!$B86*'Lift @ Cruising Speed vs. AoA'!$B$4</f>
        <v>15.423975000000002</v>
      </c>
      <c r="D85" s="3">
        <f>(0.5)*$B$5*D$10*D$10*'S7055 Lift and Drag Function'!$B86*'Lift @ Cruising Speed vs. AoA'!$B$4</f>
        <v>24.099960937500008</v>
      </c>
      <c r="E85" s="3">
        <f>(0.5)*$B$5*E$10*E$10*'S7055 Lift and Drag Function'!$B86*'Lift @ Cruising Speed vs. AoA'!$B$4</f>
        <v>34.703943750000001</v>
      </c>
      <c r="F85" s="3">
        <f>(0.5)*$B$5*F$10*F$10*'S7055 Lift and Drag Function'!$B86*'Lift @ Cruising Speed vs. AoA'!$B$4</f>
        <v>47.235923437500006</v>
      </c>
      <c r="G85" s="3">
        <f>(0.5)*$B$5*G$10*G$10*'S7055 Lift and Drag Function'!$B86*'Lift @ Cruising Speed vs. AoA'!$B$4</f>
        <v>61.695900000000009</v>
      </c>
      <c r="H85" s="3">
        <f>(0.5)*$B$5*H$10*H$10*'S7055 Lift and Drag Function'!$B86*'Lift @ Cruising Speed vs. AoA'!$B$4</f>
        <v>96.399843750000031</v>
      </c>
      <c r="I85" s="3">
        <f>(0.5)*$B$5*I$10*I$10*'S7055 Lift and Drag Function'!$B86*'Lift @ Cruising Speed vs. AoA'!$B$4</f>
        <v>138.815775</v>
      </c>
    </row>
    <row r="86" spans="1:9" x14ac:dyDescent="0.35">
      <c r="A86" s="1">
        <v>10.25</v>
      </c>
      <c r="B86" s="3">
        <f>(0.5)*$B$5*B$10*B$10*'S7055 Lift and Drag Function'!$B87*'Lift @ Cruising Speed vs. AoA'!$B$4</f>
        <v>3.8648750000000001</v>
      </c>
      <c r="C86" s="3">
        <f>(0.5)*$B$5*C$10*C$10*'S7055 Lift and Drag Function'!$B87*'Lift @ Cruising Speed vs. AoA'!$B$4</f>
        <v>15.4595</v>
      </c>
      <c r="D86" s="3">
        <f>(0.5)*$B$5*D$10*D$10*'S7055 Lift and Drag Function'!$B87*'Lift @ Cruising Speed vs. AoA'!$B$4</f>
        <v>24.155468750000004</v>
      </c>
      <c r="E86" s="3">
        <f>(0.5)*$B$5*E$10*E$10*'S7055 Lift and Drag Function'!$B87*'Lift @ Cruising Speed vs. AoA'!$B$4</f>
        <v>34.783875000000002</v>
      </c>
      <c r="F86" s="3">
        <f>(0.5)*$B$5*F$10*F$10*'S7055 Lift and Drag Function'!$B87*'Lift @ Cruising Speed vs. AoA'!$B$4</f>
        <v>47.344718749999998</v>
      </c>
      <c r="G86" s="3">
        <f>(0.5)*$B$5*G$10*G$10*'S7055 Lift and Drag Function'!$B87*'Lift @ Cruising Speed vs. AoA'!$B$4</f>
        <v>61.838000000000001</v>
      </c>
      <c r="H86" s="3">
        <f>(0.5)*$B$5*H$10*H$10*'S7055 Lift and Drag Function'!$B87*'Lift @ Cruising Speed vs. AoA'!$B$4</f>
        <v>96.621875000000017</v>
      </c>
      <c r="I86" s="3">
        <f>(0.5)*$B$5*I$10*I$10*'S7055 Lift and Drag Function'!$B87*'Lift @ Cruising Speed vs. AoA'!$B$4</f>
        <v>139.13550000000001</v>
      </c>
    </row>
    <row r="87" spans="1:9" x14ac:dyDescent="0.35">
      <c r="A87" s="1">
        <v>10.5</v>
      </c>
      <c r="B87" s="3">
        <f>(0.5)*$B$5*B$10*B$10*'S7055 Lift and Drag Function'!$B88*'Lift @ Cruising Speed vs. AoA'!$B$4</f>
        <v>3.8728375000000002</v>
      </c>
      <c r="C87" s="3">
        <f>(0.5)*$B$5*C$10*C$10*'S7055 Lift and Drag Function'!$B88*'Lift @ Cruising Speed vs. AoA'!$B$4</f>
        <v>15.491350000000001</v>
      </c>
      <c r="D87" s="3">
        <f>(0.5)*$B$5*D$10*D$10*'S7055 Lift and Drag Function'!$B88*'Lift @ Cruising Speed vs. AoA'!$B$4</f>
        <v>24.205234375000003</v>
      </c>
      <c r="E87" s="3">
        <f>(0.5)*$B$5*E$10*E$10*'S7055 Lift and Drag Function'!$B88*'Lift @ Cruising Speed vs. AoA'!$B$4</f>
        <v>34.855537499999997</v>
      </c>
      <c r="F87" s="3">
        <f>(0.5)*$B$5*F$10*F$10*'S7055 Lift and Drag Function'!$B88*'Lift @ Cruising Speed vs. AoA'!$B$4</f>
        <v>47.442259374999999</v>
      </c>
      <c r="G87" s="3">
        <f>(0.5)*$B$5*G$10*G$10*'S7055 Lift and Drag Function'!$B88*'Lift @ Cruising Speed vs. AoA'!$B$4</f>
        <v>61.965400000000002</v>
      </c>
      <c r="H87" s="3">
        <f>(0.5)*$B$5*H$10*H$10*'S7055 Lift and Drag Function'!$B88*'Lift @ Cruising Speed vs. AoA'!$B$4</f>
        <v>96.820937500000014</v>
      </c>
      <c r="I87" s="3">
        <f>(0.5)*$B$5*I$10*I$10*'S7055 Lift and Drag Function'!$B88*'Lift @ Cruising Speed vs. AoA'!$B$4</f>
        <v>139.42214999999999</v>
      </c>
    </row>
    <row r="88" spans="1:9" x14ac:dyDescent="0.35">
      <c r="A88" s="1">
        <v>10.75</v>
      </c>
      <c r="B88" s="3">
        <f>(0.5)*$B$5*B$10*B$10*'S7055 Lift and Drag Function'!$B89*'Lift @ Cruising Speed vs. AoA'!$B$4</f>
        <v>3.8746750000000008</v>
      </c>
      <c r="C88" s="3">
        <f>(0.5)*$B$5*C$10*C$10*'S7055 Lift and Drag Function'!$B89*'Lift @ Cruising Speed vs. AoA'!$B$4</f>
        <v>15.498700000000003</v>
      </c>
      <c r="D88" s="3">
        <f>(0.5)*$B$5*D$10*D$10*'S7055 Lift and Drag Function'!$B89*'Lift @ Cruising Speed vs. AoA'!$B$4</f>
        <v>24.216718750000009</v>
      </c>
      <c r="E88" s="3">
        <f>(0.5)*$B$5*E$10*E$10*'S7055 Lift and Drag Function'!$B89*'Lift @ Cruising Speed vs. AoA'!$B$4</f>
        <v>34.872075000000002</v>
      </c>
      <c r="F88" s="3">
        <f>(0.5)*$B$5*F$10*F$10*'S7055 Lift and Drag Function'!$B89*'Lift @ Cruising Speed vs. AoA'!$B$4</f>
        <v>47.464768750000005</v>
      </c>
      <c r="G88" s="3">
        <f>(0.5)*$B$5*G$10*G$10*'S7055 Lift and Drag Function'!$B89*'Lift @ Cruising Speed vs. AoA'!$B$4</f>
        <v>61.994800000000012</v>
      </c>
      <c r="H88" s="3">
        <f>(0.5)*$B$5*H$10*H$10*'S7055 Lift and Drag Function'!$B89*'Lift @ Cruising Speed vs. AoA'!$B$4</f>
        <v>96.866875000000036</v>
      </c>
      <c r="I88" s="3">
        <f>(0.5)*$B$5*I$10*I$10*'S7055 Lift and Drag Function'!$B89*'Lift @ Cruising Speed vs. AoA'!$B$4</f>
        <v>139.48830000000001</v>
      </c>
    </row>
    <row r="89" spans="1:9" x14ac:dyDescent="0.35">
      <c r="A89" s="1">
        <v>11</v>
      </c>
      <c r="B89" s="3">
        <f>(0.5)*$B$5*B$10*B$10*'S7055 Lift and Drag Function'!$B90*'Lift @ Cruising Speed vs. AoA'!$B$4</f>
        <v>3.8633437500000003</v>
      </c>
      <c r="C89" s="3">
        <f>(0.5)*$B$5*C$10*C$10*'S7055 Lift and Drag Function'!$B90*'Lift @ Cruising Speed vs. AoA'!$B$4</f>
        <v>15.453375000000001</v>
      </c>
      <c r="D89" s="3">
        <f>(0.5)*$B$5*D$10*D$10*'S7055 Lift and Drag Function'!$B90*'Lift @ Cruising Speed vs. AoA'!$B$4</f>
        <v>24.145898437500009</v>
      </c>
      <c r="E89" s="3">
        <f>(0.5)*$B$5*E$10*E$10*'S7055 Lift and Drag Function'!$B90*'Lift @ Cruising Speed vs. AoA'!$B$4</f>
        <v>34.770093750000001</v>
      </c>
      <c r="F89" s="3">
        <f>(0.5)*$B$5*F$10*F$10*'S7055 Lift and Drag Function'!$B90*'Lift @ Cruising Speed vs. AoA'!$B$4</f>
        <v>47.325960937500007</v>
      </c>
      <c r="G89" s="3">
        <f>(0.5)*$B$5*G$10*G$10*'S7055 Lift and Drag Function'!$B90*'Lift @ Cruising Speed vs. AoA'!$B$4</f>
        <v>61.813500000000005</v>
      </c>
      <c r="H89" s="3">
        <f>(0.5)*$B$5*H$10*H$10*'S7055 Lift and Drag Function'!$B90*'Lift @ Cruising Speed vs. AoA'!$B$4</f>
        <v>96.583593750000034</v>
      </c>
      <c r="I89" s="3">
        <f>(0.5)*$B$5*I$10*I$10*'S7055 Lift and Drag Function'!$B90*'Lift @ Cruising Speed vs. AoA'!$B$4</f>
        <v>139.080375</v>
      </c>
    </row>
    <row r="90" spans="1:9" x14ac:dyDescent="0.35">
      <c r="A90" s="1">
        <v>11.25</v>
      </c>
      <c r="B90" s="3">
        <f>(0.5)*$B$5*B$10*B$10*'S7055 Lift and Drag Function'!$B91*'Lift @ Cruising Speed vs. AoA'!$B$4</f>
        <v>3.8431312499999999</v>
      </c>
      <c r="C90" s="3">
        <f>(0.5)*$B$5*C$10*C$10*'S7055 Lift and Drag Function'!$B91*'Lift @ Cruising Speed vs. AoA'!$B$4</f>
        <v>15.372525</v>
      </c>
      <c r="D90" s="3">
        <f>(0.5)*$B$5*D$10*D$10*'S7055 Lift and Drag Function'!$B91*'Lift @ Cruising Speed vs. AoA'!$B$4</f>
        <v>24.019570312500004</v>
      </c>
      <c r="E90" s="3">
        <f>(0.5)*$B$5*E$10*E$10*'S7055 Lift and Drag Function'!$B91*'Lift @ Cruising Speed vs. AoA'!$B$4</f>
        <v>34.588181249999998</v>
      </c>
      <c r="F90" s="3">
        <f>(0.5)*$B$5*F$10*F$10*'S7055 Lift and Drag Function'!$B91*'Lift @ Cruising Speed vs. AoA'!$B$4</f>
        <v>47.078357812500002</v>
      </c>
      <c r="G90" s="3">
        <f>(0.5)*$B$5*G$10*G$10*'S7055 Lift and Drag Function'!$B91*'Lift @ Cruising Speed vs. AoA'!$B$4</f>
        <v>61.490099999999998</v>
      </c>
      <c r="H90" s="3">
        <f>(0.5)*$B$5*H$10*H$10*'S7055 Lift and Drag Function'!$B91*'Lift @ Cruising Speed vs. AoA'!$B$4</f>
        <v>96.078281250000018</v>
      </c>
      <c r="I90" s="3">
        <f>(0.5)*$B$5*I$10*I$10*'S7055 Lift and Drag Function'!$B91*'Lift @ Cruising Speed vs. AoA'!$B$4</f>
        <v>138.35272499999999</v>
      </c>
    </row>
    <row r="91" spans="1:9" x14ac:dyDescent="0.35">
      <c r="A91" s="1">
        <v>11.5</v>
      </c>
      <c r="B91" s="3">
        <f>(0.5)*$B$5*B$10*B$10*'S7055 Lift and Drag Function'!$B92*'Lift @ Cruising Speed vs. AoA'!$B$4</f>
        <v>3.8232250000000003</v>
      </c>
      <c r="C91" s="3">
        <f>(0.5)*$B$5*C$10*C$10*'S7055 Lift and Drag Function'!$B92*'Lift @ Cruising Speed vs. AoA'!$B$4</f>
        <v>15.292900000000001</v>
      </c>
      <c r="D91" s="3">
        <f>(0.5)*$B$5*D$10*D$10*'S7055 Lift and Drag Function'!$B92*'Lift @ Cruising Speed vs. AoA'!$B$4</f>
        <v>23.895156250000003</v>
      </c>
      <c r="E91" s="3">
        <f>(0.5)*$B$5*E$10*E$10*'S7055 Lift and Drag Function'!$B92*'Lift @ Cruising Speed vs. AoA'!$B$4</f>
        <v>34.409025</v>
      </c>
      <c r="F91" s="3">
        <f>(0.5)*$B$5*F$10*F$10*'S7055 Lift and Drag Function'!$B92*'Lift @ Cruising Speed vs. AoA'!$B$4</f>
        <v>46.834506250000004</v>
      </c>
      <c r="G91" s="3">
        <f>(0.5)*$B$5*G$10*G$10*'S7055 Lift and Drag Function'!$B92*'Lift @ Cruising Speed vs. AoA'!$B$4</f>
        <v>61.171600000000005</v>
      </c>
      <c r="H91" s="3">
        <f>(0.5)*$B$5*H$10*H$10*'S7055 Lift and Drag Function'!$B92*'Lift @ Cruising Speed vs. AoA'!$B$4</f>
        <v>95.580625000000012</v>
      </c>
      <c r="I91" s="3">
        <f>(0.5)*$B$5*I$10*I$10*'S7055 Lift and Drag Function'!$B92*'Lift @ Cruising Speed vs. AoA'!$B$4</f>
        <v>137.6361</v>
      </c>
    </row>
    <row r="92" spans="1:9" x14ac:dyDescent="0.35">
      <c r="A92" s="1">
        <v>11.75</v>
      </c>
      <c r="B92" s="3">
        <f>(0.5)*$B$5*B$10*B$10*'S7055 Lift and Drag Function'!$B93*'Lift @ Cruising Speed vs. AoA'!$B$4</f>
        <v>3.7944375000000004</v>
      </c>
      <c r="C92" s="3">
        <f>(0.5)*$B$5*C$10*C$10*'S7055 Lift and Drag Function'!$B93*'Lift @ Cruising Speed vs. AoA'!$B$4</f>
        <v>15.177750000000001</v>
      </c>
      <c r="D92" s="3">
        <f>(0.5)*$B$5*D$10*D$10*'S7055 Lift and Drag Function'!$B93*'Lift @ Cruising Speed vs. AoA'!$B$4</f>
        <v>23.715234375000009</v>
      </c>
      <c r="E92" s="3">
        <f>(0.5)*$B$5*E$10*E$10*'S7055 Lift and Drag Function'!$B93*'Lift @ Cruising Speed vs. AoA'!$B$4</f>
        <v>34.149937500000007</v>
      </c>
      <c r="F92" s="3">
        <f>(0.5)*$B$5*F$10*F$10*'S7055 Lift and Drag Function'!$B93*'Lift @ Cruising Speed vs. AoA'!$B$4</f>
        <v>46.481859375000006</v>
      </c>
      <c r="G92" s="3">
        <f>(0.5)*$B$5*G$10*G$10*'S7055 Lift and Drag Function'!$B93*'Lift @ Cruising Speed vs. AoA'!$B$4</f>
        <v>60.711000000000006</v>
      </c>
      <c r="H92" s="3">
        <f>(0.5)*$B$5*H$10*H$10*'S7055 Lift and Drag Function'!$B93*'Lift @ Cruising Speed vs. AoA'!$B$4</f>
        <v>94.860937500000034</v>
      </c>
      <c r="I92" s="3">
        <f>(0.5)*$B$5*I$10*I$10*'S7055 Lift and Drag Function'!$B93*'Lift @ Cruising Speed vs. AoA'!$B$4</f>
        <v>136.59975000000003</v>
      </c>
    </row>
    <row r="93" spans="1:9" x14ac:dyDescent="0.35">
      <c r="A93" s="1">
        <v>12</v>
      </c>
      <c r="B93" s="3">
        <f>(0.5)*$B$5*B$10*B$10*'S7055 Lift and Drag Function'!$B94*'Lift @ Cruising Speed vs. AoA'!$B$4</f>
        <v>3.7929062500000001</v>
      </c>
      <c r="C93" s="3">
        <f>(0.5)*$B$5*C$10*C$10*'S7055 Lift and Drag Function'!$B94*'Lift @ Cruising Speed vs. AoA'!$B$4</f>
        <v>15.171625000000001</v>
      </c>
      <c r="D93" s="3">
        <f>(0.5)*$B$5*D$10*D$10*'S7055 Lift and Drag Function'!$B94*'Lift @ Cruising Speed vs. AoA'!$B$4</f>
        <v>23.705664062500006</v>
      </c>
      <c r="E93" s="3">
        <f>(0.5)*$B$5*E$10*E$10*'S7055 Lift and Drag Function'!$B94*'Lift @ Cruising Speed vs. AoA'!$B$4</f>
        <v>34.136156249999999</v>
      </c>
      <c r="F93" s="3">
        <f>(0.5)*$B$5*F$10*F$10*'S7055 Lift and Drag Function'!$B94*'Lift @ Cruising Speed vs. AoA'!$B$4</f>
        <v>46.4631015625</v>
      </c>
      <c r="G93" s="3">
        <f>(0.5)*$B$5*G$10*G$10*'S7055 Lift and Drag Function'!$B94*'Lift @ Cruising Speed vs. AoA'!$B$4</f>
        <v>60.686500000000002</v>
      </c>
      <c r="H93" s="3">
        <f>(0.5)*$B$5*H$10*H$10*'S7055 Lift and Drag Function'!$B94*'Lift @ Cruising Speed vs. AoA'!$B$4</f>
        <v>94.822656250000023</v>
      </c>
      <c r="I93" s="3">
        <f>(0.5)*$B$5*I$10*I$10*'S7055 Lift and Drag Function'!$B94*'Lift @ Cruising Speed vs. AoA'!$B$4</f>
        <v>136.544625</v>
      </c>
    </row>
    <row r="94" spans="1:9" x14ac:dyDescent="0.35">
      <c r="A94" s="1">
        <v>12.25</v>
      </c>
      <c r="B94" s="3">
        <f>(0.5)*$B$5*B$10*B$10*'S7055 Lift and Drag Function'!$B95*'Lift @ Cruising Speed vs. AoA'!$B$4</f>
        <v>3.7824937500000004</v>
      </c>
      <c r="C94" s="3">
        <f>(0.5)*$B$5*C$10*C$10*'S7055 Lift and Drag Function'!$B95*'Lift @ Cruising Speed vs. AoA'!$B$4</f>
        <v>15.129975000000002</v>
      </c>
      <c r="D94" s="3">
        <f>(0.5)*$B$5*D$10*D$10*'S7055 Lift and Drag Function'!$B95*'Lift @ Cruising Speed vs. AoA'!$B$4</f>
        <v>23.640585937500006</v>
      </c>
      <c r="E94" s="3">
        <f>(0.5)*$B$5*E$10*E$10*'S7055 Lift and Drag Function'!$B95*'Lift @ Cruising Speed vs. AoA'!$B$4</f>
        <v>34.042443750000004</v>
      </c>
      <c r="F94" s="3">
        <f>(0.5)*$B$5*F$10*F$10*'S7055 Lift and Drag Function'!$B95*'Lift @ Cruising Speed vs. AoA'!$B$4</f>
        <v>46.335548437500009</v>
      </c>
      <c r="G94" s="3">
        <f>(0.5)*$B$5*G$10*G$10*'S7055 Lift and Drag Function'!$B95*'Lift @ Cruising Speed vs. AoA'!$B$4</f>
        <v>60.519900000000007</v>
      </c>
      <c r="H94" s="3">
        <f>(0.5)*$B$5*H$10*H$10*'S7055 Lift and Drag Function'!$B95*'Lift @ Cruising Speed vs. AoA'!$B$4</f>
        <v>94.562343750000025</v>
      </c>
      <c r="I94" s="3">
        <f>(0.5)*$B$5*I$10*I$10*'S7055 Lift and Drag Function'!$B95*'Lift @ Cruising Speed vs. AoA'!$B$4</f>
        <v>136.16977500000002</v>
      </c>
    </row>
    <row r="95" spans="1:9" x14ac:dyDescent="0.35">
      <c r="A95" s="1">
        <v>12.5</v>
      </c>
      <c r="B95" s="3">
        <f>(0.5)*$B$5*B$10*B$10*'S7055 Lift and Drag Function'!$B96*'Lift @ Cruising Speed vs. AoA'!$B$4</f>
        <v>3.7592187500000005</v>
      </c>
      <c r="C95" s="3">
        <f>(0.5)*$B$5*C$10*C$10*'S7055 Lift and Drag Function'!$B96*'Lift @ Cruising Speed vs. AoA'!$B$4</f>
        <v>15.036875000000002</v>
      </c>
      <c r="D95" s="3">
        <f>(0.5)*$B$5*D$10*D$10*'S7055 Lift and Drag Function'!$B96*'Lift @ Cruising Speed vs. AoA'!$B$4</f>
        <v>23.495117187500004</v>
      </c>
      <c r="E95" s="3">
        <f>(0.5)*$B$5*E$10*E$10*'S7055 Lift and Drag Function'!$B96*'Lift @ Cruising Speed vs. AoA'!$B$4</f>
        <v>33.832968750000006</v>
      </c>
      <c r="F95" s="3">
        <f>(0.5)*$B$5*F$10*F$10*'S7055 Lift and Drag Function'!$B96*'Lift @ Cruising Speed vs. AoA'!$B$4</f>
        <v>46.050429687500007</v>
      </c>
      <c r="G95" s="3">
        <f>(0.5)*$B$5*G$10*G$10*'S7055 Lift and Drag Function'!$B96*'Lift @ Cruising Speed vs. AoA'!$B$4</f>
        <v>60.147500000000008</v>
      </c>
      <c r="H95" s="3">
        <f>(0.5)*$B$5*H$10*H$10*'S7055 Lift and Drag Function'!$B96*'Lift @ Cruising Speed vs. AoA'!$B$4</f>
        <v>93.980468750000014</v>
      </c>
      <c r="I95" s="3">
        <f>(0.5)*$B$5*I$10*I$10*'S7055 Lift and Drag Function'!$B96*'Lift @ Cruising Speed vs. AoA'!$B$4</f>
        <v>135.33187500000003</v>
      </c>
    </row>
    <row r="96" spans="1:9" x14ac:dyDescent="0.35">
      <c r="A96" s="1">
        <v>12.75</v>
      </c>
      <c r="B96" s="3">
        <f>(0.5)*$B$5*B$10*B$10*'S7055 Lift and Drag Function'!$B97*'Lift @ Cruising Speed vs. AoA'!$B$4</f>
        <v>3.7429874999999999</v>
      </c>
      <c r="C96" s="3">
        <f>(0.5)*$B$5*C$10*C$10*'S7055 Lift and Drag Function'!$B97*'Lift @ Cruising Speed vs. AoA'!$B$4</f>
        <v>14.97195</v>
      </c>
      <c r="D96" s="3">
        <f>(0.5)*$B$5*D$10*D$10*'S7055 Lift and Drag Function'!$B97*'Lift @ Cruising Speed vs. AoA'!$B$4</f>
        <v>23.393671875000006</v>
      </c>
      <c r="E96" s="3">
        <f>(0.5)*$B$5*E$10*E$10*'S7055 Lift and Drag Function'!$B97*'Lift @ Cruising Speed vs. AoA'!$B$4</f>
        <v>33.686887500000005</v>
      </c>
      <c r="F96" s="3">
        <f>(0.5)*$B$5*F$10*F$10*'S7055 Lift and Drag Function'!$B97*'Lift @ Cruising Speed vs. AoA'!$B$4</f>
        <v>45.851596874999998</v>
      </c>
      <c r="G96" s="3">
        <f>(0.5)*$B$5*G$10*G$10*'S7055 Lift and Drag Function'!$B97*'Lift @ Cruising Speed vs. AoA'!$B$4</f>
        <v>59.887799999999999</v>
      </c>
      <c r="H96" s="3">
        <f>(0.5)*$B$5*H$10*H$10*'S7055 Lift and Drag Function'!$B97*'Lift @ Cruising Speed vs. AoA'!$B$4</f>
        <v>93.574687500000024</v>
      </c>
      <c r="I96" s="3">
        <f>(0.5)*$B$5*I$10*I$10*'S7055 Lift and Drag Function'!$B97*'Lift @ Cruising Speed vs. AoA'!$B$4</f>
        <v>134.74755000000002</v>
      </c>
    </row>
    <row r="97" spans="1:9" x14ac:dyDescent="0.35">
      <c r="A97" s="1">
        <v>13</v>
      </c>
      <c r="B97" s="3">
        <f>(0.5)*$B$5*B$10*B$10*'S7055 Lift and Drag Function'!$B98*'Lift @ Cruising Speed vs. AoA'!$B$4</f>
        <v>3.7469687500000002</v>
      </c>
      <c r="C97" s="3">
        <f>(0.5)*$B$5*C$10*C$10*'S7055 Lift and Drag Function'!$B98*'Lift @ Cruising Speed vs. AoA'!$B$4</f>
        <v>14.987875000000001</v>
      </c>
      <c r="D97" s="3">
        <f>(0.5)*$B$5*D$10*D$10*'S7055 Lift and Drag Function'!$B98*'Lift @ Cruising Speed vs. AoA'!$B$4</f>
        <v>23.418554687500006</v>
      </c>
      <c r="E97" s="3">
        <f>(0.5)*$B$5*E$10*E$10*'S7055 Lift and Drag Function'!$B98*'Lift @ Cruising Speed vs. AoA'!$B$4</f>
        <v>33.722718750000006</v>
      </c>
      <c r="F97" s="3">
        <f>(0.5)*$B$5*F$10*F$10*'S7055 Lift and Drag Function'!$B98*'Lift @ Cruising Speed vs. AoA'!$B$4</f>
        <v>45.900367187500002</v>
      </c>
      <c r="G97" s="3">
        <f>(0.5)*$B$5*G$10*G$10*'S7055 Lift and Drag Function'!$B98*'Lift @ Cruising Speed vs. AoA'!$B$4</f>
        <v>59.951500000000003</v>
      </c>
      <c r="H97" s="3">
        <f>(0.5)*$B$5*H$10*H$10*'S7055 Lift and Drag Function'!$B98*'Lift @ Cruising Speed vs. AoA'!$B$4</f>
        <v>93.674218750000023</v>
      </c>
      <c r="I97" s="3">
        <f>(0.5)*$B$5*I$10*I$10*'S7055 Lift and Drag Function'!$B98*'Lift @ Cruising Speed vs. AoA'!$B$4</f>
        <v>134.89087500000002</v>
      </c>
    </row>
    <row r="98" spans="1:9" x14ac:dyDescent="0.35">
      <c r="A98" s="1">
        <v>13.25</v>
      </c>
      <c r="B98" s="3">
        <f>(0.5)*$B$5*B$10*B$10*'S7055 Lift and Drag Function'!$B99*'Lift @ Cruising Speed vs. AoA'!$B$4</f>
        <v>3.7509500000000005</v>
      </c>
      <c r="C98" s="3">
        <f>(0.5)*$B$5*C$10*C$10*'S7055 Lift and Drag Function'!$B99*'Lift @ Cruising Speed vs. AoA'!$B$4</f>
        <v>15.003800000000002</v>
      </c>
      <c r="D98" s="3">
        <f>(0.5)*$B$5*D$10*D$10*'S7055 Lift and Drag Function'!$B99*'Lift @ Cruising Speed vs. AoA'!$B$4</f>
        <v>23.443437500000005</v>
      </c>
      <c r="E98" s="3">
        <f>(0.5)*$B$5*E$10*E$10*'S7055 Lift and Drag Function'!$B99*'Lift @ Cruising Speed vs. AoA'!$B$4</f>
        <v>33.758550000000007</v>
      </c>
      <c r="F98" s="3">
        <f>(0.5)*$B$5*F$10*F$10*'S7055 Lift and Drag Function'!$B99*'Lift @ Cruising Speed vs. AoA'!$B$4</f>
        <v>45.949137500000006</v>
      </c>
      <c r="G98" s="3">
        <f>(0.5)*$B$5*G$10*G$10*'S7055 Lift and Drag Function'!$B99*'Lift @ Cruising Speed vs. AoA'!$B$4</f>
        <v>60.015200000000007</v>
      </c>
      <c r="H98" s="3">
        <f>(0.5)*$B$5*H$10*H$10*'S7055 Lift and Drag Function'!$B99*'Lift @ Cruising Speed vs. AoA'!$B$4</f>
        <v>93.773750000000021</v>
      </c>
      <c r="I98" s="3">
        <f>(0.5)*$B$5*I$10*I$10*'S7055 Lift and Drag Function'!$B99*'Lift @ Cruising Speed vs. AoA'!$B$4</f>
        <v>135.03420000000003</v>
      </c>
    </row>
    <row r="99" spans="1:9" x14ac:dyDescent="0.35">
      <c r="A99" s="1">
        <v>13.5</v>
      </c>
      <c r="B99" s="3">
        <f>(0.5)*$B$5*B$10*B$10*'S7055 Lift and Drag Function'!$B100*'Lift @ Cruising Speed vs. AoA'!$B$4</f>
        <v>3.7573812500000003</v>
      </c>
      <c r="C99" s="3">
        <f>(0.5)*$B$5*C$10*C$10*'S7055 Lift and Drag Function'!$B100*'Lift @ Cruising Speed vs. AoA'!$B$4</f>
        <v>15.029525000000001</v>
      </c>
      <c r="D99" s="3">
        <f>(0.5)*$B$5*D$10*D$10*'S7055 Lift and Drag Function'!$B100*'Lift @ Cruising Speed vs. AoA'!$B$4</f>
        <v>23.483632812500005</v>
      </c>
      <c r="E99" s="3">
        <f>(0.5)*$B$5*E$10*E$10*'S7055 Lift and Drag Function'!$B100*'Lift @ Cruising Speed vs. AoA'!$B$4</f>
        <v>33.816431250000008</v>
      </c>
      <c r="F99" s="3">
        <f>(0.5)*$B$5*F$10*F$10*'S7055 Lift and Drag Function'!$B100*'Lift @ Cruising Speed vs. AoA'!$B$4</f>
        <v>46.027920312500008</v>
      </c>
      <c r="G99" s="3">
        <f>(0.5)*$B$5*G$10*G$10*'S7055 Lift and Drag Function'!$B100*'Lift @ Cruising Speed vs. AoA'!$B$4</f>
        <v>60.118100000000005</v>
      </c>
      <c r="H99" s="3">
        <f>(0.5)*$B$5*H$10*H$10*'S7055 Lift and Drag Function'!$B100*'Lift @ Cruising Speed vs. AoA'!$B$4</f>
        <v>93.93453125000002</v>
      </c>
      <c r="I99" s="3">
        <f>(0.5)*$B$5*I$10*I$10*'S7055 Lift and Drag Function'!$B100*'Lift @ Cruising Speed vs. AoA'!$B$4</f>
        <v>135.26572500000003</v>
      </c>
    </row>
    <row r="100" spans="1:9" x14ac:dyDescent="0.35">
      <c r="A100" s="1">
        <v>13.75</v>
      </c>
      <c r="B100" s="3">
        <f>(0.5)*$B$5*B$10*B$10*'S7055 Lift and Drag Function'!$B101*'Lift @ Cruising Speed vs. AoA'!$B$4</f>
        <v>3.7668750000000006</v>
      </c>
      <c r="C100" s="3">
        <f>(0.5)*$B$5*C$10*C$10*'S7055 Lift and Drag Function'!$B101*'Lift @ Cruising Speed vs. AoA'!$B$4</f>
        <v>15.067500000000003</v>
      </c>
      <c r="D100" s="3">
        <f>(0.5)*$B$5*D$10*D$10*'S7055 Lift and Drag Function'!$B101*'Lift @ Cruising Speed vs. AoA'!$B$4</f>
        <v>23.542968750000004</v>
      </c>
      <c r="E100" s="3">
        <f>(0.5)*$B$5*E$10*E$10*'S7055 Lift and Drag Function'!$B101*'Lift @ Cruising Speed vs. AoA'!$B$4</f>
        <v>33.901875000000004</v>
      </c>
      <c r="F100" s="3">
        <f>(0.5)*$B$5*F$10*F$10*'S7055 Lift and Drag Function'!$B101*'Lift @ Cruising Speed vs. AoA'!$B$4</f>
        <v>46.14421875</v>
      </c>
      <c r="G100" s="3">
        <f>(0.5)*$B$5*G$10*G$10*'S7055 Lift and Drag Function'!$B101*'Lift @ Cruising Speed vs. AoA'!$B$4</f>
        <v>60.27000000000001</v>
      </c>
      <c r="H100" s="3">
        <f>(0.5)*$B$5*H$10*H$10*'S7055 Lift and Drag Function'!$B101*'Lift @ Cruising Speed vs. AoA'!$B$4</f>
        <v>94.171875000000014</v>
      </c>
      <c r="I100" s="3">
        <f>(0.5)*$B$5*I$10*I$10*'S7055 Lift and Drag Function'!$B101*'Lift @ Cruising Speed vs. AoA'!$B$4</f>
        <v>135.60750000000002</v>
      </c>
    </row>
    <row r="101" spans="1:9" x14ac:dyDescent="0.35">
      <c r="A101" s="1">
        <v>14</v>
      </c>
      <c r="B101" s="3">
        <f>(0.5)*$B$5*B$10*B$10*'S7055 Lift and Drag Function'!$B102*'Lift @ Cruising Speed vs. AoA'!$B$4</f>
        <v>3.7736125000000005</v>
      </c>
      <c r="C101" s="3">
        <f>(0.5)*$B$5*C$10*C$10*'S7055 Lift and Drag Function'!$B102*'Lift @ Cruising Speed vs. AoA'!$B$4</f>
        <v>15.094450000000002</v>
      </c>
      <c r="D101" s="3">
        <f>(0.5)*$B$5*D$10*D$10*'S7055 Lift and Drag Function'!$B102*'Lift @ Cruising Speed vs. AoA'!$B$4</f>
        <v>23.585078125000006</v>
      </c>
      <c r="E101" s="3">
        <f>(0.5)*$B$5*E$10*E$10*'S7055 Lift and Drag Function'!$B102*'Lift @ Cruising Speed vs. AoA'!$B$4</f>
        <v>33.962512499999995</v>
      </c>
      <c r="F101" s="3">
        <f>(0.5)*$B$5*F$10*F$10*'S7055 Lift and Drag Function'!$B102*'Lift @ Cruising Speed vs. AoA'!$B$4</f>
        <v>46.226753125000002</v>
      </c>
      <c r="G101" s="3">
        <f>(0.5)*$B$5*G$10*G$10*'S7055 Lift and Drag Function'!$B102*'Lift @ Cruising Speed vs. AoA'!$B$4</f>
        <v>60.377800000000008</v>
      </c>
      <c r="H101" s="3">
        <f>(0.5)*$B$5*H$10*H$10*'S7055 Lift and Drag Function'!$B102*'Lift @ Cruising Speed vs. AoA'!$B$4</f>
        <v>94.340312500000024</v>
      </c>
      <c r="I101" s="3">
        <f>(0.5)*$B$5*I$10*I$10*'S7055 Lift and Drag Function'!$B102*'Lift @ Cruising Speed vs. AoA'!$B$4</f>
        <v>135.85004999999998</v>
      </c>
    </row>
    <row r="102" spans="1:9" x14ac:dyDescent="0.35">
      <c r="A102" s="1">
        <v>14.25</v>
      </c>
      <c r="B102" s="3">
        <f>(0.5)*$B$5*B$10*B$10*'S7055 Lift and Drag Function'!$B103*'Lift @ Cruising Speed vs. AoA'!$B$4</f>
        <v>3.7818812500000001</v>
      </c>
      <c r="C102" s="3">
        <f>(0.5)*$B$5*C$10*C$10*'S7055 Lift and Drag Function'!$B103*'Lift @ Cruising Speed vs. AoA'!$B$4</f>
        <v>15.127525</v>
      </c>
      <c r="D102" s="3">
        <f>(0.5)*$B$5*D$10*D$10*'S7055 Lift and Drag Function'!$B103*'Lift @ Cruising Speed vs. AoA'!$B$4</f>
        <v>23.636757812500008</v>
      </c>
      <c r="E102" s="3">
        <f>(0.5)*$B$5*E$10*E$10*'S7055 Lift and Drag Function'!$B103*'Lift @ Cruising Speed vs. AoA'!$B$4</f>
        <v>34.036931250000002</v>
      </c>
      <c r="F102" s="3">
        <f>(0.5)*$B$5*F$10*F$10*'S7055 Lift and Drag Function'!$B103*'Lift @ Cruising Speed vs. AoA'!$B$4</f>
        <v>46.328045312500009</v>
      </c>
      <c r="G102" s="3">
        <f>(0.5)*$B$5*G$10*G$10*'S7055 Lift and Drag Function'!$B103*'Lift @ Cruising Speed vs. AoA'!$B$4</f>
        <v>60.510100000000001</v>
      </c>
      <c r="H102" s="3">
        <f>(0.5)*$B$5*H$10*H$10*'S7055 Lift and Drag Function'!$B103*'Lift @ Cruising Speed vs. AoA'!$B$4</f>
        <v>94.547031250000032</v>
      </c>
      <c r="I102" s="3">
        <f>(0.5)*$B$5*I$10*I$10*'S7055 Lift and Drag Function'!$B103*'Lift @ Cruising Speed vs. AoA'!$B$4</f>
        <v>136.14772500000001</v>
      </c>
    </row>
    <row r="103" spans="1:9" x14ac:dyDescent="0.35">
      <c r="A103" s="1">
        <v>14.5</v>
      </c>
      <c r="B103" s="3">
        <f>(0.5)*$B$5*B$10*B$10*'S7055 Lift and Drag Function'!$B104*'Lift @ Cruising Speed vs. AoA'!$B$4</f>
        <v>3.7898437500000002</v>
      </c>
      <c r="C103" s="3">
        <f>(0.5)*$B$5*C$10*C$10*'S7055 Lift and Drag Function'!$B104*'Lift @ Cruising Speed vs. AoA'!$B$4</f>
        <v>15.159375000000001</v>
      </c>
      <c r="D103" s="3">
        <f>(0.5)*$B$5*D$10*D$10*'S7055 Lift and Drag Function'!$B104*'Lift @ Cruising Speed vs. AoA'!$B$4</f>
        <v>23.686523437500007</v>
      </c>
      <c r="E103" s="3">
        <f>(0.5)*$B$5*E$10*E$10*'S7055 Lift and Drag Function'!$B104*'Lift @ Cruising Speed vs. AoA'!$B$4</f>
        <v>34.108593750000004</v>
      </c>
      <c r="F103" s="3">
        <f>(0.5)*$B$5*F$10*F$10*'S7055 Lift and Drag Function'!$B104*'Lift @ Cruising Speed vs. AoA'!$B$4</f>
        <v>46.425585937500003</v>
      </c>
      <c r="G103" s="3">
        <f>(0.5)*$B$5*G$10*G$10*'S7055 Lift and Drag Function'!$B104*'Lift @ Cruising Speed vs. AoA'!$B$4</f>
        <v>60.637500000000003</v>
      </c>
      <c r="H103" s="3">
        <f>(0.5)*$B$5*H$10*H$10*'S7055 Lift and Drag Function'!$B104*'Lift @ Cruising Speed vs. AoA'!$B$4</f>
        <v>94.746093750000028</v>
      </c>
      <c r="I103" s="3">
        <f>(0.5)*$B$5*I$10*I$10*'S7055 Lift and Drag Function'!$B104*'Lift @ Cruising Speed vs. AoA'!$B$4</f>
        <v>136.43437500000002</v>
      </c>
    </row>
    <row r="104" spans="1:9" x14ac:dyDescent="0.35">
      <c r="A104" s="1">
        <v>14.75</v>
      </c>
      <c r="B104" s="3">
        <f>(0.5)*$B$5*B$10*B$10*'S7055 Lift and Drag Function'!$B105*'Lift @ Cruising Speed vs. AoA'!$B$4</f>
        <v>3.7925999999999997</v>
      </c>
      <c r="C104" s="3">
        <f>(0.5)*$B$5*C$10*C$10*'S7055 Lift and Drag Function'!$B105*'Lift @ Cruising Speed vs. AoA'!$B$4</f>
        <v>15.170399999999999</v>
      </c>
      <c r="D104" s="3">
        <f>(0.5)*$B$5*D$10*D$10*'S7055 Lift and Drag Function'!$B105*'Lift @ Cruising Speed vs. AoA'!$B$4</f>
        <v>23.703750000000003</v>
      </c>
      <c r="E104" s="3">
        <f>(0.5)*$B$5*E$10*E$10*'S7055 Lift and Drag Function'!$B105*'Lift @ Cruising Speed vs. AoA'!$B$4</f>
        <v>34.133400000000002</v>
      </c>
      <c r="F104" s="3">
        <f>(0.5)*$B$5*F$10*F$10*'S7055 Lift and Drag Function'!$B105*'Lift @ Cruising Speed vs. AoA'!$B$4</f>
        <v>46.459350000000001</v>
      </c>
      <c r="G104" s="3">
        <f>(0.5)*$B$5*G$10*G$10*'S7055 Lift and Drag Function'!$B105*'Lift @ Cruising Speed vs. AoA'!$B$4</f>
        <v>60.681599999999996</v>
      </c>
      <c r="H104" s="3">
        <f>(0.5)*$B$5*H$10*H$10*'S7055 Lift and Drag Function'!$B105*'Lift @ Cruising Speed vs. AoA'!$B$4</f>
        <v>94.815000000000012</v>
      </c>
      <c r="I104" s="3">
        <f>(0.5)*$B$5*I$10*I$10*'S7055 Lift and Drag Function'!$B105*'Lift @ Cruising Speed vs. AoA'!$B$4</f>
        <v>136.53360000000001</v>
      </c>
    </row>
    <row r="105" spans="1:9" x14ac:dyDescent="0.35">
      <c r="A105" s="1">
        <v>15</v>
      </c>
      <c r="B105" s="3">
        <f>(0.5)*$B$5*B$10*B$10*'S7055 Lift and Drag Function'!$B106*'Lift @ Cruising Speed vs. AoA'!$B$4</f>
        <v>3.7910687500000004</v>
      </c>
      <c r="C105" s="3">
        <f>(0.5)*$B$5*C$10*C$10*'S7055 Lift and Drag Function'!$B106*'Lift @ Cruising Speed vs. AoA'!$B$4</f>
        <v>15.164275000000002</v>
      </c>
      <c r="D105" s="3">
        <f>(0.5)*$B$5*D$10*D$10*'S7055 Lift and Drag Function'!$B106*'Lift @ Cruising Speed vs. AoA'!$B$4</f>
        <v>23.694179687500004</v>
      </c>
      <c r="E105" s="3">
        <f>(0.5)*$B$5*E$10*E$10*'S7055 Lift and Drag Function'!$B106*'Lift @ Cruising Speed vs. AoA'!$B$4</f>
        <v>34.119618750000001</v>
      </c>
      <c r="F105" s="3">
        <f>(0.5)*$B$5*F$10*F$10*'S7055 Lift and Drag Function'!$B106*'Lift @ Cruising Speed vs. AoA'!$B$4</f>
        <v>46.440592187500002</v>
      </c>
      <c r="G105" s="3">
        <f>(0.5)*$B$5*G$10*G$10*'S7055 Lift and Drag Function'!$B106*'Lift @ Cruising Speed vs. AoA'!$B$4</f>
        <v>60.657100000000007</v>
      </c>
      <c r="H105" s="3">
        <f>(0.5)*$B$5*H$10*H$10*'S7055 Lift and Drag Function'!$B106*'Lift @ Cruising Speed vs. AoA'!$B$4</f>
        <v>94.776718750000015</v>
      </c>
      <c r="I105" s="3">
        <f>(0.5)*$B$5*I$10*I$10*'S7055 Lift and Drag Function'!$B106*'Lift @ Cruising Speed vs. AoA'!$B$4</f>
        <v>136.478475</v>
      </c>
    </row>
    <row r="106" spans="1:9" x14ac:dyDescent="0.35">
      <c r="A106" s="1">
        <v>15.25</v>
      </c>
      <c r="B106" s="3">
        <f>(0.5)*$B$5*B$10*B$10*'S7055 Lift and Drag Function'!$B107*'Lift @ Cruising Speed vs. AoA'!$B$4</f>
        <v>3.7824937500000004</v>
      </c>
      <c r="C106" s="3">
        <f>(0.5)*$B$5*C$10*C$10*'S7055 Lift and Drag Function'!$B107*'Lift @ Cruising Speed vs. AoA'!$B$4</f>
        <v>15.129975000000002</v>
      </c>
      <c r="D106" s="3">
        <f>(0.5)*$B$5*D$10*D$10*'S7055 Lift and Drag Function'!$B107*'Lift @ Cruising Speed vs. AoA'!$B$4</f>
        <v>23.640585937500006</v>
      </c>
      <c r="E106" s="3">
        <f>(0.5)*$B$5*E$10*E$10*'S7055 Lift and Drag Function'!$B107*'Lift @ Cruising Speed vs. AoA'!$B$4</f>
        <v>34.042443750000004</v>
      </c>
      <c r="F106" s="3">
        <f>(0.5)*$B$5*F$10*F$10*'S7055 Lift and Drag Function'!$B107*'Lift @ Cruising Speed vs. AoA'!$B$4</f>
        <v>46.335548437500009</v>
      </c>
      <c r="G106" s="3">
        <f>(0.5)*$B$5*G$10*G$10*'S7055 Lift and Drag Function'!$B107*'Lift @ Cruising Speed vs. AoA'!$B$4</f>
        <v>60.519900000000007</v>
      </c>
      <c r="H106" s="3">
        <f>(0.5)*$B$5*H$10*H$10*'S7055 Lift and Drag Function'!$B107*'Lift @ Cruising Speed vs. AoA'!$B$4</f>
        <v>94.562343750000025</v>
      </c>
      <c r="I106" s="3">
        <f>(0.5)*$B$5*I$10*I$10*'S7055 Lift and Drag Function'!$B107*'Lift @ Cruising Speed vs. AoA'!$B$4</f>
        <v>136.16977500000002</v>
      </c>
    </row>
    <row r="107" spans="1:9" x14ac:dyDescent="0.35">
      <c r="A107" s="1">
        <v>15.5</v>
      </c>
      <c r="B107" s="3">
        <f>(0.5)*$B$5*B$10*B$10*'S7055 Lift and Drag Function'!$B108*'Lift @ Cruising Speed vs. AoA'!$B$4</f>
        <v>3.7644250000000001</v>
      </c>
      <c r="C107" s="3">
        <f>(0.5)*$B$5*C$10*C$10*'S7055 Lift and Drag Function'!$B108*'Lift @ Cruising Speed vs. AoA'!$B$4</f>
        <v>15.057700000000001</v>
      </c>
      <c r="D107" s="3">
        <f>(0.5)*$B$5*D$10*D$10*'S7055 Lift and Drag Function'!$B108*'Lift @ Cruising Speed vs. AoA'!$B$4</f>
        <v>23.527656250000007</v>
      </c>
      <c r="E107" s="3">
        <f>(0.5)*$B$5*E$10*E$10*'S7055 Lift and Drag Function'!$B108*'Lift @ Cruising Speed vs. AoA'!$B$4</f>
        <v>33.879825000000004</v>
      </c>
      <c r="F107" s="3">
        <f>(0.5)*$B$5*F$10*F$10*'S7055 Lift and Drag Function'!$B108*'Lift @ Cruising Speed vs. AoA'!$B$4</f>
        <v>46.114206250000002</v>
      </c>
      <c r="G107" s="3">
        <f>(0.5)*$B$5*G$10*G$10*'S7055 Lift and Drag Function'!$B108*'Lift @ Cruising Speed vs. AoA'!$B$4</f>
        <v>60.230800000000002</v>
      </c>
      <c r="H107" s="3">
        <f>(0.5)*$B$5*H$10*H$10*'S7055 Lift and Drag Function'!$B108*'Lift @ Cruising Speed vs. AoA'!$B$4</f>
        <v>94.110625000000027</v>
      </c>
      <c r="I107" s="3">
        <f>(0.5)*$B$5*I$10*I$10*'S7055 Lift and Drag Function'!$B108*'Lift @ Cruising Speed vs. AoA'!$B$4</f>
        <v>135.51930000000002</v>
      </c>
    </row>
    <row r="108" spans="1:9" x14ac:dyDescent="0.35">
      <c r="A108" s="1">
        <v>15.75</v>
      </c>
      <c r="B108" s="3">
        <f>(0.5)*$B$5*B$10*B$10*'S7055 Lift and Drag Function'!$B109*'Lift @ Cruising Speed vs. AoA'!$B$4</f>
        <v>3.7374749999999999</v>
      </c>
      <c r="C108" s="3">
        <f>(0.5)*$B$5*C$10*C$10*'S7055 Lift and Drag Function'!$B109*'Lift @ Cruising Speed vs. AoA'!$B$4</f>
        <v>14.9499</v>
      </c>
      <c r="D108" s="3">
        <f>(0.5)*$B$5*D$10*D$10*'S7055 Lift and Drag Function'!$B109*'Lift @ Cruising Speed vs. AoA'!$B$4</f>
        <v>23.359218750000004</v>
      </c>
      <c r="E108" s="3">
        <f>(0.5)*$B$5*E$10*E$10*'S7055 Lift and Drag Function'!$B109*'Lift @ Cruising Speed vs. AoA'!$B$4</f>
        <v>33.637275000000002</v>
      </c>
      <c r="F108" s="3">
        <f>(0.5)*$B$5*F$10*F$10*'S7055 Lift and Drag Function'!$B109*'Lift @ Cruising Speed vs. AoA'!$B$4</f>
        <v>45.784068750000003</v>
      </c>
      <c r="G108" s="3">
        <f>(0.5)*$B$5*G$10*G$10*'S7055 Lift and Drag Function'!$B109*'Lift @ Cruising Speed vs. AoA'!$B$4</f>
        <v>59.799599999999998</v>
      </c>
      <c r="H108" s="3">
        <f>(0.5)*$B$5*H$10*H$10*'S7055 Lift and Drag Function'!$B109*'Lift @ Cruising Speed vs. AoA'!$B$4</f>
        <v>93.436875000000015</v>
      </c>
      <c r="I108" s="3">
        <f>(0.5)*$B$5*I$10*I$10*'S7055 Lift and Drag Function'!$B109*'Lift @ Cruising Speed vs. AoA'!$B$4</f>
        <v>134.54910000000001</v>
      </c>
    </row>
    <row r="109" spans="1:9" x14ac:dyDescent="0.35">
      <c r="A109" s="1">
        <v>16</v>
      </c>
      <c r="B109" s="3">
        <f>(0.5)*$B$5*B$10*B$10*'S7055 Lift and Drag Function'!$B110*'Lift @ Cruising Speed vs. AoA'!$B$4</f>
        <v>3.69123125</v>
      </c>
      <c r="C109" s="3">
        <f>(0.5)*$B$5*C$10*C$10*'S7055 Lift and Drag Function'!$B110*'Lift @ Cruising Speed vs. AoA'!$B$4</f>
        <v>14.764925</v>
      </c>
      <c r="D109" s="3">
        <f>(0.5)*$B$5*D$10*D$10*'S7055 Lift and Drag Function'!$B110*'Lift @ Cruising Speed vs. AoA'!$B$4</f>
        <v>23.070195312500005</v>
      </c>
      <c r="E109" s="3">
        <f>(0.5)*$B$5*E$10*E$10*'S7055 Lift and Drag Function'!$B110*'Lift @ Cruising Speed vs. AoA'!$B$4</f>
        <v>33.221081250000005</v>
      </c>
      <c r="F109" s="3">
        <f>(0.5)*$B$5*F$10*F$10*'S7055 Lift and Drag Function'!$B110*'Lift @ Cruising Speed vs. AoA'!$B$4</f>
        <v>45.217582812500005</v>
      </c>
      <c r="G109" s="3">
        <f>(0.5)*$B$5*G$10*G$10*'S7055 Lift and Drag Function'!$B110*'Lift @ Cruising Speed vs. AoA'!$B$4</f>
        <v>59.059699999999999</v>
      </c>
      <c r="H109" s="3">
        <f>(0.5)*$B$5*H$10*H$10*'S7055 Lift and Drag Function'!$B110*'Lift @ Cruising Speed vs. AoA'!$B$4</f>
        <v>92.280781250000018</v>
      </c>
      <c r="I109" s="3">
        <f>(0.5)*$B$5*I$10*I$10*'S7055 Lift and Drag Function'!$B110*'Lift @ Cruising Speed vs. AoA'!$B$4</f>
        <v>132.88432500000002</v>
      </c>
    </row>
    <row r="110" spans="1:9" x14ac:dyDescent="0.35">
      <c r="A110" s="1">
        <v>16.25</v>
      </c>
      <c r="B110" s="3">
        <f>(0.5)*$B$5*B$10*B$10*'S7055 Lift and Drag Function'!$B111*'Lift @ Cruising Speed vs. AoA'!$B$4</f>
        <v>3.6486625000000004</v>
      </c>
      <c r="C110" s="3">
        <f>(0.5)*$B$5*C$10*C$10*'S7055 Lift and Drag Function'!$B111*'Lift @ Cruising Speed vs. AoA'!$B$4</f>
        <v>14.594650000000001</v>
      </c>
      <c r="D110" s="3">
        <f>(0.5)*$B$5*D$10*D$10*'S7055 Lift and Drag Function'!$B111*'Lift @ Cruising Speed vs. AoA'!$B$4</f>
        <v>22.804140625000002</v>
      </c>
      <c r="E110" s="3">
        <f>(0.5)*$B$5*E$10*E$10*'S7055 Lift and Drag Function'!$B111*'Lift @ Cruising Speed vs. AoA'!$B$4</f>
        <v>32.837962499999996</v>
      </c>
      <c r="F110" s="3">
        <f>(0.5)*$B$5*F$10*F$10*'S7055 Lift and Drag Function'!$B111*'Lift @ Cruising Speed vs. AoA'!$B$4</f>
        <v>44.696115625000004</v>
      </c>
      <c r="G110" s="3">
        <f>(0.5)*$B$5*G$10*G$10*'S7055 Lift and Drag Function'!$B111*'Lift @ Cruising Speed vs. AoA'!$B$4</f>
        <v>58.378600000000006</v>
      </c>
      <c r="H110" s="3">
        <f>(0.5)*$B$5*H$10*H$10*'S7055 Lift and Drag Function'!$B111*'Lift @ Cruising Speed vs. AoA'!$B$4</f>
        <v>91.216562500000009</v>
      </c>
      <c r="I110" s="3">
        <f>(0.5)*$B$5*I$10*I$10*'S7055 Lift and Drag Function'!$B111*'Lift @ Cruising Speed vs. AoA'!$B$4</f>
        <v>131.35184999999998</v>
      </c>
    </row>
    <row r="111" spans="1:9" x14ac:dyDescent="0.35">
      <c r="A111" s="1">
        <v>16.5</v>
      </c>
      <c r="B111" s="3">
        <f>(0.5)*$B$5*B$10*B$10*'S7055 Lift and Drag Function'!$B112*'Lift @ Cruising Speed vs. AoA'!$B$4</f>
        <v>3.6278375000000005</v>
      </c>
      <c r="C111" s="3">
        <f>(0.5)*$B$5*C$10*C$10*'S7055 Lift and Drag Function'!$B112*'Lift @ Cruising Speed vs. AoA'!$B$4</f>
        <v>14.511350000000002</v>
      </c>
      <c r="D111" s="3">
        <f>(0.5)*$B$5*D$10*D$10*'S7055 Lift and Drag Function'!$B112*'Lift @ Cruising Speed vs. AoA'!$B$4</f>
        <v>22.673984375000007</v>
      </c>
      <c r="E111" s="3">
        <f>(0.5)*$B$5*E$10*E$10*'S7055 Lift and Drag Function'!$B112*'Lift @ Cruising Speed vs. AoA'!$B$4</f>
        <v>32.650537500000006</v>
      </c>
      <c r="F111" s="3">
        <f>(0.5)*$B$5*F$10*F$10*'S7055 Lift and Drag Function'!$B112*'Lift @ Cruising Speed vs. AoA'!$B$4</f>
        <v>44.441009375000007</v>
      </c>
      <c r="G111" s="3">
        <f>(0.5)*$B$5*G$10*G$10*'S7055 Lift and Drag Function'!$B112*'Lift @ Cruising Speed vs. AoA'!$B$4</f>
        <v>58.045400000000008</v>
      </c>
      <c r="H111" s="3">
        <f>(0.5)*$B$5*H$10*H$10*'S7055 Lift and Drag Function'!$B112*'Lift @ Cruising Speed vs. AoA'!$B$4</f>
        <v>90.695937500000028</v>
      </c>
      <c r="I111" s="3">
        <f>(0.5)*$B$5*I$10*I$10*'S7055 Lift and Drag Function'!$B112*'Lift @ Cruising Speed vs. AoA'!$B$4</f>
        <v>130.60215000000002</v>
      </c>
    </row>
    <row r="112" spans="1:9" x14ac:dyDescent="0.35">
      <c r="A112" s="1">
        <v>16.75</v>
      </c>
      <c r="B112" s="3">
        <f>(0.5)*$B$5*B$10*B$10*'S7055 Lift and Drag Function'!$B113*'Lift @ Cruising Speed vs. AoA'!$B$4</f>
        <v>3.5623</v>
      </c>
      <c r="C112" s="3">
        <f>(0.5)*$B$5*C$10*C$10*'S7055 Lift and Drag Function'!$B113*'Lift @ Cruising Speed vs. AoA'!$B$4</f>
        <v>14.2492</v>
      </c>
      <c r="D112" s="3">
        <f>(0.5)*$B$5*D$10*D$10*'S7055 Lift and Drag Function'!$B113*'Lift @ Cruising Speed vs. AoA'!$B$4</f>
        <v>22.264375000000005</v>
      </c>
      <c r="E112" s="3">
        <f>(0.5)*$B$5*E$10*E$10*'S7055 Lift and Drag Function'!$B113*'Lift @ Cruising Speed vs. AoA'!$B$4</f>
        <v>32.060700000000004</v>
      </c>
      <c r="F112" s="3">
        <f>(0.5)*$B$5*F$10*F$10*'S7055 Lift and Drag Function'!$B113*'Lift @ Cruising Speed vs. AoA'!$B$4</f>
        <v>43.638175000000004</v>
      </c>
      <c r="G112" s="3">
        <f>(0.5)*$B$5*G$10*G$10*'S7055 Lift and Drag Function'!$B113*'Lift @ Cruising Speed vs. AoA'!$B$4</f>
        <v>56.9968</v>
      </c>
      <c r="H112" s="3">
        <f>(0.5)*$B$5*H$10*H$10*'S7055 Lift and Drag Function'!$B113*'Lift @ Cruising Speed vs. AoA'!$B$4</f>
        <v>89.057500000000019</v>
      </c>
      <c r="I112" s="3">
        <f>(0.5)*$B$5*I$10*I$10*'S7055 Lift and Drag Function'!$B113*'Lift @ Cruising Speed vs. AoA'!$B$4</f>
        <v>128.24280000000002</v>
      </c>
    </row>
    <row r="113" spans="1:9" x14ac:dyDescent="0.35">
      <c r="A113" s="1">
        <v>17</v>
      </c>
      <c r="B113" s="3">
        <f>(0.5)*$B$5*B$10*B$10*'S7055 Lift and Drag Function'!$B114*'Lift @ Cruising Speed vs. AoA'!$B$4</f>
        <v>3.53933125</v>
      </c>
      <c r="C113" s="3">
        <f>(0.5)*$B$5*C$10*C$10*'S7055 Lift and Drag Function'!$B114*'Lift @ Cruising Speed vs. AoA'!$B$4</f>
        <v>14.157325</v>
      </c>
      <c r="D113" s="3">
        <f>(0.5)*$B$5*D$10*D$10*'S7055 Lift and Drag Function'!$B114*'Lift @ Cruising Speed vs. AoA'!$B$4</f>
        <v>22.120820312500001</v>
      </c>
      <c r="E113" s="3">
        <f>(0.5)*$B$5*E$10*E$10*'S7055 Lift and Drag Function'!$B114*'Lift @ Cruising Speed vs. AoA'!$B$4</f>
        <v>31.85398125</v>
      </c>
      <c r="F113" s="3">
        <f>(0.5)*$B$5*F$10*F$10*'S7055 Lift and Drag Function'!$B114*'Lift @ Cruising Speed vs. AoA'!$B$4</f>
        <v>43.356807812500001</v>
      </c>
      <c r="G113" s="3">
        <f>(0.5)*$B$5*G$10*G$10*'S7055 Lift and Drag Function'!$B114*'Lift @ Cruising Speed vs. AoA'!$B$4</f>
        <v>56.629300000000001</v>
      </c>
      <c r="H113" s="3">
        <f>(0.5)*$B$5*H$10*H$10*'S7055 Lift and Drag Function'!$B114*'Lift @ Cruising Speed vs. AoA'!$B$4</f>
        <v>88.483281250000005</v>
      </c>
      <c r="I113" s="3">
        <f>(0.5)*$B$5*I$10*I$10*'S7055 Lift and Drag Function'!$B114*'Lift @ Cruising Speed vs. AoA'!$B$4</f>
        <v>127.415925</v>
      </c>
    </row>
    <row r="114" spans="1:9" x14ac:dyDescent="0.35">
      <c r="A114" s="1">
        <v>17.25</v>
      </c>
      <c r="B114" s="3">
        <f>(0.5)*$B$5*B$10*B$10*'S7055 Lift and Drag Function'!$B115*'Lift @ Cruising Speed vs. AoA'!$B$4</f>
        <v>3.48543125</v>
      </c>
      <c r="C114" s="3">
        <f>(0.5)*$B$5*C$10*C$10*'S7055 Lift and Drag Function'!$B115*'Lift @ Cruising Speed vs. AoA'!$B$4</f>
        <v>13.941725</v>
      </c>
      <c r="D114" s="3">
        <f>(0.5)*$B$5*D$10*D$10*'S7055 Lift and Drag Function'!$B115*'Lift @ Cruising Speed vs. AoA'!$B$4</f>
        <v>21.783945312500002</v>
      </c>
      <c r="E114" s="3">
        <f>(0.5)*$B$5*E$10*E$10*'S7055 Lift and Drag Function'!$B115*'Lift @ Cruising Speed vs. AoA'!$B$4</f>
        <v>31.368881250000001</v>
      </c>
      <c r="F114" s="3">
        <f>(0.5)*$B$5*F$10*F$10*'S7055 Lift and Drag Function'!$B115*'Lift @ Cruising Speed vs. AoA'!$B$4</f>
        <v>42.696532812500003</v>
      </c>
      <c r="G114" s="3">
        <f>(0.5)*$B$5*G$10*G$10*'S7055 Lift and Drag Function'!$B115*'Lift @ Cruising Speed vs. AoA'!$B$4</f>
        <v>55.7669</v>
      </c>
      <c r="H114" s="3">
        <f>(0.5)*$B$5*H$10*H$10*'S7055 Lift and Drag Function'!$B115*'Lift @ Cruising Speed vs. AoA'!$B$4</f>
        <v>87.135781250000008</v>
      </c>
      <c r="I114" s="3">
        <f>(0.5)*$B$5*I$10*I$10*'S7055 Lift and Drag Function'!$B115*'Lift @ Cruising Speed vs. AoA'!$B$4</f>
        <v>125.475525</v>
      </c>
    </row>
    <row r="115" spans="1:9" x14ac:dyDescent="0.35">
      <c r="A115" s="1">
        <v>17.5</v>
      </c>
      <c r="B115" s="3">
        <f>(0.5)*$B$5*B$10*B$10*'S7055 Lift and Drag Function'!$B116*'Lift @ Cruising Speed vs. AoA'!$B$4</f>
        <v>3.4511312500000004</v>
      </c>
      <c r="C115" s="3">
        <f>(0.5)*$B$5*C$10*C$10*'S7055 Lift and Drag Function'!$B116*'Lift @ Cruising Speed vs. AoA'!$B$4</f>
        <v>13.804525000000002</v>
      </c>
      <c r="D115" s="3">
        <f>(0.5)*$B$5*D$10*D$10*'S7055 Lift and Drag Function'!$B116*'Lift @ Cruising Speed vs. AoA'!$B$4</f>
        <v>21.569570312500005</v>
      </c>
      <c r="E115" s="3">
        <f>(0.5)*$B$5*E$10*E$10*'S7055 Lift and Drag Function'!$B116*'Lift @ Cruising Speed vs. AoA'!$B$4</f>
        <v>31.060181249999999</v>
      </c>
      <c r="F115" s="3">
        <f>(0.5)*$B$5*F$10*F$10*'S7055 Lift and Drag Function'!$B116*'Lift @ Cruising Speed vs. AoA'!$B$4</f>
        <v>42.276357812500002</v>
      </c>
      <c r="G115" s="3">
        <f>(0.5)*$B$5*G$10*G$10*'S7055 Lift and Drag Function'!$B116*'Lift @ Cruising Speed vs. AoA'!$B$4</f>
        <v>55.218100000000007</v>
      </c>
      <c r="H115" s="3">
        <f>(0.5)*$B$5*H$10*H$10*'S7055 Lift and Drag Function'!$B116*'Lift @ Cruising Speed vs. AoA'!$B$4</f>
        <v>86.27828125000002</v>
      </c>
      <c r="I115" s="3">
        <f>(0.5)*$B$5*I$10*I$10*'S7055 Lift and Drag Function'!$B116*'Lift @ Cruising Speed vs. AoA'!$B$4</f>
        <v>124.240725</v>
      </c>
    </row>
    <row r="116" spans="1:9" x14ac:dyDescent="0.35">
      <c r="A116" s="1">
        <v>17.75</v>
      </c>
      <c r="B116" s="3">
        <f>(0.5)*$B$5*B$10*B$10*'S7055 Lift and Drag Function'!$B117*'Lift @ Cruising Speed vs. AoA'!$B$4</f>
        <v>3.3978437499999998</v>
      </c>
      <c r="C116" s="3">
        <f>(0.5)*$B$5*C$10*C$10*'S7055 Lift and Drag Function'!$B117*'Lift @ Cruising Speed vs. AoA'!$B$4</f>
        <v>13.591374999999999</v>
      </c>
      <c r="D116" s="3">
        <f>(0.5)*$B$5*D$10*D$10*'S7055 Lift and Drag Function'!$B117*'Lift @ Cruising Speed vs. AoA'!$B$4</f>
        <v>21.236523437500004</v>
      </c>
      <c r="E116" s="3">
        <f>(0.5)*$B$5*E$10*E$10*'S7055 Lift and Drag Function'!$B117*'Lift @ Cruising Speed vs. AoA'!$B$4</f>
        <v>30.580593749999998</v>
      </c>
      <c r="F116" s="3">
        <f>(0.5)*$B$5*F$10*F$10*'S7055 Lift and Drag Function'!$B117*'Lift @ Cruising Speed vs. AoA'!$B$4</f>
        <v>41.623585937499996</v>
      </c>
      <c r="G116" s="3">
        <f>(0.5)*$B$5*G$10*G$10*'S7055 Lift and Drag Function'!$B117*'Lift @ Cruising Speed vs. AoA'!$B$4</f>
        <v>54.365499999999997</v>
      </c>
      <c r="H116" s="3">
        <f>(0.5)*$B$5*H$10*H$10*'S7055 Lift and Drag Function'!$B117*'Lift @ Cruising Speed vs. AoA'!$B$4</f>
        <v>84.946093750000017</v>
      </c>
      <c r="I116" s="3">
        <f>(0.5)*$B$5*I$10*I$10*'S7055 Lift and Drag Function'!$B117*'Lift @ Cruising Speed vs. AoA'!$B$4</f>
        <v>122.32237499999999</v>
      </c>
    </row>
  </sheetData>
  <conditionalFormatting sqref="B11:I1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6D9D-8766-49AF-87C7-606D55962B73}">
  <dimension ref="A1:I116"/>
  <sheetViews>
    <sheetView topLeftCell="A9" workbookViewId="0">
      <selection activeCell="I22" activeCellId="1" sqref="B10:I10 I22:I27"/>
    </sheetView>
  </sheetViews>
  <sheetFormatPr defaultRowHeight="14.5" x14ac:dyDescent="0.35"/>
  <cols>
    <col min="1" max="2" width="18.1796875" bestFit="1" customWidth="1"/>
  </cols>
  <sheetData>
    <row r="1" spans="1:9" x14ac:dyDescent="0.35">
      <c r="A1" t="s">
        <v>7</v>
      </c>
      <c r="B1">
        <v>17</v>
      </c>
    </row>
    <row r="2" spans="1:9" x14ac:dyDescent="0.35">
      <c r="A2" t="s">
        <v>66</v>
      </c>
      <c r="B2">
        <v>0.2</v>
      </c>
    </row>
    <row r="3" spans="1:9" x14ac:dyDescent="0.35">
      <c r="A3" t="s">
        <v>3</v>
      </c>
      <c r="B3">
        <v>1</v>
      </c>
    </row>
    <row r="4" spans="1:9" x14ac:dyDescent="0.35">
      <c r="A4" t="s">
        <v>10</v>
      </c>
      <c r="B4">
        <f>B3*B2</f>
        <v>0.2</v>
      </c>
    </row>
    <row r="5" spans="1:9" x14ac:dyDescent="0.35">
      <c r="A5" t="s">
        <v>45</v>
      </c>
      <c r="B5">
        <v>1.2250000000000001</v>
      </c>
    </row>
    <row r="9" spans="1:9" x14ac:dyDescent="0.35">
      <c r="A9" s="3"/>
      <c r="B9" s="3" t="s">
        <v>7</v>
      </c>
      <c r="C9" s="3"/>
      <c r="D9" s="3"/>
      <c r="E9" s="3"/>
      <c r="F9" s="3"/>
      <c r="G9" s="3"/>
      <c r="H9" s="3"/>
      <c r="I9" s="3"/>
    </row>
    <row r="10" spans="1:9" x14ac:dyDescent="0.35">
      <c r="A10" s="3" t="s">
        <v>68</v>
      </c>
      <c r="B10" s="1">
        <v>5</v>
      </c>
      <c r="C10" s="1">
        <v>10</v>
      </c>
      <c r="D10" s="1">
        <v>12.5</v>
      </c>
      <c r="E10" s="1">
        <v>15</v>
      </c>
      <c r="F10" s="1">
        <v>17.5</v>
      </c>
      <c r="G10" s="1">
        <v>20</v>
      </c>
      <c r="H10" s="1">
        <v>25</v>
      </c>
      <c r="I10" s="1">
        <v>30</v>
      </c>
    </row>
    <row r="11" spans="1:9" x14ac:dyDescent="0.35">
      <c r="A11" s="1">
        <v>-8.5</v>
      </c>
      <c r="B11" s="3">
        <f>(0.5)*$B$5*B$10*B$10*'S7055 Lift and Drag Function'!$C12*'Lift @ Cruising Speed vs. AoA'!$B$4</f>
        <v>0.27182750000000006</v>
      </c>
      <c r="C11" s="3">
        <f>(0.5)*$B$5*C$10*C$10*'S7055 Lift and Drag Function'!$C12*'Lift @ Cruising Speed vs. AoA'!$B$4</f>
        <v>1.0873100000000002</v>
      </c>
      <c r="D11" s="3">
        <f>(0.5)*$B$5*D$10*D$10*'S7055 Lift and Drag Function'!$C12*'Lift @ Cruising Speed vs. AoA'!$B$4</f>
        <v>1.6989218750000004</v>
      </c>
      <c r="E11" s="3">
        <f>(0.5)*$B$5*E$10*E$10*'S7055 Lift and Drag Function'!$C12*'Lift @ Cruising Speed vs. AoA'!$B$4</f>
        <v>2.4464475000000001</v>
      </c>
      <c r="F11" s="3">
        <f>(0.5)*$B$5*F$10*F$10*'S7055 Lift and Drag Function'!$C12*'Lift @ Cruising Speed vs. AoA'!$B$4</f>
        <v>3.3298868750000006</v>
      </c>
      <c r="G11" s="3">
        <f>(0.5)*$B$5*G$10*G$10*'S7055 Lift and Drag Function'!$C12*'Lift @ Cruising Speed vs. AoA'!$B$4</f>
        <v>4.3492400000000009</v>
      </c>
      <c r="H11" s="3">
        <f>(0.5)*$B$5*H$10*H$10*'S7055 Lift and Drag Function'!$C12*'Lift @ Cruising Speed vs. AoA'!$B$4</f>
        <v>6.7956875000000014</v>
      </c>
      <c r="I11" s="3">
        <f>(0.5)*$B$5*I$10*I$10*'S7055 Lift and Drag Function'!$C12*'Lift @ Cruising Speed vs. AoA'!$B$4</f>
        <v>9.7857900000000004</v>
      </c>
    </row>
    <row r="12" spans="1:9" x14ac:dyDescent="0.35">
      <c r="A12" s="1">
        <v>-8.25</v>
      </c>
      <c r="B12" s="3">
        <f>(0.5)*$B$5*B$10*B$10*'S7055 Lift and Drag Function'!$C13*'Lift @ Cruising Speed vs. AoA'!$B$4</f>
        <v>0.26530437500000004</v>
      </c>
      <c r="C12" s="3">
        <f>(0.5)*$B$5*C$10*C$10*'S7055 Lift and Drag Function'!$C13*'Lift @ Cruising Speed vs. AoA'!$B$4</f>
        <v>1.0612175000000001</v>
      </c>
      <c r="D12" s="3">
        <f>(0.5)*$B$5*D$10*D$10*'S7055 Lift and Drag Function'!$C13*'Lift @ Cruising Speed vs. AoA'!$B$4</f>
        <v>1.6581523437500003</v>
      </c>
      <c r="E12" s="3">
        <f>(0.5)*$B$5*E$10*E$10*'S7055 Lift and Drag Function'!$C13*'Lift @ Cruising Speed vs. AoA'!$B$4</f>
        <v>2.3877393750000002</v>
      </c>
      <c r="F12" s="3">
        <f>(0.5)*$B$5*F$10*F$10*'S7055 Lift and Drag Function'!$C13*'Lift @ Cruising Speed vs. AoA'!$B$4</f>
        <v>3.2499785937500003</v>
      </c>
      <c r="G12" s="3">
        <f>(0.5)*$B$5*G$10*G$10*'S7055 Lift and Drag Function'!$C13*'Lift @ Cruising Speed vs. AoA'!$B$4</f>
        <v>4.2448700000000006</v>
      </c>
      <c r="H12" s="3">
        <f>(0.5)*$B$5*H$10*H$10*'S7055 Lift and Drag Function'!$C13*'Lift @ Cruising Speed vs. AoA'!$B$4</f>
        <v>6.6326093750000013</v>
      </c>
      <c r="I12" s="3">
        <f>(0.5)*$B$5*I$10*I$10*'S7055 Lift and Drag Function'!$C13*'Lift @ Cruising Speed vs. AoA'!$B$4</f>
        <v>9.5509575000000009</v>
      </c>
    </row>
    <row r="13" spans="1:9" x14ac:dyDescent="0.35">
      <c r="A13" s="1">
        <v>-8</v>
      </c>
      <c r="B13" s="3">
        <f>(0.5)*$B$5*B$10*B$10*'S7055 Lift and Drag Function'!$C14*'Lift @ Cruising Speed vs. AoA'!$B$4</f>
        <v>0.26022062500000004</v>
      </c>
      <c r="C13" s="3">
        <f>(0.5)*$B$5*C$10*C$10*'S7055 Lift and Drag Function'!$C14*'Lift @ Cruising Speed vs. AoA'!$B$4</f>
        <v>1.0408825000000002</v>
      </c>
      <c r="D13" s="3">
        <f>(0.5)*$B$5*D$10*D$10*'S7055 Lift and Drag Function'!$C14*'Lift @ Cruising Speed vs. AoA'!$B$4</f>
        <v>1.6263789062500003</v>
      </c>
      <c r="E13" s="3">
        <f>(0.5)*$B$5*E$10*E$10*'S7055 Lift and Drag Function'!$C14*'Lift @ Cruising Speed vs. AoA'!$B$4</f>
        <v>2.3419856250000004</v>
      </c>
      <c r="F13" s="3">
        <f>(0.5)*$B$5*F$10*F$10*'S7055 Lift and Drag Function'!$C14*'Lift @ Cruising Speed vs. AoA'!$B$4</f>
        <v>3.1877026562500004</v>
      </c>
      <c r="G13" s="3">
        <f>(0.5)*$B$5*G$10*G$10*'S7055 Lift and Drag Function'!$C14*'Lift @ Cruising Speed vs. AoA'!$B$4</f>
        <v>4.1635300000000006</v>
      </c>
      <c r="H13" s="3">
        <f>(0.5)*$B$5*H$10*H$10*'S7055 Lift and Drag Function'!$C14*'Lift @ Cruising Speed vs. AoA'!$B$4</f>
        <v>6.505515625000001</v>
      </c>
      <c r="I13" s="3">
        <f>(0.5)*$B$5*I$10*I$10*'S7055 Lift and Drag Function'!$C14*'Lift @ Cruising Speed vs. AoA'!$B$4</f>
        <v>9.3679425000000016</v>
      </c>
    </row>
    <row r="14" spans="1:9" x14ac:dyDescent="0.35">
      <c r="A14" s="1">
        <v>-7.75</v>
      </c>
      <c r="B14" s="3">
        <f>(0.5)*$B$5*B$10*B$10*'S7055 Lift and Drag Function'!$C15*'Lift @ Cruising Speed vs. AoA'!$B$4</f>
        <v>0.25902625000000001</v>
      </c>
      <c r="C14" s="3">
        <f>(0.5)*$B$5*C$10*C$10*'S7055 Lift and Drag Function'!$C15*'Lift @ Cruising Speed vs. AoA'!$B$4</f>
        <v>1.0361050000000001</v>
      </c>
      <c r="D14" s="3">
        <f>(0.5)*$B$5*D$10*D$10*'S7055 Lift and Drag Function'!$C15*'Lift @ Cruising Speed vs. AoA'!$B$4</f>
        <v>1.6189140625000005</v>
      </c>
      <c r="E14" s="3">
        <f>(0.5)*$B$5*E$10*E$10*'S7055 Lift and Drag Function'!$C15*'Lift @ Cruising Speed vs. AoA'!$B$4</f>
        <v>2.3312362499999999</v>
      </c>
      <c r="F14" s="3">
        <f>(0.5)*$B$5*F$10*F$10*'S7055 Lift and Drag Function'!$C15*'Lift @ Cruising Speed vs. AoA'!$B$4</f>
        <v>3.1730715625000006</v>
      </c>
      <c r="G14" s="3">
        <f>(0.5)*$B$5*G$10*G$10*'S7055 Lift and Drag Function'!$C15*'Lift @ Cruising Speed vs. AoA'!$B$4</f>
        <v>4.1444200000000002</v>
      </c>
      <c r="H14" s="3">
        <f>(0.5)*$B$5*H$10*H$10*'S7055 Lift and Drag Function'!$C15*'Lift @ Cruising Speed vs. AoA'!$B$4</f>
        <v>6.4756562500000019</v>
      </c>
      <c r="I14" s="3">
        <f>(0.5)*$B$5*I$10*I$10*'S7055 Lift and Drag Function'!$C15*'Lift @ Cruising Speed vs. AoA'!$B$4</f>
        <v>9.3249449999999996</v>
      </c>
    </row>
    <row r="15" spans="1:9" x14ac:dyDescent="0.35">
      <c r="A15" s="1">
        <v>-7.5</v>
      </c>
      <c r="B15" s="3">
        <f>(0.5)*$B$5*B$10*B$10*'S7055 Lift and Drag Function'!$C16*'Lift @ Cruising Speed vs. AoA'!$B$4</f>
        <v>0.25385062500000005</v>
      </c>
      <c r="C15" s="3">
        <f>(0.5)*$B$5*C$10*C$10*'S7055 Lift and Drag Function'!$C16*'Lift @ Cruising Speed vs. AoA'!$B$4</f>
        <v>1.0154025000000002</v>
      </c>
      <c r="D15" s="3">
        <f>(0.5)*$B$5*D$10*D$10*'S7055 Lift and Drag Function'!$C16*'Lift @ Cruising Speed vs. AoA'!$B$4</f>
        <v>1.5865664062500004</v>
      </c>
      <c r="E15" s="3">
        <f>(0.5)*$B$5*E$10*E$10*'S7055 Lift and Drag Function'!$C16*'Lift @ Cruising Speed vs. AoA'!$B$4</f>
        <v>2.2846556250000005</v>
      </c>
      <c r="F15" s="3">
        <f>(0.5)*$B$5*F$10*F$10*'S7055 Lift and Drag Function'!$C16*'Lift @ Cruising Speed vs. AoA'!$B$4</f>
        <v>3.1096701562500004</v>
      </c>
      <c r="G15" s="3">
        <f>(0.5)*$B$5*G$10*G$10*'S7055 Lift and Drag Function'!$C16*'Lift @ Cruising Speed vs. AoA'!$B$4</f>
        <v>4.0616100000000008</v>
      </c>
      <c r="H15" s="3">
        <f>(0.5)*$B$5*H$10*H$10*'S7055 Lift and Drag Function'!$C16*'Lift @ Cruising Speed vs. AoA'!$B$4</f>
        <v>6.3462656250000018</v>
      </c>
      <c r="I15" s="3">
        <f>(0.5)*$B$5*I$10*I$10*'S7055 Lift and Drag Function'!$C16*'Lift @ Cruising Speed vs. AoA'!$B$4</f>
        <v>9.1386225000000021</v>
      </c>
    </row>
    <row r="16" spans="1:9" x14ac:dyDescent="0.35">
      <c r="A16" s="1">
        <v>-7.25</v>
      </c>
      <c r="B16" s="3">
        <f>(0.5)*$B$5*B$10*B$10*'S7055 Lift and Drag Function'!$C17*'Lift @ Cruising Speed vs. AoA'!$B$4</f>
        <v>0.232964375</v>
      </c>
      <c r="C16" s="3">
        <f>(0.5)*$B$5*C$10*C$10*'S7055 Lift and Drag Function'!$C17*'Lift @ Cruising Speed vs. AoA'!$B$4</f>
        <v>0.93185750000000001</v>
      </c>
      <c r="D16" s="3">
        <f>(0.5)*$B$5*D$10*D$10*'S7055 Lift and Drag Function'!$C17*'Lift @ Cruising Speed vs. AoA'!$B$4</f>
        <v>1.4560273437500002</v>
      </c>
      <c r="E16" s="3">
        <f>(0.5)*$B$5*E$10*E$10*'S7055 Lift and Drag Function'!$C17*'Lift @ Cruising Speed vs. AoA'!$B$4</f>
        <v>2.0966793750000003</v>
      </c>
      <c r="F16" s="3">
        <f>(0.5)*$B$5*F$10*F$10*'S7055 Lift and Drag Function'!$C17*'Lift @ Cruising Speed vs. AoA'!$B$4</f>
        <v>2.85381359375</v>
      </c>
      <c r="G16" s="3">
        <f>(0.5)*$B$5*G$10*G$10*'S7055 Lift and Drag Function'!$C17*'Lift @ Cruising Speed vs. AoA'!$B$4</f>
        <v>3.72743</v>
      </c>
      <c r="H16" s="3">
        <f>(0.5)*$B$5*H$10*H$10*'S7055 Lift and Drag Function'!$C17*'Lift @ Cruising Speed vs. AoA'!$B$4</f>
        <v>5.8241093750000008</v>
      </c>
      <c r="I16" s="3">
        <f>(0.5)*$B$5*I$10*I$10*'S7055 Lift and Drag Function'!$C17*'Lift @ Cruising Speed vs. AoA'!$B$4</f>
        <v>8.3867175000000014</v>
      </c>
    </row>
    <row r="17" spans="1:9" x14ac:dyDescent="0.35">
      <c r="A17" s="1">
        <v>-7</v>
      </c>
      <c r="B17" s="3">
        <f>(0.5)*$B$5*B$10*B$10*'S7055 Lift and Drag Function'!$C18*'Lift @ Cruising Speed vs. AoA'!$B$4</f>
        <v>0.20619812500000001</v>
      </c>
      <c r="C17" s="3">
        <f>(0.5)*$B$5*C$10*C$10*'S7055 Lift and Drag Function'!$C18*'Lift @ Cruising Speed vs. AoA'!$B$4</f>
        <v>0.82479250000000004</v>
      </c>
      <c r="D17" s="3">
        <f>(0.5)*$B$5*D$10*D$10*'S7055 Lift and Drag Function'!$C18*'Lift @ Cruising Speed vs. AoA'!$B$4</f>
        <v>1.2887382812500003</v>
      </c>
      <c r="E17" s="3">
        <f>(0.5)*$B$5*E$10*E$10*'S7055 Lift and Drag Function'!$C18*'Lift @ Cruising Speed vs. AoA'!$B$4</f>
        <v>1.8557831250000001</v>
      </c>
      <c r="F17" s="3">
        <f>(0.5)*$B$5*F$10*F$10*'S7055 Lift and Drag Function'!$C18*'Lift @ Cruising Speed vs. AoA'!$B$4</f>
        <v>2.5259270312500002</v>
      </c>
      <c r="G17" s="3">
        <f>(0.5)*$B$5*G$10*G$10*'S7055 Lift and Drag Function'!$C18*'Lift @ Cruising Speed vs. AoA'!$B$4</f>
        <v>3.2991700000000002</v>
      </c>
      <c r="H17" s="3">
        <f>(0.5)*$B$5*H$10*H$10*'S7055 Lift and Drag Function'!$C18*'Lift @ Cruising Speed vs. AoA'!$B$4</f>
        <v>5.1549531250000014</v>
      </c>
      <c r="I17" s="3">
        <f>(0.5)*$B$5*I$10*I$10*'S7055 Lift and Drag Function'!$C18*'Lift @ Cruising Speed vs. AoA'!$B$4</f>
        <v>7.4231325000000004</v>
      </c>
    </row>
    <row r="18" spans="1:9" x14ac:dyDescent="0.35">
      <c r="A18" s="1">
        <v>-6.75</v>
      </c>
      <c r="B18" s="3">
        <f>(0.5)*$B$5*B$10*B$10*'S7055 Lift and Drag Function'!$C19*'Lift @ Cruising Speed vs. AoA'!$B$4</f>
        <v>0.18301500000000001</v>
      </c>
      <c r="C18" s="3">
        <f>(0.5)*$B$5*C$10*C$10*'S7055 Lift and Drag Function'!$C19*'Lift @ Cruising Speed vs. AoA'!$B$4</f>
        <v>0.73206000000000004</v>
      </c>
      <c r="D18" s="3">
        <f>(0.5)*$B$5*D$10*D$10*'S7055 Lift and Drag Function'!$C19*'Lift @ Cruising Speed vs. AoA'!$B$4</f>
        <v>1.1438437500000003</v>
      </c>
      <c r="E18" s="3">
        <f>(0.5)*$B$5*E$10*E$10*'S7055 Lift and Drag Function'!$C19*'Lift @ Cruising Speed vs. AoA'!$B$4</f>
        <v>1.6471350000000002</v>
      </c>
      <c r="F18" s="3">
        <f>(0.5)*$B$5*F$10*F$10*'S7055 Lift and Drag Function'!$C19*'Lift @ Cruising Speed vs. AoA'!$B$4</f>
        <v>2.2419337500000003</v>
      </c>
      <c r="G18" s="3">
        <f>(0.5)*$B$5*G$10*G$10*'S7055 Lift and Drag Function'!$C19*'Lift @ Cruising Speed vs. AoA'!$B$4</f>
        <v>2.9282400000000002</v>
      </c>
      <c r="H18" s="3">
        <f>(0.5)*$B$5*H$10*H$10*'S7055 Lift and Drag Function'!$C19*'Lift @ Cruising Speed vs. AoA'!$B$4</f>
        <v>4.5753750000000011</v>
      </c>
      <c r="I18" s="3">
        <f>(0.5)*$B$5*I$10*I$10*'S7055 Lift and Drag Function'!$C19*'Lift @ Cruising Speed vs. AoA'!$B$4</f>
        <v>6.588540000000001</v>
      </c>
    </row>
    <row r="19" spans="1:9" x14ac:dyDescent="0.35">
      <c r="A19" s="1">
        <v>-6.5</v>
      </c>
      <c r="B19" s="3">
        <f>(0.5)*$B$5*B$10*B$10*'S7055 Lift and Drag Function'!$C20*'Lift @ Cruising Speed vs. AoA'!$B$4</f>
        <v>0.17373562500000003</v>
      </c>
      <c r="C19" s="3">
        <f>(0.5)*$B$5*C$10*C$10*'S7055 Lift and Drag Function'!$C20*'Lift @ Cruising Speed vs. AoA'!$B$4</f>
        <v>0.69494250000000013</v>
      </c>
      <c r="D19" s="3">
        <f>(0.5)*$B$5*D$10*D$10*'S7055 Lift and Drag Function'!$C20*'Lift @ Cruising Speed vs. AoA'!$B$4</f>
        <v>1.0858476562500001</v>
      </c>
      <c r="E19" s="3">
        <f>(0.5)*$B$5*E$10*E$10*'S7055 Lift and Drag Function'!$C20*'Lift @ Cruising Speed vs. AoA'!$B$4</f>
        <v>1.5636206250000002</v>
      </c>
      <c r="F19" s="3">
        <f>(0.5)*$B$5*F$10*F$10*'S7055 Lift and Drag Function'!$C20*'Lift @ Cruising Speed vs. AoA'!$B$4</f>
        <v>2.1282614062500005</v>
      </c>
      <c r="G19" s="3">
        <f>(0.5)*$B$5*G$10*G$10*'S7055 Lift and Drag Function'!$C20*'Lift @ Cruising Speed vs. AoA'!$B$4</f>
        <v>2.7797700000000005</v>
      </c>
      <c r="H19" s="3">
        <f>(0.5)*$B$5*H$10*H$10*'S7055 Lift and Drag Function'!$C20*'Lift @ Cruising Speed vs. AoA'!$B$4</f>
        <v>4.3433906250000005</v>
      </c>
      <c r="I19" s="3">
        <f>(0.5)*$B$5*I$10*I$10*'S7055 Lift and Drag Function'!$C20*'Lift @ Cruising Speed vs. AoA'!$B$4</f>
        <v>6.2544825000000008</v>
      </c>
    </row>
    <row r="20" spans="1:9" x14ac:dyDescent="0.35">
      <c r="A20" s="1">
        <v>-6.25</v>
      </c>
      <c r="B20" s="3">
        <f>(0.5)*$B$5*B$10*B$10*'S7055 Lift and Drag Function'!$C21*'Lift @ Cruising Speed vs. AoA'!$B$4</f>
        <v>0.16191437500000003</v>
      </c>
      <c r="C20" s="3">
        <f>(0.5)*$B$5*C$10*C$10*'S7055 Lift and Drag Function'!$C21*'Lift @ Cruising Speed vs. AoA'!$B$4</f>
        <v>0.64765750000000011</v>
      </c>
      <c r="D20" s="3">
        <f>(0.5)*$B$5*D$10*D$10*'S7055 Lift and Drag Function'!$C21*'Lift @ Cruising Speed vs. AoA'!$B$4</f>
        <v>1.0119648437500002</v>
      </c>
      <c r="E20" s="3">
        <f>(0.5)*$B$5*E$10*E$10*'S7055 Lift and Drag Function'!$C21*'Lift @ Cruising Speed vs. AoA'!$B$4</f>
        <v>1.457229375</v>
      </c>
      <c r="F20" s="3">
        <f>(0.5)*$B$5*F$10*F$10*'S7055 Lift and Drag Function'!$C21*'Lift @ Cruising Speed vs. AoA'!$B$4</f>
        <v>1.9834510937500001</v>
      </c>
      <c r="G20" s="3">
        <f>(0.5)*$B$5*G$10*G$10*'S7055 Lift and Drag Function'!$C21*'Lift @ Cruising Speed vs. AoA'!$B$4</f>
        <v>2.5906300000000004</v>
      </c>
      <c r="H20" s="3">
        <f>(0.5)*$B$5*H$10*H$10*'S7055 Lift and Drag Function'!$C21*'Lift @ Cruising Speed vs. AoA'!$B$4</f>
        <v>4.0478593750000007</v>
      </c>
      <c r="I20" s="3">
        <f>(0.5)*$B$5*I$10*I$10*'S7055 Lift and Drag Function'!$C21*'Lift @ Cruising Speed vs. AoA'!$B$4</f>
        <v>5.8289175000000002</v>
      </c>
    </row>
    <row r="21" spans="1:9" x14ac:dyDescent="0.35">
      <c r="A21" s="1">
        <v>-6</v>
      </c>
      <c r="B21" s="3">
        <f>(0.5)*$B$5*B$10*B$10*'S7055 Lift and Drag Function'!$C22*'Lift @ Cruising Speed vs. AoA'!$B$4</f>
        <v>0.15006250000000002</v>
      </c>
      <c r="C21" s="3">
        <f>(0.5)*$B$5*C$10*C$10*'S7055 Lift and Drag Function'!$C22*'Lift @ Cruising Speed vs. AoA'!$B$4</f>
        <v>0.60025000000000006</v>
      </c>
      <c r="D21" s="3">
        <f>(0.5)*$B$5*D$10*D$10*'S7055 Lift and Drag Function'!$C22*'Lift @ Cruising Speed vs. AoA'!$B$4</f>
        <v>0.9378906250000002</v>
      </c>
      <c r="E21" s="3">
        <f>(0.5)*$B$5*E$10*E$10*'S7055 Lift and Drag Function'!$C22*'Lift @ Cruising Speed vs. AoA'!$B$4</f>
        <v>1.3505625000000001</v>
      </c>
      <c r="F21" s="3">
        <f>(0.5)*$B$5*F$10*F$10*'S7055 Lift and Drag Function'!$C22*'Lift @ Cruising Speed vs. AoA'!$B$4</f>
        <v>1.838265625</v>
      </c>
      <c r="G21" s="3">
        <f>(0.5)*$B$5*G$10*G$10*'S7055 Lift and Drag Function'!$C22*'Lift @ Cruising Speed vs. AoA'!$B$4</f>
        <v>2.4010000000000002</v>
      </c>
      <c r="H21" s="3">
        <f>(0.5)*$B$5*H$10*H$10*'S7055 Lift and Drag Function'!$C22*'Lift @ Cruising Speed vs. AoA'!$B$4</f>
        <v>3.7515625000000008</v>
      </c>
      <c r="I21" s="3">
        <f>(0.5)*$B$5*I$10*I$10*'S7055 Lift and Drag Function'!$C22*'Lift @ Cruising Speed vs. AoA'!$B$4</f>
        <v>5.4022500000000004</v>
      </c>
    </row>
    <row r="22" spans="1:9" x14ac:dyDescent="0.35">
      <c r="A22" s="1">
        <v>-5.75</v>
      </c>
      <c r="B22" s="3">
        <f>(0.5)*$B$5*B$10*B$10*'S7055 Lift and Drag Function'!$C23*'Lift @ Cruising Speed vs. AoA'!$B$4</f>
        <v>0.12902312499999999</v>
      </c>
      <c r="C22" s="3">
        <f>(0.5)*$B$5*C$10*C$10*'S7055 Lift and Drag Function'!$C23*'Lift @ Cruising Speed vs. AoA'!$B$4</f>
        <v>0.51609249999999995</v>
      </c>
      <c r="D22" s="3">
        <f>(0.5)*$B$5*D$10*D$10*'S7055 Lift and Drag Function'!$C23*'Lift @ Cruising Speed vs. AoA'!$B$4</f>
        <v>0.80639453125000016</v>
      </c>
      <c r="E22" s="3">
        <f>(0.5)*$B$5*E$10*E$10*'S7055 Lift and Drag Function'!$C23*'Lift @ Cruising Speed vs. AoA'!$B$4</f>
        <v>1.1612081250000001</v>
      </c>
      <c r="F22" s="3">
        <f>(0.5)*$B$5*F$10*F$10*'S7055 Lift and Drag Function'!$C23*'Lift @ Cruising Speed vs. AoA'!$B$4</f>
        <v>1.5805332812500001</v>
      </c>
      <c r="G22" s="3">
        <f>(0.5)*$B$5*G$10*G$10*'S7055 Lift and Drag Function'!$C23*'Lift @ Cruising Speed vs. AoA'!$B$4</f>
        <v>2.0643699999999998</v>
      </c>
      <c r="H22" s="3">
        <f>(0.5)*$B$5*H$10*H$10*'S7055 Lift and Drag Function'!$C23*'Lift @ Cruising Speed vs. AoA'!$B$4</f>
        <v>3.2255781250000006</v>
      </c>
      <c r="I22" s="3">
        <f>(0.5)*$B$5*I$10*I$10*'S7055 Lift and Drag Function'!$C23*'Lift @ Cruising Speed vs. AoA'!$B$4</f>
        <v>4.6448325000000006</v>
      </c>
    </row>
    <row r="23" spans="1:9" x14ac:dyDescent="0.35">
      <c r="A23" s="1">
        <v>-5.5</v>
      </c>
      <c r="B23" s="3">
        <f>(0.5)*$B$5*B$10*B$10*'S7055 Lift and Drag Function'!$C24*'Lift @ Cruising Speed vs. AoA'!$B$4</f>
        <v>0.11986625000000001</v>
      </c>
      <c r="C23" s="3">
        <f>(0.5)*$B$5*C$10*C$10*'S7055 Lift and Drag Function'!$C24*'Lift @ Cruising Speed vs. AoA'!$B$4</f>
        <v>0.47946500000000003</v>
      </c>
      <c r="D23" s="3">
        <f>(0.5)*$B$5*D$10*D$10*'S7055 Lift and Drag Function'!$C24*'Lift @ Cruising Speed vs. AoA'!$B$4</f>
        <v>0.74916406250000023</v>
      </c>
      <c r="E23" s="3">
        <f>(0.5)*$B$5*E$10*E$10*'S7055 Lift and Drag Function'!$C24*'Lift @ Cruising Speed vs. AoA'!$B$4</f>
        <v>1.0787962500000001</v>
      </c>
      <c r="F23" s="3">
        <f>(0.5)*$B$5*F$10*F$10*'S7055 Lift and Drag Function'!$C24*'Lift @ Cruising Speed vs. AoA'!$B$4</f>
        <v>1.4683615625000002</v>
      </c>
      <c r="G23" s="3">
        <f>(0.5)*$B$5*G$10*G$10*'S7055 Lift and Drag Function'!$C24*'Lift @ Cruising Speed vs. AoA'!$B$4</f>
        <v>1.9178600000000001</v>
      </c>
      <c r="H23" s="3">
        <f>(0.5)*$B$5*H$10*H$10*'S7055 Lift and Drag Function'!$C24*'Lift @ Cruising Speed vs. AoA'!$B$4</f>
        <v>2.9966562500000009</v>
      </c>
      <c r="I23" s="3">
        <f>(0.5)*$B$5*I$10*I$10*'S7055 Lift and Drag Function'!$C24*'Lift @ Cruising Speed vs. AoA'!$B$4</f>
        <v>4.3151850000000005</v>
      </c>
    </row>
    <row r="24" spans="1:9" x14ac:dyDescent="0.35">
      <c r="A24" s="1">
        <v>-5.25</v>
      </c>
      <c r="B24" s="3">
        <f>(0.5)*$B$5*B$10*B$10*'S7055 Lift and Drag Function'!$C25*'Lift @ Cruising Speed vs. AoA'!$B$4</f>
        <v>9.6438125E-2</v>
      </c>
      <c r="C24" s="3">
        <f>(0.5)*$B$5*C$10*C$10*'S7055 Lift and Drag Function'!$C25*'Lift @ Cruising Speed vs. AoA'!$B$4</f>
        <v>0.3857525</v>
      </c>
      <c r="D24" s="3">
        <f>(0.5)*$B$5*D$10*D$10*'S7055 Lift and Drag Function'!$C25*'Lift @ Cruising Speed vs. AoA'!$B$4</f>
        <v>0.60273828125000006</v>
      </c>
      <c r="E24" s="3">
        <f>(0.5)*$B$5*E$10*E$10*'S7055 Lift and Drag Function'!$C25*'Lift @ Cruising Speed vs. AoA'!$B$4</f>
        <v>0.86794312499999993</v>
      </c>
      <c r="F24" s="3">
        <f>(0.5)*$B$5*F$10*F$10*'S7055 Lift and Drag Function'!$C25*'Lift @ Cruising Speed vs. AoA'!$B$4</f>
        <v>1.18136703125</v>
      </c>
      <c r="G24" s="3">
        <f>(0.5)*$B$5*G$10*G$10*'S7055 Lift and Drag Function'!$C25*'Lift @ Cruising Speed vs. AoA'!$B$4</f>
        <v>1.54301</v>
      </c>
      <c r="H24" s="3">
        <f>(0.5)*$B$5*H$10*H$10*'S7055 Lift and Drag Function'!$C25*'Lift @ Cruising Speed vs. AoA'!$B$4</f>
        <v>2.4109531250000003</v>
      </c>
      <c r="I24" s="3">
        <f>(0.5)*$B$5*I$10*I$10*'S7055 Lift and Drag Function'!$C25*'Lift @ Cruising Speed vs. AoA'!$B$4</f>
        <v>3.4717724999999997</v>
      </c>
    </row>
    <row r="25" spans="1:9" x14ac:dyDescent="0.35">
      <c r="A25" s="1">
        <v>-5</v>
      </c>
      <c r="B25" s="3">
        <f>(0.5)*$B$5*B$10*B$10*'S7055 Lift and Drag Function'!$C26*'Lift @ Cruising Speed vs. AoA'!$B$4</f>
        <v>8.134000000000001E-2</v>
      </c>
      <c r="C25" s="3">
        <f>(0.5)*$B$5*C$10*C$10*'S7055 Lift and Drag Function'!$C26*'Lift @ Cruising Speed vs. AoA'!$B$4</f>
        <v>0.32536000000000004</v>
      </c>
      <c r="D25" s="3">
        <f>(0.5)*$B$5*D$10*D$10*'S7055 Lift and Drag Function'!$C26*'Lift @ Cruising Speed vs. AoA'!$B$4</f>
        <v>0.50837500000000013</v>
      </c>
      <c r="E25" s="3">
        <f>(0.5)*$B$5*E$10*E$10*'S7055 Lift and Drag Function'!$C26*'Lift @ Cruising Speed vs. AoA'!$B$4</f>
        <v>0.73206000000000004</v>
      </c>
      <c r="F25" s="3">
        <f>(0.5)*$B$5*F$10*F$10*'S7055 Lift and Drag Function'!$C26*'Lift @ Cruising Speed vs. AoA'!$B$4</f>
        <v>0.99641500000000005</v>
      </c>
      <c r="G25" s="3">
        <f>(0.5)*$B$5*G$10*G$10*'S7055 Lift and Drag Function'!$C26*'Lift @ Cruising Speed vs. AoA'!$B$4</f>
        <v>1.3014400000000002</v>
      </c>
      <c r="H25" s="3">
        <f>(0.5)*$B$5*H$10*H$10*'S7055 Lift and Drag Function'!$C26*'Lift @ Cruising Speed vs. AoA'!$B$4</f>
        <v>2.0335000000000005</v>
      </c>
      <c r="I25" s="3">
        <f>(0.5)*$B$5*I$10*I$10*'S7055 Lift and Drag Function'!$C26*'Lift @ Cruising Speed vs. AoA'!$B$4</f>
        <v>2.9282400000000002</v>
      </c>
    </row>
    <row r="26" spans="1:9" x14ac:dyDescent="0.35">
      <c r="A26" s="1">
        <v>-4.75</v>
      </c>
      <c r="B26" s="3">
        <f>(0.5)*$B$5*B$10*B$10*'S7055 Lift and Drag Function'!$C27*'Lift @ Cruising Speed vs. AoA'!$B$4</f>
        <v>7.0345625000000009E-2</v>
      </c>
      <c r="C26" s="3">
        <f>(0.5)*$B$5*C$10*C$10*'S7055 Lift and Drag Function'!$C27*'Lift @ Cruising Speed vs. AoA'!$B$4</f>
        <v>0.28138250000000004</v>
      </c>
      <c r="D26" s="3">
        <f>(0.5)*$B$5*D$10*D$10*'S7055 Lift and Drag Function'!$C27*'Lift @ Cruising Speed vs. AoA'!$B$4</f>
        <v>0.4396601562500001</v>
      </c>
      <c r="E26" s="3">
        <f>(0.5)*$B$5*E$10*E$10*'S7055 Lift and Drag Function'!$C27*'Lift @ Cruising Speed vs. AoA'!$B$4</f>
        <v>0.63311062500000004</v>
      </c>
      <c r="F26" s="3">
        <f>(0.5)*$B$5*F$10*F$10*'S7055 Lift and Drag Function'!$C27*'Lift @ Cruising Speed vs. AoA'!$B$4</f>
        <v>0.86173390625000013</v>
      </c>
      <c r="G26" s="3">
        <f>(0.5)*$B$5*G$10*G$10*'S7055 Lift and Drag Function'!$C27*'Lift @ Cruising Speed vs. AoA'!$B$4</f>
        <v>1.1255300000000001</v>
      </c>
      <c r="H26" s="3">
        <f>(0.5)*$B$5*H$10*H$10*'S7055 Lift and Drag Function'!$C27*'Lift @ Cruising Speed vs. AoA'!$B$4</f>
        <v>1.7586406250000004</v>
      </c>
      <c r="I26" s="3">
        <f>(0.5)*$B$5*I$10*I$10*'S7055 Lift and Drag Function'!$C27*'Lift @ Cruising Speed vs. AoA'!$B$4</f>
        <v>2.5324425000000002</v>
      </c>
    </row>
    <row r="27" spans="1:9" x14ac:dyDescent="0.35">
      <c r="A27" s="1">
        <v>-4.5</v>
      </c>
      <c r="B27" s="3">
        <f>(0.5)*$B$5*B$10*B$10*'S7055 Lift and Drag Function'!$C28*'Lift @ Cruising Speed vs. AoA'!$B$4</f>
        <v>6.4496250000000005E-2</v>
      </c>
      <c r="C27" s="3">
        <f>(0.5)*$B$5*C$10*C$10*'S7055 Lift and Drag Function'!$C28*'Lift @ Cruising Speed vs. AoA'!$B$4</f>
        <v>0.25798500000000002</v>
      </c>
      <c r="D27" s="3">
        <f>(0.5)*$B$5*D$10*D$10*'S7055 Lift and Drag Function'!$C28*'Lift @ Cruising Speed vs. AoA'!$B$4</f>
        <v>0.40310156250000007</v>
      </c>
      <c r="E27" s="3">
        <f>(0.5)*$B$5*E$10*E$10*'S7055 Lift and Drag Function'!$C28*'Lift @ Cruising Speed vs. AoA'!$B$4</f>
        <v>0.58046625000000007</v>
      </c>
      <c r="F27" s="3">
        <f>(0.5)*$B$5*F$10*F$10*'S7055 Lift and Drag Function'!$C28*'Lift @ Cruising Speed vs. AoA'!$B$4</f>
        <v>0.79007906250000004</v>
      </c>
      <c r="G27" s="3">
        <f>(0.5)*$B$5*G$10*G$10*'S7055 Lift and Drag Function'!$C28*'Lift @ Cruising Speed vs. AoA'!$B$4</f>
        <v>1.0319400000000001</v>
      </c>
      <c r="H27" s="3">
        <f>(0.5)*$B$5*H$10*H$10*'S7055 Lift and Drag Function'!$C28*'Lift @ Cruising Speed vs. AoA'!$B$4</f>
        <v>1.6124062500000003</v>
      </c>
      <c r="I27" s="3">
        <f>(0.5)*$B$5*I$10*I$10*'S7055 Lift and Drag Function'!$C28*'Lift @ Cruising Speed vs. AoA'!$B$4</f>
        <v>2.3218650000000003</v>
      </c>
    </row>
    <row r="28" spans="1:9" x14ac:dyDescent="0.35">
      <c r="A28" s="1">
        <v>-4.25</v>
      </c>
      <c r="B28" s="3">
        <f>(0.5)*$B$5*B$10*B$10*'S7055 Lift and Drag Function'!$C29*'Lift @ Cruising Speed vs. AoA'!$B$4</f>
        <v>6.1280625000000005E-2</v>
      </c>
      <c r="C28" s="3">
        <f>(0.5)*$B$5*C$10*C$10*'S7055 Lift and Drag Function'!$C29*'Lift @ Cruising Speed vs. AoA'!$B$4</f>
        <v>0.24512250000000002</v>
      </c>
      <c r="D28" s="3">
        <f>(0.5)*$B$5*D$10*D$10*'S7055 Lift and Drag Function'!$C29*'Lift @ Cruising Speed vs. AoA'!$B$4</f>
        <v>0.38300390625000008</v>
      </c>
      <c r="E28" s="3">
        <f>(0.5)*$B$5*E$10*E$10*'S7055 Lift and Drag Function'!$C29*'Lift @ Cruising Speed vs. AoA'!$B$4</f>
        <v>0.55152562500000002</v>
      </c>
      <c r="F28" s="3">
        <f>(0.5)*$B$5*F$10*F$10*'S7055 Lift and Drag Function'!$C29*'Lift @ Cruising Speed vs. AoA'!$B$4</f>
        <v>0.75068765625</v>
      </c>
      <c r="G28" s="3">
        <f>(0.5)*$B$5*G$10*G$10*'S7055 Lift and Drag Function'!$C29*'Lift @ Cruising Speed vs. AoA'!$B$4</f>
        <v>0.98049000000000008</v>
      </c>
      <c r="H28" s="3">
        <f>(0.5)*$B$5*H$10*H$10*'S7055 Lift and Drag Function'!$C29*'Lift @ Cruising Speed vs. AoA'!$B$4</f>
        <v>1.5320156250000003</v>
      </c>
      <c r="I28" s="3">
        <f>(0.5)*$B$5*I$10*I$10*'S7055 Lift and Drag Function'!$C29*'Lift @ Cruising Speed vs. AoA'!$B$4</f>
        <v>2.2061025000000001</v>
      </c>
    </row>
    <row r="29" spans="1:9" x14ac:dyDescent="0.35">
      <c r="A29" s="1">
        <v>-4</v>
      </c>
      <c r="B29" s="3">
        <f>(0.5)*$B$5*B$10*B$10*'S7055 Lift and Drag Function'!$C30*'Lift @ Cruising Speed vs. AoA'!$B$4</f>
        <v>5.889187500000001E-2</v>
      </c>
      <c r="C29" s="3">
        <f>(0.5)*$B$5*C$10*C$10*'S7055 Lift and Drag Function'!$C30*'Lift @ Cruising Speed vs. AoA'!$B$4</f>
        <v>0.23556750000000004</v>
      </c>
      <c r="D29" s="3">
        <f>(0.5)*$B$5*D$10*D$10*'S7055 Lift and Drag Function'!$C30*'Lift @ Cruising Speed vs. AoA'!$B$4</f>
        <v>0.36807421875000013</v>
      </c>
      <c r="E29" s="3">
        <f>(0.5)*$B$5*E$10*E$10*'S7055 Lift and Drag Function'!$C30*'Lift @ Cruising Speed vs. AoA'!$B$4</f>
        <v>0.53002687500000001</v>
      </c>
      <c r="F29" s="3">
        <f>(0.5)*$B$5*F$10*F$10*'S7055 Lift and Drag Function'!$C30*'Lift @ Cruising Speed vs. AoA'!$B$4</f>
        <v>0.72142546875000013</v>
      </c>
      <c r="G29" s="3">
        <f>(0.5)*$B$5*G$10*G$10*'S7055 Lift and Drag Function'!$C30*'Lift @ Cruising Speed vs. AoA'!$B$4</f>
        <v>0.94227000000000016</v>
      </c>
      <c r="H29" s="3">
        <f>(0.5)*$B$5*H$10*H$10*'S7055 Lift and Drag Function'!$C30*'Lift @ Cruising Speed vs. AoA'!$B$4</f>
        <v>1.4722968750000005</v>
      </c>
      <c r="I29" s="3">
        <f>(0.5)*$B$5*I$10*I$10*'S7055 Lift and Drag Function'!$C30*'Lift @ Cruising Speed vs. AoA'!$B$4</f>
        <v>2.1201075</v>
      </c>
    </row>
    <row r="30" spans="1:9" x14ac:dyDescent="0.35">
      <c r="A30" s="1">
        <v>-3.75</v>
      </c>
      <c r="B30" s="3">
        <f>(0.5)*$B$5*B$10*B$10*'S7055 Lift and Drag Function'!$C31*'Lift @ Cruising Speed vs. AoA'!$B$4</f>
        <v>5.3195625000000003E-2</v>
      </c>
      <c r="C30" s="3">
        <f>(0.5)*$B$5*C$10*C$10*'S7055 Lift and Drag Function'!$C31*'Lift @ Cruising Speed vs. AoA'!$B$4</f>
        <v>0.21278250000000001</v>
      </c>
      <c r="D30" s="3">
        <f>(0.5)*$B$5*D$10*D$10*'S7055 Lift and Drag Function'!$C31*'Lift @ Cruising Speed vs. AoA'!$B$4</f>
        <v>0.33247265625000005</v>
      </c>
      <c r="E30" s="3">
        <f>(0.5)*$B$5*E$10*E$10*'S7055 Lift and Drag Function'!$C31*'Lift @ Cruising Speed vs. AoA'!$B$4</f>
        <v>0.478760625</v>
      </c>
      <c r="F30" s="3">
        <f>(0.5)*$B$5*F$10*F$10*'S7055 Lift and Drag Function'!$C31*'Lift @ Cruising Speed vs. AoA'!$B$4</f>
        <v>0.65164640625000003</v>
      </c>
      <c r="G30" s="3">
        <f>(0.5)*$B$5*G$10*G$10*'S7055 Lift and Drag Function'!$C31*'Lift @ Cruising Speed vs. AoA'!$B$4</f>
        <v>0.85113000000000005</v>
      </c>
      <c r="H30" s="3">
        <f>(0.5)*$B$5*H$10*H$10*'S7055 Lift and Drag Function'!$C31*'Lift @ Cruising Speed vs. AoA'!$B$4</f>
        <v>1.3298906250000002</v>
      </c>
      <c r="I30" s="3">
        <f>(0.5)*$B$5*I$10*I$10*'S7055 Lift and Drag Function'!$C31*'Lift @ Cruising Speed vs. AoA'!$B$4</f>
        <v>1.9150425</v>
      </c>
    </row>
    <row r="31" spans="1:9" x14ac:dyDescent="0.35">
      <c r="A31" s="1">
        <v>-3.5</v>
      </c>
      <c r="B31" s="3">
        <f>(0.5)*$B$5*B$10*B$10*'S7055 Lift and Drag Function'!$C32*'Lift @ Cruising Speed vs. AoA'!$B$4</f>
        <v>5.1388749999999997E-2</v>
      </c>
      <c r="C31" s="3">
        <f>(0.5)*$B$5*C$10*C$10*'S7055 Lift and Drag Function'!$C32*'Lift @ Cruising Speed vs. AoA'!$B$4</f>
        <v>0.20555499999999999</v>
      </c>
      <c r="D31" s="3">
        <f>(0.5)*$B$5*D$10*D$10*'S7055 Lift and Drag Function'!$C32*'Lift @ Cruising Speed vs. AoA'!$B$4</f>
        <v>0.32117968750000009</v>
      </c>
      <c r="E31" s="3">
        <f>(0.5)*$B$5*E$10*E$10*'S7055 Lift and Drag Function'!$C32*'Lift @ Cruising Speed vs. AoA'!$B$4</f>
        <v>0.46249874999999996</v>
      </c>
      <c r="F31" s="3">
        <f>(0.5)*$B$5*F$10*F$10*'S7055 Lift and Drag Function'!$C32*'Lift @ Cruising Speed vs. AoA'!$B$4</f>
        <v>0.62951218750000004</v>
      </c>
      <c r="G31" s="3">
        <f>(0.5)*$B$5*G$10*G$10*'S7055 Lift and Drag Function'!$C32*'Lift @ Cruising Speed vs. AoA'!$B$4</f>
        <v>0.82221999999999995</v>
      </c>
      <c r="H31" s="3">
        <f>(0.5)*$B$5*H$10*H$10*'S7055 Lift and Drag Function'!$C32*'Lift @ Cruising Speed vs. AoA'!$B$4</f>
        <v>1.2847187500000004</v>
      </c>
      <c r="I31" s="3">
        <f>(0.5)*$B$5*I$10*I$10*'S7055 Lift and Drag Function'!$C32*'Lift @ Cruising Speed vs. AoA'!$B$4</f>
        <v>1.8499949999999998</v>
      </c>
    </row>
    <row r="32" spans="1:9" x14ac:dyDescent="0.35">
      <c r="A32" s="1">
        <v>-3.25</v>
      </c>
      <c r="B32" s="3">
        <f>(0.5)*$B$5*B$10*B$10*'S7055 Lift and Drag Function'!$C33*'Lift @ Cruising Speed vs. AoA'!$B$4</f>
        <v>4.8448750000000006E-2</v>
      </c>
      <c r="C32" s="3">
        <f>(0.5)*$B$5*C$10*C$10*'S7055 Lift and Drag Function'!$C33*'Lift @ Cruising Speed vs. AoA'!$B$4</f>
        <v>0.19379500000000002</v>
      </c>
      <c r="D32" s="3">
        <f>(0.5)*$B$5*D$10*D$10*'S7055 Lift and Drag Function'!$C33*'Lift @ Cruising Speed vs. AoA'!$B$4</f>
        <v>0.30280468750000011</v>
      </c>
      <c r="E32" s="3">
        <f>(0.5)*$B$5*E$10*E$10*'S7055 Lift and Drag Function'!$C33*'Lift @ Cruising Speed vs. AoA'!$B$4</f>
        <v>0.43603875000000003</v>
      </c>
      <c r="F32" s="3">
        <f>(0.5)*$B$5*F$10*F$10*'S7055 Lift and Drag Function'!$C33*'Lift @ Cruising Speed vs. AoA'!$B$4</f>
        <v>0.59349718750000002</v>
      </c>
      <c r="G32" s="3">
        <f>(0.5)*$B$5*G$10*G$10*'S7055 Lift and Drag Function'!$C33*'Lift @ Cruising Speed vs. AoA'!$B$4</f>
        <v>0.77518000000000009</v>
      </c>
      <c r="H32" s="3">
        <f>(0.5)*$B$5*H$10*H$10*'S7055 Lift and Drag Function'!$C33*'Lift @ Cruising Speed vs. AoA'!$B$4</f>
        <v>1.2112187500000005</v>
      </c>
      <c r="I32" s="3">
        <f>(0.5)*$B$5*I$10*I$10*'S7055 Lift and Drag Function'!$C33*'Lift @ Cruising Speed vs. AoA'!$B$4</f>
        <v>1.7441550000000001</v>
      </c>
    </row>
    <row r="33" spans="1:9" x14ac:dyDescent="0.35">
      <c r="A33" s="1">
        <v>-3</v>
      </c>
      <c r="B33" s="3">
        <f>(0.5)*$B$5*B$10*B$10*'S7055 Lift and Drag Function'!$C34*'Lift @ Cruising Speed vs. AoA'!$B$4</f>
        <v>4.6550000000000008E-2</v>
      </c>
      <c r="C33" s="3">
        <f>(0.5)*$B$5*C$10*C$10*'S7055 Lift and Drag Function'!$C34*'Lift @ Cruising Speed vs. AoA'!$B$4</f>
        <v>0.18620000000000003</v>
      </c>
      <c r="D33" s="3">
        <f>(0.5)*$B$5*D$10*D$10*'S7055 Lift and Drag Function'!$C34*'Lift @ Cruising Speed vs. AoA'!$B$4</f>
        <v>0.29093750000000002</v>
      </c>
      <c r="E33" s="3">
        <f>(0.5)*$B$5*E$10*E$10*'S7055 Lift and Drag Function'!$C34*'Lift @ Cruising Speed vs. AoA'!$B$4</f>
        <v>0.41894999999999999</v>
      </c>
      <c r="F33" s="3">
        <f>(0.5)*$B$5*F$10*F$10*'S7055 Lift and Drag Function'!$C34*'Lift @ Cruising Speed vs. AoA'!$B$4</f>
        <v>0.57023750000000006</v>
      </c>
      <c r="G33" s="3">
        <f>(0.5)*$B$5*G$10*G$10*'S7055 Lift and Drag Function'!$C34*'Lift @ Cruising Speed vs. AoA'!$B$4</f>
        <v>0.74480000000000013</v>
      </c>
      <c r="H33" s="3">
        <f>(0.5)*$B$5*H$10*H$10*'S7055 Lift and Drag Function'!$C34*'Lift @ Cruising Speed vs. AoA'!$B$4</f>
        <v>1.1637500000000001</v>
      </c>
      <c r="I33" s="3">
        <f>(0.5)*$B$5*I$10*I$10*'S7055 Lift and Drag Function'!$C34*'Lift @ Cruising Speed vs. AoA'!$B$4</f>
        <v>1.6758</v>
      </c>
    </row>
    <row r="34" spans="1:9" x14ac:dyDescent="0.35">
      <c r="A34" s="1">
        <v>-2.75</v>
      </c>
      <c r="B34" s="3">
        <f>(0.5)*$B$5*B$10*B$10*'S7055 Lift and Drag Function'!$C35*'Lift @ Cruising Speed vs. AoA'!$B$4</f>
        <v>4.5049375000000003E-2</v>
      </c>
      <c r="C34" s="3">
        <f>(0.5)*$B$5*C$10*C$10*'S7055 Lift and Drag Function'!$C35*'Lift @ Cruising Speed vs. AoA'!$B$4</f>
        <v>0.18019750000000001</v>
      </c>
      <c r="D34" s="3">
        <f>(0.5)*$B$5*D$10*D$10*'S7055 Lift and Drag Function'!$C35*'Lift @ Cruising Speed vs. AoA'!$B$4</f>
        <v>0.28155859375000009</v>
      </c>
      <c r="E34" s="3">
        <f>(0.5)*$B$5*E$10*E$10*'S7055 Lift and Drag Function'!$C35*'Lift @ Cruising Speed vs. AoA'!$B$4</f>
        <v>0.40544437500000002</v>
      </c>
      <c r="F34" s="3">
        <f>(0.5)*$B$5*F$10*F$10*'S7055 Lift and Drag Function'!$C35*'Lift @ Cruising Speed vs. AoA'!$B$4</f>
        <v>0.55185484375000005</v>
      </c>
      <c r="G34" s="3">
        <f>(0.5)*$B$5*G$10*G$10*'S7055 Lift and Drag Function'!$C35*'Lift @ Cruising Speed vs. AoA'!$B$4</f>
        <v>0.72079000000000004</v>
      </c>
      <c r="H34" s="3">
        <f>(0.5)*$B$5*H$10*H$10*'S7055 Lift and Drag Function'!$C35*'Lift @ Cruising Speed vs. AoA'!$B$4</f>
        <v>1.1262343750000003</v>
      </c>
      <c r="I34" s="3">
        <f>(0.5)*$B$5*I$10*I$10*'S7055 Lift and Drag Function'!$C35*'Lift @ Cruising Speed vs. AoA'!$B$4</f>
        <v>1.6217775000000001</v>
      </c>
    </row>
    <row r="35" spans="1:9" x14ac:dyDescent="0.35">
      <c r="A35" s="1">
        <v>-2.5</v>
      </c>
      <c r="B35" s="3">
        <f>(0.5)*$B$5*B$10*B$10*'S7055 Lift and Drag Function'!$C36*'Lift @ Cruising Speed vs. AoA'!$B$4</f>
        <v>4.3089374999999999E-2</v>
      </c>
      <c r="C35" s="3">
        <f>(0.5)*$B$5*C$10*C$10*'S7055 Lift and Drag Function'!$C36*'Lift @ Cruising Speed vs. AoA'!$B$4</f>
        <v>0.1723575</v>
      </c>
      <c r="D35" s="3">
        <f>(0.5)*$B$5*D$10*D$10*'S7055 Lift and Drag Function'!$C36*'Lift @ Cruising Speed vs. AoA'!$B$4</f>
        <v>0.26930859375000005</v>
      </c>
      <c r="E35" s="3">
        <f>(0.5)*$B$5*E$10*E$10*'S7055 Lift and Drag Function'!$C36*'Lift @ Cruising Speed vs. AoA'!$B$4</f>
        <v>0.38780437499999998</v>
      </c>
      <c r="F35" s="3">
        <f>(0.5)*$B$5*F$10*F$10*'S7055 Lift and Drag Function'!$C36*'Lift @ Cruising Speed vs. AoA'!$B$4</f>
        <v>0.52784484374999996</v>
      </c>
      <c r="G35" s="3">
        <f>(0.5)*$B$5*G$10*G$10*'S7055 Lift and Drag Function'!$C36*'Lift @ Cruising Speed vs. AoA'!$B$4</f>
        <v>0.68942999999999999</v>
      </c>
      <c r="H35" s="3">
        <f>(0.5)*$B$5*H$10*H$10*'S7055 Lift and Drag Function'!$C36*'Lift @ Cruising Speed vs. AoA'!$B$4</f>
        <v>1.0772343750000002</v>
      </c>
      <c r="I35" s="3">
        <f>(0.5)*$B$5*I$10*I$10*'S7055 Lift and Drag Function'!$C36*'Lift @ Cruising Speed vs. AoA'!$B$4</f>
        <v>1.5512174999999999</v>
      </c>
    </row>
    <row r="36" spans="1:9" x14ac:dyDescent="0.35">
      <c r="A36" s="1">
        <v>-2.25</v>
      </c>
      <c r="B36" s="3">
        <f>(0.5)*$B$5*B$10*B$10*'S7055 Lift and Drag Function'!$C37*'Lift @ Cruising Speed vs. AoA'!$B$4</f>
        <v>4.165E-2</v>
      </c>
      <c r="C36" s="3">
        <f>(0.5)*$B$5*C$10*C$10*'S7055 Lift and Drag Function'!$C37*'Lift @ Cruising Speed vs. AoA'!$B$4</f>
        <v>0.1666</v>
      </c>
      <c r="D36" s="3">
        <f>(0.5)*$B$5*D$10*D$10*'S7055 Lift and Drag Function'!$C37*'Lift @ Cruising Speed vs. AoA'!$B$4</f>
        <v>0.26031250000000006</v>
      </c>
      <c r="E36" s="3">
        <f>(0.5)*$B$5*E$10*E$10*'S7055 Lift and Drag Function'!$C37*'Lift @ Cruising Speed vs. AoA'!$B$4</f>
        <v>0.37485000000000002</v>
      </c>
      <c r="F36" s="3">
        <f>(0.5)*$B$5*F$10*F$10*'S7055 Lift and Drag Function'!$C37*'Lift @ Cruising Speed vs. AoA'!$B$4</f>
        <v>0.51021250000000007</v>
      </c>
      <c r="G36" s="3">
        <f>(0.5)*$B$5*G$10*G$10*'S7055 Lift and Drag Function'!$C37*'Lift @ Cruising Speed vs. AoA'!$B$4</f>
        <v>0.66639999999999999</v>
      </c>
      <c r="H36" s="3">
        <f>(0.5)*$B$5*H$10*H$10*'S7055 Lift and Drag Function'!$C37*'Lift @ Cruising Speed vs. AoA'!$B$4</f>
        <v>1.0412500000000002</v>
      </c>
      <c r="I36" s="3">
        <f>(0.5)*$B$5*I$10*I$10*'S7055 Lift and Drag Function'!$C37*'Lift @ Cruising Speed vs. AoA'!$B$4</f>
        <v>1.4994000000000001</v>
      </c>
    </row>
    <row r="37" spans="1:9" x14ac:dyDescent="0.35">
      <c r="A37" s="1">
        <v>-2</v>
      </c>
      <c r="B37" s="3">
        <f>(0.5)*$B$5*B$10*B$10*'S7055 Lift and Drag Function'!$C38*'Lift @ Cruising Speed vs. AoA'!$B$4</f>
        <v>3.9383750000000002E-2</v>
      </c>
      <c r="C37" s="3">
        <f>(0.5)*$B$5*C$10*C$10*'S7055 Lift and Drag Function'!$C38*'Lift @ Cruising Speed vs. AoA'!$B$4</f>
        <v>0.15753500000000001</v>
      </c>
      <c r="D37" s="3">
        <f>(0.5)*$B$5*D$10*D$10*'S7055 Lift and Drag Function'!$C38*'Lift @ Cruising Speed vs. AoA'!$B$4</f>
        <v>0.24614843750000004</v>
      </c>
      <c r="E37" s="3">
        <f>(0.5)*$B$5*E$10*E$10*'S7055 Lift and Drag Function'!$C38*'Lift @ Cruising Speed vs. AoA'!$B$4</f>
        <v>0.35445375000000001</v>
      </c>
      <c r="F37" s="3">
        <f>(0.5)*$B$5*F$10*F$10*'S7055 Lift and Drag Function'!$C38*'Lift @ Cruising Speed vs. AoA'!$B$4</f>
        <v>0.48245093750000001</v>
      </c>
      <c r="G37" s="3">
        <f>(0.5)*$B$5*G$10*G$10*'S7055 Lift and Drag Function'!$C38*'Lift @ Cruising Speed vs. AoA'!$B$4</f>
        <v>0.63014000000000003</v>
      </c>
      <c r="H37" s="3">
        <f>(0.5)*$B$5*H$10*H$10*'S7055 Lift and Drag Function'!$C38*'Lift @ Cruising Speed vs. AoA'!$B$4</f>
        <v>0.98459375000000016</v>
      </c>
      <c r="I37" s="3">
        <f>(0.5)*$B$5*I$10*I$10*'S7055 Lift and Drag Function'!$C38*'Lift @ Cruising Speed vs. AoA'!$B$4</f>
        <v>1.417815</v>
      </c>
    </row>
    <row r="38" spans="1:9" x14ac:dyDescent="0.35">
      <c r="A38" s="1">
        <v>-1.75</v>
      </c>
      <c r="B38" s="3">
        <f>(0.5)*$B$5*B$10*B$10*'S7055 Lift and Drag Function'!$C39*'Lift @ Cruising Speed vs. AoA'!$B$4</f>
        <v>3.5065625000000003E-2</v>
      </c>
      <c r="C38" s="3">
        <f>(0.5)*$B$5*C$10*C$10*'S7055 Lift and Drag Function'!$C39*'Lift @ Cruising Speed vs. AoA'!$B$4</f>
        <v>0.14026250000000001</v>
      </c>
      <c r="D38" s="3">
        <f>(0.5)*$B$5*D$10*D$10*'S7055 Lift and Drag Function'!$C39*'Lift @ Cruising Speed vs. AoA'!$B$4</f>
        <v>0.21916015625000004</v>
      </c>
      <c r="E38" s="3">
        <f>(0.5)*$B$5*E$10*E$10*'S7055 Lift and Drag Function'!$C39*'Lift @ Cruising Speed vs. AoA'!$B$4</f>
        <v>0.31559062500000001</v>
      </c>
      <c r="F38" s="3">
        <f>(0.5)*$B$5*F$10*F$10*'S7055 Lift and Drag Function'!$C39*'Lift @ Cruising Speed vs. AoA'!$B$4</f>
        <v>0.42955390625000001</v>
      </c>
      <c r="G38" s="3">
        <f>(0.5)*$B$5*G$10*G$10*'S7055 Lift and Drag Function'!$C39*'Lift @ Cruising Speed vs. AoA'!$B$4</f>
        <v>0.56105000000000005</v>
      </c>
      <c r="H38" s="3">
        <f>(0.5)*$B$5*H$10*H$10*'S7055 Lift and Drag Function'!$C39*'Lift @ Cruising Speed vs. AoA'!$B$4</f>
        <v>0.87664062500000017</v>
      </c>
      <c r="I38" s="3">
        <f>(0.5)*$B$5*I$10*I$10*'S7055 Lift and Drag Function'!$C39*'Lift @ Cruising Speed vs. AoA'!$B$4</f>
        <v>1.2623625000000001</v>
      </c>
    </row>
    <row r="39" spans="1:9" x14ac:dyDescent="0.35">
      <c r="A39" s="1">
        <v>-1.5</v>
      </c>
      <c r="B39" s="3">
        <f>(0.5)*$B$5*B$10*B$10*'S7055 Lift and Drag Function'!$C40*'Lift @ Cruising Speed vs. AoA'!$B$4</f>
        <v>3.2125624999999998E-2</v>
      </c>
      <c r="C39" s="3">
        <f>(0.5)*$B$5*C$10*C$10*'S7055 Lift and Drag Function'!$C40*'Lift @ Cruising Speed vs. AoA'!$B$4</f>
        <v>0.12850249999999999</v>
      </c>
      <c r="D39" s="3">
        <f>(0.5)*$B$5*D$10*D$10*'S7055 Lift and Drag Function'!$C40*'Lift @ Cruising Speed vs. AoA'!$B$4</f>
        <v>0.20078515625000001</v>
      </c>
      <c r="E39" s="3">
        <f>(0.5)*$B$5*E$10*E$10*'S7055 Lift and Drag Function'!$C40*'Lift @ Cruising Speed vs. AoA'!$B$4</f>
        <v>0.28913062500000003</v>
      </c>
      <c r="F39" s="3">
        <f>(0.5)*$B$5*F$10*F$10*'S7055 Lift and Drag Function'!$C40*'Lift @ Cruising Speed vs. AoA'!$B$4</f>
        <v>0.39353890624999999</v>
      </c>
      <c r="G39" s="3">
        <f>(0.5)*$B$5*G$10*G$10*'S7055 Lift and Drag Function'!$C40*'Lift @ Cruising Speed vs. AoA'!$B$4</f>
        <v>0.51400999999999997</v>
      </c>
      <c r="H39" s="3">
        <f>(0.5)*$B$5*H$10*H$10*'S7055 Lift and Drag Function'!$C40*'Lift @ Cruising Speed vs. AoA'!$B$4</f>
        <v>0.80314062500000005</v>
      </c>
      <c r="I39" s="3">
        <f>(0.5)*$B$5*I$10*I$10*'S7055 Lift and Drag Function'!$C40*'Lift @ Cruising Speed vs. AoA'!$B$4</f>
        <v>1.1565225000000001</v>
      </c>
    </row>
    <row r="40" spans="1:9" x14ac:dyDescent="0.35">
      <c r="A40" s="1">
        <v>-1.25</v>
      </c>
      <c r="B40" s="3">
        <f>(0.5)*$B$5*B$10*B$10*'S7055 Lift and Drag Function'!$C41*'Lift @ Cruising Speed vs. AoA'!$B$4</f>
        <v>3.1176250000000003E-2</v>
      </c>
      <c r="C40" s="3">
        <f>(0.5)*$B$5*C$10*C$10*'S7055 Lift and Drag Function'!$C41*'Lift @ Cruising Speed vs. AoA'!$B$4</f>
        <v>0.12470500000000001</v>
      </c>
      <c r="D40" s="3">
        <f>(0.5)*$B$5*D$10*D$10*'S7055 Lift and Drag Function'!$C41*'Lift @ Cruising Speed vs. AoA'!$B$4</f>
        <v>0.19485156250000002</v>
      </c>
      <c r="E40" s="3">
        <f>(0.5)*$B$5*E$10*E$10*'S7055 Lift and Drag Function'!$C41*'Lift @ Cruising Speed vs. AoA'!$B$4</f>
        <v>0.28058624999999998</v>
      </c>
      <c r="F40" s="3">
        <f>(0.5)*$B$5*F$10*F$10*'S7055 Lift and Drag Function'!$C41*'Lift @ Cruising Speed vs. AoA'!$B$4</f>
        <v>0.38190906250000001</v>
      </c>
      <c r="G40" s="3">
        <f>(0.5)*$B$5*G$10*G$10*'S7055 Lift and Drag Function'!$C41*'Lift @ Cruising Speed vs. AoA'!$B$4</f>
        <v>0.49882000000000004</v>
      </c>
      <c r="H40" s="3">
        <f>(0.5)*$B$5*H$10*H$10*'S7055 Lift and Drag Function'!$C41*'Lift @ Cruising Speed vs. AoA'!$B$4</f>
        <v>0.77940625000000008</v>
      </c>
      <c r="I40" s="3">
        <f>(0.5)*$B$5*I$10*I$10*'S7055 Lift and Drag Function'!$C41*'Lift @ Cruising Speed vs. AoA'!$B$4</f>
        <v>1.1223449999999999</v>
      </c>
    </row>
    <row r="41" spans="1:9" x14ac:dyDescent="0.35">
      <c r="A41" s="1">
        <v>-1</v>
      </c>
      <c r="B41" s="3">
        <f>(0.5)*$B$5*B$10*B$10*'S7055 Lift and Drag Function'!$C42*'Lift @ Cruising Speed vs. AoA'!$B$4</f>
        <v>3.0655624999999999E-2</v>
      </c>
      <c r="C41" s="3">
        <f>(0.5)*$B$5*C$10*C$10*'S7055 Lift and Drag Function'!$C42*'Lift @ Cruising Speed vs. AoA'!$B$4</f>
        <v>0.1226225</v>
      </c>
      <c r="D41" s="3">
        <f>(0.5)*$B$5*D$10*D$10*'S7055 Lift and Drag Function'!$C42*'Lift @ Cruising Speed vs. AoA'!$B$4</f>
        <v>0.19159765625000003</v>
      </c>
      <c r="E41" s="3">
        <f>(0.5)*$B$5*E$10*E$10*'S7055 Lift and Drag Function'!$C42*'Lift @ Cruising Speed vs. AoA'!$B$4</f>
        <v>0.27590062500000001</v>
      </c>
      <c r="F41" s="3">
        <f>(0.5)*$B$5*F$10*F$10*'S7055 Lift and Drag Function'!$C42*'Lift @ Cruising Speed vs. AoA'!$B$4</f>
        <v>0.37553140625000003</v>
      </c>
      <c r="G41" s="3">
        <f>(0.5)*$B$5*G$10*G$10*'S7055 Lift and Drag Function'!$C42*'Lift @ Cruising Speed vs. AoA'!$B$4</f>
        <v>0.49048999999999998</v>
      </c>
      <c r="H41" s="3">
        <f>(0.5)*$B$5*H$10*H$10*'S7055 Lift and Drag Function'!$C42*'Lift @ Cruising Speed vs. AoA'!$B$4</f>
        <v>0.7663906250000001</v>
      </c>
      <c r="I41" s="3">
        <f>(0.5)*$B$5*I$10*I$10*'S7055 Lift and Drag Function'!$C42*'Lift @ Cruising Speed vs. AoA'!$B$4</f>
        <v>1.1036025</v>
      </c>
    </row>
    <row r="42" spans="1:9" x14ac:dyDescent="0.35">
      <c r="A42" s="1">
        <v>-0.75</v>
      </c>
      <c r="B42" s="3">
        <f>(0.5)*$B$5*B$10*B$10*'S7055 Lift and Drag Function'!$C43*'Lift @ Cruising Speed vs. AoA'!$B$4</f>
        <v>3.0686249999999998E-2</v>
      </c>
      <c r="C42" s="3">
        <f>(0.5)*$B$5*C$10*C$10*'S7055 Lift and Drag Function'!$C43*'Lift @ Cruising Speed vs. AoA'!$B$4</f>
        <v>0.12274499999999999</v>
      </c>
      <c r="D42" s="3">
        <f>(0.5)*$B$5*D$10*D$10*'S7055 Lift and Drag Function'!$C43*'Lift @ Cruising Speed vs. AoA'!$B$4</f>
        <v>0.19178906250000002</v>
      </c>
      <c r="E42" s="3">
        <f>(0.5)*$B$5*E$10*E$10*'S7055 Lift and Drag Function'!$C43*'Lift @ Cruising Speed vs. AoA'!$B$4</f>
        <v>0.27617624999999996</v>
      </c>
      <c r="F42" s="3">
        <f>(0.5)*$B$5*F$10*F$10*'S7055 Lift and Drag Function'!$C43*'Lift @ Cruising Speed vs. AoA'!$B$4</f>
        <v>0.37590656249999999</v>
      </c>
      <c r="G42" s="3">
        <f>(0.5)*$B$5*G$10*G$10*'S7055 Lift and Drag Function'!$C43*'Lift @ Cruising Speed vs. AoA'!$B$4</f>
        <v>0.49097999999999997</v>
      </c>
      <c r="H42" s="3">
        <f>(0.5)*$B$5*H$10*H$10*'S7055 Lift and Drag Function'!$C43*'Lift @ Cruising Speed vs. AoA'!$B$4</f>
        <v>0.7671562500000001</v>
      </c>
      <c r="I42" s="3">
        <f>(0.5)*$B$5*I$10*I$10*'S7055 Lift and Drag Function'!$C43*'Lift @ Cruising Speed vs. AoA'!$B$4</f>
        <v>1.1047049999999998</v>
      </c>
    </row>
    <row r="43" spans="1:9" x14ac:dyDescent="0.35">
      <c r="A43" s="1">
        <v>-0.5</v>
      </c>
      <c r="B43" s="3">
        <f>(0.5)*$B$5*B$10*B$10*'S7055 Lift and Drag Function'!$C44*'Lift @ Cruising Speed vs. AoA'!$B$4</f>
        <v>3.0686249999999998E-2</v>
      </c>
      <c r="C43" s="3">
        <f>(0.5)*$B$5*C$10*C$10*'S7055 Lift and Drag Function'!$C44*'Lift @ Cruising Speed vs. AoA'!$B$4</f>
        <v>0.12274499999999999</v>
      </c>
      <c r="D43" s="3">
        <f>(0.5)*$B$5*D$10*D$10*'S7055 Lift and Drag Function'!$C44*'Lift @ Cruising Speed vs. AoA'!$B$4</f>
        <v>0.19178906250000002</v>
      </c>
      <c r="E43" s="3">
        <f>(0.5)*$B$5*E$10*E$10*'S7055 Lift and Drag Function'!$C44*'Lift @ Cruising Speed vs. AoA'!$B$4</f>
        <v>0.27617624999999996</v>
      </c>
      <c r="F43" s="3">
        <f>(0.5)*$B$5*F$10*F$10*'S7055 Lift and Drag Function'!$C44*'Lift @ Cruising Speed vs. AoA'!$B$4</f>
        <v>0.37590656249999999</v>
      </c>
      <c r="G43" s="3">
        <f>(0.5)*$B$5*G$10*G$10*'S7055 Lift and Drag Function'!$C44*'Lift @ Cruising Speed vs. AoA'!$B$4</f>
        <v>0.49097999999999997</v>
      </c>
      <c r="H43" s="3">
        <f>(0.5)*$B$5*H$10*H$10*'S7055 Lift and Drag Function'!$C44*'Lift @ Cruising Speed vs. AoA'!$B$4</f>
        <v>0.7671562500000001</v>
      </c>
      <c r="I43" s="3">
        <f>(0.5)*$B$5*I$10*I$10*'S7055 Lift and Drag Function'!$C44*'Lift @ Cruising Speed vs. AoA'!$B$4</f>
        <v>1.1047049999999998</v>
      </c>
    </row>
    <row r="44" spans="1:9" x14ac:dyDescent="0.35">
      <c r="A44" s="1">
        <v>-0.25</v>
      </c>
      <c r="B44" s="3">
        <f>(0.5)*$B$5*B$10*B$10*'S7055 Lift and Drag Function'!$C45*'Lift @ Cruising Speed vs. AoA'!$B$4</f>
        <v>3.0625000000000003E-2</v>
      </c>
      <c r="C44" s="3">
        <f>(0.5)*$B$5*C$10*C$10*'S7055 Lift and Drag Function'!$C45*'Lift @ Cruising Speed vs. AoA'!$B$4</f>
        <v>0.12250000000000001</v>
      </c>
      <c r="D44" s="3">
        <f>(0.5)*$B$5*D$10*D$10*'S7055 Lift and Drag Function'!$C45*'Lift @ Cruising Speed vs. AoA'!$B$4</f>
        <v>0.19140625000000003</v>
      </c>
      <c r="E44" s="3">
        <f>(0.5)*$B$5*E$10*E$10*'S7055 Lift and Drag Function'!$C45*'Lift @ Cruising Speed vs. AoA'!$B$4</f>
        <v>0.27562500000000001</v>
      </c>
      <c r="F44" s="3">
        <f>(0.5)*$B$5*F$10*F$10*'S7055 Lift and Drag Function'!$C45*'Lift @ Cruising Speed vs. AoA'!$B$4</f>
        <v>0.37515625000000002</v>
      </c>
      <c r="G44" s="3">
        <f>(0.5)*$B$5*G$10*G$10*'S7055 Lift and Drag Function'!$C45*'Lift @ Cruising Speed vs. AoA'!$B$4</f>
        <v>0.49000000000000005</v>
      </c>
      <c r="H44" s="3">
        <f>(0.5)*$B$5*H$10*H$10*'S7055 Lift and Drag Function'!$C45*'Lift @ Cruising Speed vs. AoA'!$B$4</f>
        <v>0.76562500000000011</v>
      </c>
      <c r="I44" s="3">
        <f>(0.5)*$B$5*I$10*I$10*'S7055 Lift and Drag Function'!$C45*'Lift @ Cruising Speed vs. AoA'!$B$4</f>
        <v>1.1025</v>
      </c>
    </row>
    <row r="45" spans="1:9" x14ac:dyDescent="0.35">
      <c r="A45" s="1">
        <v>0</v>
      </c>
      <c r="B45" s="3">
        <f>(0.5)*$B$5*B$10*B$10*'S7055 Lift and Drag Function'!$C46*'Lift @ Cruising Speed vs. AoA'!$B$4</f>
        <v>3.0747500000000001E-2</v>
      </c>
      <c r="C45" s="3">
        <f>(0.5)*$B$5*C$10*C$10*'S7055 Lift and Drag Function'!$C46*'Lift @ Cruising Speed vs. AoA'!$B$4</f>
        <v>0.12299</v>
      </c>
      <c r="D45" s="3">
        <f>(0.5)*$B$5*D$10*D$10*'S7055 Lift and Drag Function'!$C46*'Lift @ Cruising Speed vs. AoA'!$B$4</f>
        <v>0.19217187500000005</v>
      </c>
      <c r="E45" s="3">
        <f>(0.5)*$B$5*E$10*E$10*'S7055 Lift and Drag Function'!$C46*'Lift @ Cruising Speed vs. AoA'!$B$4</f>
        <v>0.27672750000000002</v>
      </c>
      <c r="F45" s="3">
        <f>(0.5)*$B$5*F$10*F$10*'S7055 Lift and Drag Function'!$C46*'Lift @ Cruising Speed vs. AoA'!$B$4</f>
        <v>0.37665687500000006</v>
      </c>
      <c r="G45" s="3">
        <f>(0.5)*$B$5*G$10*G$10*'S7055 Lift and Drag Function'!$C46*'Lift @ Cruising Speed vs. AoA'!$B$4</f>
        <v>0.49196000000000001</v>
      </c>
      <c r="H45" s="3">
        <f>(0.5)*$B$5*H$10*H$10*'S7055 Lift and Drag Function'!$C46*'Lift @ Cruising Speed vs. AoA'!$B$4</f>
        <v>0.76868750000000019</v>
      </c>
      <c r="I45" s="3">
        <f>(0.5)*$B$5*I$10*I$10*'S7055 Lift and Drag Function'!$C46*'Lift @ Cruising Speed vs. AoA'!$B$4</f>
        <v>1.1069100000000001</v>
      </c>
    </row>
    <row r="46" spans="1:9" x14ac:dyDescent="0.35">
      <c r="A46" s="1">
        <v>0.25</v>
      </c>
      <c r="B46" s="3">
        <f>(0.5)*$B$5*B$10*B$10*'S7055 Lift and Drag Function'!$C47*'Lift @ Cruising Speed vs. AoA'!$B$4</f>
        <v>3.0808749999999996E-2</v>
      </c>
      <c r="C46" s="3">
        <f>(0.5)*$B$5*C$10*C$10*'S7055 Lift and Drag Function'!$C47*'Lift @ Cruising Speed vs. AoA'!$B$4</f>
        <v>0.12323499999999998</v>
      </c>
      <c r="D46" s="3">
        <f>(0.5)*$B$5*D$10*D$10*'S7055 Lift and Drag Function'!$C47*'Lift @ Cruising Speed vs. AoA'!$B$4</f>
        <v>0.19255468750000004</v>
      </c>
      <c r="E46" s="3">
        <f>(0.5)*$B$5*E$10*E$10*'S7055 Lift and Drag Function'!$C47*'Lift @ Cruising Speed vs. AoA'!$B$4</f>
        <v>0.27727874999999996</v>
      </c>
      <c r="F46" s="3">
        <f>(0.5)*$B$5*F$10*F$10*'S7055 Lift and Drag Function'!$C47*'Lift @ Cruising Speed vs. AoA'!$B$4</f>
        <v>0.37740718750000002</v>
      </c>
      <c r="G46" s="3">
        <f>(0.5)*$B$5*G$10*G$10*'S7055 Lift and Drag Function'!$C47*'Lift @ Cruising Speed vs. AoA'!$B$4</f>
        <v>0.49293999999999993</v>
      </c>
      <c r="H46" s="3">
        <f>(0.5)*$B$5*H$10*H$10*'S7055 Lift and Drag Function'!$C47*'Lift @ Cruising Speed vs. AoA'!$B$4</f>
        <v>0.77021875000000017</v>
      </c>
      <c r="I46" s="3">
        <f>(0.5)*$B$5*I$10*I$10*'S7055 Lift and Drag Function'!$C47*'Lift @ Cruising Speed vs. AoA'!$B$4</f>
        <v>1.1091149999999999</v>
      </c>
    </row>
    <row r="47" spans="1:9" x14ac:dyDescent="0.35">
      <c r="A47" s="1">
        <v>0.5</v>
      </c>
      <c r="B47" s="3">
        <f>(0.5)*$B$5*B$10*B$10*'S7055 Lift and Drag Function'!$C48*'Lift @ Cruising Speed vs. AoA'!$B$4</f>
        <v>3.0839375000000002E-2</v>
      </c>
      <c r="C47" s="3">
        <f>(0.5)*$B$5*C$10*C$10*'S7055 Lift and Drag Function'!$C48*'Lift @ Cruising Speed vs. AoA'!$B$4</f>
        <v>0.12335750000000001</v>
      </c>
      <c r="D47" s="3">
        <f>(0.5)*$B$5*D$10*D$10*'S7055 Lift and Drag Function'!$C48*'Lift @ Cruising Speed vs. AoA'!$B$4</f>
        <v>0.19274609375000007</v>
      </c>
      <c r="E47" s="3">
        <f>(0.5)*$B$5*E$10*E$10*'S7055 Lift and Drag Function'!$C48*'Lift @ Cruising Speed vs. AoA'!$B$4</f>
        <v>0.27755437500000002</v>
      </c>
      <c r="F47" s="3">
        <f>(0.5)*$B$5*F$10*F$10*'S7055 Lift and Drag Function'!$C48*'Lift @ Cruising Speed vs. AoA'!$B$4</f>
        <v>0.37778234375000008</v>
      </c>
      <c r="G47" s="3">
        <f>(0.5)*$B$5*G$10*G$10*'S7055 Lift and Drag Function'!$C48*'Lift @ Cruising Speed vs. AoA'!$B$4</f>
        <v>0.49343000000000004</v>
      </c>
      <c r="H47" s="3">
        <f>(0.5)*$B$5*H$10*H$10*'S7055 Lift and Drag Function'!$C48*'Lift @ Cruising Speed vs. AoA'!$B$4</f>
        <v>0.77098437500000028</v>
      </c>
      <c r="I47" s="3">
        <f>(0.5)*$B$5*I$10*I$10*'S7055 Lift and Drag Function'!$C48*'Lift @ Cruising Speed vs. AoA'!$B$4</f>
        <v>1.1102175000000001</v>
      </c>
    </row>
    <row r="48" spans="1:9" x14ac:dyDescent="0.35">
      <c r="A48" s="1">
        <v>0.75</v>
      </c>
      <c r="B48" s="3">
        <f>(0.5)*$B$5*B$10*B$10*'S7055 Lift and Drag Function'!$C49*'Lift @ Cruising Speed vs. AoA'!$B$4</f>
        <v>3.0992500000000003E-2</v>
      </c>
      <c r="C48" s="3">
        <f>(0.5)*$B$5*C$10*C$10*'S7055 Lift and Drag Function'!$C49*'Lift @ Cruising Speed vs. AoA'!$B$4</f>
        <v>0.12397000000000001</v>
      </c>
      <c r="D48" s="3">
        <f>(0.5)*$B$5*D$10*D$10*'S7055 Lift and Drag Function'!$C49*'Lift @ Cruising Speed vs. AoA'!$B$4</f>
        <v>0.19370312500000006</v>
      </c>
      <c r="E48" s="3">
        <f>(0.5)*$B$5*E$10*E$10*'S7055 Lift and Drag Function'!$C49*'Lift @ Cruising Speed vs. AoA'!$B$4</f>
        <v>0.27893250000000003</v>
      </c>
      <c r="F48" s="3">
        <f>(0.5)*$B$5*F$10*F$10*'S7055 Lift and Drag Function'!$C49*'Lift @ Cruising Speed vs. AoA'!$B$4</f>
        <v>0.37965812500000001</v>
      </c>
      <c r="G48" s="3">
        <f>(0.5)*$B$5*G$10*G$10*'S7055 Lift and Drag Function'!$C49*'Lift @ Cruising Speed vs. AoA'!$B$4</f>
        <v>0.49588000000000004</v>
      </c>
      <c r="H48" s="3">
        <f>(0.5)*$B$5*H$10*H$10*'S7055 Lift and Drag Function'!$C49*'Lift @ Cruising Speed vs. AoA'!$B$4</f>
        <v>0.77481250000000024</v>
      </c>
      <c r="I48" s="3">
        <f>(0.5)*$B$5*I$10*I$10*'S7055 Lift and Drag Function'!$C49*'Lift @ Cruising Speed vs. AoA'!$B$4</f>
        <v>1.1157300000000001</v>
      </c>
    </row>
    <row r="49" spans="1:9" x14ac:dyDescent="0.35">
      <c r="A49" s="1">
        <v>1</v>
      </c>
      <c r="B49" s="3">
        <f>(0.5)*$B$5*B$10*B$10*'S7055 Lift and Drag Function'!$C50*'Lift @ Cruising Speed vs. AoA'!$B$4</f>
        <v>3.1145625E-2</v>
      </c>
      <c r="C49" s="3">
        <f>(0.5)*$B$5*C$10*C$10*'S7055 Lift and Drag Function'!$C50*'Lift @ Cruising Speed vs. AoA'!$B$4</f>
        <v>0.1245825</v>
      </c>
      <c r="D49" s="3">
        <f>(0.5)*$B$5*D$10*D$10*'S7055 Lift and Drag Function'!$C50*'Lift @ Cruising Speed vs. AoA'!$B$4</f>
        <v>0.19466015625000005</v>
      </c>
      <c r="E49" s="3">
        <f>(0.5)*$B$5*E$10*E$10*'S7055 Lift and Drag Function'!$C50*'Lift @ Cruising Speed vs. AoA'!$B$4</f>
        <v>0.28031062499999998</v>
      </c>
      <c r="F49" s="3">
        <f>(0.5)*$B$5*F$10*F$10*'S7055 Lift and Drag Function'!$C50*'Lift @ Cruising Speed vs. AoA'!$B$4</f>
        <v>0.38153390625000005</v>
      </c>
      <c r="G49" s="3">
        <f>(0.5)*$B$5*G$10*G$10*'S7055 Lift and Drag Function'!$C50*'Lift @ Cruising Speed vs. AoA'!$B$4</f>
        <v>0.49833</v>
      </c>
      <c r="H49" s="3">
        <f>(0.5)*$B$5*H$10*H$10*'S7055 Lift and Drag Function'!$C50*'Lift @ Cruising Speed vs. AoA'!$B$4</f>
        <v>0.7786406250000002</v>
      </c>
      <c r="I49" s="3">
        <f>(0.5)*$B$5*I$10*I$10*'S7055 Lift and Drag Function'!$C50*'Lift @ Cruising Speed vs. AoA'!$B$4</f>
        <v>1.1212424999999999</v>
      </c>
    </row>
    <row r="50" spans="1:9" x14ac:dyDescent="0.35">
      <c r="A50" s="1">
        <v>1.25</v>
      </c>
      <c r="B50" s="3">
        <f>(0.5)*$B$5*B$10*B$10*'S7055 Lift and Drag Function'!$C51*'Lift @ Cruising Speed vs. AoA'!$B$4</f>
        <v>3.1268125000000001E-2</v>
      </c>
      <c r="C50" s="3">
        <f>(0.5)*$B$5*C$10*C$10*'S7055 Lift and Drag Function'!$C51*'Lift @ Cruising Speed vs. AoA'!$B$4</f>
        <v>0.1250725</v>
      </c>
      <c r="D50" s="3">
        <f>(0.5)*$B$5*D$10*D$10*'S7055 Lift and Drag Function'!$C51*'Lift @ Cruising Speed vs. AoA'!$B$4</f>
        <v>0.19542578125000004</v>
      </c>
      <c r="E50" s="3">
        <f>(0.5)*$B$5*E$10*E$10*'S7055 Lift and Drag Function'!$C51*'Lift @ Cruising Speed vs. AoA'!$B$4</f>
        <v>0.28141312499999999</v>
      </c>
      <c r="F50" s="3">
        <f>(0.5)*$B$5*F$10*F$10*'S7055 Lift and Drag Function'!$C51*'Lift @ Cruising Speed vs. AoA'!$B$4</f>
        <v>0.38303453125000003</v>
      </c>
      <c r="G50" s="3">
        <f>(0.5)*$B$5*G$10*G$10*'S7055 Lift and Drag Function'!$C51*'Lift @ Cruising Speed vs. AoA'!$B$4</f>
        <v>0.50029000000000001</v>
      </c>
      <c r="H50" s="3">
        <f>(0.5)*$B$5*H$10*H$10*'S7055 Lift and Drag Function'!$C51*'Lift @ Cruising Speed vs. AoA'!$B$4</f>
        <v>0.78170312500000017</v>
      </c>
      <c r="I50" s="3">
        <f>(0.5)*$B$5*I$10*I$10*'S7055 Lift and Drag Function'!$C51*'Lift @ Cruising Speed vs. AoA'!$B$4</f>
        <v>1.1256524999999999</v>
      </c>
    </row>
    <row r="51" spans="1:9" x14ac:dyDescent="0.35">
      <c r="A51" s="1">
        <v>1.5</v>
      </c>
      <c r="B51" s="3">
        <f>(0.5)*$B$5*B$10*B$10*'S7055 Lift and Drag Function'!$C52*'Lift @ Cruising Speed vs. AoA'!$B$4</f>
        <v>3.1482499999999997E-2</v>
      </c>
      <c r="C51" s="3">
        <f>(0.5)*$B$5*C$10*C$10*'S7055 Lift and Drag Function'!$C52*'Lift @ Cruising Speed vs. AoA'!$B$4</f>
        <v>0.12592999999999999</v>
      </c>
      <c r="D51" s="3">
        <f>(0.5)*$B$5*D$10*D$10*'S7055 Lift and Drag Function'!$C52*'Lift @ Cruising Speed vs. AoA'!$B$4</f>
        <v>0.19676562500000003</v>
      </c>
      <c r="E51" s="3">
        <f>(0.5)*$B$5*E$10*E$10*'S7055 Lift and Drag Function'!$C52*'Lift @ Cruising Speed vs. AoA'!$B$4</f>
        <v>0.2833425</v>
      </c>
      <c r="F51" s="3">
        <f>(0.5)*$B$5*F$10*F$10*'S7055 Lift and Drag Function'!$C52*'Lift @ Cruising Speed vs. AoA'!$B$4</f>
        <v>0.38566062499999998</v>
      </c>
      <c r="G51" s="3">
        <f>(0.5)*$B$5*G$10*G$10*'S7055 Lift and Drag Function'!$C52*'Lift @ Cruising Speed vs. AoA'!$B$4</f>
        <v>0.50371999999999995</v>
      </c>
      <c r="H51" s="3">
        <f>(0.5)*$B$5*H$10*H$10*'S7055 Lift and Drag Function'!$C52*'Lift @ Cruising Speed vs. AoA'!$B$4</f>
        <v>0.78706250000000011</v>
      </c>
      <c r="I51" s="3">
        <f>(0.5)*$B$5*I$10*I$10*'S7055 Lift and Drag Function'!$C52*'Lift @ Cruising Speed vs. AoA'!$B$4</f>
        <v>1.13337</v>
      </c>
    </row>
    <row r="52" spans="1:9" x14ac:dyDescent="0.35">
      <c r="A52" s="1">
        <v>1.75</v>
      </c>
      <c r="B52" s="3">
        <f>(0.5)*$B$5*B$10*B$10*'S7055 Lift and Drag Function'!$C53*'Lift @ Cruising Speed vs. AoA'!$B$4</f>
        <v>3.1727499999999999E-2</v>
      </c>
      <c r="C52" s="3">
        <f>(0.5)*$B$5*C$10*C$10*'S7055 Lift and Drag Function'!$C53*'Lift @ Cruising Speed vs. AoA'!$B$4</f>
        <v>0.12691</v>
      </c>
      <c r="D52" s="3">
        <f>(0.5)*$B$5*D$10*D$10*'S7055 Lift and Drag Function'!$C53*'Lift @ Cruising Speed vs. AoA'!$B$4</f>
        <v>0.19829687500000004</v>
      </c>
      <c r="E52" s="3">
        <f>(0.5)*$B$5*E$10*E$10*'S7055 Lift and Drag Function'!$C53*'Lift @ Cruising Speed vs. AoA'!$B$4</f>
        <v>0.28554750000000001</v>
      </c>
      <c r="F52" s="3">
        <f>(0.5)*$B$5*F$10*F$10*'S7055 Lift and Drag Function'!$C53*'Lift @ Cruising Speed vs. AoA'!$B$4</f>
        <v>0.38866187499999999</v>
      </c>
      <c r="G52" s="3">
        <f>(0.5)*$B$5*G$10*G$10*'S7055 Lift and Drag Function'!$C53*'Lift @ Cruising Speed vs. AoA'!$B$4</f>
        <v>0.50763999999999998</v>
      </c>
      <c r="H52" s="3">
        <f>(0.5)*$B$5*H$10*H$10*'S7055 Lift and Drag Function'!$C53*'Lift @ Cruising Speed vs. AoA'!$B$4</f>
        <v>0.79318750000000016</v>
      </c>
      <c r="I52" s="3">
        <f>(0.5)*$B$5*I$10*I$10*'S7055 Lift and Drag Function'!$C53*'Lift @ Cruising Speed vs. AoA'!$B$4</f>
        <v>1.14219</v>
      </c>
    </row>
    <row r="53" spans="1:9" x14ac:dyDescent="0.35">
      <c r="A53" s="1">
        <v>2</v>
      </c>
      <c r="B53" s="3">
        <f>(0.5)*$B$5*B$10*B$10*'S7055 Lift and Drag Function'!$C54*'Lift @ Cruising Speed vs. AoA'!$B$4</f>
        <v>3.1972500000000001E-2</v>
      </c>
      <c r="C53" s="3">
        <f>(0.5)*$B$5*C$10*C$10*'S7055 Lift and Drag Function'!$C54*'Lift @ Cruising Speed vs. AoA'!$B$4</f>
        <v>0.12789</v>
      </c>
      <c r="D53" s="3">
        <f>(0.5)*$B$5*D$10*D$10*'S7055 Lift and Drag Function'!$C54*'Lift @ Cruising Speed vs. AoA'!$B$4</f>
        <v>0.19982812500000002</v>
      </c>
      <c r="E53" s="3">
        <f>(0.5)*$B$5*E$10*E$10*'S7055 Lift and Drag Function'!$C54*'Lift @ Cruising Speed vs. AoA'!$B$4</f>
        <v>0.28775250000000002</v>
      </c>
      <c r="F53" s="3">
        <f>(0.5)*$B$5*F$10*F$10*'S7055 Lift and Drag Function'!$C54*'Lift @ Cruising Speed vs. AoA'!$B$4</f>
        <v>0.391663125</v>
      </c>
      <c r="G53" s="3">
        <f>(0.5)*$B$5*G$10*G$10*'S7055 Lift and Drag Function'!$C54*'Lift @ Cruising Speed vs. AoA'!$B$4</f>
        <v>0.51156000000000001</v>
      </c>
      <c r="H53" s="3">
        <f>(0.5)*$B$5*H$10*H$10*'S7055 Lift and Drag Function'!$C54*'Lift @ Cruising Speed vs. AoA'!$B$4</f>
        <v>0.79931250000000009</v>
      </c>
      <c r="I53" s="3">
        <f>(0.5)*$B$5*I$10*I$10*'S7055 Lift and Drag Function'!$C54*'Lift @ Cruising Speed vs. AoA'!$B$4</f>
        <v>1.1510100000000001</v>
      </c>
    </row>
    <row r="54" spans="1:9" x14ac:dyDescent="0.35">
      <c r="A54" s="1">
        <v>2.25</v>
      </c>
      <c r="B54" s="3">
        <f>(0.5)*$B$5*B$10*B$10*'S7055 Lift and Drag Function'!$C55*'Lift @ Cruising Speed vs. AoA'!$B$4</f>
        <v>3.2217500000000003E-2</v>
      </c>
      <c r="C54" s="3">
        <f>(0.5)*$B$5*C$10*C$10*'S7055 Lift and Drag Function'!$C55*'Lift @ Cruising Speed vs. AoA'!$B$4</f>
        <v>0.12887000000000001</v>
      </c>
      <c r="D54" s="3">
        <f>(0.5)*$B$5*D$10*D$10*'S7055 Lift and Drag Function'!$C55*'Lift @ Cruising Speed vs. AoA'!$B$4</f>
        <v>0.20135937500000001</v>
      </c>
      <c r="E54" s="3">
        <f>(0.5)*$B$5*E$10*E$10*'S7055 Lift and Drag Function'!$C55*'Lift @ Cruising Speed vs. AoA'!$B$4</f>
        <v>0.28995750000000003</v>
      </c>
      <c r="F54" s="3">
        <f>(0.5)*$B$5*F$10*F$10*'S7055 Lift and Drag Function'!$C55*'Lift @ Cruising Speed vs. AoA'!$B$4</f>
        <v>0.39466437500000001</v>
      </c>
      <c r="G54" s="3">
        <f>(0.5)*$B$5*G$10*G$10*'S7055 Lift and Drag Function'!$C55*'Lift @ Cruising Speed vs. AoA'!$B$4</f>
        <v>0.51548000000000005</v>
      </c>
      <c r="H54" s="3">
        <f>(0.5)*$B$5*H$10*H$10*'S7055 Lift and Drag Function'!$C55*'Lift @ Cruising Speed vs. AoA'!$B$4</f>
        <v>0.80543750000000003</v>
      </c>
      <c r="I54" s="3">
        <f>(0.5)*$B$5*I$10*I$10*'S7055 Lift and Drag Function'!$C55*'Lift @ Cruising Speed vs. AoA'!$B$4</f>
        <v>1.1598300000000001</v>
      </c>
    </row>
    <row r="55" spans="1:9" x14ac:dyDescent="0.35">
      <c r="A55" s="1">
        <v>2.5</v>
      </c>
      <c r="B55" s="3">
        <f>(0.5)*$B$5*B$10*B$10*'S7055 Lift and Drag Function'!$C56*'Lift @ Cruising Speed vs. AoA'!$B$4</f>
        <v>3.2523749999999997E-2</v>
      </c>
      <c r="C55" s="3">
        <f>(0.5)*$B$5*C$10*C$10*'S7055 Lift and Drag Function'!$C56*'Lift @ Cruising Speed vs. AoA'!$B$4</f>
        <v>0.13009499999999999</v>
      </c>
      <c r="D55" s="3">
        <f>(0.5)*$B$5*D$10*D$10*'S7055 Lift and Drag Function'!$C56*'Lift @ Cruising Speed vs. AoA'!$B$4</f>
        <v>0.20327343750000001</v>
      </c>
      <c r="E55" s="3">
        <f>(0.5)*$B$5*E$10*E$10*'S7055 Lift and Drag Function'!$C56*'Lift @ Cruising Speed vs. AoA'!$B$4</f>
        <v>0.29271374999999999</v>
      </c>
      <c r="F55" s="3">
        <f>(0.5)*$B$5*F$10*F$10*'S7055 Lift and Drag Function'!$C56*'Lift @ Cruising Speed vs. AoA'!$B$4</f>
        <v>0.39841593749999998</v>
      </c>
      <c r="G55" s="3">
        <f>(0.5)*$B$5*G$10*G$10*'S7055 Lift and Drag Function'!$C56*'Lift @ Cruising Speed vs. AoA'!$B$4</f>
        <v>0.52037999999999995</v>
      </c>
      <c r="H55" s="3">
        <f>(0.5)*$B$5*H$10*H$10*'S7055 Lift and Drag Function'!$C56*'Lift @ Cruising Speed vs. AoA'!$B$4</f>
        <v>0.81309375000000006</v>
      </c>
      <c r="I55" s="3">
        <f>(0.5)*$B$5*I$10*I$10*'S7055 Lift and Drag Function'!$C56*'Lift @ Cruising Speed vs. AoA'!$B$4</f>
        <v>1.170855</v>
      </c>
    </row>
    <row r="56" spans="1:9" x14ac:dyDescent="0.35">
      <c r="A56" s="1">
        <v>2.75</v>
      </c>
      <c r="B56" s="3">
        <f>(0.5)*$B$5*B$10*B$10*'S7055 Lift and Drag Function'!$C57*'Lift @ Cruising Speed vs. AoA'!$B$4</f>
        <v>3.2891250000000004E-2</v>
      </c>
      <c r="C56" s="3">
        <f>(0.5)*$B$5*C$10*C$10*'S7055 Lift and Drag Function'!$C57*'Lift @ Cruising Speed vs. AoA'!$B$4</f>
        <v>0.13156500000000002</v>
      </c>
      <c r="D56" s="3">
        <f>(0.5)*$B$5*D$10*D$10*'S7055 Lift and Drag Function'!$C57*'Lift @ Cruising Speed vs. AoA'!$B$4</f>
        <v>0.20557031250000005</v>
      </c>
      <c r="E56" s="3">
        <f>(0.5)*$B$5*E$10*E$10*'S7055 Lift and Drag Function'!$C57*'Lift @ Cruising Speed vs. AoA'!$B$4</f>
        <v>0.29602125000000001</v>
      </c>
      <c r="F56" s="3">
        <f>(0.5)*$B$5*F$10*F$10*'S7055 Lift and Drag Function'!$C57*'Lift @ Cruising Speed vs. AoA'!$B$4</f>
        <v>0.40291781249999997</v>
      </c>
      <c r="G56" s="3">
        <f>(0.5)*$B$5*G$10*G$10*'S7055 Lift and Drag Function'!$C57*'Lift @ Cruising Speed vs. AoA'!$B$4</f>
        <v>0.52626000000000006</v>
      </c>
      <c r="H56" s="3">
        <f>(0.5)*$B$5*H$10*H$10*'S7055 Lift and Drag Function'!$C57*'Lift @ Cruising Speed vs. AoA'!$B$4</f>
        <v>0.82228125000000019</v>
      </c>
      <c r="I56" s="3">
        <f>(0.5)*$B$5*I$10*I$10*'S7055 Lift and Drag Function'!$C57*'Lift @ Cruising Speed vs. AoA'!$B$4</f>
        <v>1.1840850000000001</v>
      </c>
    </row>
    <row r="57" spans="1:9" x14ac:dyDescent="0.35">
      <c r="A57" s="1">
        <v>3</v>
      </c>
      <c r="B57" s="3">
        <f>(0.5)*$B$5*B$10*B$10*'S7055 Lift and Drag Function'!$C58*'Lift @ Cruising Speed vs. AoA'!$B$4</f>
        <v>3.3258749999999997E-2</v>
      </c>
      <c r="C57" s="3">
        <f>(0.5)*$B$5*C$10*C$10*'S7055 Lift and Drag Function'!$C58*'Lift @ Cruising Speed vs. AoA'!$B$4</f>
        <v>0.13303499999999999</v>
      </c>
      <c r="D57" s="3">
        <f>(0.5)*$B$5*D$10*D$10*'S7055 Lift and Drag Function'!$C58*'Lift @ Cruising Speed vs. AoA'!$B$4</f>
        <v>0.20786718750000005</v>
      </c>
      <c r="E57" s="3">
        <f>(0.5)*$B$5*E$10*E$10*'S7055 Lift and Drag Function'!$C58*'Lift @ Cruising Speed vs. AoA'!$B$4</f>
        <v>0.29932875000000003</v>
      </c>
      <c r="F57" s="3">
        <f>(0.5)*$B$5*F$10*F$10*'S7055 Lift and Drag Function'!$C58*'Lift @ Cruising Speed vs. AoA'!$B$4</f>
        <v>0.40741968750000002</v>
      </c>
      <c r="G57" s="3">
        <f>(0.5)*$B$5*G$10*G$10*'S7055 Lift and Drag Function'!$C58*'Lift @ Cruising Speed vs. AoA'!$B$4</f>
        <v>0.53213999999999995</v>
      </c>
      <c r="H57" s="3">
        <f>(0.5)*$B$5*H$10*H$10*'S7055 Lift and Drag Function'!$C58*'Lift @ Cruising Speed vs. AoA'!$B$4</f>
        <v>0.8314687500000002</v>
      </c>
      <c r="I57" s="3">
        <f>(0.5)*$B$5*I$10*I$10*'S7055 Lift and Drag Function'!$C58*'Lift @ Cruising Speed vs. AoA'!$B$4</f>
        <v>1.1973150000000001</v>
      </c>
    </row>
    <row r="58" spans="1:9" x14ac:dyDescent="0.35">
      <c r="A58" s="1">
        <v>3.25</v>
      </c>
      <c r="B58" s="3">
        <f>(0.5)*$B$5*B$10*B$10*'S7055 Lift and Drag Function'!$C59*'Lift @ Cruising Speed vs. AoA'!$B$4</f>
        <v>3.3656874999999996E-2</v>
      </c>
      <c r="C58" s="3">
        <f>(0.5)*$B$5*C$10*C$10*'S7055 Lift and Drag Function'!$C59*'Lift @ Cruising Speed vs. AoA'!$B$4</f>
        <v>0.13462749999999998</v>
      </c>
      <c r="D58" s="3">
        <f>(0.5)*$B$5*D$10*D$10*'S7055 Lift and Drag Function'!$C59*'Lift @ Cruising Speed vs. AoA'!$B$4</f>
        <v>0.21035546875000005</v>
      </c>
      <c r="E58" s="3">
        <f>(0.5)*$B$5*E$10*E$10*'S7055 Lift and Drag Function'!$C59*'Lift @ Cruising Speed vs. AoA'!$B$4</f>
        <v>0.302911875</v>
      </c>
      <c r="F58" s="3">
        <f>(0.5)*$B$5*F$10*F$10*'S7055 Lift and Drag Function'!$C59*'Lift @ Cruising Speed vs. AoA'!$B$4</f>
        <v>0.41229671874999996</v>
      </c>
      <c r="G58" s="3">
        <f>(0.5)*$B$5*G$10*G$10*'S7055 Lift and Drag Function'!$C59*'Lift @ Cruising Speed vs. AoA'!$B$4</f>
        <v>0.53850999999999993</v>
      </c>
      <c r="H58" s="3">
        <f>(0.5)*$B$5*H$10*H$10*'S7055 Lift and Drag Function'!$C59*'Lift @ Cruising Speed vs. AoA'!$B$4</f>
        <v>0.84142187500000021</v>
      </c>
      <c r="I58" s="3">
        <f>(0.5)*$B$5*I$10*I$10*'S7055 Lift and Drag Function'!$C59*'Lift @ Cruising Speed vs. AoA'!$B$4</f>
        <v>1.2116475</v>
      </c>
    </row>
    <row r="59" spans="1:9" x14ac:dyDescent="0.35">
      <c r="A59" s="1">
        <v>3.5</v>
      </c>
      <c r="B59" s="3">
        <f>(0.5)*$B$5*B$10*B$10*'S7055 Lift and Drag Function'!$C60*'Lift @ Cruising Speed vs. AoA'!$B$4</f>
        <v>3.4054999999999995E-2</v>
      </c>
      <c r="C59" s="3">
        <f>(0.5)*$B$5*C$10*C$10*'S7055 Lift and Drag Function'!$C60*'Lift @ Cruising Speed vs. AoA'!$B$4</f>
        <v>0.13621999999999998</v>
      </c>
      <c r="D59" s="3">
        <f>(0.5)*$B$5*D$10*D$10*'S7055 Lift and Drag Function'!$C60*'Lift @ Cruising Speed vs. AoA'!$B$4</f>
        <v>0.21284375000000005</v>
      </c>
      <c r="E59" s="3">
        <f>(0.5)*$B$5*E$10*E$10*'S7055 Lift and Drag Function'!$C60*'Lift @ Cruising Speed vs. AoA'!$B$4</f>
        <v>0.30649500000000002</v>
      </c>
      <c r="F59" s="3">
        <f>(0.5)*$B$5*F$10*F$10*'S7055 Lift and Drag Function'!$C60*'Lift @ Cruising Speed vs. AoA'!$B$4</f>
        <v>0.41717375000000001</v>
      </c>
      <c r="G59" s="3">
        <f>(0.5)*$B$5*G$10*G$10*'S7055 Lift and Drag Function'!$C60*'Lift @ Cruising Speed vs. AoA'!$B$4</f>
        <v>0.54487999999999992</v>
      </c>
      <c r="H59" s="3">
        <f>(0.5)*$B$5*H$10*H$10*'S7055 Lift and Drag Function'!$C60*'Lift @ Cruising Speed vs. AoA'!$B$4</f>
        <v>0.85137500000000021</v>
      </c>
      <c r="I59" s="3">
        <f>(0.5)*$B$5*I$10*I$10*'S7055 Lift and Drag Function'!$C60*'Lift @ Cruising Speed vs. AoA'!$B$4</f>
        <v>1.2259800000000001</v>
      </c>
    </row>
    <row r="60" spans="1:9" x14ac:dyDescent="0.35">
      <c r="A60" s="1">
        <v>3.75</v>
      </c>
      <c r="B60" s="3">
        <f>(0.5)*$B$5*B$10*B$10*'S7055 Lift and Drag Function'!$C61*'Lift @ Cruising Speed vs. AoA'!$B$4</f>
        <v>3.4483750000000001E-2</v>
      </c>
      <c r="C60" s="3">
        <f>(0.5)*$B$5*C$10*C$10*'S7055 Lift and Drag Function'!$C61*'Lift @ Cruising Speed vs. AoA'!$B$4</f>
        <v>0.137935</v>
      </c>
      <c r="D60" s="3">
        <f>(0.5)*$B$5*D$10*D$10*'S7055 Lift and Drag Function'!$C61*'Lift @ Cruising Speed vs. AoA'!$B$4</f>
        <v>0.21552343750000003</v>
      </c>
      <c r="E60" s="3">
        <f>(0.5)*$B$5*E$10*E$10*'S7055 Lift and Drag Function'!$C61*'Lift @ Cruising Speed vs. AoA'!$B$4</f>
        <v>0.31035374999999998</v>
      </c>
      <c r="F60" s="3">
        <f>(0.5)*$B$5*F$10*F$10*'S7055 Lift and Drag Function'!$C61*'Lift @ Cruising Speed vs. AoA'!$B$4</f>
        <v>0.42242593750000001</v>
      </c>
      <c r="G60" s="3">
        <f>(0.5)*$B$5*G$10*G$10*'S7055 Lift and Drag Function'!$C61*'Lift @ Cruising Speed vs. AoA'!$B$4</f>
        <v>0.55174000000000001</v>
      </c>
      <c r="H60" s="3">
        <f>(0.5)*$B$5*H$10*H$10*'S7055 Lift and Drag Function'!$C61*'Lift @ Cruising Speed vs. AoA'!$B$4</f>
        <v>0.8620937500000001</v>
      </c>
      <c r="I60" s="3">
        <f>(0.5)*$B$5*I$10*I$10*'S7055 Lift and Drag Function'!$C61*'Lift @ Cruising Speed vs. AoA'!$B$4</f>
        <v>1.2414149999999999</v>
      </c>
    </row>
    <row r="61" spans="1:9" x14ac:dyDescent="0.35">
      <c r="A61" s="1">
        <v>4</v>
      </c>
      <c r="B61" s="3">
        <f>(0.5)*$B$5*B$10*B$10*'S7055 Lift and Drag Function'!$C62*'Lift @ Cruising Speed vs. AoA'!$B$4</f>
        <v>3.4943125000000005E-2</v>
      </c>
      <c r="C61" s="3">
        <f>(0.5)*$B$5*C$10*C$10*'S7055 Lift and Drag Function'!$C62*'Lift @ Cruising Speed vs. AoA'!$B$4</f>
        <v>0.13977250000000002</v>
      </c>
      <c r="D61" s="3">
        <f>(0.5)*$B$5*D$10*D$10*'S7055 Lift and Drag Function'!$C62*'Lift @ Cruising Speed vs. AoA'!$B$4</f>
        <v>0.21839453125000002</v>
      </c>
      <c r="E61" s="3">
        <f>(0.5)*$B$5*E$10*E$10*'S7055 Lift and Drag Function'!$C62*'Lift @ Cruising Speed vs. AoA'!$B$4</f>
        <v>0.31448812500000001</v>
      </c>
      <c r="F61" s="3">
        <f>(0.5)*$B$5*F$10*F$10*'S7055 Lift and Drag Function'!$C62*'Lift @ Cruising Speed vs. AoA'!$B$4</f>
        <v>0.42805328124999997</v>
      </c>
      <c r="G61" s="3">
        <f>(0.5)*$B$5*G$10*G$10*'S7055 Lift and Drag Function'!$C62*'Lift @ Cruising Speed vs. AoA'!$B$4</f>
        <v>0.55909000000000009</v>
      </c>
      <c r="H61" s="3">
        <f>(0.5)*$B$5*H$10*H$10*'S7055 Lift and Drag Function'!$C62*'Lift @ Cruising Speed vs. AoA'!$B$4</f>
        <v>0.87357812500000009</v>
      </c>
      <c r="I61" s="3">
        <f>(0.5)*$B$5*I$10*I$10*'S7055 Lift and Drag Function'!$C62*'Lift @ Cruising Speed vs. AoA'!$B$4</f>
        <v>1.2579525</v>
      </c>
    </row>
    <row r="62" spans="1:9" x14ac:dyDescent="0.35">
      <c r="A62" s="1">
        <v>4.25</v>
      </c>
      <c r="B62" s="3">
        <f>(0.5)*$B$5*B$10*B$10*'S7055 Lift and Drag Function'!$C63*'Lift @ Cruising Speed vs. AoA'!$B$4</f>
        <v>3.5433125000000003E-2</v>
      </c>
      <c r="C62" s="3">
        <f>(0.5)*$B$5*C$10*C$10*'S7055 Lift and Drag Function'!$C63*'Lift @ Cruising Speed vs. AoA'!$B$4</f>
        <v>0.14173250000000001</v>
      </c>
      <c r="D62" s="3">
        <f>(0.5)*$B$5*D$10*D$10*'S7055 Lift and Drag Function'!$C63*'Lift @ Cruising Speed vs. AoA'!$B$4</f>
        <v>0.22145703125000005</v>
      </c>
      <c r="E62" s="3">
        <f>(0.5)*$B$5*E$10*E$10*'S7055 Lift and Drag Function'!$C63*'Lift @ Cruising Speed vs. AoA'!$B$4</f>
        <v>0.31889812500000003</v>
      </c>
      <c r="F62" s="3">
        <f>(0.5)*$B$5*F$10*F$10*'S7055 Lift and Drag Function'!$C63*'Lift @ Cruising Speed vs. AoA'!$B$4</f>
        <v>0.43405578125000005</v>
      </c>
      <c r="G62" s="3">
        <f>(0.5)*$B$5*G$10*G$10*'S7055 Lift and Drag Function'!$C63*'Lift @ Cruising Speed vs. AoA'!$B$4</f>
        <v>0.56693000000000005</v>
      </c>
      <c r="H62" s="3">
        <f>(0.5)*$B$5*H$10*H$10*'S7055 Lift and Drag Function'!$C63*'Lift @ Cruising Speed vs. AoA'!$B$4</f>
        <v>0.88582812500000019</v>
      </c>
      <c r="I62" s="3">
        <f>(0.5)*$B$5*I$10*I$10*'S7055 Lift and Drag Function'!$C63*'Lift @ Cruising Speed vs. AoA'!$B$4</f>
        <v>1.2755925000000001</v>
      </c>
    </row>
    <row r="63" spans="1:9" x14ac:dyDescent="0.35">
      <c r="A63" s="1">
        <v>4.5</v>
      </c>
      <c r="B63" s="3">
        <f>(0.5)*$B$5*B$10*B$10*'S7055 Lift and Drag Function'!$C64*'Lift @ Cruising Speed vs. AoA'!$B$4</f>
        <v>3.5984375000000006E-2</v>
      </c>
      <c r="C63" s="3">
        <f>(0.5)*$B$5*C$10*C$10*'S7055 Lift and Drag Function'!$C64*'Lift @ Cruising Speed vs. AoA'!$B$4</f>
        <v>0.14393750000000002</v>
      </c>
      <c r="D63" s="3">
        <f>(0.5)*$B$5*D$10*D$10*'S7055 Lift and Drag Function'!$C64*'Lift @ Cruising Speed vs. AoA'!$B$4</f>
        <v>0.22490234375000007</v>
      </c>
      <c r="E63" s="3">
        <f>(0.5)*$B$5*E$10*E$10*'S7055 Lift and Drag Function'!$C64*'Lift @ Cruising Speed vs. AoA'!$B$4</f>
        <v>0.32385937500000006</v>
      </c>
      <c r="F63" s="3">
        <f>(0.5)*$B$5*F$10*F$10*'S7055 Lift and Drag Function'!$C64*'Lift @ Cruising Speed vs. AoA'!$B$4</f>
        <v>0.44080859375000003</v>
      </c>
      <c r="G63" s="3">
        <f>(0.5)*$B$5*G$10*G$10*'S7055 Lift and Drag Function'!$C64*'Lift @ Cruising Speed vs. AoA'!$B$4</f>
        <v>0.5757500000000001</v>
      </c>
      <c r="H63" s="3">
        <f>(0.5)*$B$5*H$10*H$10*'S7055 Lift and Drag Function'!$C64*'Lift @ Cruising Speed vs. AoA'!$B$4</f>
        <v>0.89960937500000027</v>
      </c>
      <c r="I63" s="3">
        <f>(0.5)*$B$5*I$10*I$10*'S7055 Lift and Drag Function'!$C64*'Lift @ Cruising Speed vs. AoA'!$B$4</f>
        <v>1.2954375000000002</v>
      </c>
    </row>
    <row r="64" spans="1:9" x14ac:dyDescent="0.35">
      <c r="A64" s="1">
        <v>4.75</v>
      </c>
      <c r="B64" s="3">
        <f>(0.5)*$B$5*B$10*B$10*'S7055 Lift and Drag Function'!$C65*'Lift @ Cruising Speed vs. AoA'!$B$4</f>
        <v>3.6535625000000002E-2</v>
      </c>
      <c r="C64" s="3">
        <f>(0.5)*$B$5*C$10*C$10*'S7055 Lift and Drag Function'!$C65*'Lift @ Cruising Speed vs. AoA'!$B$4</f>
        <v>0.14614250000000001</v>
      </c>
      <c r="D64" s="3">
        <f>(0.5)*$B$5*D$10*D$10*'S7055 Lift and Drag Function'!$C65*'Lift @ Cruising Speed vs. AoA'!$B$4</f>
        <v>0.22834765625000003</v>
      </c>
      <c r="E64" s="3">
        <f>(0.5)*$B$5*E$10*E$10*'S7055 Lift and Drag Function'!$C65*'Lift @ Cruising Speed vs. AoA'!$B$4</f>
        <v>0.32882062500000003</v>
      </c>
      <c r="F64" s="3">
        <f>(0.5)*$B$5*F$10*F$10*'S7055 Lift and Drag Function'!$C65*'Lift @ Cruising Speed vs. AoA'!$B$4</f>
        <v>0.44756140625000002</v>
      </c>
      <c r="G64" s="3">
        <f>(0.5)*$B$5*G$10*G$10*'S7055 Lift and Drag Function'!$C65*'Lift @ Cruising Speed vs. AoA'!$B$4</f>
        <v>0.58457000000000003</v>
      </c>
      <c r="H64" s="3">
        <f>(0.5)*$B$5*H$10*H$10*'S7055 Lift and Drag Function'!$C65*'Lift @ Cruising Speed vs. AoA'!$B$4</f>
        <v>0.91339062500000012</v>
      </c>
      <c r="I64" s="3">
        <f>(0.5)*$B$5*I$10*I$10*'S7055 Lift and Drag Function'!$C65*'Lift @ Cruising Speed vs. AoA'!$B$4</f>
        <v>1.3152825000000001</v>
      </c>
    </row>
    <row r="65" spans="1:9" x14ac:dyDescent="0.35">
      <c r="A65" s="1">
        <v>5</v>
      </c>
      <c r="B65" s="3">
        <f>(0.5)*$B$5*B$10*B$10*'S7055 Lift and Drag Function'!$C66*'Lift @ Cruising Speed vs. AoA'!$B$4</f>
        <v>3.7148124999999997E-2</v>
      </c>
      <c r="C65" s="3">
        <f>(0.5)*$B$5*C$10*C$10*'S7055 Lift and Drag Function'!$C66*'Lift @ Cruising Speed vs. AoA'!$B$4</f>
        <v>0.14859249999999999</v>
      </c>
      <c r="D65" s="3">
        <f>(0.5)*$B$5*D$10*D$10*'S7055 Lift and Drag Function'!$C66*'Lift @ Cruising Speed vs. AoA'!$B$4</f>
        <v>0.23217578125000005</v>
      </c>
      <c r="E65" s="3">
        <f>(0.5)*$B$5*E$10*E$10*'S7055 Lift and Drag Function'!$C66*'Lift @ Cruising Speed vs. AoA'!$B$4</f>
        <v>0.33433312500000001</v>
      </c>
      <c r="F65" s="3">
        <f>(0.5)*$B$5*F$10*F$10*'S7055 Lift and Drag Function'!$C66*'Lift @ Cruising Speed vs. AoA'!$B$4</f>
        <v>0.45506453125000007</v>
      </c>
      <c r="G65" s="3">
        <f>(0.5)*$B$5*G$10*G$10*'S7055 Lift and Drag Function'!$C66*'Lift @ Cruising Speed vs. AoA'!$B$4</f>
        <v>0.59436999999999995</v>
      </c>
      <c r="H65" s="3">
        <f>(0.5)*$B$5*H$10*H$10*'S7055 Lift and Drag Function'!$C66*'Lift @ Cruising Speed vs. AoA'!$B$4</f>
        <v>0.92870312500000018</v>
      </c>
      <c r="I65" s="3">
        <f>(0.5)*$B$5*I$10*I$10*'S7055 Lift and Drag Function'!$C66*'Lift @ Cruising Speed vs. AoA'!$B$4</f>
        <v>1.3373325</v>
      </c>
    </row>
    <row r="66" spans="1:9" x14ac:dyDescent="0.35">
      <c r="A66" s="1">
        <v>5.25</v>
      </c>
      <c r="B66" s="3">
        <f>(0.5)*$B$5*B$10*B$10*'S7055 Lift and Drag Function'!$C67*'Lift @ Cruising Speed vs. AoA'!$B$4</f>
        <v>3.7791249999999998E-2</v>
      </c>
      <c r="C66" s="3">
        <f>(0.5)*$B$5*C$10*C$10*'S7055 Lift and Drag Function'!$C67*'Lift @ Cruising Speed vs. AoA'!$B$4</f>
        <v>0.15116499999999999</v>
      </c>
      <c r="D66" s="3">
        <f>(0.5)*$B$5*D$10*D$10*'S7055 Lift and Drag Function'!$C67*'Lift @ Cruising Speed vs. AoA'!$B$4</f>
        <v>0.23619531250000003</v>
      </c>
      <c r="E66" s="3">
        <f>(0.5)*$B$5*E$10*E$10*'S7055 Lift and Drag Function'!$C67*'Lift @ Cruising Speed vs. AoA'!$B$4</f>
        <v>0.34012125000000004</v>
      </c>
      <c r="F66" s="3">
        <f>(0.5)*$B$5*F$10*F$10*'S7055 Lift and Drag Function'!$C67*'Lift @ Cruising Speed vs. AoA'!$B$4</f>
        <v>0.46294281250000008</v>
      </c>
      <c r="G66" s="3">
        <f>(0.5)*$B$5*G$10*G$10*'S7055 Lift and Drag Function'!$C67*'Lift @ Cruising Speed vs. AoA'!$B$4</f>
        <v>0.60465999999999998</v>
      </c>
      <c r="H66" s="3">
        <f>(0.5)*$B$5*H$10*H$10*'S7055 Lift and Drag Function'!$C67*'Lift @ Cruising Speed vs. AoA'!$B$4</f>
        <v>0.94478125000000013</v>
      </c>
      <c r="I66" s="3">
        <f>(0.5)*$B$5*I$10*I$10*'S7055 Lift and Drag Function'!$C67*'Lift @ Cruising Speed vs. AoA'!$B$4</f>
        <v>1.3604850000000002</v>
      </c>
    </row>
    <row r="67" spans="1:9" x14ac:dyDescent="0.35">
      <c r="A67" s="1">
        <v>5.5</v>
      </c>
      <c r="B67" s="3">
        <f>(0.5)*$B$5*B$10*B$10*'S7055 Lift and Drag Function'!$C68*'Lift @ Cruising Speed vs. AoA'!$B$4</f>
        <v>3.8464999999999999E-2</v>
      </c>
      <c r="C67" s="3">
        <f>(0.5)*$B$5*C$10*C$10*'S7055 Lift and Drag Function'!$C68*'Lift @ Cruising Speed vs. AoA'!$B$4</f>
        <v>0.15386</v>
      </c>
      <c r="D67" s="3">
        <f>(0.5)*$B$5*D$10*D$10*'S7055 Lift and Drag Function'!$C68*'Lift @ Cruising Speed vs. AoA'!$B$4</f>
        <v>0.24040625000000004</v>
      </c>
      <c r="E67" s="3">
        <f>(0.5)*$B$5*E$10*E$10*'S7055 Lift and Drag Function'!$C68*'Lift @ Cruising Speed vs. AoA'!$B$4</f>
        <v>0.34618500000000002</v>
      </c>
      <c r="F67" s="3">
        <f>(0.5)*$B$5*F$10*F$10*'S7055 Lift and Drag Function'!$C68*'Lift @ Cruising Speed vs. AoA'!$B$4</f>
        <v>0.47119625000000004</v>
      </c>
      <c r="G67" s="3">
        <f>(0.5)*$B$5*G$10*G$10*'S7055 Lift and Drag Function'!$C68*'Lift @ Cruising Speed vs. AoA'!$B$4</f>
        <v>0.61543999999999999</v>
      </c>
      <c r="H67" s="3">
        <f>(0.5)*$B$5*H$10*H$10*'S7055 Lift and Drag Function'!$C68*'Lift @ Cruising Speed vs. AoA'!$B$4</f>
        <v>0.96162500000000017</v>
      </c>
      <c r="I67" s="3">
        <f>(0.5)*$B$5*I$10*I$10*'S7055 Lift and Drag Function'!$C68*'Lift @ Cruising Speed vs. AoA'!$B$4</f>
        <v>1.3847400000000001</v>
      </c>
    </row>
    <row r="68" spans="1:9" x14ac:dyDescent="0.35">
      <c r="A68" s="1">
        <v>5.75</v>
      </c>
      <c r="B68" s="3">
        <f>(0.5)*$B$5*B$10*B$10*'S7055 Lift and Drag Function'!$C69*'Lift @ Cruising Speed vs. AoA'!$B$4</f>
        <v>3.9169374999999999E-2</v>
      </c>
      <c r="C68" s="3">
        <f>(0.5)*$B$5*C$10*C$10*'S7055 Lift and Drag Function'!$C69*'Lift @ Cruising Speed vs. AoA'!$B$4</f>
        <v>0.1566775</v>
      </c>
      <c r="D68" s="3">
        <f>(0.5)*$B$5*D$10*D$10*'S7055 Lift and Drag Function'!$C69*'Lift @ Cruising Speed vs. AoA'!$B$4</f>
        <v>0.24480859375000003</v>
      </c>
      <c r="E68" s="3">
        <f>(0.5)*$B$5*E$10*E$10*'S7055 Lift and Drag Function'!$C69*'Lift @ Cruising Speed vs. AoA'!$B$4</f>
        <v>0.352524375</v>
      </c>
      <c r="F68" s="3">
        <f>(0.5)*$B$5*F$10*F$10*'S7055 Lift and Drag Function'!$C69*'Lift @ Cruising Speed vs. AoA'!$B$4</f>
        <v>0.47982484375000001</v>
      </c>
      <c r="G68" s="3">
        <f>(0.5)*$B$5*G$10*G$10*'S7055 Lift and Drag Function'!$C69*'Lift @ Cruising Speed vs. AoA'!$B$4</f>
        <v>0.62670999999999999</v>
      </c>
      <c r="H68" s="3">
        <f>(0.5)*$B$5*H$10*H$10*'S7055 Lift and Drag Function'!$C69*'Lift @ Cruising Speed vs. AoA'!$B$4</f>
        <v>0.9792343750000001</v>
      </c>
      <c r="I68" s="3">
        <f>(0.5)*$B$5*I$10*I$10*'S7055 Lift and Drag Function'!$C69*'Lift @ Cruising Speed vs. AoA'!$B$4</f>
        <v>1.4100975</v>
      </c>
    </row>
    <row r="69" spans="1:9" x14ac:dyDescent="0.35">
      <c r="A69" s="1">
        <v>6</v>
      </c>
      <c r="B69" s="3">
        <f>(0.5)*$B$5*B$10*B$10*'S7055 Lift and Drag Function'!$C70*'Lift @ Cruising Speed vs. AoA'!$B$4</f>
        <v>3.9904374999999999E-2</v>
      </c>
      <c r="C69" s="3">
        <f>(0.5)*$B$5*C$10*C$10*'S7055 Lift and Drag Function'!$C70*'Lift @ Cruising Speed vs. AoA'!$B$4</f>
        <v>0.1596175</v>
      </c>
      <c r="D69" s="3">
        <f>(0.5)*$B$5*D$10*D$10*'S7055 Lift and Drag Function'!$C70*'Lift @ Cruising Speed vs. AoA'!$B$4</f>
        <v>0.24940234375000006</v>
      </c>
      <c r="E69" s="3">
        <f>(0.5)*$B$5*E$10*E$10*'S7055 Lift and Drag Function'!$C70*'Lift @ Cruising Speed vs. AoA'!$B$4</f>
        <v>0.35913937500000004</v>
      </c>
      <c r="F69" s="3">
        <f>(0.5)*$B$5*F$10*F$10*'S7055 Lift and Drag Function'!$C70*'Lift @ Cruising Speed vs. AoA'!$B$4</f>
        <v>0.48882859375000004</v>
      </c>
      <c r="G69" s="3">
        <f>(0.5)*$B$5*G$10*G$10*'S7055 Lift and Drag Function'!$C70*'Lift @ Cruising Speed vs. AoA'!$B$4</f>
        <v>0.63846999999999998</v>
      </c>
      <c r="H69" s="3">
        <f>(0.5)*$B$5*H$10*H$10*'S7055 Lift and Drag Function'!$C70*'Lift @ Cruising Speed vs. AoA'!$B$4</f>
        <v>0.99760937500000024</v>
      </c>
      <c r="I69" s="3">
        <f>(0.5)*$B$5*I$10*I$10*'S7055 Lift and Drag Function'!$C70*'Lift @ Cruising Speed vs. AoA'!$B$4</f>
        <v>1.4365575000000002</v>
      </c>
    </row>
    <row r="70" spans="1:9" x14ac:dyDescent="0.35">
      <c r="A70" s="1">
        <v>6.25</v>
      </c>
      <c r="B70" s="3">
        <f>(0.5)*$B$5*B$10*B$10*'S7055 Lift and Drag Function'!$C71*'Lift @ Cruising Speed vs. AoA'!$B$4</f>
        <v>4.0731249999999997E-2</v>
      </c>
      <c r="C70" s="3">
        <f>(0.5)*$B$5*C$10*C$10*'S7055 Lift and Drag Function'!$C71*'Lift @ Cruising Speed vs. AoA'!$B$4</f>
        <v>0.16292499999999999</v>
      </c>
      <c r="D70" s="3">
        <f>(0.5)*$B$5*D$10*D$10*'S7055 Lift and Drag Function'!$C71*'Lift @ Cruising Speed vs. AoA'!$B$4</f>
        <v>0.25457031250000001</v>
      </c>
      <c r="E70" s="3">
        <f>(0.5)*$B$5*E$10*E$10*'S7055 Lift and Drag Function'!$C71*'Lift @ Cruising Speed vs. AoA'!$B$4</f>
        <v>0.36658125000000003</v>
      </c>
      <c r="F70" s="3">
        <f>(0.5)*$B$5*F$10*F$10*'S7055 Lift and Drag Function'!$C71*'Lift @ Cruising Speed vs. AoA'!$B$4</f>
        <v>0.49895781249999999</v>
      </c>
      <c r="G70" s="3">
        <f>(0.5)*$B$5*G$10*G$10*'S7055 Lift and Drag Function'!$C71*'Lift @ Cruising Speed vs. AoA'!$B$4</f>
        <v>0.65169999999999995</v>
      </c>
      <c r="H70" s="3">
        <f>(0.5)*$B$5*H$10*H$10*'S7055 Lift and Drag Function'!$C71*'Lift @ Cruising Speed vs. AoA'!$B$4</f>
        <v>1.01828125</v>
      </c>
      <c r="I70" s="3">
        <f>(0.5)*$B$5*I$10*I$10*'S7055 Lift and Drag Function'!$C71*'Lift @ Cruising Speed vs. AoA'!$B$4</f>
        <v>1.4663250000000001</v>
      </c>
    </row>
    <row r="71" spans="1:9" x14ac:dyDescent="0.35">
      <c r="A71" s="1">
        <v>6.5</v>
      </c>
      <c r="B71" s="3">
        <f>(0.5)*$B$5*B$10*B$10*'S7055 Lift and Drag Function'!$C72*'Lift @ Cruising Speed vs. AoA'!$B$4</f>
        <v>4.1588750000000008E-2</v>
      </c>
      <c r="C71" s="3">
        <f>(0.5)*$B$5*C$10*C$10*'S7055 Lift and Drag Function'!$C72*'Lift @ Cruising Speed vs. AoA'!$B$4</f>
        <v>0.16635500000000003</v>
      </c>
      <c r="D71" s="3">
        <f>(0.5)*$B$5*D$10*D$10*'S7055 Lift and Drag Function'!$C72*'Lift @ Cruising Speed vs. AoA'!$B$4</f>
        <v>0.25992968750000006</v>
      </c>
      <c r="E71" s="3">
        <f>(0.5)*$B$5*E$10*E$10*'S7055 Lift and Drag Function'!$C72*'Lift @ Cruising Speed vs. AoA'!$B$4</f>
        <v>0.37429875000000001</v>
      </c>
      <c r="F71" s="3">
        <f>(0.5)*$B$5*F$10*F$10*'S7055 Lift and Drag Function'!$C72*'Lift @ Cruising Speed vs. AoA'!$B$4</f>
        <v>0.50946218749999994</v>
      </c>
      <c r="G71" s="3">
        <f>(0.5)*$B$5*G$10*G$10*'S7055 Lift and Drag Function'!$C72*'Lift @ Cruising Speed vs. AoA'!$B$4</f>
        <v>0.66542000000000012</v>
      </c>
      <c r="H71" s="3">
        <f>(0.5)*$B$5*H$10*H$10*'S7055 Lift and Drag Function'!$C72*'Lift @ Cruising Speed vs. AoA'!$B$4</f>
        <v>1.0397187500000002</v>
      </c>
      <c r="I71" s="3">
        <f>(0.5)*$B$5*I$10*I$10*'S7055 Lift and Drag Function'!$C72*'Lift @ Cruising Speed vs. AoA'!$B$4</f>
        <v>1.4971950000000001</v>
      </c>
    </row>
    <row r="72" spans="1:9" x14ac:dyDescent="0.35">
      <c r="A72" s="1">
        <v>6.75</v>
      </c>
      <c r="B72" s="3">
        <f>(0.5)*$B$5*B$10*B$10*'S7055 Lift and Drag Function'!$C73*'Lift @ Cruising Speed vs. AoA'!$B$4</f>
        <v>4.2568750000000002E-2</v>
      </c>
      <c r="C72" s="3">
        <f>(0.5)*$B$5*C$10*C$10*'S7055 Lift and Drag Function'!$C73*'Lift @ Cruising Speed vs. AoA'!$B$4</f>
        <v>0.17027500000000001</v>
      </c>
      <c r="D72" s="3">
        <f>(0.5)*$B$5*D$10*D$10*'S7055 Lift and Drag Function'!$C73*'Lift @ Cruising Speed vs. AoA'!$B$4</f>
        <v>0.2660546875</v>
      </c>
      <c r="E72" s="3">
        <f>(0.5)*$B$5*E$10*E$10*'S7055 Lift and Drag Function'!$C73*'Lift @ Cruising Speed vs. AoA'!$B$4</f>
        <v>0.38311875000000001</v>
      </c>
      <c r="F72" s="3">
        <f>(0.5)*$B$5*F$10*F$10*'S7055 Lift and Drag Function'!$C73*'Lift @ Cruising Speed vs. AoA'!$B$4</f>
        <v>0.52146718749999998</v>
      </c>
      <c r="G72" s="3">
        <f>(0.5)*$B$5*G$10*G$10*'S7055 Lift and Drag Function'!$C73*'Lift @ Cruising Speed vs. AoA'!$B$4</f>
        <v>0.68110000000000004</v>
      </c>
      <c r="H72" s="3">
        <f>(0.5)*$B$5*H$10*H$10*'S7055 Lift and Drag Function'!$C73*'Lift @ Cruising Speed vs. AoA'!$B$4</f>
        <v>1.06421875</v>
      </c>
      <c r="I72" s="3">
        <f>(0.5)*$B$5*I$10*I$10*'S7055 Lift and Drag Function'!$C73*'Lift @ Cruising Speed vs. AoA'!$B$4</f>
        <v>1.532475</v>
      </c>
    </row>
    <row r="73" spans="1:9" x14ac:dyDescent="0.35">
      <c r="A73" s="1">
        <v>7</v>
      </c>
      <c r="B73" s="3">
        <f>(0.5)*$B$5*B$10*B$10*'S7055 Lift and Drag Function'!$C74*'Lift @ Cruising Speed vs. AoA'!$B$4</f>
        <v>4.3518125000000005E-2</v>
      </c>
      <c r="C73" s="3">
        <f>(0.5)*$B$5*C$10*C$10*'S7055 Lift and Drag Function'!$C74*'Lift @ Cruising Speed vs. AoA'!$B$4</f>
        <v>0.17407250000000002</v>
      </c>
      <c r="D73" s="3">
        <f>(0.5)*$B$5*D$10*D$10*'S7055 Lift and Drag Function'!$C74*'Lift @ Cruising Speed vs. AoA'!$B$4</f>
        <v>0.27198828125000002</v>
      </c>
      <c r="E73" s="3">
        <f>(0.5)*$B$5*E$10*E$10*'S7055 Lift and Drag Function'!$C74*'Lift @ Cruising Speed vs. AoA'!$B$4</f>
        <v>0.391663125</v>
      </c>
      <c r="F73" s="3">
        <f>(0.5)*$B$5*F$10*F$10*'S7055 Lift and Drag Function'!$C74*'Lift @ Cruising Speed vs. AoA'!$B$4</f>
        <v>0.53309703124999996</v>
      </c>
      <c r="G73" s="3">
        <f>(0.5)*$B$5*G$10*G$10*'S7055 Lift and Drag Function'!$C74*'Lift @ Cruising Speed vs. AoA'!$B$4</f>
        <v>0.69629000000000008</v>
      </c>
      <c r="H73" s="3">
        <f>(0.5)*$B$5*H$10*H$10*'S7055 Lift and Drag Function'!$C74*'Lift @ Cruising Speed vs. AoA'!$B$4</f>
        <v>1.0879531250000001</v>
      </c>
      <c r="I73" s="3">
        <f>(0.5)*$B$5*I$10*I$10*'S7055 Lift and Drag Function'!$C74*'Lift @ Cruising Speed vs. AoA'!$B$4</f>
        <v>1.5666525</v>
      </c>
    </row>
    <row r="74" spans="1:9" x14ac:dyDescent="0.35">
      <c r="A74" s="1">
        <v>7.25</v>
      </c>
      <c r="B74" s="3">
        <f>(0.5)*$B$5*B$10*B$10*'S7055 Lift and Drag Function'!$C75*'Lift @ Cruising Speed vs. AoA'!$B$4</f>
        <v>4.4528750000000006E-2</v>
      </c>
      <c r="C74" s="3">
        <f>(0.5)*$B$5*C$10*C$10*'S7055 Lift and Drag Function'!$C75*'Lift @ Cruising Speed vs. AoA'!$B$4</f>
        <v>0.17811500000000002</v>
      </c>
      <c r="D74" s="3">
        <f>(0.5)*$B$5*D$10*D$10*'S7055 Lift and Drag Function'!$C75*'Lift @ Cruising Speed vs. AoA'!$B$4</f>
        <v>0.27830468750000009</v>
      </c>
      <c r="E74" s="3">
        <f>(0.5)*$B$5*E$10*E$10*'S7055 Lift and Drag Function'!$C75*'Lift @ Cruising Speed vs. AoA'!$B$4</f>
        <v>0.40075875000000005</v>
      </c>
      <c r="F74" s="3">
        <f>(0.5)*$B$5*F$10*F$10*'S7055 Lift and Drag Function'!$C75*'Lift @ Cruising Speed vs. AoA'!$B$4</f>
        <v>0.54547718750000007</v>
      </c>
      <c r="G74" s="3">
        <f>(0.5)*$B$5*G$10*G$10*'S7055 Lift and Drag Function'!$C75*'Lift @ Cruising Speed vs. AoA'!$B$4</f>
        <v>0.71246000000000009</v>
      </c>
      <c r="H74" s="3">
        <f>(0.5)*$B$5*H$10*H$10*'S7055 Lift and Drag Function'!$C75*'Lift @ Cruising Speed vs. AoA'!$B$4</f>
        <v>1.1132187500000004</v>
      </c>
      <c r="I74" s="3">
        <f>(0.5)*$B$5*I$10*I$10*'S7055 Lift and Drag Function'!$C75*'Lift @ Cruising Speed vs. AoA'!$B$4</f>
        <v>1.6030350000000002</v>
      </c>
    </row>
    <row r="75" spans="1:9" x14ac:dyDescent="0.35">
      <c r="A75" s="1">
        <v>7.5</v>
      </c>
      <c r="B75" s="3">
        <f>(0.5)*$B$5*B$10*B$10*'S7055 Lift and Drag Function'!$C76*'Lift @ Cruising Speed vs. AoA'!$B$4</f>
        <v>4.5692499999999997E-2</v>
      </c>
      <c r="C75" s="3">
        <f>(0.5)*$B$5*C$10*C$10*'S7055 Lift and Drag Function'!$C76*'Lift @ Cruising Speed vs. AoA'!$B$4</f>
        <v>0.18276999999999999</v>
      </c>
      <c r="D75" s="3">
        <f>(0.5)*$B$5*D$10*D$10*'S7055 Lift and Drag Function'!$C76*'Lift @ Cruising Speed vs. AoA'!$B$4</f>
        <v>0.28557812500000002</v>
      </c>
      <c r="E75" s="3">
        <f>(0.5)*$B$5*E$10*E$10*'S7055 Lift and Drag Function'!$C76*'Lift @ Cruising Speed vs. AoA'!$B$4</f>
        <v>0.41123250000000006</v>
      </c>
      <c r="F75" s="3">
        <f>(0.5)*$B$5*F$10*F$10*'S7055 Lift and Drag Function'!$C76*'Lift @ Cruising Speed vs. AoA'!$B$4</f>
        <v>0.55973312500000005</v>
      </c>
      <c r="G75" s="3">
        <f>(0.5)*$B$5*G$10*G$10*'S7055 Lift and Drag Function'!$C76*'Lift @ Cruising Speed vs. AoA'!$B$4</f>
        <v>0.73107999999999995</v>
      </c>
      <c r="H75" s="3">
        <f>(0.5)*$B$5*H$10*H$10*'S7055 Lift and Drag Function'!$C76*'Lift @ Cruising Speed vs. AoA'!$B$4</f>
        <v>1.1423125000000001</v>
      </c>
      <c r="I75" s="3">
        <f>(0.5)*$B$5*I$10*I$10*'S7055 Lift and Drag Function'!$C76*'Lift @ Cruising Speed vs. AoA'!$B$4</f>
        <v>1.6449300000000002</v>
      </c>
    </row>
    <row r="76" spans="1:9" x14ac:dyDescent="0.35">
      <c r="A76" s="1">
        <v>7.75</v>
      </c>
      <c r="B76" s="3">
        <f>(0.5)*$B$5*B$10*B$10*'S7055 Lift and Drag Function'!$C77*'Lift @ Cruising Speed vs. AoA'!$B$4</f>
        <v>4.6948125000000007E-2</v>
      </c>
      <c r="C76" s="3">
        <f>(0.5)*$B$5*C$10*C$10*'S7055 Lift and Drag Function'!$C77*'Lift @ Cruising Speed vs. AoA'!$B$4</f>
        <v>0.18779250000000003</v>
      </c>
      <c r="D76" s="3">
        <f>(0.5)*$B$5*D$10*D$10*'S7055 Lift and Drag Function'!$C77*'Lift @ Cruising Speed vs. AoA'!$B$4</f>
        <v>0.29342578125000002</v>
      </c>
      <c r="E76" s="3">
        <f>(0.5)*$B$5*E$10*E$10*'S7055 Lift and Drag Function'!$C77*'Lift @ Cruising Speed vs. AoA'!$B$4</f>
        <v>0.42253312500000001</v>
      </c>
      <c r="F76" s="3">
        <f>(0.5)*$B$5*F$10*F$10*'S7055 Lift and Drag Function'!$C77*'Lift @ Cruising Speed vs. AoA'!$B$4</f>
        <v>0.57511453125000001</v>
      </c>
      <c r="G76" s="3">
        <f>(0.5)*$B$5*G$10*G$10*'S7055 Lift and Drag Function'!$C77*'Lift @ Cruising Speed vs. AoA'!$B$4</f>
        <v>0.75117000000000012</v>
      </c>
      <c r="H76" s="3">
        <f>(0.5)*$B$5*H$10*H$10*'S7055 Lift and Drag Function'!$C77*'Lift @ Cruising Speed vs. AoA'!$B$4</f>
        <v>1.1737031250000001</v>
      </c>
      <c r="I76" s="3">
        <f>(0.5)*$B$5*I$10*I$10*'S7055 Lift and Drag Function'!$C77*'Lift @ Cruising Speed vs. AoA'!$B$4</f>
        <v>1.6901325</v>
      </c>
    </row>
    <row r="77" spans="1:9" x14ac:dyDescent="0.35">
      <c r="A77" s="1">
        <v>8</v>
      </c>
      <c r="B77" s="3">
        <f>(0.5)*$B$5*B$10*B$10*'S7055 Lift and Drag Function'!$C78*'Lift @ Cruising Speed vs. AoA'!$B$4</f>
        <v>4.8265000000000002E-2</v>
      </c>
      <c r="C77" s="3">
        <f>(0.5)*$B$5*C$10*C$10*'S7055 Lift and Drag Function'!$C78*'Lift @ Cruising Speed vs. AoA'!$B$4</f>
        <v>0.19306000000000001</v>
      </c>
      <c r="D77" s="3">
        <f>(0.5)*$B$5*D$10*D$10*'S7055 Lift and Drag Function'!$C78*'Lift @ Cruising Speed vs. AoA'!$B$4</f>
        <v>0.30165625000000007</v>
      </c>
      <c r="E77" s="3">
        <f>(0.5)*$B$5*E$10*E$10*'S7055 Lift and Drag Function'!$C78*'Lift @ Cruising Speed vs. AoA'!$B$4</f>
        <v>0.43438500000000002</v>
      </c>
      <c r="F77" s="3">
        <f>(0.5)*$B$5*F$10*F$10*'S7055 Lift and Drag Function'!$C78*'Lift @ Cruising Speed vs. AoA'!$B$4</f>
        <v>0.59124625000000008</v>
      </c>
      <c r="G77" s="3">
        <f>(0.5)*$B$5*G$10*G$10*'S7055 Lift and Drag Function'!$C78*'Lift @ Cruising Speed vs. AoA'!$B$4</f>
        <v>0.77224000000000004</v>
      </c>
      <c r="H77" s="3">
        <f>(0.5)*$B$5*H$10*H$10*'S7055 Lift and Drag Function'!$C78*'Lift @ Cruising Speed vs. AoA'!$B$4</f>
        <v>1.2066250000000003</v>
      </c>
      <c r="I77" s="3">
        <f>(0.5)*$B$5*I$10*I$10*'S7055 Lift and Drag Function'!$C78*'Lift @ Cruising Speed vs. AoA'!$B$4</f>
        <v>1.7375400000000001</v>
      </c>
    </row>
    <row r="78" spans="1:9" x14ac:dyDescent="0.35">
      <c r="A78" s="1">
        <v>8.25</v>
      </c>
      <c r="B78" s="3">
        <f>(0.5)*$B$5*B$10*B$10*'S7055 Lift and Drag Function'!$C79*'Lift @ Cruising Speed vs. AoA'!$B$4</f>
        <v>4.9765625000000008E-2</v>
      </c>
      <c r="C78" s="3">
        <f>(0.5)*$B$5*C$10*C$10*'S7055 Lift and Drag Function'!$C79*'Lift @ Cruising Speed vs. AoA'!$B$4</f>
        <v>0.19906250000000003</v>
      </c>
      <c r="D78" s="3">
        <f>(0.5)*$B$5*D$10*D$10*'S7055 Lift and Drag Function'!$C79*'Lift @ Cruising Speed vs. AoA'!$B$4</f>
        <v>0.31103515625000006</v>
      </c>
      <c r="E78" s="3">
        <f>(0.5)*$B$5*E$10*E$10*'S7055 Lift and Drag Function'!$C79*'Lift @ Cruising Speed vs. AoA'!$B$4</f>
        <v>0.4478906250000001</v>
      </c>
      <c r="F78" s="3">
        <f>(0.5)*$B$5*F$10*F$10*'S7055 Lift and Drag Function'!$C79*'Lift @ Cruising Speed vs. AoA'!$B$4</f>
        <v>0.6096289062500001</v>
      </c>
      <c r="G78" s="3">
        <f>(0.5)*$B$5*G$10*G$10*'S7055 Lift and Drag Function'!$C79*'Lift @ Cruising Speed vs. AoA'!$B$4</f>
        <v>0.79625000000000012</v>
      </c>
      <c r="H78" s="3">
        <f>(0.5)*$B$5*H$10*H$10*'S7055 Lift and Drag Function'!$C79*'Lift @ Cruising Speed vs. AoA'!$B$4</f>
        <v>1.2441406250000002</v>
      </c>
      <c r="I78" s="3">
        <f>(0.5)*$B$5*I$10*I$10*'S7055 Lift and Drag Function'!$C79*'Lift @ Cruising Speed vs. AoA'!$B$4</f>
        <v>1.7915625000000004</v>
      </c>
    </row>
    <row r="79" spans="1:9" x14ac:dyDescent="0.35">
      <c r="A79" s="1">
        <v>8.5</v>
      </c>
      <c r="B79" s="3">
        <f>(0.5)*$B$5*B$10*B$10*'S7055 Lift and Drag Function'!$C80*'Lift @ Cruising Speed vs. AoA'!$B$4</f>
        <v>5.1388749999999997E-2</v>
      </c>
      <c r="C79" s="3">
        <f>(0.5)*$B$5*C$10*C$10*'S7055 Lift and Drag Function'!$C80*'Lift @ Cruising Speed vs. AoA'!$B$4</f>
        <v>0.20555499999999999</v>
      </c>
      <c r="D79" s="3">
        <f>(0.5)*$B$5*D$10*D$10*'S7055 Lift and Drag Function'!$C80*'Lift @ Cruising Speed vs. AoA'!$B$4</f>
        <v>0.32117968750000009</v>
      </c>
      <c r="E79" s="3">
        <f>(0.5)*$B$5*E$10*E$10*'S7055 Lift and Drag Function'!$C80*'Lift @ Cruising Speed vs. AoA'!$B$4</f>
        <v>0.46249874999999996</v>
      </c>
      <c r="F79" s="3">
        <f>(0.5)*$B$5*F$10*F$10*'S7055 Lift and Drag Function'!$C80*'Lift @ Cruising Speed vs. AoA'!$B$4</f>
        <v>0.62951218750000004</v>
      </c>
      <c r="G79" s="3">
        <f>(0.5)*$B$5*G$10*G$10*'S7055 Lift and Drag Function'!$C80*'Lift @ Cruising Speed vs. AoA'!$B$4</f>
        <v>0.82221999999999995</v>
      </c>
      <c r="H79" s="3">
        <f>(0.5)*$B$5*H$10*H$10*'S7055 Lift and Drag Function'!$C80*'Lift @ Cruising Speed vs. AoA'!$B$4</f>
        <v>1.2847187500000004</v>
      </c>
      <c r="I79" s="3">
        <f>(0.5)*$B$5*I$10*I$10*'S7055 Lift and Drag Function'!$C80*'Lift @ Cruising Speed vs. AoA'!$B$4</f>
        <v>1.8499949999999998</v>
      </c>
    </row>
    <row r="80" spans="1:9" x14ac:dyDescent="0.35">
      <c r="A80" s="1">
        <v>8.75</v>
      </c>
      <c r="B80" s="3">
        <f>(0.5)*$B$5*B$10*B$10*'S7055 Lift and Drag Function'!$C81*'Lift @ Cruising Speed vs. AoA'!$B$4</f>
        <v>5.3165000000000011E-2</v>
      </c>
      <c r="C80" s="3">
        <f>(0.5)*$B$5*C$10*C$10*'S7055 Lift and Drag Function'!$C81*'Lift @ Cruising Speed vs. AoA'!$B$4</f>
        <v>0.21266000000000004</v>
      </c>
      <c r="D80" s="3">
        <f>(0.5)*$B$5*D$10*D$10*'S7055 Lift and Drag Function'!$C81*'Lift @ Cruising Speed vs. AoA'!$B$4</f>
        <v>0.33228125000000008</v>
      </c>
      <c r="E80" s="3">
        <f>(0.5)*$B$5*E$10*E$10*'S7055 Lift and Drag Function'!$C81*'Lift @ Cruising Speed vs. AoA'!$B$4</f>
        <v>0.47848500000000005</v>
      </c>
      <c r="F80" s="3">
        <f>(0.5)*$B$5*F$10*F$10*'S7055 Lift and Drag Function'!$C81*'Lift @ Cruising Speed vs. AoA'!$B$4</f>
        <v>0.65127125000000008</v>
      </c>
      <c r="G80" s="3">
        <f>(0.5)*$B$5*G$10*G$10*'S7055 Lift and Drag Function'!$C81*'Lift @ Cruising Speed vs. AoA'!$B$4</f>
        <v>0.85064000000000017</v>
      </c>
      <c r="H80" s="3">
        <f>(0.5)*$B$5*H$10*H$10*'S7055 Lift and Drag Function'!$C81*'Lift @ Cruising Speed vs. AoA'!$B$4</f>
        <v>1.3291250000000003</v>
      </c>
      <c r="I80" s="3">
        <f>(0.5)*$B$5*I$10*I$10*'S7055 Lift and Drag Function'!$C81*'Lift @ Cruising Speed vs. AoA'!$B$4</f>
        <v>1.9139400000000002</v>
      </c>
    </row>
    <row r="81" spans="1:9" x14ac:dyDescent="0.35">
      <c r="A81" s="1">
        <v>9</v>
      </c>
      <c r="B81" s="3">
        <f>(0.5)*$B$5*B$10*B$10*'S7055 Lift and Drag Function'!$C82*'Lift @ Cruising Speed vs. AoA'!$B$4</f>
        <v>5.5216874999999999E-2</v>
      </c>
      <c r="C81" s="3">
        <f>(0.5)*$B$5*C$10*C$10*'S7055 Lift and Drag Function'!$C82*'Lift @ Cruising Speed vs. AoA'!$B$4</f>
        <v>0.22086749999999999</v>
      </c>
      <c r="D81" s="3">
        <f>(0.5)*$B$5*D$10*D$10*'S7055 Lift and Drag Function'!$C82*'Lift @ Cruising Speed vs. AoA'!$B$4</f>
        <v>0.34510546875000009</v>
      </c>
      <c r="E81" s="3">
        <f>(0.5)*$B$5*E$10*E$10*'S7055 Lift and Drag Function'!$C82*'Lift @ Cruising Speed vs. AoA'!$B$4</f>
        <v>0.4969518750000001</v>
      </c>
      <c r="F81" s="3">
        <f>(0.5)*$B$5*F$10*F$10*'S7055 Lift and Drag Function'!$C82*'Lift @ Cruising Speed vs. AoA'!$B$4</f>
        <v>0.67640671875000002</v>
      </c>
      <c r="G81" s="3">
        <f>(0.5)*$B$5*G$10*G$10*'S7055 Lift and Drag Function'!$C82*'Lift @ Cruising Speed vs. AoA'!$B$4</f>
        <v>0.88346999999999998</v>
      </c>
      <c r="H81" s="3">
        <f>(0.5)*$B$5*H$10*H$10*'S7055 Lift and Drag Function'!$C82*'Lift @ Cruising Speed vs. AoA'!$B$4</f>
        <v>1.3804218750000004</v>
      </c>
      <c r="I81" s="3">
        <f>(0.5)*$B$5*I$10*I$10*'S7055 Lift and Drag Function'!$C82*'Lift @ Cruising Speed vs. AoA'!$B$4</f>
        <v>1.9878075000000004</v>
      </c>
    </row>
    <row r="82" spans="1:9" x14ac:dyDescent="0.35">
      <c r="A82" s="1">
        <v>9.25</v>
      </c>
      <c r="B82" s="3">
        <f>(0.5)*$B$5*B$10*B$10*'S7055 Lift and Drag Function'!$C83*'Lift @ Cruising Speed vs. AoA'!$B$4</f>
        <v>5.7421875000000004E-2</v>
      </c>
      <c r="C82" s="3">
        <f>(0.5)*$B$5*C$10*C$10*'S7055 Lift and Drag Function'!$C83*'Lift @ Cruising Speed vs. AoA'!$B$4</f>
        <v>0.22968750000000002</v>
      </c>
      <c r="D82" s="3">
        <f>(0.5)*$B$5*D$10*D$10*'S7055 Lift and Drag Function'!$C83*'Lift @ Cruising Speed vs. AoA'!$B$4</f>
        <v>0.35888671875000006</v>
      </c>
      <c r="E82" s="3">
        <f>(0.5)*$B$5*E$10*E$10*'S7055 Lift and Drag Function'!$C83*'Lift @ Cruising Speed vs. AoA'!$B$4</f>
        <v>0.51679687500000004</v>
      </c>
      <c r="F82" s="3">
        <f>(0.5)*$B$5*F$10*F$10*'S7055 Lift and Drag Function'!$C83*'Lift @ Cruising Speed vs. AoA'!$B$4</f>
        <v>0.70341796875000007</v>
      </c>
      <c r="G82" s="3">
        <f>(0.5)*$B$5*G$10*G$10*'S7055 Lift and Drag Function'!$C83*'Lift @ Cruising Speed vs. AoA'!$B$4</f>
        <v>0.91875000000000007</v>
      </c>
      <c r="H82" s="3">
        <f>(0.5)*$B$5*H$10*H$10*'S7055 Lift and Drag Function'!$C83*'Lift @ Cruising Speed vs. AoA'!$B$4</f>
        <v>1.4355468750000002</v>
      </c>
      <c r="I82" s="3">
        <f>(0.5)*$B$5*I$10*I$10*'S7055 Lift and Drag Function'!$C83*'Lift @ Cruising Speed vs. AoA'!$B$4</f>
        <v>2.0671875000000002</v>
      </c>
    </row>
    <row r="83" spans="1:9" x14ac:dyDescent="0.35">
      <c r="A83" s="1">
        <v>9.5</v>
      </c>
      <c r="B83" s="3">
        <f>(0.5)*$B$5*B$10*B$10*'S7055 Lift and Drag Function'!$C84*'Lift @ Cruising Speed vs. AoA'!$B$4</f>
        <v>5.9841249999999992E-2</v>
      </c>
      <c r="C83" s="3">
        <f>(0.5)*$B$5*C$10*C$10*'S7055 Lift and Drag Function'!$C84*'Lift @ Cruising Speed vs. AoA'!$B$4</f>
        <v>0.23936499999999997</v>
      </c>
      <c r="D83" s="3">
        <f>(0.5)*$B$5*D$10*D$10*'S7055 Lift and Drag Function'!$C84*'Lift @ Cruising Speed vs. AoA'!$B$4</f>
        <v>0.37400781250000004</v>
      </c>
      <c r="E83" s="3">
        <f>(0.5)*$B$5*E$10*E$10*'S7055 Lift and Drag Function'!$C84*'Lift @ Cruising Speed vs. AoA'!$B$4</f>
        <v>0.53857124999999995</v>
      </c>
      <c r="F83" s="3">
        <f>(0.5)*$B$5*F$10*F$10*'S7055 Lift and Drag Function'!$C84*'Lift @ Cruising Speed vs. AoA'!$B$4</f>
        <v>0.7330553125</v>
      </c>
      <c r="G83" s="3">
        <f>(0.5)*$B$5*G$10*G$10*'S7055 Lift and Drag Function'!$C84*'Lift @ Cruising Speed vs. AoA'!$B$4</f>
        <v>0.95745999999999987</v>
      </c>
      <c r="H83" s="3">
        <f>(0.5)*$B$5*H$10*H$10*'S7055 Lift and Drag Function'!$C84*'Lift @ Cruising Speed vs. AoA'!$B$4</f>
        <v>1.4960312500000001</v>
      </c>
      <c r="I83" s="3">
        <f>(0.5)*$B$5*I$10*I$10*'S7055 Lift and Drag Function'!$C84*'Lift @ Cruising Speed vs. AoA'!$B$4</f>
        <v>2.1542849999999998</v>
      </c>
    </row>
    <row r="84" spans="1:9" x14ac:dyDescent="0.35">
      <c r="A84" s="1">
        <v>9.75</v>
      </c>
      <c r="B84" s="3">
        <f>(0.5)*$B$5*B$10*B$10*'S7055 Lift and Drag Function'!$C85*'Lift @ Cruising Speed vs. AoA'!$B$4</f>
        <v>6.2658749999999999E-2</v>
      </c>
      <c r="C84" s="3">
        <f>(0.5)*$B$5*C$10*C$10*'S7055 Lift and Drag Function'!$C85*'Lift @ Cruising Speed vs. AoA'!$B$4</f>
        <v>0.250635</v>
      </c>
      <c r="D84" s="3">
        <f>(0.5)*$B$5*D$10*D$10*'S7055 Lift and Drag Function'!$C85*'Lift @ Cruising Speed vs. AoA'!$B$4</f>
        <v>0.39161718750000007</v>
      </c>
      <c r="E84" s="3">
        <f>(0.5)*$B$5*E$10*E$10*'S7055 Lift and Drag Function'!$C85*'Lift @ Cruising Speed vs. AoA'!$B$4</f>
        <v>0.56392874999999998</v>
      </c>
      <c r="F84" s="3">
        <f>(0.5)*$B$5*F$10*F$10*'S7055 Lift and Drag Function'!$C85*'Lift @ Cruising Speed vs. AoA'!$B$4</f>
        <v>0.76756968749999999</v>
      </c>
      <c r="G84" s="3">
        <f>(0.5)*$B$5*G$10*G$10*'S7055 Lift and Drag Function'!$C85*'Lift @ Cruising Speed vs. AoA'!$B$4</f>
        <v>1.00254</v>
      </c>
      <c r="H84" s="3">
        <f>(0.5)*$B$5*H$10*H$10*'S7055 Lift and Drag Function'!$C85*'Lift @ Cruising Speed vs. AoA'!$B$4</f>
        <v>1.5664687500000003</v>
      </c>
      <c r="I84" s="3">
        <f>(0.5)*$B$5*I$10*I$10*'S7055 Lift and Drag Function'!$C85*'Lift @ Cruising Speed vs. AoA'!$B$4</f>
        <v>2.2557149999999999</v>
      </c>
    </row>
    <row r="85" spans="1:9" x14ac:dyDescent="0.35">
      <c r="A85" s="1">
        <v>10</v>
      </c>
      <c r="B85" s="3">
        <f>(0.5)*$B$5*B$10*B$10*'S7055 Lift and Drag Function'!$C86*'Lift @ Cruising Speed vs. AoA'!$B$4</f>
        <v>6.6088750000000002E-2</v>
      </c>
      <c r="C85" s="3">
        <f>(0.5)*$B$5*C$10*C$10*'S7055 Lift and Drag Function'!$C86*'Lift @ Cruising Speed vs. AoA'!$B$4</f>
        <v>0.26435500000000001</v>
      </c>
      <c r="D85" s="3">
        <f>(0.5)*$B$5*D$10*D$10*'S7055 Lift and Drag Function'!$C86*'Lift @ Cruising Speed vs. AoA'!$B$4</f>
        <v>0.41305468750000007</v>
      </c>
      <c r="E85" s="3">
        <f>(0.5)*$B$5*E$10*E$10*'S7055 Lift and Drag Function'!$C86*'Lift @ Cruising Speed vs. AoA'!$B$4</f>
        <v>0.59479875000000004</v>
      </c>
      <c r="F85" s="3">
        <f>(0.5)*$B$5*F$10*F$10*'S7055 Lift and Drag Function'!$C86*'Lift @ Cruising Speed vs. AoA'!$B$4</f>
        <v>0.80958718750000003</v>
      </c>
      <c r="G85" s="3">
        <f>(0.5)*$B$5*G$10*G$10*'S7055 Lift and Drag Function'!$C86*'Lift @ Cruising Speed vs. AoA'!$B$4</f>
        <v>1.05742</v>
      </c>
      <c r="H85" s="3">
        <f>(0.5)*$B$5*H$10*H$10*'S7055 Lift and Drag Function'!$C86*'Lift @ Cruising Speed vs. AoA'!$B$4</f>
        <v>1.6522187500000003</v>
      </c>
      <c r="I85" s="3">
        <f>(0.5)*$B$5*I$10*I$10*'S7055 Lift and Drag Function'!$C86*'Lift @ Cruising Speed vs. AoA'!$B$4</f>
        <v>2.3791950000000002</v>
      </c>
    </row>
    <row r="86" spans="1:9" x14ac:dyDescent="0.35">
      <c r="A86" s="1">
        <v>10.25</v>
      </c>
      <c r="B86" s="3">
        <f>(0.5)*$B$5*B$10*B$10*'S7055 Lift and Drag Function'!$C87*'Lift @ Cruising Speed vs. AoA'!$B$4</f>
        <v>6.9916875000000003E-2</v>
      </c>
      <c r="C86" s="3">
        <f>(0.5)*$B$5*C$10*C$10*'S7055 Lift and Drag Function'!$C87*'Lift @ Cruising Speed vs. AoA'!$B$4</f>
        <v>0.27966750000000001</v>
      </c>
      <c r="D86" s="3">
        <f>(0.5)*$B$5*D$10*D$10*'S7055 Lift and Drag Function'!$C87*'Lift @ Cruising Speed vs. AoA'!$B$4</f>
        <v>0.43698046875000007</v>
      </c>
      <c r="E86" s="3">
        <f>(0.5)*$B$5*E$10*E$10*'S7055 Lift and Drag Function'!$C87*'Lift @ Cruising Speed vs. AoA'!$B$4</f>
        <v>0.62925187500000002</v>
      </c>
      <c r="F86" s="3">
        <f>(0.5)*$B$5*F$10*F$10*'S7055 Lift and Drag Function'!$C87*'Lift @ Cruising Speed vs. AoA'!$B$4</f>
        <v>0.85648171875000001</v>
      </c>
      <c r="G86" s="3">
        <f>(0.5)*$B$5*G$10*G$10*'S7055 Lift and Drag Function'!$C87*'Lift @ Cruising Speed vs. AoA'!$B$4</f>
        <v>1.1186700000000001</v>
      </c>
      <c r="H86" s="3">
        <f>(0.5)*$B$5*H$10*H$10*'S7055 Lift and Drag Function'!$C87*'Lift @ Cruising Speed vs. AoA'!$B$4</f>
        <v>1.7479218750000003</v>
      </c>
      <c r="I86" s="3">
        <f>(0.5)*$B$5*I$10*I$10*'S7055 Lift and Drag Function'!$C87*'Lift @ Cruising Speed vs. AoA'!$B$4</f>
        <v>2.5170075000000001</v>
      </c>
    </row>
    <row r="87" spans="1:9" x14ac:dyDescent="0.35">
      <c r="A87" s="1">
        <v>10.5</v>
      </c>
      <c r="B87" s="3">
        <f>(0.5)*$B$5*B$10*B$10*'S7055 Lift and Drag Function'!$C88*'Lift @ Cruising Speed vs. AoA'!$B$4</f>
        <v>7.4204375000000003E-2</v>
      </c>
      <c r="C87" s="3">
        <f>(0.5)*$B$5*C$10*C$10*'S7055 Lift and Drag Function'!$C88*'Lift @ Cruising Speed vs. AoA'!$B$4</f>
        <v>0.29681750000000001</v>
      </c>
      <c r="D87" s="3">
        <f>(0.5)*$B$5*D$10*D$10*'S7055 Lift and Drag Function'!$C88*'Lift @ Cruising Speed vs. AoA'!$B$4</f>
        <v>0.46377734375000013</v>
      </c>
      <c r="E87" s="3">
        <f>(0.5)*$B$5*E$10*E$10*'S7055 Lift and Drag Function'!$C88*'Lift @ Cruising Speed vs. AoA'!$B$4</f>
        <v>0.66783937500000012</v>
      </c>
      <c r="F87" s="3">
        <f>(0.5)*$B$5*F$10*F$10*'S7055 Lift and Drag Function'!$C88*'Lift @ Cruising Speed vs. AoA'!$B$4</f>
        <v>0.90900359375000006</v>
      </c>
      <c r="G87" s="3">
        <f>(0.5)*$B$5*G$10*G$10*'S7055 Lift and Drag Function'!$C88*'Lift @ Cruising Speed vs. AoA'!$B$4</f>
        <v>1.18727</v>
      </c>
      <c r="H87" s="3">
        <f>(0.5)*$B$5*H$10*H$10*'S7055 Lift and Drag Function'!$C88*'Lift @ Cruising Speed vs. AoA'!$B$4</f>
        <v>1.8551093750000005</v>
      </c>
      <c r="I87" s="3">
        <f>(0.5)*$B$5*I$10*I$10*'S7055 Lift and Drag Function'!$C88*'Lift @ Cruising Speed vs. AoA'!$B$4</f>
        <v>2.6713575000000005</v>
      </c>
    </row>
    <row r="88" spans="1:9" x14ac:dyDescent="0.35">
      <c r="A88" s="1">
        <v>10.75</v>
      </c>
      <c r="B88" s="3">
        <f>(0.5)*$B$5*B$10*B$10*'S7055 Lift and Drag Function'!$C89*'Lift @ Cruising Speed vs. AoA'!$B$4</f>
        <v>7.919625000000001E-2</v>
      </c>
      <c r="C88" s="3">
        <f>(0.5)*$B$5*C$10*C$10*'S7055 Lift and Drag Function'!$C89*'Lift @ Cruising Speed vs. AoA'!$B$4</f>
        <v>0.31678500000000004</v>
      </c>
      <c r="D88" s="3">
        <f>(0.5)*$B$5*D$10*D$10*'S7055 Lift and Drag Function'!$C89*'Lift @ Cruising Speed vs. AoA'!$B$4</f>
        <v>0.49497656250000016</v>
      </c>
      <c r="E88" s="3">
        <f>(0.5)*$B$5*E$10*E$10*'S7055 Lift and Drag Function'!$C89*'Lift @ Cruising Speed vs. AoA'!$B$4</f>
        <v>0.71276625000000005</v>
      </c>
      <c r="F88" s="3">
        <f>(0.5)*$B$5*F$10*F$10*'S7055 Lift and Drag Function'!$C89*'Lift @ Cruising Speed vs. AoA'!$B$4</f>
        <v>0.97015406250000003</v>
      </c>
      <c r="G88" s="3">
        <f>(0.5)*$B$5*G$10*G$10*'S7055 Lift and Drag Function'!$C89*'Lift @ Cruising Speed vs. AoA'!$B$4</f>
        <v>1.2671400000000002</v>
      </c>
      <c r="H88" s="3">
        <f>(0.5)*$B$5*H$10*H$10*'S7055 Lift and Drag Function'!$C89*'Lift @ Cruising Speed vs. AoA'!$B$4</f>
        <v>1.9799062500000006</v>
      </c>
      <c r="I88" s="3">
        <f>(0.5)*$B$5*I$10*I$10*'S7055 Lift and Drag Function'!$C89*'Lift @ Cruising Speed vs. AoA'!$B$4</f>
        <v>2.8510650000000002</v>
      </c>
    </row>
    <row r="89" spans="1:9" x14ac:dyDescent="0.35">
      <c r="A89" s="1">
        <v>11</v>
      </c>
      <c r="B89" s="3">
        <f>(0.5)*$B$5*B$10*B$10*'S7055 Lift and Drag Function'!$C90*'Lift @ Cruising Speed vs. AoA'!$B$4</f>
        <v>8.5504999999999998E-2</v>
      </c>
      <c r="C89" s="3">
        <f>(0.5)*$B$5*C$10*C$10*'S7055 Lift and Drag Function'!$C90*'Lift @ Cruising Speed vs. AoA'!$B$4</f>
        <v>0.34201999999999999</v>
      </c>
      <c r="D89" s="3">
        <f>(0.5)*$B$5*D$10*D$10*'S7055 Lift and Drag Function'!$C90*'Lift @ Cruising Speed vs. AoA'!$B$4</f>
        <v>0.53440625000000008</v>
      </c>
      <c r="E89" s="3">
        <f>(0.5)*$B$5*E$10*E$10*'S7055 Lift and Drag Function'!$C90*'Lift @ Cruising Speed vs. AoA'!$B$4</f>
        <v>0.76954500000000003</v>
      </c>
      <c r="F89" s="3">
        <f>(0.5)*$B$5*F$10*F$10*'S7055 Lift and Drag Function'!$C90*'Lift @ Cruising Speed vs. AoA'!$B$4</f>
        <v>1.0474362500000001</v>
      </c>
      <c r="G89" s="3">
        <f>(0.5)*$B$5*G$10*G$10*'S7055 Lift and Drag Function'!$C90*'Lift @ Cruising Speed vs. AoA'!$B$4</f>
        <v>1.36808</v>
      </c>
      <c r="H89" s="3">
        <f>(0.5)*$B$5*H$10*H$10*'S7055 Lift and Drag Function'!$C90*'Lift @ Cruising Speed vs. AoA'!$B$4</f>
        <v>2.1376250000000003</v>
      </c>
      <c r="I89" s="3">
        <f>(0.5)*$B$5*I$10*I$10*'S7055 Lift and Drag Function'!$C90*'Lift @ Cruising Speed vs. AoA'!$B$4</f>
        <v>3.0781800000000001</v>
      </c>
    </row>
    <row r="90" spans="1:9" x14ac:dyDescent="0.35">
      <c r="A90" s="1">
        <v>11.25</v>
      </c>
      <c r="B90" s="3">
        <f>(0.5)*$B$5*B$10*B$10*'S7055 Lift and Drag Function'!$C91*'Lift @ Cruising Speed vs. AoA'!$B$4</f>
        <v>9.2977500000000005E-2</v>
      </c>
      <c r="C90" s="3">
        <f>(0.5)*$B$5*C$10*C$10*'S7055 Lift and Drag Function'!$C91*'Lift @ Cruising Speed vs. AoA'!$B$4</f>
        <v>0.37191000000000002</v>
      </c>
      <c r="D90" s="3">
        <f>(0.5)*$B$5*D$10*D$10*'S7055 Lift and Drag Function'!$C91*'Lift @ Cruising Speed vs. AoA'!$B$4</f>
        <v>0.58110937500000015</v>
      </c>
      <c r="E90" s="3">
        <f>(0.5)*$B$5*E$10*E$10*'S7055 Lift and Drag Function'!$C91*'Lift @ Cruising Speed vs. AoA'!$B$4</f>
        <v>0.83679750000000019</v>
      </c>
      <c r="F90" s="3">
        <f>(0.5)*$B$5*F$10*F$10*'S7055 Lift and Drag Function'!$C91*'Lift @ Cruising Speed vs. AoA'!$B$4</f>
        <v>1.1389743750000001</v>
      </c>
      <c r="G90" s="3">
        <f>(0.5)*$B$5*G$10*G$10*'S7055 Lift and Drag Function'!$C91*'Lift @ Cruising Speed vs. AoA'!$B$4</f>
        <v>1.4876400000000001</v>
      </c>
      <c r="H90" s="3">
        <f>(0.5)*$B$5*H$10*H$10*'S7055 Lift and Drag Function'!$C91*'Lift @ Cruising Speed vs. AoA'!$B$4</f>
        <v>2.3244375000000006</v>
      </c>
      <c r="I90" s="3">
        <f>(0.5)*$B$5*I$10*I$10*'S7055 Lift and Drag Function'!$C91*'Lift @ Cruising Speed vs. AoA'!$B$4</f>
        <v>3.3471900000000008</v>
      </c>
    </row>
    <row r="91" spans="1:9" x14ac:dyDescent="0.35">
      <c r="A91" s="1">
        <v>11.5</v>
      </c>
      <c r="B91" s="3">
        <f>(0.5)*$B$5*B$10*B$10*'S7055 Lift and Drag Function'!$C92*'Lift @ Cruising Speed vs. AoA'!$B$4</f>
        <v>0.10087875</v>
      </c>
      <c r="C91" s="3">
        <f>(0.5)*$B$5*C$10*C$10*'S7055 Lift and Drag Function'!$C92*'Lift @ Cruising Speed vs. AoA'!$B$4</f>
        <v>0.40351500000000001</v>
      </c>
      <c r="D91" s="3">
        <f>(0.5)*$B$5*D$10*D$10*'S7055 Lift and Drag Function'!$C92*'Lift @ Cruising Speed vs. AoA'!$B$4</f>
        <v>0.63049218750000013</v>
      </c>
      <c r="E91" s="3">
        <f>(0.5)*$B$5*E$10*E$10*'S7055 Lift and Drag Function'!$C92*'Lift @ Cruising Speed vs. AoA'!$B$4</f>
        <v>0.90790875000000004</v>
      </c>
      <c r="F91" s="3">
        <f>(0.5)*$B$5*F$10*F$10*'S7055 Lift and Drag Function'!$C92*'Lift @ Cruising Speed vs. AoA'!$B$4</f>
        <v>1.2357646874999999</v>
      </c>
      <c r="G91" s="3">
        <f>(0.5)*$B$5*G$10*G$10*'S7055 Lift and Drag Function'!$C92*'Lift @ Cruising Speed vs. AoA'!$B$4</f>
        <v>1.6140600000000001</v>
      </c>
      <c r="H91" s="3">
        <f>(0.5)*$B$5*H$10*H$10*'S7055 Lift and Drag Function'!$C92*'Lift @ Cruising Speed vs. AoA'!$B$4</f>
        <v>2.5219687500000005</v>
      </c>
      <c r="I91" s="3">
        <f>(0.5)*$B$5*I$10*I$10*'S7055 Lift and Drag Function'!$C92*'Lift @ Cruising Speed vs. AoA'!$B$4</f>
        <v>3.6316350000000002</v>
      </c>
    </row>
    <row r="92" spans="1:9" x14ac:dyDescent="0.35">
      <c r="A92" s="1">
        <v>11.75</v>
      </c>
      <c r="B92" s="3">
        <f>(0.5)*$B$5*B$10*B$10*'S7055 Lift and Drag Function'!$C93*'Lift @ Cruising Speed vs. AoA'!$B$4</f>
        <v>0.11000500000000001</v>
      </c>
      <c r="C92" s="3">
        <f>(0.5)*$B$5*C$10*C$10*'S7055 Lift and Drag Function'!$C93*'Lift @ Cruising Speed vs. AoA'!$B$4</f>
        <v>0.44002000000000002</v>
      </c>
      <c r="D92" s="3">
        <f>(0.5)*$B$5*D$10*D$10*'S7055 Lift and Drag Function'!$C93*'Lift @ Cruising Speed vs. AoA'!$B$4</f>
        <v>0.68753125000000015</v>
      </c>
      <c r="E92" s="3">
        <f>(0.5)*$B$5*E$10*E$10*'S7055 Lift and Drag Function'!$C93*'Lift @ Cruising Speed vs. AoA'!$B$4</f>
        <v>0.99004499999999995</v>
      </c>
      <c r="F92" s="3">
        <f>(0.5)*$B$5*F$10*F$10*'S7055 Lift and Drag Function'!$C93*'Lift @ Cruising Speed vs. AoA'!$B$4</f>
        <v>1.34756125</v>
      </c>
      <c r="G92" s="3">
        <f>(0.5)*$B$5*G$10*G$10*'S7055 Lift and Drag Function'!$C93*'Lift @ Cruising Speed vs. AoA'!$B$4</f>
        <v>1.7600800000000001</v>
      </c>
      <c r="H92" s="3">
        <f>(0.5)*$B$5*H$10*H$10*'S7055 Lift and Drag Function'!$C93*'Lift @ Cruising Speed vs. AoA'!$B$4</f>
        <v>2.7501250000000006</v>
      </c>
      <c r="I92" s="3">
        <f>(0.5)*$B$5*I$10*I$10*'S7055 Lift and Drag Function'!$C93*'Lift @ Cruising Speed vs. AoA'!$B$4</f>
        <v>3.9601799999999998</v>
      </c>
    </row>
    <row r="93" spans="1:9" x14ac:dyDescent="0.35">
      <c r="A93" s="1">
        <v>12</v>
      </c>
      <c r="B93" s="3">
        <f>(0.5)*$B$5*B$10*B$10*'S7055 Lift and Drag Function'!$C94*'Lift @ Cruising Speed vs. AoA'!$B$4</f>
        <v>0.11723250000000002</v>
      </c>
      <c r="C93" s="3">
        <f>(0.5)*$B$5*C$10*C$10*'S7055 Lift and Drag Function'!$C94*'Lift @ Cruising Speed vs. AoA'!$B$4</f>
        <v>0.46893000000000007</v>
      </c>
      <c r="D93" s="3">
        <f>(0.5)*$B$5*D$10*D$10*'S7055 Lift and Drag Function'!$C94*'Lift @ Cruising Speed vs. AoA'!$B$4</f>
        <v>0.73270312500000012</v>
      </c>
      <c r="E93" s="3">
        <f>(0.5)*$B$5*E$10*E$10*'S7055 Lift and Drag Function'!$C94*'Lift @ Cruising Speed vs. AoA'!$B$4</f>
        <v>1.0550925000000002</v>
      </c>
      <c r="F93" s="3">
        <f>(0.5)*$B$5*F$10*F$10*'S7055 Lift and Drag Function'!$C94*'Lift @ Cruising Speed vs. AoA'!$B$4</f>
        <v>1.436098125</v>
      </c>
      <c r="G93" s="3">
        <f>(0.5)*$B$5*G$10*G$10*'S7055 Lift and Drag Function'!$C94*'Lift @ Cruising Speed vs. AoA'!$B$4</f>
        <v>1.8757200000000003</v>
      </c>
      <c r="H93" s="3">
        <f>(0.5)*$B$5*H$10*H$10*'S7055 Lift and Drag Function'!$C94*'Lift @ Cruising Speed vs. AoA'!$B$4</f>
        <v>2.9308125000000005</v>
      </c>
      <c r="I93" s="3">
        <f>(0.5)*$B$5*I$10*I$10*'S7055 Lift and Drag Function'!$C94*'Lift @ Cruising Speed vs. AoA'!$B$4</f>
        <v>4.2203700000000008</v>
      </c>
    </row>
    <row r="94" spans="1:9" x14ac:dyDescent="0.35">
      <c r="A94" s="1">
        <v>12.25</v>
      </c>
      <c r="B94" s="3">
        <f>(0.5)*$B$5*B$10*B$10*'S7055 Lift and Drag Function'!$C95*'Lift @ Cruising Speed vs. AoA'!$B$4</f>
        <v>0.12553187500000001</v>
      </c>
      <c r="C94" s="3">
        <f>(0.5)*$B$5*C$10*C$10*'S7055 Lift and Drag Function'!$C95*'Lift @ Cruising Speed vs. AoA'!$B$4</f>
        <v>0.50212750000000006</v>
      </c>
      <c r="D94" s="3">
        <f>(0.5)*$B$5*D$10*D$10*'S7055 Lift and Drag Function'!$C95*'Lift @ Cruising Speed vs. AoA'!$B$4</f>
        <v>0.78457421875000011</v>
      </c>
      <c r="E94" s="3">
        <f>(0.5)*$B$5*E$10*E$10*'S7055 Lift and Drag Function'!$C95*'Lift @ Cruising Speed vs. AoA'!$B$4</f>
        <v>1.129786875</v>
      </c>
      <c r="F94" s="3">
        <f>(0.5)*$B$5*F$10*F$10*'S7055 Lift and Drag Function'!$C95*'Lift @ Cruising Speed vs. AoA'!$B$4</f>
        <v>1.53776546875</v>
      </c>
      <c r="G94" s="3">
        <f>(0.5)*$B$5*G$10*G$10*'S7055 Lift and Drag Function'!$C95*'Lift @ Cruising Speed vs. AoA'!$B$4</f>
        <v>2.0085100000000002</v>
      </c>
      <c r="H94" s="3">
        <f>(0.5)*$B$5*H$10*H$10*'S7055 Lift and Drag Function'!$C95*'Lift @ Cruising Speed vs. AoA'!$B$4</f>
        <v>3.1382968750000004</v>
      </c>
      <c r="I94" s="3">
        <f>(0.5)*$B$5*I$10*I$10*'S7055 Lift and Drag Function'!$C95*'Lift @ Cruising Speed vs. AoA'!$B$4</f>
        <v>4.5191474999999999</v>
      </c>
    </row>
    <row r="95" spans="1:9" x14ac:dyDescent="0.35">
      <c r="A95" s="1">
        <v>12.5</v>
      </c>
      <c r="B95" s="3">
        <f>(0.5)*$B$5*B$10*B$10*'S7055 Lift and Drag Function'!$C96*'Lift @ Cruising Speed vs. AoA'!$B$4</f>
        <v>0.135515625</v>
      </c>
      <c r="C95" s="3">
        <f>(0.5)*$B$5*C$10*C$10*'S7055 Lift and Drag Function'!$C96*'Lift @ Cruising Speed vs. AoA'!$B$4</f>
        <v>0.5420625</v>
      </c>
      <c r="D95" s="3">
        <f>(0.5)*$B$5*D$10*D$10*'S7055 Lift and Drag Function'!$C96*'Lift @ Cruising Speed vs. AoA'!$B$4</f>
        <v>0.84697265625000007</v>
      </c>
      <c r="E95" s="3">
        <f>(0.5)*$B$5*E$10*E$10*'S7055 Lift and Drag Function'!$C96*'Lift @ Cruising Speed vs. AoA'!$B$4</f>
        <v>1.219640625</v>
      </c>
      <c r="F95" s="3">
        <f>(0.5)*$B$5*F$10*F$10*'S7055 Lift and Drag Function'!$C96*'Lift @ Cruising Speed vs. AoA'!$B$4</f>
        <v>1.6600664062499999</v>
      </c>
      <c r="G95" s="3">
        <f>(0.5)*$B$5*G$10*G$10*'S7055 Lift and Drag Function'!$C96*'Lift @ Cruising Speed vs. AoA'!$B$4</f>
        <v>2.16825</v>
      </c>
      <c r="H95" s="3">
        <f>(0.5)*$B$5*H$10*H$10*'S7055 Lift and Drag Function'!$C96*'Lift @ Cruising Speed vs. AoA'!$B$4</f>
        <v>3.3878906250000003</v>
      </c>
      <c r="I95" s="3">
        <f>(0.5)*$B$5*I$10*I$10*'S7055 Lift and Drag Function'!$C96*'Lift @ Cruising Speed vs. AoA'!$B$4</f>
        <v>4.8785625000000001</v>
      </c>
    </row>
    <row r="96" spans="1:9" x14ac:dyDescent="0.35">
      <c r="A96" s="1">
        <v>12.75</v>
      </c>
      <c r="B96" s="3">
        <f>(0.5)*$B$5*B$10*B$10*'S7055 Lift and Drag Function'!$C97*'Lift @ Cruising Speed vs. AoA'!$B$4</f>
        <v>0.14528500000000003</v>
      </c>
      <c r="C96" s="3">
        <f>(0.5)*$B$5*C$10*C$10*'S7055 Lift and Drag Function'!$C97*'Lift @ Cruising Speed vs. AoA'!$B$4</f>
        <v>0.5811400000000001</v>
      </c>
      <c r="D96" s="3">
        <f>(0.5)*$B$5*D$10*D$10*'S7055 Lift and Drag Function'!$C97*'Lift @ Cruising Speed vs. AoA'!$B$4</f>
        <v>0.90803125000000018</v>
      </c>
      <c r="E96" s="3">
        <f>(0.5)*$B$5*E$10*E$10*'S7055 Lift and Drag Function'!$C97*'Lift @ Cruising Speed vs. AoA'!$B$4</f>
        <v>1.3075650000000003</v>
      </c>
      <c r="F96" s="3">
        <f>(0.5)*$B$5*F$10*F$10*'S7055 Lift and Drag Function'!$C97*'Lift @ Cruising Speed vs. AoA'!$B$4</f>
        <v>1.7797412500000001</v>
      </c>
      <c r="G96" s="3">
        <f>(0.5)*$B$5*G$10*G$10*'S7055 Lift and Drag Function'!$C97*'Lift @ Cruising Speed vs. AoA'!$B$4</f>
        <v>2.3245600000000004</v>
      </c>
      <c r="H96" s="3">
        <f>(0.5)*$B$5*H$10*H$10*'S7055 Lift and Drag Function'!$C97*'Lift @ Cruising Speed vs. AoA'!$B$4</f>
        <v>3.6321250000000007</v>
      </c>
      <c r="I96" s="3">
        <f>(0.5)*$B$5*I$10*I$10*'S7055 Lift and Drag Function'!$C97*'Lift @ Cruising Speed vs. AoA'!$B$4</f>
        <v>5.2302600000000012</v>
      </c>
    </row>
    <row r="97" spans="1:9" x14ac:dyDescent="0.35">
      <c r="A97" s="1">
        <v>13</v>
      </c>
      <c r="B97" s="3">
        <f>(0.5)*$B$5*B$10*B$10*'S7055 Lift and Drag Function'!$C98*'Lift @ Cruising Speed vs. AoA'!$B$4</f>
        <v>0.153216875</v>
      </c>
      <c r="C97" s="3">
        <f>(0.5)*$B$5*C$10*C$10*'S7055 Lift and Drag Function'!$C98*'Lift @ Cruising Speed vs. AoA'!$B$4</f>
        <v>0.61286750000000001</v>
      </c>
      <c r="D97" s="3">
        <f>(0.5)*$B$5*D$10*D$10*'S7055 Lift and Drag Function'!$C98*'Lift @ Cruising Speed vs. AoA'!$B$4</f>
        <v>0.95760546875000019</v>
      </c>
      <c r="E97" s="3">
        <f>(0.5)*$B$5*E$10*E$10*'S7055 Lift and Drag Function'!$C98*'Lift @ Cruising Speed vs. AoA'!$B$4</f>
        <v>1.378951875</v>
      </c>
      <c r="F97" s="3">
        <f>(0.5)*$B$5*F$10*F$10*'S7055 Lift and Drag Function'!$C98*'Lift @ Cruising Speed vs. AoA'!$B$4</f>
        <v>1.8769067187499999</v>
      </c>
      <c r="G97" s="3">
        <f>(0.5)*$B$5*G$10*G$10*'S7055 Lift and Drag Function'!$C98*'Lift @ Cruising Speed vs. AoA'!$B$4</f>
        <v>2.45147</v>
      </c>
      <c r="H97" s="3">
        <f>(0.5)*$B$5*H$10*H$10*'S7055 Lift and Drag Function'!$C98*'Lift @ Cruising Speed vs. AoA'!$B$4</f>
        <v>3.8304218750000008</v>
      </c>
      <c r="I97" s="3">
        <f>(0.5)*$B$5*I$10*I$10*'S7055 Lift and Drag Function'!$C98*'Lift @ Cruising Speed vs. AoA'!$B$4</f>
        <v>5.5158075000000002</v>
      </c>
    </row>
    <row r="98" spans="1:9" x14ac:dyDescent="0.35">
      <c r="A98" s="1">
        <v>13.25</v>
      </c>
      <c r="B98" s="3">
        <f>(0.5)*$B$5*B$10*B$10*'S7055 Lift and Drag Function'!$C99*'Lift @ Cruising Speed vs. AoA'!$B$4</f>
        <v>0.16139375</v>
      </c>
      <c r="C98" s="3">
        <f>(0.5)*$B$5*C$10*C$10*'S7055 Lift and Drag Function'!$C99*'Lift @ Cruising Speed vs. AoA'!$B$4</f>
        <v>0.64557500000000001</v>
      </c>
      <c r="D98" s="3">
        <f>(0.5)*$B$5*D$10*D$10*'S7055 Lift and Drag Function'!$C99*'Lift @ Cruising Speed vs. AoA'!$B$4</f>
        <v>1.0087109375000001</v>
      </c>
      <c r="E98" s="3">
        <f>(0.5)*$B$5*E$10*E$10*'S7055 Lift and Drag Function'!$C99*'Lift @ Cruising Speed vs. AoA'!$B$4</f>
        <v>1.45254375</v>
      </c>
      <c r="F98" s="3">
        <f>(0.5)*$B$5*F$10*F$10*'S7055 Lift and Drag Function'!$C99*'Lift @ Cruising Speed vs. AoA'!$B$4</f>
        <v>1.9770734375000001</v>
      </c>
      <c r="G98" s="3">
        <f>(0.5)*$B$5*G$10*G$10*'S7055 Lift and Drag Function'!$C99*'Lift @ Cruising Speed vs. AoA'!$B$4</f>
        <v>2.5823</v>
      </c>
      <c r="H98" s="3">
        <f>(0.5)*$B$5*H$10*H$10*'S7055 Lift and Drag Function'!$C99*'Lift @ Cruising Speed vs. AoA'!$B$4</f>
        <v>4.0348437500000003</v>
      </c>
      <c r="I98" s="3">
        <f>(0.5)*$B$5*I$10*I$10*'S7055 Lift and Drag Function'!$C99*'Lift @ Cruising Speed vs. AoA'!$B$4</f>
        <v>5.8101750000000001</v>
      </c>
    </row>
    <row r="99" spans="1:9" x14ac:dyDescent="0.35">
      <c r="A99" s="1">
        <v>13.5</v>
      </c>
      <c r="B99" s="3">
        <f>(0.5)*$B$5*B$10*B$10*'S7055 Lift and Drag Function'!$C100*'Lift @ Cruising Speed vs. AoA'!$B$4</f>
        <v>0.16950937500000002</v>
      </c>
      <c r="C99" s="3">
        <f>(0.5)*$B$5*C$10*C$10*'S7055 Lift and Drag Function'!$C100*'Lift @ Cruising Speed vs. AoA'!$B$4</f>
        <v>0.67803750000000007</v>
      </c>
      <c r="D99" s="3">
        <f>(0.5)*$B$5*D$10*D$10*'S7055 Lift and Drag Function'!$C100*'Lift @ Cruising Speed vs. AoA'!$B$4</f>
        <v>1.0594335937500003</v>
      </c>
      <c r="E99" s="3">
        <f>(0.5)*$B$5*E$10*E$10*'S7055 Lift and Drag Function'!$C100*'Lift @ Cruising Speed vs. AoA'!$B$4</f>
        <v>1.5255843750000002</v>
      </c>
      <c r="F99" s="3">
        <f>(0.5)*$B$5*F$10*F$10*'S7055 Lift and Drag Function'!$C100*'Lift @ Cruising Speed vs. AoA'!$B$4</f>
        <v>2.0764898437500001</v>
      </c>
      <c r="G99" s="3">
        <f>(0.5)*$B$5*G$10*G$10*'S7055 Lift and Drag Function'!$C100*'Lift @ Cruising Speed vs. AoA'!$B$4</f>
        <v>2.7121500000000003</v>
      </c>
      <c r="H99" s="3">
        <f>(0.5)*$B$5*H$10*H$10*'S7055 Lift and Drag Function'!$C100*'Lift @ Cruising Speed vs. AoA'!$B$4</f>
        <v>4.2377343750000014</v>
      </c>
      <c r="I99" s="3">
        <f>(0.5)*$B$5*I$10*I$10*'S7055 Lift and Drag Function'!$C100*'Lift @ Cruising Speed vs. AoA'!$B$4</f>
        <v>6.1023375000000009</v>
      </c>
    </row>
    <row r="100" spans="1:9" x14ac:dyDescent="0.35">
      <c r="A100" s="1">
        <v>13.75</v>
      </c>
      <c r="B100" s="3">
        <f>(0.5)*$B$5*B$10*B$10*'S7055 Lift and Drag Function'!$C101*'Lift @ Cruising Speed vs. AoA'!$B$4</f>
        <v>0.17756375000000002</v>
      </c>
      <c r="C100" s="3">
        <f>(0.5)*$B$5*C$10*C$10*'S7055 Lift and Drag Function'!$C101*'Lift @ Cruising Speed vs. AoA'!$B$4</f>
        <v>0.71025500000000008</v>
      </c>
      <c r="D100" s="3">
        <f>(0.5)*$B$5*D$10*D$10*'S7055 Lift and Drag Function'!$C101*'Lift @ Cruising Speed vs. AoA'!$B$4</f>
        <v>1.1097734375000001</v>
      </c>
      <c r="E100" s="3">
        <f>(0.5)*$B$5*E$10*E$10*'S7055 Lift and Drag Function'!$C101*'Lift @ Cruising Speed vs. AoA'!$B$4</f>
        <v>1.59807375</v>
      </c>
      <c r="F100" s="3">
        <f>(0.5)*$B$5*F$10*F$10*'S7055 Lift and Drag Function'!$C101*'Lift @ Cruising Speed vs. AoA'!$B$4</f>
        <v>2.1751559375</v>
      </c>
      <c r="G100" s="3">
        <f>(0.5)*$B$5*G$10*G$10*'S7055 Lift and Drag Function'!$C101*'Lift @ Cruising Speed vs. AoA'!$B$4</f>
        <v>2.8410200000000003</v>
      </c>
      <c r="H100" s="3">
        <f>(0.5)*$B$5*H$10*H$10*'S7055 Lift and Drag Function'!$C101*'Lift @ Cruising Speed vs. AoA'!$B$4</f>
        <v>4.4390937500000005</v>
      </c>
      <c r="I100" s="3">
        <f>(0.5)*$B$5*I$10*I$10*'S7055 Lift and Drag Function'!$C101*'Lift @ Cruising Speed vs. AoA'!$B$4</f>
        <v>6.3922949999999998</v>
      </c>
    </row>
    <row r="101" spans="1:9" x14ac:dyDescent="0.35">
      <c r="A101" s="1">
        <v>14</v>
      </c>
      <c r="B101" s="3">
        <f>(0.5)*$B$5*B$10*B$10*'S7055 Lift and Drag Function'!$C102*'Lift @ Cruising Speed vs. AoA'!$B$4</f>
        <v>0.18613875000000002</v>
      </c>
      <c r="C101" s="3">
        <f>(0.5)*$B$5*C$10*C$10*'S7055 Lift and Drag Function'!$C102*'Lift @ Cruising Speed vs. AoA'!$B$4</f>
        <v>0.74455500000000008</v>
      </c>
      <c r="D101" s="3">
        <f>(0.5)*$B$5*D$10*D$10*'S7055 Lift and Drag Function'!$C102*'Lift @ Cruising Speed vs. AoA'!$B$4</f>
        <v>1.1633671875000002</v>
      </c>
      <c r="E101" s="3">
        <f>(0.5)*$B$5*E$10*E$10*'S7055 Lift and Drag Function'!$C102*'Lift @ Cruising Speed vs. AoA'!$B$4</f>
        <v>1.6752487500000002</v>
      </c>
      <c r="F101" s="3">
        <f>(0.5)*$B$5*F$10*F$10*'S7055 Lift and Drag Function'!$C102*'Lift @ Cruising Speed vs. AoA'!$B$4</f>
        <v>2.2801996875000001</v>
      </c>
      <c r="G101" s="3">
        <f>(0.5)*$B$5*G$10*G$10*'S7055 Lift and Drag Function'!$C102*'Lift @ Cruising Speed vs. AoA'!$B$4</f>
        <v>2.9782200000000003</v>
      </c>
      <c r="H101" s="3">
        <f>(0.5)*$B$5*H$10*H$10*'S7055 Lift and Drag Function'!$C102*'Lift @ Cruising Speed vs. AoA'!$B$4</f>
        <v>4.6534687500000009</v>
      </c>
      <c r="I101" s="3">
        <f>(0.5)*$B$5*I$10*I$10*'S7055 Lift and Drag Function'!$C102*'Lift @ Cruising Speed vs. AoA'!$B$4</f>
        <v>6.7009950000000007</v>
      </c>
    </row>
    <row r="102" spans="1:9" x14ac:dyDescent="0.35">
      <c r="A102" s="1">
        <v>14.25</v>
      </c>
      <c r="B102" s="3">
        <f>(0.5)*$B$5*B$10*B$10*'S7055 Lift and Drag Function'!$C103*'Lift @ Cruising Speed vs. AoA'!$B$4</f>
        <v>0.19489750000000003</v>
      </c>
      <c r="C102" s="3">
        <f>(0.5)*$B$5*C$10*C$10*'S7055 Lift and Drag Function'!$C103*'Lift @ Cruising Speed vs. AoA'!$B$4</f>
        <v>0.77959000000000012</v>
      </c>
      <c r="D102" s="3">
        <f>(0.5)*$B$5*D$10*D$10*'S7055 Lift and Drag Function'!$C103*'Lift @ Cruising Speed vs. AoA'!$B$4</f>
        <v>1.2181093750000003</v>
      </c>
      <c r="E102" s="3">
        <f>(0.5)*$B$5*E$10*E$10*'S7055 Lift and Drag Function'!$C103*'Lift @ Cruising Speed vs. AoA'!$B$4</f>
        <v>1.7540775000000002</v>
      </c>
      <c r="F102" s="3">
        <f>(0.5)*$B$5*F$10*F$10*'S7055 Lift and Drag Function'!$C103*'Lift @ Cruising Speed vs. AoA'!$B$4</f>
        <v>2.3874943750000002</v>
      </c>
      <c r="G102" s="3">
        <f>(0.5)*$B$5*G$10*G$10*'S7055 Lift and Drag Function'!$C103*'Lift @ Cruising Speed vs. AoA'!$B$4</f>
        <v>3.1183600000000005</v>
      </c>
      <c r="H102" s="3">
        <f>(0.5)*$B$5*H$10*H$10*'S7055 Lift and Drag Function'!$C103*'Lift @ Cruising Speed vs. AoA'!$B$4</f>
        <v>4.8724375000000011</v>
      </c>
      <c r="I102" s="3">
        <f>(0.5)*$B$5*I$10*I$10*'S7055 Lift and Drag Function'!$C103*'Lift @ Cruising Speed vs. AoA'!$B$4</f>
        <v>7.0163100000000007</v>
      </c>
    </row>
    <row r="103" spans="1:9" x14ac:dyDescent="0.35">
      <c r="A103" s="1">
        <v>14.5</v>
      </c>
      <c r="B103" s="3">
        <f>(0.5)*$B$5*B$10*B$10*'S7055 Lift and Drag Function'!$C104*'Lift @ Cruising Speed vs. AoA'!$B$4</f>
        <v>0.203993125</v>
      </c>
      <c r="C103" s="3">
        <f>(0.5)*$B$5*C$10*C$10*'S7055 Lift and Drag Function'!$C104*'Lift @ Cruising Speed vs. AoA'!$B$4</f>
        <v>0.81597249999999999</v>
      </c>
      <c r="D103" s="3">
        <f>(0.5)*$B$5*D$10*D$10*'S7055 Lift and Drag Function'!$C104*'Lift @ Cruising Speed vs. AoA'!$B$4</f>
        <v>1.2749570312500005</v>
      </c>
      <c r="E103" s="3">
        <f>(0.5)*$B$5*E$10*E$10*'S7055 Lift and Drag Function'!$C104*'Lift @ Cruising Speed vs. AoA'!$B$4</f>
        <v>1.8359381250000002</v>
      </c>
      <c r="F103" s="3">
        <f>(0.5)*$B$5*F$10*F$10*'S7055 Lift and Drag Function'!$C104*'Lift @ Cruising Speed vs. AoA'!$B$4</f>
        <v>2.49891578125</v>
      </c>
      <c r="G103" s="3">
        <f>(0.5)*$B$5*G$10*G$10*'S7055 Lift and Drag Function'!$C104*'Lift @ Cruising Speed vs. AoA'!$B$4</f>
        <v>3.26389</v>
      </c>
      <c r="H103" s="3">
        <f>(0.5)*$B$5*H$10*H$10*'S7055 Lift and Drag Function'!$C104*'Lift @ Cruising Speed vs. AoA'!$B$4</f>
        <v>5.0998281250000019</v>
      </c>
      <c r="I103" s="3">
        <f>(0.5)*$B$5*I$10*I$10*'S7055 Lift and Drag Function'!$C104*'Lift @ Cruising Speed vs. AoA'!$B$4</f>
        <v>7.3437525000000008</v>
      </c>
    </row>
    <row r="104" spans="1:9" x14ac:dyDescent="0.35">
      <c r="A104" s="1">
        <v>14.75</v>
      </c>
      <c r="B104" s="3">
        <f>(0.5)*$B$5*B$10*B$10*'S7055 Lift and Drag Function'!$C105*'Lift @ Cruising Speed vs. AoA'!$B$4</f>
        <v>0.21400750000000002</v>
      </c>
      <c r="C104" s="3">
        <f>(0.5)*$B$5*C$10*C$10*'S7055 Lift and Drag Function'!$C105*'Lift @ Cruising Speed vs. AoA'!$B$4</f>
        <v>0.85603000000000007</v>
      </c>
      <c r="D104" s="3">
        <f>(0.5)*$B$5*D$10*D$10*'S7055 Lift and Drag Function'!$C105*'Lift @ Cruising Speed vs. AoA'!$B$4</f>
        <v>1.3375468750000001</v>
      </c>
      <c r="E104" s="3">
        <f>(0.5)*$B$5*E$10*E$10*'S7055 Lift and Drag Function'!$C105*'Lift @ Cruising Speed vs. AoA'!$B$4</f>
        <v>1.9260675</v>
      </c>
      <c r="F104" s="3">
        <f>(0.5)*$B$5*F$10*F$10*'S7055 Lift and Drag Function'!$C105*'Lift @ Cruising Speed vs. AoA'!$B$4</f>
        <v>2.621591875</v>
      </c>
      <c r="G104" s="3">
        <f>(0.5)*$B$5*G$10*G$10*'S7055 Lift and Drag Function'!$C105*'Lift @ Cruising Speed vs. AoA'!$B$4</f>
        <v>3.4241200000000003</v>
      </c>
      <c r="H104" s="3">
        <f>(0.5)*$B$5*H$10*H$10*'S7055 Lift and Drag Function'!$C105*'Lift @ Cruising Speed vs. AoA'!$B$4</f>
        <v>5.3501875000000005</v>
      </c>
      <c r="I104" s="3">
        <f>(0.5)*$B$5*I$10*I$10*'S7055 Lift and Drag Function'!$C105*'Lift @ Cruising Speed vs. AoA'!$B$4</f>
        <v>7.7042700000000002</v>
      </c>
    </row>
    <row r="105" spans="1:9" x14ac:dyDescent="0.35">
      <c r="A105" s="1">
        <v>15</v>
      </c>
      <c r="B105" s="3">
        <f>(0.5)*$B$5*B$10*B$10*'S7055 Lift and Drag Function'!$C106*'Lift @ Cruising Speed vs. AoA'!$B$4</f>
        <v>0.22494062500000001</v>
      </c>
      <c r="C105" s="3">
        <f>(0.5)*$B$5*C$10*C$10*'S7055 Lift and Drag Function'!$C106*'Lift @ Cruising Speed vs. AoA'!$B$4</f>
        <v>0.89976250000000002</v>
      </c>
      <c r="D105" s="3">
        <f>(0.5)*$B$5*D$10*D$10*'S7055 Lift and Drag Function'!$C106*'Lift @ Cruising Speed vs. AoA'!$B$4</f>
        <v>1.4058789062500003</v>
      </c>
      <c r="E105" s="3">
        <f>(0.5)*$B$5*E$10*E$10*'S7055 Lift and Drag Function'!$C106*'Lift @ Cruising Speed vs. AoA'!$B$4</f>
        <v>2.0244656250000004</v>
      </c>
      <c r="F105" s="3">
        <f>(0.5)*$B$5*F$10*F$10*'S7055 Lift and Drag Function'!$C106*'Lift @ Cruising Speed vs. AoA'!$B$4</f>
        <v>2.7555226562500001</v>
      </c>
      <c r="G105" s="3">
        <f>(0.5)*$B$5*G$10*G$10*'S7055 Lift and Drag Function'!$C106*'Lift @ Cruising Speed vs. AoA'!$B$4</f>
        <v>3.5990500000000001</v>
      </c>
      <c r="H105" s="3">
        <f>(0.5)*$B$5*H$10*H$10*'S7055 Lift and Drag Function'!$C106*'Lift @ Cruising Speed vs. AoA'!$B$4</f>
        <v>5.6235156250000014</v>
      </c>
      <c r="I105" s="3">
        <f>(0.5)*$B$5*I$10*I$10*'S7055 Lift and Drag Function'!$C106*'Lift @ Cruising Speed vs. AoA'!$B$4</f>
        <v>8.0978625000000015</v>
      </c>
    </row>
    <row r="106" spans="1:9" x14ac:dyDescent="0.35">
      <c r="A106" s="1">
        <v>15.25</v>
      </c>
      <c r="B106" s="3">
        <f>(0.5)*$B$5*B$10*B$10*'S7055 Lift and Drag Function'!$C107*'Lift @ Cruising Speed vs. AoA'!$B$4</f>
        <v>0.23697625000000003</v>
      </c>
      <c r="C106" s="3">
        <f>(0.5)*$B$5*C$10*C$10*'S7055 Lift and Drag Function'!$C107*'Lift @ Cruising Speed vs. AoA'!$B$4</f>
        <v>0.94790500000000011</v>
      </c>
      <c r="D106" s="3">
        <f>(0.5)*$B$5*D$10*D$10*'S7055 Lift and Drag Function'!$C107*'Lift @ Cruising Speed vs. AoA'!$B$4</f>
        <v>1.4811015625000004</v>
      </c>
      <c r="E106" s="3">
        <f>(0.5)*$B$5*E$10*E$10*'S7055 Lift and Drag Function'!$C107*'Lift @ Cruising Speed vs. AoA'!$B$4</f>
        <v>2.1327862500000001</v>
      </c>
      <c r="F106" s="3">
        <f>(0.5)*$B$5*F$10*F$10*'S7055 Lift and Drag Function'!$C107*'Lift @ Cruising Speed vs. AoA'!$B$4</f>
        <v>2.9029590625000004</v>
      </c>
      <c r="G106" s="3">
        <f>(0.5)*$B$5*G$10*G$10*'S7055 Lift and Drag Function'!$C107*'Lift @ Cruising Speed vs. AoA'!$B$4</f>
        <v>3.7916200000000004</v>
      </c>
      <c r="H106" s="3">
        <f>(0.5)*$B$5*H$10*H$10*'S7055 Lift and Drag Function'!$C107*'Lift @ Cruising Speed vs. AoA'!$B$4</f>
        <v>5.9244062500000014</v>
      </c>
      <c r="I106" s="3">
        <f>(0.5)*$B$5*I$10*I$10*'S7055 Lift and Drag Function'!$C107*'Lift @ Cruising Speed vs. AoA'!$B$4</f>
        <v>8.5311450000000004</v>
      </c>
    </row>
    <row r="107" spans="1:9" x14ac:dyDescent="0.35">
      <c r="A107" s="1">
        <v>15.5</v>
      </c>
      <c r="B107" s="3">
        <f>(0.5)*$B$5*B$10*B$10*'S7055 Lift and Drag Function'!$C108*'Lift @ Cruising Speed vs. AoA'!$B$4</f>
        <v>0.250910625</v>
      </c>
      <c r="C107" s="3">
        <f>(0.5)*$B$5*C$10*C$10*'S7055 Lift and Drag Function'!$C108*'Lift @ Cruising Speed vs. AoA'!$B$4</f>
        <v>1.0036425</v>
      </c>
      <c r="D107" s="3">
        <f>(0.5)*$B$5*D$10*D$10*'S7055 Lift and Drag Function'!$C108*'Lift @ Cruising Speed vs. AoA'!$B$4</f>
        <v>1.5681914062500004</v>
      </c>
      <c r="E107" s="3">
        <f>(0.5)*$B$5*E$10*E$10*'S7055 Lift and Drag Function'!$C108*'Lift @ Cruising Speed vs. AoA'!$B$4</f>
        <v>2.2581956250000004</v>
      </c>
      <c r="F107" s="3">
        <f>(0.5)*$B$5*F$10*F$10*'S7055 Lift and Drag Function'!$C108*'Lift @ Cruising Speed vs. AoA'!$B$4</f>
        <v>3.0736551562500001</v>
      </c>
      <c r="G107" s="3">
        <f>(0.5)*$B$5*G$10*G$10*'S7055 Lift and Drag Function'!$C108*'Lift @ Cruising Speed vs. AoA'!$B$4</f>
        <v>4.01457</v>
      </c>
      <c r="H107" s="3">
        <f>(0.5)*$B$5*H$10*H$10*'S7055 Lift and Drag Function'!$C108*'Lift @ Cruising Speed vs. AoA'!$B$4</f>
        <v>6.2727656250000017</v>
      </c>
      <c r="I107" s="3">
        <f>(0.5)*$B$5*I$10*I$10*'S7055 Lift and Drag Function'!$C108*'Lift @ Cruising Speed vs. AoA'!$B$4</f>
        <v>9.0327825000000015</v>
      </c>
    </row>
    <row r="108" spans="1:9" x14ac:dyDescent="0.35">
      <c r="A108" s="1">
        <v>15.75</v>
      </c>
      <c r="B108" s="3">
        <f>(0.5)*$B$5*B$10*B$10*'S7055 Lift and Drag Function'!$C109*'Lift @ Cruising Speed vs. AoA'!$B$4</f>
        <v>0.26631500000000002</v>
      </c>
      <c r="C108" s="3">
        <f>(0.5)*$B$5*C$10*C$10*'S7055 Lift and Drag Function'!$C109*'Lift @ Cruising Speed vs. AoA'!$B$4</f>
        <v>1.0652600000000001</v>
      </c>
      <c r="D108" s="3">
        <f>(0.5)*$B$5*D$10*D$10*'S7055 Lift and Drag Function'!$C109*'Lift @ Cruising Speed vs. AoA'!$B$4</f>
        <v>1.6644687500000004</v>
      </c>
      <c r="E108" s="3">
        <f>(0.5)*$B$5*E$10*E$10*'S7055 Lift and Drag Function'!$C109*'Lift @ Cruising Speed vs. AoA'!$B$4</f>
        <v>2.3968349999999998</v>
      </c>
      <c r="F108" s="3">
        <f>(0.5)*$B$5*F$10*F$10*'S7055 Lift and Drag Function'!$C109*'Lift @ Cruising Speed vs. AoA'!$B$4</f>
        <v>3.2623587500000002</v>
      </c>
      <c r="G108" s="3">
        <f>(0.5)*$B$5*G$10*G$10*'S7055 Lift and Drag Function'!$C109*'Lift @ Cruising Speed vs. AoA'!$B$4</f>
        <v>4.2610400000000004</v>
      </c>
      <c r="H108" s="3">
        <f>(0.5)*$B$5*H$10*H$10*'S7055 Lift and Drag Function'!$C109*'Lift @ Cruising Speed vs. AoA'!$B$4</f>
        <v>6.6578750000000015</v>
      </c>
      <c r="I108" s="3">
        <f>(0.5)*$B$5*I$10*I$10*'S7055 Lift and Drag Function'!$C109*'Lift @ Cruising Speed vs. AoA'!$B$4</f>
        <v>9.5873399999999993</v>
      </c>
    </row>
    <row r="109" spans="1:9" x14ac:dyDescent="0.35">
      <c r="A109" s="1">
        <v>16</v>
      </c>
      <c r="B109" s="3">
        <f>(0.5)*$B$5*B$10*B$10*'S7055 Lift and Drag Function'!$C110*'Lift @ Cruising Speed vs. AoA'!$B$4</f>
        <v>0.28539437500000003</v>
      </c>
      <c r="C109" s="3">
        <f>(0.5)*$B$5*C$10*C$10*'S7055 Lift and Drag Function'!$C110*'Lift @ Cruising Speed vs. AoA'!$B$4</f>
        <v>1.1415775000000001</v>
      </c>
      <c r="D109" s="3">
        <f>(0.5)*$B$5*D$10*D$10*'S7055 Lift and Drag Function'!$C110*'Lift @ Cruising Speed vs. AoA'!$B$4</f>
        <v>1.7837148437500003</v>
      </c>
      <c r="E109" s="3">
        <f>(0.5)*$B$5*E$10*E$10*'S7055 Lift and Drag Function'!$C110*'Lift @ Cruising Speed vs. AoA'!$B$4</f>
        <v>2.5685493749999999</v>
      </c>
      <c r="F109" s="3">
        <f>(0.5)*$B$5*F$10*F$10*'S7055 Lift and Drag Function'!$C110*'Lift @ Cruising Speed vs. AoA'!$B$4</f>
        <v>3.49608109375</v>
      </c>
      <c r="G109" s="3">
        <f>(0.5)*$B$5*G$10*G$10*'S7055 Lift and Drag Function'!$C110*'Lift @ Cruising Speed vs. AoA'!$B$4</f>
        <v>4.5663100000000005</v>
      </c>
      <c r="H109" s="3">
        <f>(0.5)*$B$5*H$10*H$10*'S7055 Lift and Drag Function'!$C110*'Lift @ Cruising Speed vs. AoA'!$B$4</f>
        <v>7.1348593750000013</v>
      </c>
      <c r="I109" s="3">
        <f>(0.5)*$B$5*I$10*I$10*'S7055 Lift and Drag Function'!$C110*'Lift @ Cruising Speed vs. AoA'!$B$4</f>
        <v>10.2741975</v>
      </c>
    </row>
    <row r="110" spans="1:9" x14ac:dyDescent="0.35">
      <c r="A110" s="1">
        <v>16.25</v>
      </c>
      <c r="B110" s="3">
        <f>(0.5)*$B$5*B$10*B$10*'S7055 Lift and Drag Function'!$C111*'Lift @ Cruising Speed vs. AoA'!$B$4</f>
        <v>0.304014375</v>
      </c>
      <c r="C110" s="3">
        <f>(0.5)*$B$5*C$10*C$10*'S7055 Lift and Drag Function'!$C111*'Lift @ Cruising Speed vs. AoA'!$B$4</f>
        <v>1.2160575</v>
      </c>
      <c r="D110" s="3">
        <f>(0.5)*$B$5*D$10*D$10*'S7055 Lift and Drag Function'!$C111*'Lift @ Cruising Speed vs. AoA'!$B$4</f>
        <v>1.9000898437500002</v>
      </c>
      <c r="E110" s="3">
        <f>(0.5)*$B$5*E$10*E$10*'S7055 Lift and Drag Function'!$C111*'Lift @ Cruising Speed vs. AoA'!$B$4</f>
        <v>2.736129375</v>
      </c>
      <c r="F110" s="3">
        <f>(0.5)*$B$5*F$10*F$10*'S7055 Lift and Drag Function'!$C111*'Lift @ Cruising Speed vs. AoA'!$B$4</f>
        <v>3.7241760937499997</v>
      </c>
      <c r="G110" s="3">
        <f>(0.5)*$B$5*G$10*G$10*'S7055 Lift and Drag Function'!$C111*'Lift @ Cruising Speed vs. AoA'!$B$4</f>
        <v>4.8642300000000001</v>
      </c>
      <c r="H110" s="3">
        <f>(0.5)*$B$5*H$10*H$10*'S7055 Lift and Drag Function'!$C111*'Lift @ Cruising Speed vs. AoA'!$B$4</f>
        <v>7.6003593750000009</v>
      </c>
      <c r="I110" s="3">
        <f>(0.5)*$B$5*I$10*I$10*'S7055 Lift and Drag Function'!$C111*'Lift @ Cruising Speed vs. AoA'!$B$4</f>
        <v>10.9445175</v>
      </c>
    </row>
    <row r="111" spans="1:9" x14ac:dyDescent="0.35">
      <c r="A111" s="1">
        <v>16.5</v>
      </c>
      <c r="B111" s="3">
        <f>(0.5)*$B$5*B$10*B$10*'S7055 Lift and Drag Function'!$C112*'Lift @ Cruising Speed vs. AoA'!$B$4</f>
        <v>0.31911250000000002</v>
      </c>
      <c r="C111" s="3">
        <f>(0.5)*$B$5*C$10*C$10*'S7055 Lift and Drag Function'!$C112*'Lift @ Cruising Speed vs. AoA'!$B$4</f>
        <v>1.2764500000000001</v>
      </c>
      <c r="D111" s="3">
        <f>(0.5)*$B$5*D$10*D$10*'S7055 Lift and Drag Function'!$C112*'Lift @ Cruising Speed vs. AoA'!$B$4</f>
        <v>1.9944531250000006</v>
      </c>
      <c r="E111" s="3">
        <f>(0.5)*$B$5*E$10*E$10*'S7055 Lift and Drag Function'!$C112*'Lift @ Cruising Speed vs. AoA'!$B$4</f>
        <v>2.8720125000000003</v>
      </c>
      <c r="F111" s="3">
        <f>(0.5)*$B$5*F$10*F$10*'S7055 Lift and Drag Function'!$C112*'Lift @ Cruising Speed vs. AoA'!$B$4</f>
        <v>3.9091281250000005</v>
      </c>
      <c r="G111" s="3">
        <f>(0.5)*$B$5*G$10*G$10*'S7055 Lift and Drag Function'!$C112*'Lift @ Cruising Speed vs. AoA'!$B$4</f>
        <v>5.1058000000000003</v>
      </c>
      <c r="H111" s="3">
        <f>(0.5)*$B$5*H$10*H$10*'S7055 Lift and Drag Function'!$C112*'Lift @ Cruising Speed vs. AoA'!$B$4</f>
        <v>7.9778125000000024</v>
      </c>
      <c r="I111" s="3">
        <f>(0.5)*$B$5*I$10*I$10*'S7055 Lift and Drag Function'!$C112*'Lift @ Cruising Speed vs. AoA'!$B$4</f>
        <v>11.488050000000001</v>
      </c>
    </row>
    <row r="112" spans="1:9" x14ac:dyDescent="0.35">
      <c r="A112" s="1">
        <v>16.75</v>
      </c>
      <c r="B112" s="3">
        <f>(0.5)*$B$5*B$10*B$10*'S7055 Lift and Drag Function'!$C113*'Lift @ Cruising Speed vs. AoA'!$B$4</f>
        <v>0.34349000000000002</v>
      </c>
      <c r="C112" s="3">
        <f>(0.5)*$B$5*C$10*C$10*'S7055 Lift and Drag Function'!$C113*'Lift @ Cruising Speed vs. AoA'!$B$4</f>
        <v>1.3739600000000001</v>
      </c>
      <c r="D112" s="3">
        <f>(0.5)*$B$5*D$10*D$10*'S7055 Lift and Drag Function'!$C113*'Lift @ Cruising Speed vs. AoA'!$B$4</f>
        <v>2.1468125000000007</v>
      </c>
      <c r="E112" s="3">
        <f>(0.5)*$B$5*E$10*E$10*'S7055 Lift and Drag Function'!$C113*'Lift @ Cruising Speed vs. AoA'!$B$4</f>
        <v>3.0914099999999998</v>
      </c>
      <c r="F112" s="3">
        <f>(0.5)*$B$5*F$10*F$10*'S7055 Lift and Drag Function'!$C113*'Lift @ Cruising Speed vs. AoA'!$B$4</f>
        <v>4.2077525000000007</v>
      </c>
      <c r="G112" s="3">
        <f>(0.5)*$B$5*G$10*G$10*'S7055 Lift and Drag Function'!$C113*'Lift @ Cruising Speed vs. AoA'!$B$4</f>
        <v>5.4958400000000003</v>
      </c>
      <c r="H112" s="3">
        <f>(0.5)*$B$5*H$10*H$10*'S7055 Lift and Drag Function'!$C113*'Lift @ Cruising Speed vs. AoA'!$B$4</f>
        <v>8.5872500000000027</v>
      </c>
      <c r="I112" s="3">
        <f>(0.5)*$B$5*I$10*I$10*'S7055 Lift and Drag Function'!$C113*'Lift @ Cruising Speed vs. AoA'!$B$4</f>
        <v>12.365639999999999</v>
      </c>
    </row>
    <row r="113" spans="1:9" x14ac:dyDescent="0.35">
      <c r="A113" s="1">
        <v>17</v>
      </c>
      <c r="B113" s="3">
        <f>(0.5)*$B$5*B$10*B$10*'S7055 Lift and Drag Function'!$C114*'Lift @ Cruising Speed vs. AoA'!$B$4</f>
        <v>0.36036437500000001</v>
      </c>
      <c r="C113" s="3">
        <f>(0.5)*$B$5*C$10*C$10*'S7055 Lift and Drag Function'!$C114*'Lift @ Cruising Speed vs. AoA'!$B$4</f>
        <v>1.4414575000000001</v>
      </c>
      <c r="D113" s="3">
        <f>(0.5)*$B$5*D$10*D$10*'S7055 Lift and Drag Function'!$C114*'Lift @ Cruising Speed vs. AoA'!$B$4</f>
        <v>2.2522773437500003</v>
      </c>
      <c r="E113" s="3">
        <f>(0.5)*$B$5*E$10*E$10*'S7055 Lift and Drag Function'!$C114*'Lift @ Cruising Speed vs. AoA'!$B$4</f>
        <v>3.2432793750000002</v>
      </c>
      <c r="F113" s="3">
        <f>(0.5)*$B$5*F$10*F$10*'S7055 Lift and Drag Function'!$C114*'Lift @ Cruising Speed vs. AoA'!$B$4</f>
        <v>4.4144635937499999</v>
      </c>
      <c r="G113" s="3">
        <f>(0.5)*$B$5*G$10*G$10*'S7055 Lift and Drag Function'!$C114*'Lift @ Cruising Speed vs. AoA'!$B$4</f>
        <v>5.7658300000000002</v>
      </c>
      <c r="H113" s="3">
        <f>(0.5)*$B$5*H$10*H$10*'S7055 Lift and Drag Function'!$C114*'Lift @ Cruising Speed vs. AoA'!$B$4</f>
        <v>9.0091093750000013</v>
      </c>
      <c r="I113" s="3">
        <f>(0.5)*$B$5*I$10*I$10*'S7055 Lift and Drag Function'!$C114*'Lift @ Cruising Speed vs. AoA'!$B$4</f>
        <v>12.973117500000001</v>
      </c>
    </row>
    <row r="114" spans="1:9" x14ac:dyDescent="0.35">
      <c r="A114" s="1">
        <v>17.25</v>
      </c>
      <c r="B114" s="3">
        <f>(0.5)*$B$5*B$10*B$10*'S7055 Lift and Drag Function'!$C115*'Lift @ Cruising Speed vs. AoA'!$B$4</f>
        <v>0.38428250000000008</v>
      </c>
      <c r="C114" s="3">
        <f>(0.5)*$B$5*C$10*C$10*'S7055 Lift and Drag Function'!$C115*'Lift @ Cruising Speed vs. AoA'!$B$4</f>
        <v>1.5371300000000003</v>
      </c>
      <c r="D114" s="3">
        <f>(0.5)*$B$5*D$10*D$10*'S7055 Lift and Drag Function'!$C115*'Lift @ Cruising Speed vs. AoA'!$B$4</f>
        <v>2.4017656250000008</v>
      </c>
      <c r="E114" s="3">
        <f>(0.5)*$B$5*E$10*E$10*'S7055 Lift and Drag Function'!$C115*'Lift @ Cruising Speed vs. AoA'!$B$4</f>
        <v>3.4585425000000001</v>
      </c>
      <c r="F114" s="3">
        <f>(0.5)*$B$5*F$10*F$10*'S7055 Lift and Drag Function'!$C115*'Lift @ Cruising Speed vs. AoA'!$B$4</f>
        <v>4.7074606250000004</v>
      </c>
      <c r="G114" s="3">
        <f>(0.5)*$B$5*G$10*G$10*'S7055 Lift and Drag Function'!$C115*'Lift @ Cruising Speed vs. AoA'!$B$4</f>
        <v>6.1485200000000013</v>
      </c>
      <c r="H114" s="3">
        <f>(0.5)*$B$5*H$10*H$10*'S7055 Lift and Drag Function'!$C115*'Lift @ Cruising Speed vs. AoA'!$B$4</f>
        <v>9.6070625000000032</v>
      </c>
      <c r="I114" s="3">
        <f>(0.5)*$B$5*I$10*I$10*'S7055 Lift and Drag Function'!$C115*'Lift @ Cruising Speed vs. AoA'!$B$4</f>
        <v>13.83417</v>
      </c>
    </row>
    <row r="115" spans="1:9" x14ac:dyDescent="0.35">
      <c r="A115" s="1">
        <v>17.5</v>
      </c>
      <c r="B115" s="3">
        <f>(0.5)*$B$5*B$10*B$10*'S7055 Lift and Drag Function'!$C116*'Lift @ Cruising Speed vs. AoA'!$B$4</f>
        <v>0.40544437500000002</v>
      </c>
      <c r="C115" s="3">
        <f>(0.5)*$B$5*C$10*C$10*'S7055 Lift and Drag Function'!$C116*'Lift @ Cruising Speed vs. AoA'!$B$4</f>
        <v>1.6217775000000001</v>
      </c>
      <c r="D115" s="3">
        <f>(0.5)*$B$5*D$10*D$10*'S7055 Lift and Drag Function'!$C116*'Lift @ Cruising Speed vs. AoA'!$B$4</f>
        <v>2.5340273437500009</v>
      </c>
      <c r="E115" s="3">
        <f>(0.5)*$B$5*E$10*E$10*'S7055 Lift and Drag Function'!$C116*'Lift @ Cruising Speed vs. AoA'!$B$4</f>
        <v>3.6489993750000007</v>
      </c>
      <c r="F115" s="3">
        <f>(0.5)*$B$5*F$10*F$10*'S7055 Lift and Drag Function'!$C116*'Lift @ Cruising Speed vs. AoA'!$B$4</f>
        <v>4.9666935937500005</v>
      </c>
      <c r="G115" s="3">
        <f>(0.5)*$B$5*G$10*G$10*'S7055 Lift and Drag Function'!$C116*'Lift @ Cruising Speed vs. AoA'!$B$4</f>
        <v>6.4871100000000004</v>
      </c>
      <c r="H115" s="3">
        <f>(0.5)*$B$5*H$10*H$10*'S7055 Lift and Drag Function'!$C116*'Lift @ Cruising Speed vs. AoA'!$B$4</f>
        <v>10.136109375000004</v>
      </c>
      <c r="I115" s="3">
        <f>(0.5)*$B$5*I$10*I$10*'S7055 Lift and Drag Function'!$C116*'Lift @ Cruising Speed vs. AoA'!$B$4</f>
        <v>14.595997500000003</v>
      </c>
    </row>
    <row r="116" spans="1:9" x14ac:dyDescent="0.35">
      <c r="A116" s="1">
        <v>17.75</v>
      </c>
      <c r="B116" s="3">
        <f>(0.5)*$B$5*B$10*B$10*'S7055 Lift and Drag Function'!$C117*'Lift @ Cruising Speed vs. AoA'!$B$4</f>
        <v>0.43165937500000001</v>
      </c>
      <c r="C116" s="3">
        <f>(0.5)*$B$5*C$10*C$10*'S7055 Lift and Drag Function'!$C117*'Lift @ Cruising Speed vs. AoA'!$B$4</f>
        <v>1.7266375</v>
      </c>
      <c r="D116" s="3">
        <f>(0.5)*$B$5*D$10*D$10*'S7055 Lift and Drag Function'!$C117*'Lift @ Cruising Speed vs. AoA'!$B$4</f>
        <v>2.6978710937500003</v>
      </c>
      <c r="E116" s="3">
        <f>(0.5)*$B$5*E$10*E$10*'S7055 Lift and Drag Function'!$C117*'Lift @ Cruising Speed vs. AoA'!$B$4</f>
        <v>3.8849343749999998</v>
      </c>
      <c r="F116" s="3">
        <f>(0.5)*$B$5*F$10*F$10*'S7055 Lift and Drag Function'!$C117*'Lift @ Cruising Speed vs. AoA'!$B$4</f>
        <v>5.2878273437500001</v>
      </c>
      <c r="G116" s="3">
        <f>(0.5)*$B$5*G$10*G$10*'S7055 Lift and Drag Function'!$C117*'Lift @ Cruising Speed vs. AoA'!$B$4</f>
        <v>6.9065500000000002</v>
      </c>
      <c r="H116" s="3">
        <f>(0.5)*$B$5*H$10*H$10*'S7055 Lift and Drag Function'!$C117*'Lift @ Cruising Speed vs. AoA'!$B$4</f>
        <v>10.791484375000001</v>
      </c>
      <c r="I116" s="3">
        <f>(0.5)*$B$5*I$10*I$10*'S7055 Lift and Drag Function'!$C117*'Lift @ Cruising Speed vs. AoA'!$B$4</f>
        <v>15.539737499999999</v>
      </c>
    </row>
  </sheetData>
  <conditionalFormatting sqref="B11:I1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4443-BB66-4DA7-AC46-CB920E1F3926}">
  <dimension ref="A1:J28"/>
  <sheetViews>
    <sheetView topLeftCell="A7" workbookViewId="0">
      <selection activeCell="C18" sqref="C18"/>
    </sheetView>
  </sheetViews>
  <sheetFormatPr defaultRowHeight="14.5" x14ac:dyDescent="0.35"/>
  <cols>
    <col min="1" max="1" width="21.453125" bestFit="1" customWidth="1"/>
    <col min="2" max="3" width="10.81640625" bestFit="1" customWidth="1"/>
  </cols>
  <sheetData>
    <row r="1" spans="1:10" x14ac:dyDescent="0.35">
      <c r="A1" t="s">
        <v>69</v>
      </c>
      <c r="B1">
        <v>10</v>
      </c>
    </row>
    <row r="2" spans="1:10" x14ac:dyDescent="0.35">
      <c r="A2" t="s">
        <v>70</v>
      </c>
      <c r="B2">
        <v>7</v>
      </c>
    </row>
    <row r="3" spans="1:10" x14ac:dyDescent="0.35">
      <c r="A3" t="s">
        <v>73</v>
      </c>
      <c r="B3">
        <v>1000</v>
      </c>
    </row>
    <row r="4" spans="1:10" x14ac:dyDescent="0.35">
      <c r="A4" t="s">
        <v>75</v>
      </c>
      <c r="B4">
        <v>3</v>
      </c>
    </row>
    <row r="5" spans="1:10" x14ac:dyDescent="0.35">
      <c r="A5" t="s">
        <v>74</v>
      </c>
      <c r="B5">
        <v>3.7</v>
      </c>
    </row>
    <row r="7" spans="1:10" x14ac:dyDescent="0.35">
      <c r="A7" s="3"/>
      <c r="B7" s="3"/>
      <c r="C7" s="3" t="s">
        <v>71</v>
      </c>
      <c r="D7" s="3"/>
      <c r="E7" s="3"/>
      <c r="F7" s="3"/>
      <c r="G7" s="3"/>
      <c r="H7" s="3"/>
      <c r="I7" s="3"/>
      <c r="J7" s="3"/>
    </row>
    <row r="8" spans="1:10" ht="15" customHeight="1" x14ac:dyDescent="0.35">
      <c r="A8" s="3" t="s">
        <v>76</v>
      </c>
      <c r="B8" s="3" t="s">
        <v>72</v>
      </c>
      <c r="C8" s="1">
        <v>5</v>
      </c>
      <c r="D8" s="1">
        <v>10</v>
      </c>
      <c r="E8" s="1">
        <v>12.5</v>
      </c>
      <c r="F8" s="1">
        <v>15</v>
      </c>
      <c r="G8" s="1">
        <v>17.5</v>
      </c>
      <c r="H8" s="1">
        <v>20</v>
      </c>
      <c r="I8" s="1">
        <v>25</v>
      </c>
      <c r="J8" s="1">
        <v>30</v>
      </c>
    </row>
    <row r="9" spans="1:10" x14ac:dyDescent="0.35">
      <c r="A9" s="8">
        <v>0.05</v>
      </c>
      <c r="B9" s="1">
        <f>$B$3*$B$4*$B$5*A9</f>
        <v>555</v>
      </c>
      <c r="C9" s="3">
        <f t="shared" ref="C9:J28" si="0">(0.00000004392399)*$B9*(POWER($B$1,3.5)/SQRT($B$2))*((0.000423333)*$B9*$B$2-C$8)</f>
        <v>-9.7765076243601118E-2</v>
      </c>
      <c r="D9" s="3">
        <f t="shared" si="0"/>
        <v>-0.24345038256202808</v>
      </c>
      <c r="E9" s="3">
        <f t="shared" si="0"/>
        <v>-0.31629303572124157</v>
      </c>
      <c r="F9" s="3">
        <f t="shared" si="0"/>
        <v>-0.38913568888045502</v>
      </c>
      <c r="G9" s="3">
        <f t="shared" si="0"/>
        <v>-0.46197834203966853</v>
      </c>
      <c r="H9" s="3">
        <f t="shared" si="0"/>
        <v>-0.53482099519888193</v>
      </c>
      <c r="I9" s="3">
        <f t="shared" si="0"/>
        <v>-0.68050630151730895</v>
      </c>
      <c r="J9" s="3">
        <f t="shared" si="0"/>
        <v>-0.82619160783573586</v>
      </c>
    </row>
    <row r="10" spans="1:10" x14ac:dyDescent="0.35">
      <c r="A10" s="8">
        <v>0.1</v>
      </c>
      <c r="B10" s="1">
        <f t="shared" ref="B10:B28" si="1">$B$3*$B$4*$B$5*A10</f>
        <v>1110</v>
      </c>
      <c r="C10" s="3">
        <f t="shared" si="0"/>
        <v>-9.9689692337550539E-2</v>
      </c>
      <c r="D10" s="3">
        <f t="shared" si="0"/>
        <v>-0.39106030497440447</v>
      </c>
      <c r="E10" s="3">
        <f t="shared" si="0"/>
        <v>-0.53674561129283149</v>
      </c>
      <c r="F10" s="3">
        <f t="shared" si="0"/>
        <v>-0.6824309176112584</v>
      </c>
      <c r="G10" s="3">
        <f t="shared" si="0"/>
        <v>-0.82811622392968531</v>
      </c>
      <c r="H10" s="3">
        <f t="shared" si="0"/>
        <v>-0.97380153024811233</v>
      </c>
      <c r="I10" s="3">
        <f t="shared" si="0"/>
        <v>-1.2651721428849663</v>
      </c>
      <c r="J10" s="3">
        <f t="shared" si="0"/>
        <v>-1.5565427555218201</v>
      </c>
    </row>
    <row r="11" spans="1:10" x14ac:dyDescent="0.35">
      <c r="A11" s="8">
        <v>0.15</v>
      </c>
      <c r="B11" s="1">
        <f t="shared" si="1"/>
        <v>1665</v>
      </c>
      <c r="C11" s="3">
        <f t="shared" si="0"/>
        <v>-5.7738482818482581E-3</v>
      </c>
      <c r="D11" s="3">
        <f t="shared" si="0"/>
        <v>-0.44282976723712919</v>
      </c>
      <c r="E11" s="3">
        <f t="shared" si="0"/>
        <v>-0.66135772671476967</v>
      </c>
      <c r="F11" s="3">
        <f t="shared" si="0"/>
        <v>-0.87988568619241003</v>
      </c>
      <c r="G11" s="3">
        <f t="shared" si="0"/>
        <v>-1.0984136456700504</v>
      </c>
      <c r="H11" s="3">
        <f t="shared" si="0"/>
        <v>-1.316941605147691</v>
      </c>
      <c r="I11" s="3">
        <f t="shared" si="0"/>
        <v>-1.7539975241029717</v>
      </c>
      <c r="J11" s="3">
        <f t="shared" si="0"/>
        <v>-2.1910534430582529</v>
      </c>
    </row>
    <row r="12" spans="1:10" x14ac:dyDescent="0.35">
      <c r="A12" s="1">
        <v>0.2</v>
      </c>
      <c r="B12" s="1">
        <f t="shared" si="1"/>
        <v>2220</v>
      </c>
      <c r="C12" s="3">
        <f t="shared" si="0"/>
        <v>0.18398245592350568</v>
      </c>
      <c r="D12" s="3">
        <f t="shared" si="0"/>
        <v>-0.39875876935020216</v>
      </c>
      <c r="E12" s="3">
        <f t="shared" si="0"/>
        <v>-0.69012938198705609</v>
      </c>
      <c r="F12" s="3">
        <f t="shared" si="0"/>
        <v>-0.98149999462391013</v>
      </c>
      <c r="G12" s="3">
        <f t="shared" si="0"/>
        <v>-1.2728706072607641</v>
      </c>
      <c r="H12" s="3">
        <f t="shared" si="0"/>
        <v>-1.5642412198976179</v>
      </c>
      <c r="I12" s="3">
        <f t="shared" si="0"/>
        <v>-2.146982445171326</v>
      </c>
      <c r="J12" s="3">
        <f t="shared" si="0"/>
        <v>-2.7297236704450336</v>
      </c>
    </row>
    <row r="13" spans="1:10" x14ac:dyDescent="0.35">
      <c r="A13" s="8">
        <v>0.25</v>
      </c>
      <c r="B13" s="1">
        <f t="shared" si="1"/>
        <v>2775</v>
      </c>
      <c r="C13" s="3">
        <f t="shared" si="0"/>
        <v>0.46957922027851146</v>
      </c>
      <c r="D13" s="3">
        <f t="shared" si="0"/>
        <v>-0.25884731131362337</v>
      </c>
      <c r="E13" s="3">
        <f t="shared" si="0"/>
        <v>-0.62306057710969076</v>
      </c>
      <c r="F13" s="3">
        <f t="shared" si="0"/>
        <v>-0.98727384290575826</v>
      </c>
      <c r="G13" s="3">
        <f t="shared" si="0"/>
        <v>-1.3514871087018256</v>
      </c>
      <c r="H13" s="3">
        <f t="shared" si="0"/>
        <v>-1.7157003744978931</v>
      </c>
      <c r="I13" s="3">
        <f t="shared" si="0"/>
        <v>-2.4441269060900277</v>
      </c>
      <c r="J13" s="3">
        <f t="shared" si="0"/>
        <v>-3.1725534376821627</v>
      </c>
    </row>
    <row r="14" spans="1:10" x14ac:dyDescent="0.35">
      <c r="A14" s="8">
        <v>0.3</v>
      </c>
      <c r="B14" s="1">
        <f t="shared" si="1"/>
        <v>3330</v>
      </c>
      <c r="C14" s="3">
        <f t="shared" si="0"/>
        <v>0.85101644478316874</v>
      </c>
      <c r="D14" s="3">
        <f t="shared" si="0"/>
        <v>-2.3095393127393032E-2</v>
      </c>
      <c r="E14" s="3">
        <f t="shared" si="0"/>
        <v>-0.46015131208267396</v>
      </c>
      <c r="F14" s="3">
        <f t="shared" si="0"/>
        <v>-0.89720723103795486</v>
      </c>
      <c r="G14" s="3">
        <f t="shared" si="0"/>
        <v>-1.3342631499932358</v>
      </c>
      <c r="H14" s="3">
        <f t="shared" si="0"/>
        <v>-1.7713190689485168</v>
      </c>
      <c r="I14" s="3">
        <f t="shared" si="0"/>
        <v>-2.6454309068590787</v>
      </c>
      <c r="J14" s="3">
        <f t="shared" si="0"/>
        <v>-3.5195427447696401</v>
      </c>
    </row>
    <row r="15" spans="1:10" x14ac:dyDescent="0.35">
      <c r="A15" s="8">
        <v>0.35</v>
      </c>
      <c r="B15" s="1">
        <f t="shared" si="1"/>
        <v>3884.9999999999995</v>
      </c>
      <c r="C15" s="3">
        <f t="shared" si="0"/>
        <v>1.328294129437477</v>
      </c>
      <c r="D15" s="3">
        <f t="shared" si="0"/>
        <v>0.30849698520848856</v>
      </c>
      <c r="E15" s="3">
        <f t="shared" si="0"/>
        <v>-0.20140158690600568</v>
      </c>
      <c r="F15" s="3">
        <f t="shared" si="0"/>
        <v>-0.71130015902049992</v>
      </c>
      <c r="G15" s="3">
        <f t="shared" si="0"/>
        <v>-1.2211987311349943</v>
      </c>
      <c r="H15" s="3">
        <f t="shared" si="0"/>
        <v>-1.7310973032494885</v>
      </c>
      <c r="I15" s="3">
        <f t="shared" si="0"/>
        <v>-2.7508944474784771</v>
      </c>
      <c r="J15" s="3">
        <f t="shared" si="0"/>
        <v>-3.7706915917074659</v>
      </c>
    </row>
    <row r="16" spans="1:10" x14ac:dyDescent="0.35">
      <c r="A16" s="1">
        <v>0.4</v>
      </c>
      <c r="B16" s="1">
        <f t="shared" si="1"/>
        <v>4440</v>
      </c>
      <c r="C16" s="3">
        <f t="shared" si="0"/>
        <v>1.9014122742414383</v>
      </c>
      <c r="D16" s="3">
        <f t="shared" si="0"/>
        <v>0.73592982369402271</v>
      </c>
      <c r="E16" s="3">
        <f t="shared" si="0"/>
        <v>0.15318859842031488</v>
      </c>
      <c r="F16" s="3">
        <f t="shared" si="0"/>
        <v>-0.42955262685339296</v>
      </c>
      <c r="G16" s="3">
        <f t="shared" si="0"/>
        <v>-1.0122938521271008</v>
      </c>
      <c r="H16" s="3">
        <f t="shared" si="0"/>
        <v>-1.5950350774008086</v>
      </c>
      <c r="I16" s="3">
        <f t="shared" si="0"/>
        <v>-2.7605175279482244</v>
      </c>
      <c r="J16" s="3">
        <f t="shared" si="0"/>
        <v>-3.9259999784956405</v>
      </c>
    </row>
    <row r="17" spans="1:10" x14ac:dyDescent="0.35">
      <c r="A17" s="8">
        <v>0.45</v>
      </c>
      <c r="B17" s="1">
        <f t="shared" si="1"/>
        <v>4995</v>
      </c>
      <c r="C17" s="3">
        <f t="shared" si="0"/>
        <v>2.570370879195051</v>
      </c>
      <c r="D17" s="3">
        <f t="shared" si="0"/>
        <v>1.2592031223292084</v>
      </c>
      <c r="E17" s="3">
        <f t="shared" si="0"/>
        <v>0.60361924389628718</v>
      </c>
      <c r="F17" s="3">
        <f t="shared" si="0"/>
        <v>-5.196463453663408E-2</v>
      </c>
      <c r="G17" s="3">
        <f t="shared" si="0"/>
        <v>-0.70754851296955534</v>
      </c>
      <c r="H17" s="3">
        <f t="shared" si="0"/>
        <v>-1.3631323914024767</v>
      </c>
      <c r="I17" s="3">
        <f t="shared" si="0"/>
        <v>-2.6743001482683191</v>
      </c>
      <c r="J17" s="3">
        <f t="shared" si="0"/>
        <v>-3.9854679051341617</v>
      </c>
    </row>
    <row r="18" spans="1:10" x14ac:dyDescent="0.35">
      <c r="A18" s="8">
        <v>0.5</v>
      </c>
      <c r="B18" s="1">
        <f t="shared" si="1"/>
        <v>5550</v>
      </c>
      <c r="C18" s="3">
        <f t="shared" si="0"/>
        <v>3.3351699442983156</v>
      </c>
      <c r="D18" s="3">
        <f t="shared" si="0"/>
        <v>1.8783168811140458</v>
      </c>
      <c r="E18" s="3">
        <f t="shared" si="0"/>
        <v>1.1498903495219108</v>
      </c>
      <c r="F18" s="3">
        <f t="shared" si="0"/>
        <v>0.42146381792977611</v>
      </c>
      <c r="G18" s="3">
        <f t="shared" si="0"/>
        <v>-0.30696271366235872</v>
      </c>
      <c r="H18" s="3">
        <f t="shared" si="0"/>
        <v>-1.0353892452544935</v>
      </c>
      <c r="I18" s="3">
        <f t="shared" si="0"/>
        <v>-2.492242308438763</v>
      </c>
      <c r="J18" s="3">
        <f t="shared" si="0"/>
        <v>-3.949095371623033</v>
      </c>
    </row>
    <row r="19" spans="1:10" x14ac:dyDescent="0.35">
      <c r="A19" s="8">
        <v>0.55000000000000004</v>
      </c>
      <c r="B19" s="1">
        <f t="shared" si="1"/>
        <v>6105.0000000000009</v>
      </c>
      <c r="C19" s="3">
        <f t="shared" si="0"/>
        <v>4.1958094695512322</v>
      </c>
      <c r="D19" s="3">
        <f t="shared" si="0"/>
        <v>2.5932711000485353</v>
      </c>
      <c r="E19" s="3">
        <f t="shared" si="0"/>
        <v>1.7920019152971871</v>
      </c>
      <c r="F19" s="3">
        <f t="shared" si="0"/>
        <v>0.99073273054583866</v>
      </c>
      <c r="G19" s="3">
        <f t="shared" si="0"/>
        <v>0.18946354579449021</v>
      </c>
      <c r="H19" s="3">
        <f t="shared" si="0"/>
        <v>-0.61180563895685813</v>
      </c>
      <c r="I19" s="3">
        <f t="shared" si="0"/>
        <v>-2.2143440084595549</v>
      </c>
      <c r="J19" s="3">
        <f t="shared" si="0"/>
        <v>-3.8168823779622518</v>
      </c>
    </row>
    <row r="20" spans="1:10" x14ac:dyDescent="0.35">
      <c r="A20" s="1">
        <v>0.6</v>
      </c>
      <c r="B20" s="1">
        <f t="shared" si="1"/>
        <v>6660</v>
      </c>
      <c r="C20" s="3">
        <f t="shared" si="0"/>
        <v>5.1522894549537988</v>
      </c>
      <c r="D20" s="3">
        <f t="shared" si="0"/>
        <v>3.4040657791326749</v>
      </c>
      <c r="E20" s="3">
        <f t="shared" si="0"/>
        <v>2.5299539412221135</v>
      </c>
      <c r="F20" s="3">
        <f t="shared" si="0"/>
        <v>1.6558421033115516</v>
      </c>
      <c r="G20" s="3">
        <f t="shared" si="0"/>
        <v>0.78173026540098967</v>
      </c>
      <c r="H20" s="3">
        <f t="shared" si="0"/>
        <v>-9.238157250957213E-2</v>
      </c>
      <c r="I20" s="3">
        <f t="shared" si="0"/>
        <v>-1.8406052483306958</v>
      </c>
      <c r="J20" s="3">
        <f t="shared" si="0"/>
        <v>-3.5888289241518194</v>
      </c>
    </row>
    <row r="21" spans="1:10" x14ac:dyDescent="0.35">
      <c r="A21" s="8">
        <v>0.65</v>
      </c>
      <c r="B21" s="1">
        <f t="shared" si="1"/>
        <v>7215</v>
      </c>
      <c r="C21" s="3">
        <f t="shared" si="0"/>
        <v>6.2046099005060187</v>
      </c>
      <c r="D21" s="3">
        <f t="shared" si="0"/>
        <v>4.310700918366468</v>
      </c>
      <c r="E21" s="3">
        <f t="shared" si="0"/>
        <v>3.3637464272966926</v>
      </c>
      <c r="F21" s="3">
        <f t="shared" si="0"/>
        <v>2.4167919362269172</v>
      </c>
      <c r="G21" s="3">
        <f t="shared" si="0"/>
        <v>1.4698374451571421</v>
      </c>
      <c r="H21" s="3">
        <f t="shared" si="0"/>
        <v>0.52288295408736674</v>
      </c>
      <c r="I21" s="3">
        <f t="shared" si="0"/>
        <v>-1.3710260280521838</v>
      </c>
      <c r="J21" s="3">
        <f t="shared" si="0"/>
        <v>-3.264935010191734</v>
      </c>
    </row>
    <row r="22" spans="1:10" x14ac:dyDescent="0.35">
      <c r="A22" s="8">
        <v>0.7</v>
      </c>
      <c r="B22" s="1">
        <f t="shared" si="1"/>
        <v>7769.9999999999991</v>
      </c>
      <c r="C22" s="3">
        <f t="shared" si="0"/>
        <v>7.3527708062078858</v>
      </c>
      <c r="D22" s="3">
        <f t="shared" si="0"/>
        <v>5.3131765177499082</v>
      </c>
      <c r="E22" s="3">
        <f t="shared" si="0"/>
        <v>4.2933793735209198</v>
      </c>
      <c r="F22" s="3">
        <f t="shared" si="0"/>
        <v>3.2735822292919314</v>
      </c>
      <c r="G22" s="3">
        <f t="shared" si="0"/>
        <v>2.2537850850629431</v>
      </c>
      <c r="H22" s="3">
        <f t="shared" si="0"/>
        <v>1.2339879408339542</v>
      </c>
      <c r="I22" s="3">
        <f t="shared" si="0"/>
        <v>-0.80560634762402272</v>
      </c>
      <c r="J22" s="3">
        <f t="shared" si="0"/>
        <v>-2.8452006360819997</v>
      </c>
    </row>
    <row r="23" spans="1:10" x14ac:dyDescent="0.35">
      <c r="A23" s="8">
        <v>0.75</v>
      </c>
      <c r="B23" s="1">
        <f t="shared" si="1"/>
        <v>8325</v>
      </c>
      <c r="C23" s="3">
        <f t="shared" si="0"/>
        <v>8.5967721720594117</v>
      </c>
      <c r="D23" s="3">
        <f t="shared" si="0"/>
        <v>6.4114925772830071</v>
      </c>
      <c r="E23" s="3">
        <f t="shared" si="0"/>
        <v>5.3188527798948053</v>
      </c>
      <c r="F23" s="3">
        <f t="shared" si="0"/>
        <v>4.2262129825066026</v>
      </c>
      <c r="G23" s="3">
        <f t="shared" si="0"/>
        <v>3.1335731851184008</v>
      </c>
      <c r="H23" s="3">
        <f t="shared" si="0"/>
        <v>2.0409333877301985</v>
      </c>
      <c r="I23" s="3">
        <f t="shared" si="0"/>
        <v>-0.14434620704620607</v>
      </c>
      <c r="J23" s="3">
        <f t="shared" si="0"/>
        <v>-2.3296258018226106</v>
      </c>
    </row>
    <row r="24" spans="1:10" x14ac:dyDescent="0.35">
      <c r="A24" s="1">
        <v>0.8</v>
      </c>
      <c r="B24" s="1">
        <f t="shared" si="1"/>
        <v>8880</v>
      </c>
      <c r="C24" s="3">
        <f t="shared" si="0"/>
        <v>9.9366139980605848</v>
      </c>
      <c r="D24" s="3">
        <f t="shared" si="0"/>
        <v>7.6056490969657533</v>
      </c>
      <c r="E24" s="3">
        <f t="shared" si="0"/>
        <v>6.440166646418338</v>
      </c>
      <c r="F24" s="3">
        <f t="shared" si="0"/>
        <v>5.2746841958709219</v>
      </c>
      <c r="G24" s="3">
        <f t="shared" si="0"/>
        <v>4.1092017453235066</v>
      </c>
      <c r="H24" s="3">
        <f t="shared" si="0"/>
        <v>2.9437192947760908</v>
      </c>
      <c r="I24" s="3">
        <f t="shared" si="0"/>
        <v>0.6127543936812595</v>
      </c>
      <c r="J24" s="3">
        <f t="shared" si="0"/>
        <v>-1.7182105074135718</v>
      </c>
    </row>
    <row r="25" spans="1:10" x14ac:dyDescent="0.35">
      <c r="A25" s="8">
        <v>0.85</v>
      </c>
      <c r="B25" s="1">
        <f t="shared" si="1"/>
        <v>9435</v>
      </c>
      <c r="C25" s="3">
        <f t="shared" si="0"/>
        <v>11.372296284211412</v>
      </c>
      <c r="D25" s="3">
        <f t="shared" si="0"/>
        <v>8.8956460767981547</v>
      </c>
      <c r="E25" s="3">
        <f t="shared" si="0"/>
        <v>7.6573209730915242</v>
      </c>
      <c r="F25" s="3">
        <f t="shared" si="0"/>
        <v>6.4189958693848954</v>
      </c>
      <c r="G25" s="3">
        <f t="shared" si="0"/>
        <v>5.1806707656782658</v>
      </c>
      <c r="H25" s="3">
        <f t="shared" si="0"/>
        <v>3.942345661971637</v>
      </c>
      <c r="I25" s="3">
        <f t="shared" si="0"/>
        <v>1.4656954545583785</v>
      </c>
      <c r="J25" s="3">
        <f t="shared" si="0"/>
        <v>-1.0109547528548801</v>
      </c>
    </row>
    <row r="26" spans="1:10" x14ac:dyDescent="0.35">
      <c r="A26" s="8">
        <v>0.9</v>
      </c>
      <c r="B26" s="1">
        <f t="shared" si="1"/>
        <v>9990</v>
      </c>
      <c r="C26" s="3">
        <f t="shared" si="0"/>
        <v>12.903819030511888</v>
      </c>
      <c r="D26" s="3">
        <f t="shared" si="0"/>
        <v>10.281483516780204</v>
      </c>
      <c r="E26" s="3">
        <f t="shared" si="0"/>
        <v>8.9703157599143619</v>
      </c>
      <c r="F26" s="3">
        <f t="shared" si="0"/>
        <v>7.6591480030485188</v>
      </c>
      <c r="G26" s="3">
        <f t="shared" si="0"/>
        <v>6.3479802461826766</v>
      </c>
      <c r="H26" s="3">
        <f t="shared" si="0"/>
        <v>5.0368124893168336</v>
      </c>
      <c r="I26" s="3">
        <f t="shared" si="0"/>
        <v>2.4144769755851487</v>
      </c>
      <c r="J26" s="3">
        <f t="shared" si="0"/>
        <v>-0.20785853814653632</v>
      </c>
    </row>
    <row r="27" spans="1:10" x14ac:dyDescent="0.35">
      <c r="A27" s="8">
        <v>0.95</v>
      </c>
      <c r="B27" s="1">
        <f t="shared" si="1"/>
        <v>10545</v>
      </c>
      <c r="C27" s="3">
        <f t="shared" si="0"/>
        <v>14.531182236962016</v>
      </c>
      <c r="D27" s="3">
        <f t="shared" si="0"/>
        <v>11.763161416911904</v>
      </c>
      <c r="E27" s="3">
        <f t="shared" si="0"/>
        <v>10.379151006886849</v>
      </c>
      <c r="F27" s="3">
        <f t="shared" si="0"/>
        <v>8.9951405968617912</v>
      </c>
      <c r="G27" s="3">
        <f t="shared" si="0"/>
        <v>7.6111301868367356</v>
      </c>
      <c r="H27" s="3">
        <f t="shared" si="0"/>
        <v>6.2271197768116799</v>
      </c>
      <c r="I27" s="3">
        <f t="shared" si="0"/>
        <v>3.4590989567615673</v>
      </c>
      <c r="J27" s="3">
        <f t="shared" si="0"/>
        <v>0.69107813671145513</v>
      </c>
    </row>
    <row r="28" spans="1:10" x14ac:dyDescent="0.35">
      <c r="A28" s="1">
        <v>1</v>
      </c>
      <c r="B28" s="1">
        <f t="shared" si="1"/>
        <v>11100</v>
      </c>
      <c r="C28" s="3">
        <f t="shared" si="0"/>
        <v>16.254385903561801</v>
      </c>
      <c r="D28" s="3">
        <f t="shared" si="0"/>
        <v>13.340679777193262</v>
      </c>
      <c r="E28" s="3">
        <f t="shared" si="0"/>
        <v>11.883826714008991</v>
      </c>
      <c r="F28" s="3">
        <f t="shared" si="0"/>
        <v>10.426973650824722</v>
      </c>
      <c r="G28" s="3">
        <f t="shared" si="0"/>
        <v>8.9701205876404533</v>
      </c>
      <c r="H28" s="3">
        <f t="shared" si="0"/>
        <v>7.5132675244561833</v>
      </c>
      <c r="I28" s="3">
        <f t="shared" si="0"/>
        <v>4.5995613980876433</v>
      </c>
      <c r="J28" s="3">
        <f t="shared" si="0"/>
        <v>1.6858552717191044</v>
      </c>
    </row>
  </sheetData>
  <conditionalFormatting sqref="C9:J2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C0D6-C5FE-4C5D-8BA7-C20F33C1CED7}">
  <dimension ref="A1:I115"/>
  <sheetViews>
    <sheetView tabSelected="1" topLeftCell="A4" workbookViewId="0">
      <selection activeCell="D6" sqref="D6"/>
    </sheetView>
  </sheetViews>
  <sheetFormatPr defaultRowHeight="14.5" x14ac:dyDescent="0.35"/>
  <cols>
    <col min="1" max="1" width="17.453125" bestFit="1" customWidth="1"/>
  </cols>
  <sheetData>
    <row r="1" spans="1:9" x14ac:dyDescent="0.35">
      <c r="A1" t="s">
        <v>77</v>
      </c>
      <c r="B1">
        <v>1.1000000000000001</v>
      </c>
    </row>
    <row r="2" spans="1:9" x14ac:dyDescent="0.35">
      <c r="A2" t="s">
        <v>78</v>
      </c>
      <c r="B2">
        <v>0.3</v>
      </c>
    </row>
    <row r="5" spans="1:9" x14ac:dyDescent="0.35">
      <c r="A5" t="s">
        <v>80</v>
      </c>
      <c r="B5" t="s">
        <v>82</v>
      </c>
    </row>
    <row r="6" spans="1:9" x14ac:dyDescent="0.35">
      <c r="B6" t="s">
        <v>81</v>
      </c>
    </row>
    <row r="8" spans="1:9" x14ac:dyDescent="0.35">
      <c r="B8" t="s">
        <v>79</v>
      </c>
    </row>
    <row r="9" spans="1:9" x14ac:dyDescent="0.35">
      <c r="A9" t="s">
        <v>67</v>
      </c>
      <c r="B9" s="1">
        <v>5</v>
      </c>
      <c r="C9" s="1">
        <v>10</v>
      </c>
      <c r="D9" s="1">
        <v>12.5</v>
      </c>
      <c r="E9" s="1">
        <v>15</v>
      </c>
      <c r="F9" s="1">
        <v>17.5</v>
      </c>
      <c r="G9" s="1">
        <v>20</v>
      </c>
      <c r="H9" s="1">
        <v>25</v>
      </c>
      <c r="I9" s="1">
        <v>30</v>
      </c>
    </row>
    <row r="10" spans="1:9" x14ac:dyDescent="0.35">
      <c r="A10" s="1">
        <v>-8.5</v>
      </c>
      <c r="B10">
        <f>COS(RADIANS($A10))*('Lift @ Cruising Speed vs. AoA'!B11)+SIN(RADIANS($A10))*'Prop. Thrust vs Airspeed vs RPM'!$C$18-(9.81*($B$1+$B$2)) - SIN(RADIANS($A10))*'Drag @ Cruising Speed vs AoA'!B10</f>
        <v>-14.48229754290737</v>
      </c>
      <c r="C10">
        <f>COS(RADIANS($A10))*('Lift @ Cruising Speed vs. AoA'!C11)+SIN(RADIANS($A10))*'Prop. Thrust vs Airspeed vs RPM'!$C$18-(9.81*($B$1+$B$2)) - SIN(RADIANS($A10))*'Drag @ Cruising Speed vs AoA'!C10</f>
        <v>-16.726375766473843</v>
      </c>
      <c r="D10">
        <f>COS(RADIANS($A10))*('Lift @ Cruising Speed vs. AoA'!D11)+SIN(RADIANS($A10))*'Prop. Thrust vs Airspeed vs RPM'!$C$18-(9.81*($B$1+$B$2)) - SIN(RADIANS($A10))*'Drag @ Cruising Speed vs AoA'!D10</f>
        <v>-18.594196198060711</v>
      </c>
      <c r="E10">
        <f>COS(RADIANS($A10))*('Lift @ Cruising Speed vs. AoA'!E11)+SIN(RADIANS($A10))*'Prop. Thrust vs Airspeed vs RPM'!$C$18-(9.81*($B$1+$B$2)) - SIN(RADIANS($A10))*'Drag @ Cruising Speed vs AoA'!E10</f>
        <v>-20.959204176183334</v>
      </c>
      <c r="F10">
        <f>COS(RADIANS($A10))*('Lift @ Cruising Speed vs. AoA'!F11)+SIN(RADIANS($A10))*'Prop. Thrust vs Airspeed vs RPM'!$C$18-(9.81*($B$1+$B$2)) - SIN(RADIANS($A10))*'Drag @ Cruising Speed vs AoA'!F10</f>
        <v>-23.821399700841713</v>
      </c>
      <c r="G10">
        <f>COS(RADIANS($A10))*('Lift @ Cruising Speed vs. AoA'!G11)+SIN(RADIANS($A10))*'Prop. Thrust vs Airspeed vs RPM'!$C$18-(9.81*($B$1+$B$2)) - SIN(RADIANS($A10))*'Drag @ Cruising Speed vs AoA'!G10</f>
        <v>-27.180782772035847</v>
      </c>
      <c r="H10">
        <f>COS(RADIANS($A10))*('Lift @ Cruising Speed vs. AoA'!H11)+SIN(RADIANS($A10))*'Prop. Thrust vs Airspeed vs RPM'!$C$18-(9.81*($B$1+$B$2)) - SIN(RADIANS($A10))*'Drag @ Cruising Speed vs AoA'!H10</f>
        <v>-35.391111554031376</v>
      </c>
      <c r="I10">
        <f>COS(RADIANS($A10))*('Lift @ Cruising Speed vs. AoA'!I11)+SIN(RADIANS($A10))*'Prop. Thrust vs Airspeed vs RPM'!$C$18-(9.81*($B$1+$B$2)) - SIN(RADIANS($A10))*'Drag @ Cruising Speed vs AoA'!I10</f>
        <v>-45.59019052216992</v>
      </c>
    </row>
    <row r="11" spans="1:9" x14ac:dyDescent="0.35">
      <c r="A11" s="1">
        <v>-8.25</v>
      </c>
      <c r="B11">
        <f>COS(RADIANS($A11))*('Lift @ Cruising Speed vs. AoA'!B12)+SIN(RADIANS($A11))*'Prop. Thrust vs Airspeed vs RPM'!$C$18-(9.81*($B$1+$B$2)) - SIN(RADIANS($A11))*'Drag @ Cruising Speed vs AoA'!B11</f>
        <v>-15.172218068507798</v>
      </c>
      <c r="C11">
        <f>COS(RADIANS($A11))*('Lift @ Cruising Speed vs. AoA'!C12)+SIN(RADIANS($A11))*'Prop. Thrust vs Airspeed vs RPM'!$C$18-(9.81*($B$1+$B$2)) - SIN(RADIANS($A11))*'Drag @ Cruising Speed vs AoA'!C11</f>
        <v>-18.051155433750559</v>
      </c>
      <c r="D11">
        <f>COS(RADIANS($A11))*('Lift @ Cruising Speed vs. AoA'!D12)+SIN(RADIANS($A11))*'Prop. Thrust vs Airspeed vs RPM'!$C$18-(9.81*($B$1+$B$2)) - SIN(RADIANS($A11))*'Drag @ Cruising Speed vs AoA'!D11</f>
        <v>-20.210358457682634</v>
      </c>
      <c r="E11">
        <f>COS(RADIANS($A11))*('Lift @ Cruising Speed vs. AoA'!E12)+SIN(RADIANS($A11))*'Prop. Thrust vs Airspeed vs RPM'!$C$18-(9.81*($B$1+$B$2)) - SIN(RADIANS($A11))*'Drag @ Cruising Speed vs AoA'!E11</f>
        <v>-22.849384375821835</v>
      </c>
      <c r="F11">
        <f>COS(RADIANS($A11))*('Lift @ Cruising Speed vs. AoA'!F12)+SIN(RADIANS($A11))*'Prop. Thrust vs Airspeed vs RPM'!$C$18-(9.81*($B$1+$B$2)) - SIN(RADIANS($A11))*'Drag @ Cruising Speed vs AoA'!F11</f>
        <v>-25.96823318816816</v>
      </c>
      <c r="G11">
        <f>COS(RADIANS($A11))*('Lift @ Cruising Speed vs. AoA'!G12)+SIN(RADIANS($A11))*'Prop. Thrust vs Airspeed vs RPM'!$C$18-(9.81*($B$1+$B$2)) - SIN(RADIANS($A11))*'Drag @ Cruising Speed vs AoA'!G11</f>
        <v>-29.566904894721613</v>
      </c>
      <c r="H11">
        <f>COS(RADIANS($A11))*('Lift @ Cruising Speed vs. AoA'!H12)+SIN(RADIANS($A11))*'Prop. Thrust vs Airspeed vs RPM'!$C$18-(9.81*($B$1+$B$2)) - SIN(RADIANS($A11))*'Drag @ Cruising Speed vs AoA'!H11</f>
        <v>-38.203716990449905</v>
      </c>
      <c r="I11">
        <f>COS(RADIANS($A11))*('Lift @ Cruising Speed vs. AoA'!I12)+SIN(RADIANS($A11))*'Prop. Thrust vs Airspeed vs RPM'!$C$18-(9.81*($B$1+$B$2)) - SIN(RADIANS($A11))*'Drag @ Cruising Speed vs AoA'!I11</f>
        <v>-48.7598206630067</v>
      </c>
    </row>
    <row r="12" spans="1:9" x14ac:dyDescent="0.35">
      <c r="A12" s="1">
        <v>-8</v>
      </c>
      <c r="B12">
        <f>COS(RADIANS($A12))*('Lift @ Cruising Speed vs. AoA'!B13)+SIN(RADIANS($A12))*'Prop. Thrust vs Airspeed vs RPM'!$C$18-(9.81*($B$1+$B$2)) - SIN(RADIANS($A12))*'Drag @ Cruising Speed vs AoA'!B12</f>
        <v>-15.2002443468843</v>
      </c>
      <c r="C12">
        <f>COS(RADIANS($A12))*('Lift @ Cruising Speed vs. AoA'!C13)+SIN(RADIANS($A12))*'Prop. Thrust vs Airspeed vs RPM'!$C$18-(9.81*($B$1+$B$2)) - SIN(RADIANS($A12))*'Drag @ Cruising Speed vs AoA'!C12</f>
        <v>-18.206479557406777</v>
      </c>
      <c r="D12">
        <f>COS(RADIANS($A12))*('Lift @ Cruising Speed vs. AoA'!D13)+SIN(RADIANS($A12))*'Prop. Thrust vs Airspeed vs RPM'!$C$18-(9.81*($B$1+$B$2)) - SIN(RADIANS($A12))*'Drag @ Cruising Speed vs AoA'!D12</f>
        <v>-20.461155965298641</v>
      </c>
      <c r="E12">
        <f>COS(RADIANS($A12))*('Lift @ Cruising Speed vs. AoA'!E13)+SIN(RADIANS($A12))*'Prop. Thrust vs Airspeed vs RPM'!$C$18-(9.81*($B$1+$B$2)) - SIN(RADIANS($A12))*'Drag @ Cruising Speed vs AoA'!E12</f>
        <v>-23.216871574944243</v>
      </c>
      <c r="F12">
        <f>COS(RADIANS($A12))*('Lift @ Cruising Speed vs. AoA'!F13)+SIN(RADIANS($A12))*'Prop. Thrust vs Airspeed vs RPM'!$C$18-(9.81*($B$1+$B$2)) - SIN(RADIANS($A12))*'Drag @ Cruising Speed vs AoA'!F12</f>
        <v>-26.4736263863436</v>
      </c>
      <c r="G12">
        <f>COS(RADIANS($A12))*('Lift @ Cruising Speed vs. AoA'!G13)+SIN(RADIANS($A12))*'Prop. Thrust vs Airspeed vs RPM'!$C$18-(9.81*($B$1+$B$2)) - SIN(RADIANS($A12))*'Drag @ Cruising Speed vs AoA'!G12</f>
        <v>-30.231420399496692</v>
      </c>
      <c r="H12">
        <f>COS(RADIANS($A12))*('Lift @ Cruising Speed vs. AoA'!H13)+SIN(RADIANS($A12))*'Prop. Thrust vs Airspeed vs RPM'!$C$18-(9.81*($B$1+$B$2)) - SIN(RADIANS($A12))*'Drag @ Cruising Speed vs AoA'!H12</f>
        <v>-39.250126031064134</v>
      </c>
      <c r="I12">
        <f>COS(RADIANS($A12))*('Lift @ Cruising Speed vs. AoA'!I13)+SIN(RADIANS($A12))*'Prop. Thrust vs Airspeed vs RPM'!$C$18-(9.81*($B$1+$B$2)) - SIN(RADIANS($A12))*'Drag @ Cruising Speed vs AoA'!I12</f>
        <v>-50.272988469646549</v>
      </c>
    </row>
    <row r="13" spans="1:9" x14ac:dyDescent="0.35">
      <c r="A13" s="1">
        <v>-7.75</v>
      </c>
      <c r="B13">
        <f>COS(RADIANS($A13))*('Lift @ Cruising Speed vs. AoA'!B14)+SIN(RADIANS($A13))*'Prop. Thrust vs Airspeed vs RPM'!$C$18-(9.81*($B$1+$B$2)) - SIN(RADIANS($A13))*'Drag @ Cruising Speed vs AoA'!B13</f>
        <v>-15.26809671673662</v>
      </c>
      <c r="C13">
        <f>COS(RADIANS($A13))*('Lift @ Cruising Speed vs. AoA'!C14)+SIN(RADIANS($A13))*'Prop. Thrust vs Airspeed vs RPM'!$C$18-(9.81*($B$1+$B$2)) - SIN(RADIANS($A13))*'Drag @ Cruising Speed vs AoA'!C13</f>
        <v>-18.521134558117708</v>
      </c>
      <c r="D13">
        <f>COS(RADIANS($A13))*('Lift @ Cruising Speed vs. AoA'!D14)+SIN(RADIANS($A13))*'Prop. Thrust vs Airspeed vs RPM'!$C$18-(9.81*($B$1+$B$2)) - SIN(RADIANS($A13))*'Drag @ Cruising Speed vs AoA'!D13</f>
        <v>-20.960912939153527</v>
      </c>
      <c r="E13">
        <f>COS(RADIANS($A13))*('Lift @ Cruising Speed vs. AoA'!E14)+SIN(RADIANS($A13))*'Prop. Thrust vs Airspeed vs RPM'!$C$18-(9.81*($B$1+$B$2)) - SIN(RADIANS($A13))*'Drag @ Cruising Speed vs AoA'!E13</f>
        <v>-23.942864293752855</v>
      </c>
      <c r="F13">
        <f>COS(RADIANS($A13))*('Lift @ Cruising Speed vs. AoA'!F14)+SIN(RADIANS($A13))*'Prop. Thrust vs Airspeed vs RPM'!$C$18-(9.81*($B$1+$B$2)) - SIN(RADIANS($A13))*'Drag @ Cruising Speed vs AoA'!F13</f>
        <v>-27.466988621915696</v>
      </c>
      <c r="G13">
        <f>COS(RADIANS($A13))*('Lift @ Cruising Speed vs. AoA'!G14)+SIN(RADIANS($A13))*'Prop. Thrust vs Airspeed vs RPM'!$C$18-(9.81*($B$1+$B$2)) - SIN(RADIANS($A13))*'Drag @ Cruising Speed vs AoA'!G13</f>
        <v>-31.533285923642062</v>
      </c>
      <c r="H13">
        <f>COS(RADIANS($A13))*('Lift @ Cruising Speed vs. AoA'!H14)+SIN(RADIANS($A13))*'Prop. Thrust vs Airspeed vs RPM'!$C$18-(9.81*($B$1+$B$2)) - SIN(RADIANS($A13))*'Drag @ Cruising Speed vs AoA'!H13</f>
        <v>-41.292399447785328</v>
      </c>
      <c r="I13">
        <f>COS(RADIANS($A13))*('Lift @ Cruising Speed vs. AoA'!I14)+SIN(RADIANS($A13))*'Prop. Thrust vs Airspeed vs RPM'!$C$18-(9.81*($B$1+$B$2)) - SIN(RADIANS($A13))*'Drag @ Cruising Speed vs AoA'!I13</f>
        <v>-53.220204866182641</v>
      </c>
    </row>
    <row r="14" spans="1:9" x14ac:dyDescent="0.35">
      <c r="A14" s="1">
        <v>-7.5</v>
      </c>
      <c r="B14">
        <f>COS(RADIANS($A14))*('Lift @ Cruising Speed vs. AoA'!B15)+SIN(RADIANS($A14))*'Prop. Thrust vs Airspeed vs RPM'!$C$18-(9.81*($B$1+$B$2)) - SIN(RADIANS($A14))*'Drag @ Cruising Speed vs AoA'!B14</f>
        <v>-15.294776620360578</v>
      </c>
      <c r="C14">
        <f>COS(RADIANS($A14))*('Lift @ Cruising Speed vs. AoA'!C15)+SIN(RADIANS($A14))*'Prop. Thrust vs Airspeed vs RPM'!$C$18-(9.81*($B$1+$B$2)) - SIN(RADIANS($A14))*'Drag @ Cruising Speed vs AoA'!C14</f>
        <v>-18.671125381734246</v>
      </c>
      <c r="D14">
        <f>COS(RADIANS($A14))*('Lift @ Cruising Speed vs. AoA'!D15)+SIN(RADIANS($A14))*'Prop. Thrust vs Airspeed vs RPM'!$C$18-(9.81*($B$1+$B$2)) - SIN(RADIANS($A14))*'Drag @ Cruising Speed vs AoA'!D14</f>
        <v>-21.203386952764497</v>
      </c>
      <c r="E14">
        <f>COS(RADIANS($A14))*('Lift @ Cruising Speed vs. AoA'!E15)+SIN(RADIANS($A14))*'Prop. Thrust vs Airspeed vs RPM'!$C$18-(9.81*($B$1+$B$2)) - SIN(RADIANS($A14))*'Drag @ Cruising Speed vs AoA'!E14</f>
        <v>-24.298373317357026</v>
      </c>
      <c r="F14">
        <f>COS(RADIANS($A14))*('Lift @ Cruising Speed vs. AoA'!F15)+SIN(RADIANS($A14))*'Prop. Thrust vs Airspeed vs RPM'!$C$18-(9.81*($B$1+$B$2)) - SIN(RADIANS($A14))*'Drag @ Cruising Speed vs AoA'!F14</f>
        <v>-27.956084475511833</v>
      </c>
      <c r="G14">
        <f>COS(RADIANS($A14))*('Lift @ Cruising Speed vs. AoA'!G15)+SIN(RADIANS($A14))*'Prop. Thrust vs Airspeed vs RPM'!$C$18-(9.81*($B$1+$B$2)) - SIN(RADIANS($A14))*'Drag @ Cruising Speed vs AoA'!G14</f>
        <v>-32.176520427228915</v>
      </c>
      <c r="H14">
        <f>COS(RADIANS($A14))*('Lift @ Cruising Speed vs. AoA'!H15)+SIN(RADIANS($A14))*'Prop. Thrust vs Airspeed vs RPM'!$C$18-(9.81*($B$1+$B$2)) - SIN(RADIANS($A14))*'Drag @ Cruising Speed vs AoA'!H14</f>
        <v>-42.305566711349918</v>
      </c>
      <c r="I14">
        <f>COS(RADIANS($A14))*('Lift @ Cruising Speed vs. AoA'!I15)+SIN(RADIANS($A14))*'Prop. Thrust vs Airspeed vs RPM'!$C$18-(9.81*($B$1+$B$2)) - SIN(RADIANS($A14))*'Drag @ Cruising Speed vs AoA'!I14</f>
        <v>-54.685512169720035</v>
      </c>
    </row>
    <row r="15" spans="1:9" x14ac:dyDescent="0.35">
      <c r="A15" s="1">
        <v>-7.25</v>
      </c>
      <c r="B15">
        <f>COS(RADIANS($A15))*('Lift @ Cruising Speed vs. AoA'!B16)+SIN(RADIANS($A15))*'Prop. Thrust vs Airspeed vs RPM'!$C$18-(9.81*($B$1+$B$2)) - SIN(RADIANS($A15))*'Drag @ Cruising Speed vs AoA'!B15</f>
        <v>-15.218671389306527</v>
      </c>
      <c r="C15">
        <f>COS(RADIANS($A15))*('Lift @ Cruising Speed vs. AoA'!C16)+SIN(RADIANS($A15))*'Prop. Thrust vs Airspeed vs RPM'!$C$18-(9.81*($B$1+$B$2)) - SIN(RADIANS($A15))*'Drag @ Cruising Speed vs AoA'!C15</f>
        <v>-18.410000530636353</v>
      </c>
      <c r="D15">
        <f>COS(RADIANS($A15))*('Lift @ Cruising Speed vs. AoA'!D16)+SIN(RADIANS($A15))*'Prop. Thrust vs Airspeed vs RPM'!$C$18-(9.81*($B$1+$B$2)) - SIN(RADIANS($A15))*'Drag @ Cruising Speed vs AoA'!D15</f>
        <v>-20.803497386633726</v>
      </c>
      <c r="E15">
        <f>COS(RADIANS($A15))*('Lift @ Cruising Speed vs. AoA'!E16)+SIN(RADIANS($A15))*'Prop. Thrust vs Airspeed vs RPM'!$C$18-(9.81*($B$1+$B$2)) - SIN(RADIANS($A15))*'Drag @ Cruising Speed vs AoA'!E15</f>
        <v>-23.728882432852735</v>
      </c>
      <c r="F15">
        <f>COS(RADIANS($A15))*('Lift @ Cruising Speed vs. AoA'!F16)+SIN(RADIANS($A15))*'Prop. Thrust vs Airspeed vs RPM'!$C$18-(9.81*($B$1+$B$2)) - SIN(RADIANS($A15))*'Drag @ Cruising Speed vs AoA'!F15</f>
        <v>-27.186155669293377</v>
      </c>
      <c r="G15">
        <f>COS(RADIANS($A15))*('Lift @ Cruising Speed vs. AoA'!G16)+SIN(RADIANS($A15))*'Prop. Thrust vs Airspeed vs RPM'!$C$18-(9.81*($B$1+$B$2)) - SIN(RADIANS($A15))*'Drag @ Cruising Speed vs AoA'!G15</f>
        <v>-31.175317095955666</v>
      </c>
      <c r="H15">
        <f>COS(RADIANS($A15))*('Lift @ Cruising Speed vs. AoA'!H16)+SIN(RADIANS($A15))*'Prop. Thrust vs Airspeed vs RPM'!$C$18-(9.81*($B$1+$B$2)) - SIN(RADIANS($A15))*'Drag @ Cruising Speed vs AoA'!H15</f>
        <v>-40.749304519945149</v>
      </c>
      <c r="I15">
        <f>COS(RADIANS($A15))*('Lift @ Cruising Speed vs. AoA'!I16)+SIN(RADIANS($A15))*'Prop. Thrust vs Airspeed vs RPM'!$C$18-(9.81*($B$1+$B$2)) - SIN(RADIANS($A15))*'Drag @ Cruising Speed vs AoA'!I15</f>
        <v>-52.450844704821179</v>
      </c>
    </row>
    <row r="16" spans="1:9" x14ac:dyDescent="0.35">
      <c r="A16" s="1">
        <v>-7</v>
      </c>
      <c r="B16">
        <f>COS(RADIANS($A16))*('Lift @ Cruising Speed vs. AoA'!B17)+SIN(RADIANS($A16))*'Prop. Thrust vs Airspeed vs RPM'!$C$18-(9.81*($B$1+$B$2)) - SIN(RADIANS($A16))*'Drag @ Cruising Speed vs AoA'!B16</f>
        <v>-15.125186629885716</v>
      </c>
      <c r="C16">
        <f>COS(RADIANS($A16))*('Lift @ Cruising Speed vs. AoA'!C17)+SIN(RADIANS($A16))*'Prop. Thrust vs Airspeed vs RPM'!$C$18-(9.81*($B$1+$B$2)) - SIN(RADIANS($A16))*'Drag @ Cruising Speed vs AoA'!C16</f>
        <v>-18.079381605774199</v>
      </c>
      <c r="D16">
        <f>COS(RADIANS($A16))*('Lift @ Cruising Speed vs. AoA'!D17)+SIN(RADIANS($A16))*'Prop. Thrust vs Airspeed vs RPM'!$C$18-(9.81*($B$1+$B$2)) - SIN(RADIANS($A16))*'Drag @ Cruising Speed vs AoA'!D16</f>
        <v>-20.295027837690569</v>
      </c>
      <c r="E16">
        <f>COS(RADIANS($A16))*('Lift @ Cruising Speed vs. AoA'!E17)+SIN(RADIANS($A16))*'Prop. Thrust vs Airspeed vs RPM'!$C$18-(9.81*($B$1+$B$2)) - SIN(RADIANS($A16))*'Drag @ Cruising Speed vs AoA'!E16</f>
        <v>-23.003039898921678</v>
      </c>
      <c r="F16">
        <f>COS(RADIANS($A16))*('Lift @ Cruising Speed vs. AoA'!F17)+SIN(RADIANS($A16))*'Prop. Thrust vs Airspeed vs RPM'!$C$18-(9.81*($B$1+$B$2)) - SIN(RADIANS($A16))*'Drag @ Cruising Speed vs AoA'!F16</f>
        <v>-26.20341778946754</v>
      </c>
      <c r="G16">
        <f>COS(RADIANS($A16))*('Lift @ Cruising Speed vs. AoA'!G17)+SIN(RADIANS($A16))*'Prop. Thrust vs Airspeed vs RPM'!$C$18-(9.81*($B$1+$B$2)) - SIN(RADIANS($A16))*'Drag @ Cruising Speed vs AoA'!G16</f>
        <v>-29.896161509328145</v>
      </c>
      <c r="H16">
        <f>COS(RADIANS($A16))*('Lift @ Cruising Speed vs. AoA'!H17)+SIN(RADIANS($A16))*'Prop. Thrust vs Airspeed vs RPM'!$C$18-(9.81*($B$1+$B$2)) - SIN(RADIANS($A16))*'Drag @ Cruising Speed vs AoA'!H16</f>
        <v>-38.758746436993619</v>
      </c>
      <c r="I16">
        <f>COS(RADIANS($A16))*('Lift @ Cruising Speed vs. AoA'!I17)+SIN(RADIANS($A16))*'Prop. Thrust vs Airspeed vs RPM'!$C$18-(9.81*($B$1+$B$2)) - SIN(RADIANS($A16))*'Drag @ Cruising Speed vs AoA'!I16</f>
        <v>-49.590794681918062</v>
      </c>
    </row>
    <row r="17" spans="1:9" x14ac:dyDescent="0.35">
      <c r="A17" s="1">
        <v>-6.75</v>
      </c>
      <c r="B17">
        <f>COS(RADIANS($A17))*('Lift @ Cruising Speed vs. AoA'!B18)+SIN(RADIANS($A17))*'Prop. Thrust vs Airspeed vs RPM'!$C$18-(9.81*($B$1+$B$2)) - SIN(RADIANS($A17))*'Drag @ Cruising Speed vs AoA'!B17</f>
        <v>-15.071024638380818</v>
      </c>
      <c r="C17">
        <f>COS(RADIANS($A17))*('Lift @ Cruising Speed vs. AoA'!C18)+SIN(RADIANS($A17))*'Prop. Thrust vs Airspeed vs RPM'!$C$18-(9.81*($B$1+$B$2)) - SIN(RADIANS($A17))*'Drag @ Cruising Speed vs AoA'!C17</f>
        <v>-17.906076967525987</v>
      </c>
      <c r="D17">
        <f>COS(RADIANS($A17))*('Lift @ Cruising Speed vs. AoA'!D18)+SIN(RADIANS($A17))*'Prop. Thrust vs Airspeed vs RPM'!$C$18-(9.81*($B$1+$B$2)) - SIN(RADIANS($A17))*'Drag @ Cruising Speed vs AoA'!D17</f>
        <v>-20.032366214384869</v>
      </c>
      <c r="E17">
        <f>COS(RADIANS($A17))*('Lift @ Cruising Speed vs. AoA'!E18)+SIN(RADIANS($A17))*'Prop. Thrust vs Airspeed vs RPM'!$C$18-(9.81*($B$1+$B$2)) - SIN(RADIANS($A17))*'Drag @ Cruising Speed vs AoA'!E17</f>
        <v>-22.631164182767936</v>
      </c>
      <c r="F17">
        <f>COS(RADIANS($A17))*('Lift @ Cruising Speed vs. AoA'!F18)+SIN(RADIANS($A17))*'Prop. Thrust vs Airspeed vs RPM'!$C$18-(9.81*($B$1+$B$2)) - SIN(RADIANS($A17))*'Drag @ Cruising Speed vs AoA'!F17</f>
        <v>-25.702470872675207</v>
      </c>
      <c r="G17">
        <f>COS(RADIANS($A17))*('Lift @ Cruising Speed vs. AoA'!G18)+SIN(RADIANS($A17))*'Prop. Thrust vs Airspeed vs RPM'!$C$18-(9.81*($B$1+$B$2)) - SIN(RADIANS($A17))*'Drag @ Cruising Speed vs AoA'!G17</f>
        <v>-29.246286284106667</v>
      </c>
      <c r="H17">
        <f>COS(RADIANS($A17))*('Lift @ Cruising Speed vs. AoA'!H18)+SIN(RADIANS($A17))*'Prop. Thrust vs Airspeed vs RPM'!$C$18-(9.81*($B$1+$B$2)) - SIN(RADIANS($A17))*'Drag @ Cruising Speed vs AoA'!H17</f>
        <v>-37.751443271542179</v>
      </c>
      <c r="I17">
        <f>COS(RADIANS($A17))*('Lift @ Cruising Speed vs. AoA'!I18)+SIN(RADIANS($A17))*'Prop. Thrust vs Airspeed vs RPM'!$C$18-(9.81*($B$1+$B$2)) - SIN(RADIANS($A17))*'Drag @ Cruising Speed vs AoA'!I17</f>
        <v>-48.14663514507447</v>
      </c>
    </row>
    <row r="18" spans="1:9" x14ac:dyDescent="0.35">
      <c r="A18" s="1">
        <v>-6.5</v>
      </c>
      <c r="B18">
        <f>COS(RADIANS($A18))*('Lift @ Cruising Speed vs. AoA'!B19)+SIN(RADIANS($A18))*'Prop. Thrust vs Airspeed vs RPM'!$C$18-(9.81*($B$1+$B$2)) - SIN(RADIANS($A18))*'Drag @ Cruising Speed vs AoA'!B18</f>
        <v>-14.990898394398192</v>
      </c>
      <c r="C18">
        <f>COS(RADIANS($A18))*('Lift @ Cruising Speed vs. AoA'!C19)+SIN(RADIANS($A18))*'Prop. Thrust vs Airspeed vs RPM'!$C$18-(9.81*($B$1+$B$2)) - SIN(RADIANS($A18))*'Drag @ Cruising Speed vs AoA'!C18</f>
        <v>-17.628937709122667</v>
      </c>
      <c r="D18">
        <f>COS(RADIANS($A18))*('Lift @ Cruising Speed vs. AoA'!D19)+SIN(RADIANS($A18))*'Prop. Thrust vs Airspeed vs RPM'!$C$18-(9.81*($B$1+$B$2)) - SIN(RADIANS($A18))*'Drag @ Cruising Speed vs AoA'!D18</f>
        <v>-19.607467195166024</v>
      </c>
      <c r="E18">
        <f>COS(RADIANS($A18))*('Lift @ Cruising Speed vs. AoA'!E19)+SIN(RADIANS($A18))*'Prop. Thrust vs Airspeed vs RPM'!$C$18-(9.81*($B$1+$B$2)) - SIN(RADIANS($A18))*'Drag @ Cruising Speed vs AoA'!E18</f>
        <v>-22.025669900330122</v>
      </c>
      <c r="F18">
        <f>COS(RADIANS($A18))*('Lift @ Cruising Speed vs. AoA'!F19)+SIN(RADIANS($A18))*'Prop. Thrust vs Airspeed vs RPM'!$C$18-(9.81*($B$1+$B$2)) - SIN(RADIANS($A18))*'Drag @ Cruising Speed vs AoA'!F18</f>
        <v>-24.883545824614966</v>
      </c>
      <c r="G18">
        <f>COS(RADIANS($A18))*('Lift @ Cruising Speed vs. AoA'!G19)+SIN(RADIANS($A18))*'Prop. Thrust vs Airspeed vs RPM'!$C$18-(9.81*($B$1+$B$2)) - SIN(RADIANS($A18))*'Drag @ Cruising Speed vs AoA'!G18</f>
        <v>-28.18109496802056</v>
      </c>
      <c r="H18">
        <f>COS(RADIANS($A18))*('Lift @ Cruising Speed vs. AoA'!H19)+SIN(RADIANS($A18))*'Prop. Thrust vs Airspeed vs RPM'!$C$18-(9.81*($B$1+$B$2)) - SIN(RADIANS($A18))*'Drag @ Cruising Speed vs AoA'!H18</f>
        <v>-36.095212912193986</v>
      </c>
      <c r="I18">
        <f>COS(RADIANS($A18))*('Lift @ Cruising Speed vs. AoA'!I19)+SIN(RADIANS($A18))*'Prop. Thrust vs Airspeed vs RPM'!$C$18-(9.81*($B$1+$B$2)) - SIN(RADIANS($A18))*'Drag @ Cruising Speed vs AoA'!I18</f>
        <v>-45.768023732850388</v>
      </c>
    </row>
    <row r="19" spans="1:9" x14ac:dyDescent="0.35">
      <c r="A19" s="1">
        <v>-6.25</v>
      </c>
      <c r="B19">
        <f>COS(RADIANS($A19))*('Lift @ Cruising Speed vs. AoA'!B20)+SIN(RADIANS($A19))*'Prop. Thrust vs Airspeed vs RPM'!$C$18-(9.81*($B$1+$B$2)) - SIN(RADIANS($A19))*'Drag @ Cruising Speed vs AoA'!B19</f>
        <v>-14.902266817334402</v>
      </c>
      <c r="C19">
        <f>COS(RADIANS($A19))*('Lift @ Cruising Speed vs. AoA'!C20)+SIN(RADIANS($A19))*'Prop. Thrust vs Airspeed vs RPM'!$C$18-(9.81*($B$1+$B$2)) - SIN(RADIANS($A19))*'Drag @ Cruising Speed vs AoA'!C19</f>
        <v>-17.317798682529727</v>
      </c>
      <c r="D19">
        <f>COS(RADIANS($A19))*('Lift @ Cruising Speed vs. AoA'!D20)+SIN(RADIANS($A19))*'Prop. Thrust vs Airspeed vs RPM'!$C$18-(9.81*($B$1+$B$2)) - SIN(RADIANS($A19))*'Drag @ Cruising Speed vs AoA'!D19</f>
        <v>-19.129447581426223</v>
      </c>
      <c r="E19">
        <f>COS(RADIANS($A19))*('Lift @ Cruising Speed vs. AoA'!E20)+SIN(RADIANS($A19))*'Prop. Thrust vs Airspeed vs RPM'!$C$18-(9.81*($B$1+$B$2)) - SIN(RADIANS($A19))*'Drag @ Cruising Speed vs AoA'!E19</f>
        <v>-21.343685124521937</v>
      </c>
      <c r="F19">
        <f>COS(RADIANS($A19))*('Lift @ Cruising Speed vs. AoA'!F20)+SIN(RADIANS($A19))*'Prop. Thrust vs Airspeed vs RPM'!$C$18-(9.81*($B$1+$B$2)) - SIN(RADIANS($A19))*'Drag @ Cruising Speed vs AoA'!F19</f>
        <v>-23.960511311816873</v>
      </c>
      <c r="G19">
        <f>COS(RADIANS($A19))*('Lift @ Cruising Speed vs. AoA'!G20)+SIN(RADIANS($A19))*'Prop. Thrust vs Airspeed vs RPM'!$C$18-(9.81*($B$1+$B$2)) - SIN(RADIANS($A19))*'Drag @ Cruising Speed vs AoA'!G19</f>
        <v>-26.97992614331103</v>
      </c>
      <c r="H19">
        <f>COS(RADIANS($A19))*('Lift @ Cruising Speed vs. AoA'!H20)+SIN(RADIANS($A19))*'Prop. Thrust vs Airspeed vs RPM'!$C$18-(9.81*($B$1+$B$2)) - SIN(RADIANS($A19))*'Drag @ Cruising Speed vs AoA'!H19</f>
        <v>-34.226521738897006</v>
      </c>
      <c r="I19">
        <f>COS(RADIANS($A19))*('Lift @ Cruising Speed vs. AoA'!I20)+SIN(RADIANS($A19))*'Prop. Thrust vs Airspeed vs RPM'!$C$18-(9.81*($B$1+$B$2)) - SIN(RADIANS($A19))*'Drag @ Cruising Speed vs AoA'!I19</f>
        <v>-43.083471911279872</v>
      </c>
    </row>
    <row r="20" spans="1:9" x14ac:dyDescent="0.35">
      <c r="A20" s="1">
        <v>-6</v>
      </c>
      <c r="B20">
        <f>COS(RADIANS($A20))*('Lift @ Cruising Speed vs. AoA'!B21)+SIN(RADIANS($A20))*'Prop. Thrust vs Airspeed vs RPM'!$C$18-(9.81*($B$1+$B$2)) - SIN(RADIANS($A20))*'Drag @ Cruising Speed vs AoA'!B20</f>
        <v>-14.791186819361741</v>
      </c>
      <c r="C20">
        <f>COS(RADIANS($A20))*('Lift @ Cruising Speed vs. AoA'!C21)+SIN(RADIANS($A20))*'Prop. Thrust vs Airspeed vs RPM'!$C$18-(9.81*($B$1+$B$2)) - SIN(RADIANS($A20))*'Drag @ Cruising Speed vs AoA'!C20</f>
        <v>-16.916886710405052</v>
      </c>
      <c r="D20">
        <f>COS(RADIANS($A20))*('Lift @ Cruising Speed vs. AoA'!D21)+SIN(RADIANS($A20))*'Prop. Thrust vs Airspeed vs RPM'!$C$18-(9.81*($B$1+$B$2)) - SIN(RADIANS($A20))*'Drag @ Cruising Speed vs AoA'!D20</f>
        <v>-18.511161628687535</v>
      </c>
      <c r="E20">
        <f>COS(RADIANS($A20))*('Lift @ Cruising Speed vs. AoA'!E21)+SIN(RADIANS($A20))*'Prop. Thrust vs Airspeed vs RPM'!$C$18-(9.81*($B$1+$B$2)) - SIN(RADIANS($A20))*'Drag @ Cruising Speed vs AoA'!E20</f>
        <v>-20.459719862143906</v>
      </c>
      <c r="F20">
        <f>COS(RADIANS($A20))*('Lift @ Cruising Speed vs. AoA'!F21)+SIN(RADIANS($A20))*'Prop. Thrust vs Airspeed vs RPM'!$C$18-(9.81*($B$1+$B$2)) - SIN(RADIANS($A20))*'Drag @ Cruising Speed vs AoA'!F20</f>
        <v>-22.762561410774161</v>
      </c>
      <c r="G20">
        <f>COS(RADIANS($A20))*('Lift @ Cruising Speed vs. AoA'!G21)+SIN(RADIANS($A20))*'Prop. Thrust vs Airspeed vs RPM'!$C$18-(9.81*($B$1+$B$2)) - SIN(RADIANS($A20))*'Drag @ Cruising Speed vs AoA'!G20</f>
        <v>-25.4196862745783</v>
      </c>
      <c r="H20">
        <f>COS(RADIANS($A20))*('Lift @ Cruising Speed vs. AoA'!H21)+SIN(RADIANS($A20))*'Prop. Thrust vs Airspeed vs RPM'!$C$18-(9.81*($B$1+$B$2)) - SIN(RADIANS($A20))*'Drag @ Cruising Speed vs AoA'!H20</f>
        <v>-31.796785947708237</v>
      </c>
      <c r="I20">
        <f>COS(RADIANS($A20))*('Lift @ Cruising Speed vs. AoA'!I21)+SIN(RADIANS($A20))*'Prop. Thrust vs Airspeed vs RPM'!$C$18-(9.81*($B$1+$B$2)) - SIN(RADIANS($A20))*'Drag @ Cruising Speed vs AoA'!I20</f>
        <v>-39.591018881533714</v>
      </c>
    </row>
    <row r="21" spans="1:9" x14ac:dyDescent="0.35">
      <c r="A21" s="1">
        <v>-5.75</v>
      </c>
      <c r="B21">
        <f>COS(RADIANS($A21))*('Lift @ Cruising Speed vs. AoA'!B22)+SIN(RADIANS($A21))*'Prop. Thrust vs Airspeed vs RPM'!$C$18-(9.81*($B$1+$B$2)) - SIN(RADIANS($A21))*'Drag @ Cruising Speed vs AoA'!B21</f>
        <v>-14.726821580237853</v>
      </c>
      <c r="C21">
        <f>COS(RADIANS($A21))*('Lift @ Cruising Speed vs. AoA'!C22)+SIN(RADIANS($A21))*'Prop. Thrust vs Airspeed vs RPM'!$C$18-(9.81*($B$1+$B$2)) - SIN(RADIANS($A21))*'Drag @ Cruising Speed vs AoA'!C21</f>
        <v>-16.702853685353098</v>
      </c>
      <c r="D21">
        <f>COS(RADIANS($A21))*('Lift @ Cruising Speed vs. AoA'!D22)+SIN(RADIANS($A21))*'Prop. Thrust vs Airspeed vs RPM'!$C$18-(9.81*($B$1+$B$2)) - SIN(RADIANS($A21))*'Drag @ Cruising Speed vs AoA'!D21</f>
        <v>-18.184877764189526</v>
      </c>
      <c r="E21">
        <f>COS(RADIANS($A21))*('Lift @ Cruising Speed vs. AoA'!E22)+SIN(RADIANS($A21))*'Prop. Thrust vs Airspeed vs RPM'!$C$18-(9.81*($B$1+$B$2)) - SIN(RADIANS($A21))*'Drag @ Cruising Speed vs AoA'!E21</f>
        <v>-19.996240527211835</v>
      </c>
      <c r="F21">
        <f>COS(RADIANS($A21))*('Lift @ Cruising Speed vs. AoA'!F22)+SIN(RADIANS($A21))*'Prop. Thrust vs Airspeed vs RPM'!$C$18-(9.81*($B$1+$B$2)) - SIN(RADIANS($A21))*'Drag @ Cruising Speed vs AoA'!F21</f>
        <v>-22.136941974420012</v>
      </c>
      <c r="G21">
        <f>COS(RADIANS($A21))*('Lift @ Cruising Speed vs. AoA'!G22)+SIN(RADIANS($A21))*'Prop. Thrust vs Airspeed vs RPM'!$C$18-(9.81*($B$1+$B$2)) - SIN(RADIANS($A21))*'Drag @ Cruising Speed vs AoA'!G21</f>
        <v>-24.606982105814065</v>
      </c>
      <c r="H21">
        <f>COS(RADIANS($A21))*('Lift @ Cruising Speed vs. AoA'!H22)+SIN(RADIANS($A21))*'Prop. Thrust vs Airspeed vs RPM'!$C$18-(9.81*($B$1+$B$2)) - SIN(RADIANS($A21))*'Drag @ Cruising Speed vs AoA'!H21</f>
        <v>-30.535078421159792</v>
      </c>
      <c r="I21">
        <f>COS(RADIANS($A21))*('Lift @ Cruising Speed vs. AoA'!I22)+SIN(RADIANS($A21))*'Prop. Thrust vs Airspeed vs RPM'!$C$18-(9.81*($B$1+$B$2)) - SIN(RADIANS($A21))*'Drag @ Cruising Speed vs AoA'!I21</f>
        <v>-37.780529473249011</v>
      </c>
    </row>
    <row r="22" spans="1:9" x14ac:dyDescent="0.35">
      <c r="A22" s="1">
        <v>-5.5</v>
      </c>
      <c r="B22">
        <f>COS(RADIANS($A22))*('Lift @ Cruising Speed vs. AoA'!B23)+SIN(RADIANS($A22))*'Prop. Thrust vs Airspeed vs RPM'!$C$18-(9.81*($B$1+$B$2)) - SIN(RADIANS($A22))*'Drag @ Cruising Speed vs AoA'!B22</f>
        <v>-14.622320758025374</v>
      </c>
      <c r="C22">
        <f>COS(RADIANS($A22))*('Lift @ Cruising Speed vs. AoA'!C23)+SIN(RADIANS($A22))*'Prop. Thrust vs Airspeed vs RPM'!$C$18-(9.81*($B$1+$B$2)) - SIN(RADIANS($A22))*'Drag @ Cruising Speed vs AoA'!C22</f>
        <v>-16.328297412819172</v>
      </c>
      <c r="D22">
        <f>COS(RADIANS($A22))*('Lift @ Cruising Speed vs. AoA'!D23)+SIN(RADIANS($A22))*'Prop. Thrust vs Airspeed vs RPM'!$C$18-(9.81*($B$1+$B$2)) - SIN(RADIANS($A22))*'Drag @ Cruising Speed vs AoA'!D22</f>
        <v>-17.607779903914523</v>
      </c>
      <c r="E22">
        <f>COS(RADIANS($A22))*('Lift @ Cruising Speed vs. AoA'!E23)+SIN(RADIANS($A22))*'Prop. Thrust vs Airspeed vs RPM'!$C$18-(9.81*($B$1+$B$2)) - SIN(RADIANS($A22))*'Drag @ Cruising Speed vs AoA'!E22</f>
        <v>-19.1715918374755</v>
      </c>
      <c r="F22">
        <f>COS(RADIANS($A22))*('Lift @ Cruising Speed vs. AoA'!F23)+SIN(RADIANS($A22))*'Prop. Thrust vs Airspeed vs RPM'!$C$18-(9.81*($B$1+$B$2)) - SIN(RADIANS($A22))*'Drag @ Cruising Speed vs AoA'!F22</f>
        <v>-21.019733213502114</v>
      </c>
      <c r="G22">
        <f>COS(RADIANS($A22))*('Lift @ Cruising Speed vs. AoA'!G23)+SIN(RADIANS($A22))*'Prop. Thrust vs Airspeed vs RPM'!$C$18-(9.81*($B$1+$B$2)) - SIN(RADIANS($A22))*'Drag @ Cruising Speed vs AoA'!G22</f>
        <v>-23.152204031994362</v>
      </c>
      <c r="H22">
        <f>COS(RADIANS($A22))*('Lift @ Cruising Speed vs. AoA'!H23)+SIN(RADIANS($A22))*'Prop. Thrust vs Airspeed vs RPM'!$C$18-(9.81*($B$1+$B$2)) - SIN(RADIANS($A22))*'Drag @ Cruising Speed vs AoA'!H22</f>
        <v>-28.270133996375758</v>
      </c>
      <c r="I22">
        <f>COS(RADIANS($A22))*('Lift @ Cruising Speed vs. AoA'!I23)+SIN(RADIANS($A22))*'Prop. Thrust vs Airspeed vs RPM'!$C$18-(9.81*($B$1+$B$2)) - SIN(RADIANS($A22))*'Drag @ Cruising Speed vs AoA'!I22</f>
        <v>-34.525381730619685</v>
      </c>
    </row>
    <row r="23" spans="1:9" x14ac:dyDescent="0.35">
      <c r="A23" s="1">
        <v>-5.25</v>
      </c>
      <c r="B23">
        <f>COS(RADIANS($A23))*('Lift @ Cruising Speed vs. AoA'!B24)+SIN(RADIANS($A23))*'Prop. Thrust vs Airspeed vs RPM'!$C$18-(9.81*($B$1+$B$2)) - SIN(RADIANS($A23))*'Drag @ Cruising Speed vs AoA'!B23</f>
        <v>-14.561284765376621</v>
      </c>
      <c r="C23">
        <f>COS(RADIANS($A23))*('Lift @ Cruising Speed vs. AoA'!C24)+SIN(RADIANS($A23))*'Prop. Thrust vs Airspeed vs RPM'!$C$18-(9.81*($B$1+$B$2)) - SIN(RADIANS($A23))*'Drag @ Cruising Speed vs AoA'!C23</f>
        <v>-16.127618716244005</v>
      </c>
      <c r="D23">
        <f>COS(RADIANS($A23))*('Lift @ Cruising Speed vs. AoA'!D24)+SIN(RADIANS($A23))*'Prop. Thrust vs Airspeed vs RPM'!$C$18-(9.81*($B$1+$B$2)) - SIN(RADIANS($A23))*'Drag @ Cruising Speed vs AoA'!D23</f>
        <v>-17.302369179394539</v>
      </c>
      <c r="E23">
        <f>COS(RADIANS($A23))*('Lift @ Cruising Speed vs. AoA'!E24)+SIN(RADIANS($A23))*'Prop. Thrust vs Airspeed vs RPM'!$C$18-(9.81*($B$1+$B$2)) - SIN(RADIANS($A23))*'Drag @ Cruising Speed vs AoA'!E23</f>
        <v>-18.738175301022974</v>
      </c>
      <c r="F23">
        <f>COS(RADIANS($A23))*('Lift @ Cruising Speed vs. AoA'!F24)+SIN(RADIANS($A23))*'Prop. Thrust vs Airspeed vs RPM'!$C$18-(9.81*($B$1+$B$2)) - SIN(RADIANS($A23))*'Drag @ Cruising Speed vs AoA'!F23</f>
        <v>-20.435037081129302</v>
      </c>
      <c r="G23">
        <f>COS(RADIANS($A23))*('Lift @ Cruising Speed vs. AoA'!G24)+SIN(RADIANS($A23))*'Prop. Thrust vs Airspeed vs RPM'!$C$18-(9.81*($B$1+$B$2)) - SIN(RADIANS($A23))*'Drag @ Cruising Speed vs AoA'!G23</f>
        <v>-22.39295451971353</v>
      </c>
      <c r="H23">
        <f>COS(RADIANS($A23))*('Lift @ Cruising Speed vs. AoA'!H24)+SIN(RADIANS($A23))*'Prop. Thrust vs Airspeed vs RPM'!$C$18-(9.81*($B$1+$B$2)) - SIN(RADIANS($A23))*'Drag @ Cruising Speed vs AoA'!H23</f>
        <v>-27.091956372315675</v>
      </c>
      <c r="I23">
        <f>COS(RADIANS($A23))*('Lift @ Cruising Speed vs. AoA'!I24)+SIN(RADIANS($A23))*'Prop. Thrust vs Airspeed vs RPM'!$C$18-(9.81*($B$1+$B$2)) - SIN(RADIANS($A23))*'Drag @ Cruising Speed vs AoA'!I23</f>
        <v>-32.835180858829396</v>
      </c>
    </row>
    <row r="24" spans="1:9" x14ac:dyDescent="0.35">
      <c r="A24" s="1">
        <v>-5</v>
      </c>
      <c r="B24">
        <f>COS(RADIANS($A24))*('Lift @ Cruising Speed vs. AoA'!B25)+SIN(RADIANS($A24))*'Prop. Thrust vs Airspeed vs RPM'!$C$18-(9.81*($B$1+$B$2)) - SIN(RADIANS($A24))*'Drag @ Cruising Speed vs AoA'!B24</f>
        <v>-14.463833224039726</v>
      </c>
      <c r="C24">
        <f>COS(RADIANS($A24))*('Lift @ Cruising Speed vs. AoA'!C25)+SIN(RADIANS($A24))*'Prop. Thrust vs Airspeed vs RPM'!$C$18-(9.81*($B$1+$B$2)) - SIN(RADIANS($A24))*'Drag @ Cruising Speed vs AoA'!C24</f>
        <v>-15.781295255103945</v>
      </c>
      <c r="D24">
        <f>COS(RADIANS($A24))*('Lift @ Cruising Speed vs. AoA'!D25)+SIN(RADIANS($A24))*'Prop. Thrust vs Airspeed vs RPM'!$C$18-(9.81*($B$1+$B$2)) - SIN(RADIANS($A24))*'Drag @ Cruising Speed vs AoA'!D24</f>
        <v>-16.76939177840211</v>
      </c>
      <c r="E24">
        <f>COS(RADIANS($A24))*('Lift @ Cruising Speed vs. AoA'!E25)+SIN(RADIANS($A24))*'Prop. Thrust vs Airspeed vs RPM'!$C$18-(9.81*($B$1+$B$2)) - SIN(RADIANS($A24))*'Drag @ Cruising Speed vs AoA'!E24</f>
        <v>-17.977065306877641</v>
      </c>
      <c r="F24">
        <f>COS(RADIANS($A24))*('Lift @ Cruising Speed vs. AoA'!F25)+SIN(RADIANS($A24))*'Prop. Thrust vs Airspeed vs RPM'!$C$18-(9.81*($B$1+$B$2)) - SIN(RADIANS($A24))*'Drag @ Cruising Speed vs AoA'!F24</f>
        <v>-19.404315840530543</v>
      </c>
      <c r="G24">
        <f>COS(RADIANS($A24))*('Lift @ Cruising Speed vs. AoA'!G25)+SIN(RADIANS($A24))*'Prop. Thrust vs Airspeed vs RPM'!$C$18-(9.81*($B$1+$B$2)) - SIN(RADIANS($A24))*'Drag @ Cruising Speed vs AoA'!G24</f>
        <v>-21.051143379360816</v>
      </c>
      <c r="H24">
        <f>COS(RADIANS($A24))*('Lift @ Cruising Speed vs. AoA'!H25)+SIN(RADIANS($A24))*'Prop. Thrust vs Airspeed vs RPM'!$C$18-(9.81*($B$1+$B$2)) - SIN(RADIANS($A24))*'Drag @ Cruising Speed vs AoA'!H24</f>
        <v>-25.003529472553474</v>
      </c>
      <c r="I24">
        <f>COS(RADIANS($A24))*('Lift @ Cruising Speed vs. AoA'!I25)+SIN(RADIANS($A24))*'Prop. Thrust vs Airspeed vs RPM'!$C$18-(9.81*($B$1+$B$2)) - SIN(RADIANS($A24))*'Drag @ Cruising Speed vs AoA'!I24</f>
        <v>-29.834223586455604</v>
      </c>
    </row>
    <row r="25" spans="1:9" x14ac:dyDescent="0.35">
      <c r="A25" s="1">
        <v>-4.75</v>
      </c>
      <c r="B25">
        <f>COS(RADIANS($A25))*('Lift @ Cruising Speed vs. AoA'!B26)+SIN(RADIANS($A25))*'Prop. Thrust vs Airspeed vs RPM'!$C$18-(9.81*($B$1+$B$2)) - SIN(RADIANS($A25))*'Drag @ Cruising Speed vs AoA'!B25</f>
        <v>-14.391350718549743</v>
      </c>
      <c r="C25">
        <f>COS(RADIANS($A25))*('Lift @ Cruising Speed vs. AoA'!C26)+SIN(RADIANS($A25))*'Prop. Thrust vs Airspeed vs RPM'!$C$18-(9.81*($B$1+$B$2)) - SIN(RADIANS($A25))*'Drag @ Cruising Speed vs AoA'!C25</f>
        <v>-15.534864539691204</v>
      </c>
      <c r="D25">
        <f>COS(RADIANS($A25))*('Lift @ Cruising Speed vs. AoA'!D26)+SIN(RADIANS($A25))*'Prop. Thrust vs Airspeed vs RPM'!$C$18-(9.81*($B$1+$B$2)) - SIN(RADIANS($A25))*'Drag @ Cruising Speed vs AoA'!D25</f>
        <v>-16.392499905547304</v>
      </c>
      <c r="E25">
        <f>COS(RADIANS($A25))*('Lift @ Cruising Speed vs. AoA'!E26)+SIN(RADIANS($A25))*'Prop. Thrust vs Airspeed vs RPM'!$C$18-(9.81*($B$1+$B$2)) - SIN(RADIANS($A25))*'Drag @ Cruising Speed vs AoA'!E25</f>
        <v>-17.440720908260307</v>
      </c>
      <c r="F25">
        <f>COS(RADIANS($A25))*('Lift @ Cruising Speed vs. AoA'!F26)+SIN(RADIANS($A25))*'Prop. Thrust vs Airspeed vs RPM'!$C$18-(9.81*($B$1+$B$2)) - SIN(RADIANS($A25))*'Drag @ Cruising Speed vs AoA'!F25</f>
        <v>-18.679527547830222</v>
      </c>
      <c r="G25">
        <f>COS(RADIANS($A25))*('Lift @ Cruising Speed vs. AoA'!G26)+SIN(RADIANS($A25))*'Prop. Thrust vs Airspeed vs RPM'!$C$18-(9.81*($B$1+$B$2)) - SIN(RADIANS($A25))*'Drag @ Cruising Speed vs AoA'!G25</f>
        <v>-20.10891982425705</v>
      </c>
      <c r="H25">
        <f>COS(RADIANS($A25))*('Lift @ Cruising Speed vs. AoA'!H26)+SIN(RADIANS($A25))*'Prop. Thrust vs Airspeed vs RPM'!$C$18-(9.81*($B$1+$B$2)) - SIN(RADIANS($A25))*'Drag @ Cruising Speed vs AoA'!H25</f>
        <v>-23.539461287681434</v>
      </c>
      <c r="I25">
        <f>COS(RADIANS($A25))*('Lift @ Cruising Speed vs. AoA'!I26)+SIN(RADIANS($A25))*'Prop. Thrust vs Airspeed vs RPM'!$C$18-(9.81*($B$1+$B$2)) - SIN(RADIANS($A25))*'Drag @ Cruising Speed vs AoA'!I25</f>
        <v>-27.732345298533453</v>
      </c>
    </row>
    <row r="26" spans="1:9" x14ac:dyDescent="0.35">
      <c r="A26" s="1">
        <v>-4.5</v>
      </c>
      <c r="B26">
        <f>COS(RADIANS($A26))*('Lift @ Cruising Speed vs. AoA'!B27)+SIN(RADIANS($A26))*'Prop. Thrust vs Airspeed vs RPM'!$C$18-(9.81*($B$1+$B$2)) - SIN(RADIANS($A26))*'Drag @ Cruising Speed vs AoA'!B26</f>
        <v>-14.285080695520699</v>
      </c>
      <c r="C26">
        <f>COS(RADIANS($A26))*('Lift @ Cruising Speed vs. AoA'!C27)+SIN(RADIANS($A26))*'Prop. Thrust vs Airspeed vs RPM'!$C$18-(9.81*($B$1+$B$2)) - SIN(RADIANS($A26))*'Drag @ Cruising Speed vs AoA'!C26</f>
        <v>-15.153299528297792</v>
      </c>
      <c r="D26">
        <f>COS(RADIANS($A26))*('Lift @ Cruising Speed vs. AoA'!D27)+SIN(RADIANS($A26))*'Prop. Thrust vs Airspeed vs RPM'!$C$18-(9.81*($B$1+$B$2)) - SIN(RADIANS($A26))*'Drag @ Cruising Speed vs AoA'!D26</f>
        <v>-15.804463652880612</v>
      </c>
      <c r="E26">
        <f>COS(RADIANS($A26))*('Lift @ Cruising Speed vs. AoA'!E27)+SIN(RADIANS($A26))*'Prop. Thrust vs Airspeed vs RPM'!$C$18-(9.81*($B$1+$B$2)) - SIN(RADIANS($A26))*'Drag @ Cruising Speed vs AoA'!E26</f>
        <v>-16.600330916259612</v>
      </c>
      <c r="F26">
        <f>COS(RADIANS($A26))*('Lift @ Cruising Speed vs. AoA'!F27)+SIN(RADIANS($A26))*'Prop. Thrust vs Airspeed vs RPM'!$C$18-(9.81*($B$1+$B$2)) - SIN(RADIANS($A26))*'Drag @ Cruising Speed vs AoA'!F26</f>
        <v>-17.540901318434798</v>
      </c>
      <c r="G26">
        <f>COS(RADIANS($A26))*('Lift @ Cruising Speed vs. AoA'!G27)+SIN(RADIANS($A26))*'Prop. Thrust vs Airspeed vs RPM'!$C$18-(9.81*($B$1+$B$2)) - SIN(RADIANS($A26))*'Drag @ Cruising Speed vs AoA'!G26</f>
        <v>-18.626174859406163</v>
      </c>
      <c r="H26">
        <f>COS(RADIANS($A26))*('Lift @ Cruising Speed vs. AoA'!H27)+SIN(RADIANS($A26))*'Prop. Thrust vs Airspeed vs RPM'!$C$18-(9.81*($B$1+$B$2)) - SIN(RADIANS($A26))*'Drag @ Cruising Speed vs AoA'!H26</f>
        <v>-21.230831357737443</v>
      </c>
      <c r="I26">
        <f>COS(RADIANS($A26))*('Lift @ Cruising Speed vs. AoA'!I27)+SIN(RADIANS($A26))*'Prop. Thrust vs Airspeed vs RPM'!$C$18-(9.81*($B$1+$B$2)) - SIN(RADIANS($A26))*'Drag @ Cruising Speed vs AoA'!I26</f>
        <v>-24.41430041125345</v>
      </c>
    </row>
    <row r="27" spans="1:9" x14ac:dyDescent="0.35">
      <c r="A27" s="1">
        <v>-4.25</v>
      </c>
      <c r="B27">
        <f>COS(RADIANS($A27))*('Lift @ Cruising Speed vs. AoA'!B28)+SIN(RADIANS($A27))*'Prop. Thrust vs Airspeed vs RPM'!$C$18-(9.81*($B$1+$B$2)) - SIN(RADIANS($A27))*'Drag @ Cruising Speed vs AoA'!B27</f>
        <v>-14.19872161817419</v>
      </c>
      <c r="C27">
        <f>COS(RADIANS($A27))*('Lift @ Cruising Speed vs. AoA'!C28)+SIN(RADIANS($A27))*'Prop. Thrust vs Airspeed vs RPM'!$C$18-(9.81*($B$1+$B$2)) - SIN(RADIANS($A27))*'Drag @ Cruising Speed vs AoA'!C27</f>
        <v>-14.851393245345687</v>
      </c>
      <c r="D27">
        <f>COS(RADIANS($A27))*('Lift @ Cruising Speed vs. AoA'!D28)+SIN(RADIANS($A27))*'Prop. Thrust vs Airspeed vs RPM'!$C$18-(9.81*($B$1+$B$2)) - SIN(RADIANS($A27))*'Drag @ Cruising Speed vs AoA'!D27</f>
        <v>-15.340896965724308</v>
      </c>
      <c r="E27">
        <f>COS(RADIANS($A27))*('Lift @ Cruising Speed vs. AoA'!E28)+SIN(RADIANS($A27))*'Prop. Thrust vs Airspeed vs RPM'!$C$18-(9.81*($B$1+$B$2)) - SIN(RADIANS($A27))*'Drag @ Cruising Speed vs AoA'!E27</f>
        <v>-15.939179290631511</v>
      </c>
      <c r="F27">
        <f>COS(RADIANS($A27))*('Lift @ Cruising Speed vs. AoA'!F28)+SIN(RADIANS($A27))*'Prop. Thrust vs Airspeed vs RPM'!$C$18-(9.81*($B$1+$B$2)) - SIN(RADIANS($A27))*'Drag @ Cruising Speed vs AoA'!F27</f>
        <v>-16.646240220067298</v>
      </c>
      <c r="G27">
        <f>COS(RADIANS($A27))*('Lift @ Cruising Speed vs. AoA'!G28)+SIN(RADIANS($A27))*'Prop. Thrust vs Airspeed vs RPM'!$C$18-(9.81*($B$1+$B$2)) - SIN(RADIANS($A27))*'Drag @ Cruising Speed vs AoA'!G27</f>
        <v>-17.462079754031667</v>
      </c>
      <c r="H27">
        <f>COS(RADIANS($A27))*('Lift @ Cruising Speed vs. AoA'!H28)+SIN(RADIANS($A27))*'Prop. Thrust vs Airspeed vs RPM'!$C$18-(9.81*($B$1+$B$2)) - SIN(RADIANS($A27))*'Drag @ Cruising Speed vs AoA'!H27</f>
        <v>-19.420094635546157</v>
      </c>
      <c r="I27">
        <f>COS(RADIANS($A27))*('Lift @ Cruising Speed vs. AoA'!I28)+SIN(RADIANS($A27))*'Prop. Thrust vs Airspeed vs RPM'!$C$18-(9.81*($B$1+$B$2)) - SIN(RADIANS($A27))*'Drag @ Cruising Speed vs AoA'!I27</f>
        <v>-21.813223935174975</v>
      </c>
    </row>
    <row r="28" spans="1:9" x14ac:dyDescent="0.35">
      <c r="A28" s="1">
        <v>-4</v>
      </c>
      <c r="B28">
        <f>COS(RADIANS($A28))*('Lift @ Cruising Speed vs. AoA'!B29)+SIN(RADIANS($A28))*'Prop. Thrust vs Airspeed vs RPM'!$C$18-(9.81*($B$1+$B$2)) - SIN(RADIANS($A28))*'Drag @ Cruising Speed vs AoA'!B28</f>
        <v>-14.09251967424983</v>
      </c>
      <c r="C28">
        <f>COS(RADIANS($A28))*('Lift @ Cruising Speed vs. AoA'!C29)+SIN(RADIANS($A28))*'Prop. Thrust vs Airspeed vs RPM'!$C$18-(9.81*($B$1+$B$2)) - SIN(RADIANS($A28))*'Drag @ Cruising Speed vs AoA'!C28</f>
        <v>-14.470129613044387</v>
      </c>
      <c r="D28">
        <f>COS(RADIANS($A28))*('Lift @ Cruising Speed vs. AoA'!D29)+SIN(RADIANS($A28))*'Prop. Thrust vs Airspeed vs RPM'!$C$18-(9.81*($B$1+$B$2)) - SIN(RADIANS($A28))*'Drag @ Cruising Speed vs AoA'!D28</f>
        <v>-14.753337067140306</v>
      </c>
      <c r="E28">
        <f>COS(RADIANS($A28))*('Lift @ Cruising Speed vs. AoA'!E29)+SIN(RADIANS($A28))*'Prop. Thrust vs Airspeed vs RPM'!$C$18-(9.81*($B$1+$B$2)) - SIN(RADIANS($A28))*'Drag @ Cruising Speed vs AoA'!E28</f>
        <v>-15.099479511035318</v>
      </c>
      <c r="F28">
        <f>COS(RADIANS($A28))*('Lift @ Cruising Speed vs. AoA'!F29)+SIN(RADIANS($A28))*'Prop. Thrust vs Airspeed vs RPM'!$C$18-(9.81*($B$1+$B$2)) - SIN(RADIANS($A28))*'Drag @ Cruising Speed vs AoA'!F28</f>
        <v>-15.508556944729424</v>
      </c>
      <c r="G28">
        <f>COS(RADIANS($A28))*('Lift @ Cruising Speed vs. AoA'!G29)+SIN(RADIANS($A28))*'Prop. Thrust vs Airspeed vs RPM'!$C$18-(9.81*($B$1+$B$2)) - SIN(RADIANS($A28))*'Drag @ Cruising Speed vs AoA'!G28</f>
        <v>-15.980569368222623</v>
      </c>
      <c r="H28">
        <f>COS(RADIANS($A28))*('Lift @ Cruising Speed vs. AoA'!H29)+SIN(RADIANS($A28))*'Prop. Thrust vs Airspeed vs RPM'!$C$18-(9.81*($B$1+$B$2)) - SIN(RADIANS($A28))*'Drag @ Cruising Speed vs AoA'!H28</f>
        <v>-17.113399184606298</v>
      </c>
      <c r="I28">
        <f>COS(RADIANS($A28))*('Lift @ Cruising Speed vs. AoA'!I29)+SIN(RADIANS($A28))*'Prop. Thrust vs Airspeed vs RPM'!$C$18-(9.81*($B$1+$B$2)) - SIN(RADIANS($A28))*'Drag @ Cruising Speed vs AoA'!I28</f>
        <v>-18.497968960186348</v>
      </c>
    </row>
    <row r="29" spans="1:9" x14ac:dyDescent="0.35">
      <c r="A29" s="1">
        <v>-3.75</v>
      </c>
      <c r="B29">
        <f>COS(RADIANS($A29))*('Lift @ Cruising Speed vs. AoA'!B30)+SIN(RADIANS($A29))*'Prop. Thrust vs Airspeed vs RPM'!$C$18-(9.81*($B$1+$B$2)) - SIN(RADIANS($A29))*'Drag @ Cruising Speed vs AoA'!B29</f>
        <v>-14.009092102713327</v>
      </c>
      <c r="C29">
        <f>COS(RADIANS($A29))*('Lift @ Cruising Speed vs. AoA'!C30)+SIN(RADIANS($A29))*'Prop. Thrust vs Airspeed vs RPM'!$C$18-(9.81*($B$1+$B$2)) - SIN(RADIANS($A29))*'Drag @ Cruising Speed vs AoA'!C29</f>
        <v>-14.179976758239002</v>
      </c>
      <c r="D29">
        <f>COS(RADIANS($A29))*('Lift @ Cruising Speed vs. AoA'!D30)+SIN(RADIANS($A29))*'Prop. Thrust vs Airspeed vs RPM'!$C$18-(9.81*($B$1+$B$2)) - SIN(RADIANS($A29))*'Drag @ Cruising Speed vs AoA'!D29</f>
        <v>-14.308140249883261</v>
      </c>
      <c r="E29">
        <f>COS(RADIANS($A29))*('Lift @ Cruising Speed vs. AoA'!E30)+SIN(RADIANS($A29))*'Prop. Thrust vs Airspeed vs RPM'!$C$18-(9.81*($B$1+$B$2)) - SIN(RADIANS($A29))*'Drag @ Cruising Speed vs AoA'!E29</f>
        <v>-14.464784517448463</v>
      </c>
      <c r="F29">
        <f>COS(RADIANS($A29))*('Lift @ Cruising Speed vs. AoA'!F30)+SIN(RADIANS($A29))*'Prop. Thrust vs Airspeed vs RPM'!$C$18-(9.81*($B$1+$B$2)) - SIN(RADIANS($A29))*'Drag @ Cruising Speed vs AoA'!F29</f>
        <v>-14.649909560934612</v>
      </c>
      <c r="G29">
        <f>COS(RADIANS($A29))*('Lift @ Cruising Speed vs. AoA'!G30)+SIN(RADIANS($A29))*'Prop. Thrust vs Airspeed vs RPM'!$C$18-(9.81*($B$1+$B$2)) - SIN(RADIANS($A29))*'Drag @ Cruising Speed vs AoA'!G29</f>
        <v>-14.86351538034171</v>
      </c>
      <c r="H29">
        <f>COS(RADIANS($A29))*('Lift @ Cruising Speed vs. AoA'!H30)+SIN(RADIANS($A29))*'Prop. Thrust vs Airspeed vs RPM'!$C$18-(9.81*($B$1+$B$2)) - SIN(RADIANS($A29))*'Drag @ Cruising Speed vs AoA'!H29</f>
        <v>-15.37616934691874</v>
      </c>
      <c r="I29">
        <f>COS(RADIANS($A29))*('Lift @ Cruising Speed vs. AoA'!I30)+SIN(RADIANS($A29))*'Prop. Thrust vs Airspeed vs RPM'!$C$18-(9.81*($B$1+$B$2)) - SIN(RADIANS($A29))*'Drag @ Cruising Speed vs AoA'!I29</f>
        <v>-16.002746417179551</v>
      </c>
    </row>
    <row r="30" spans="1:9" x14ac:dyDescent="0.35">
      <c r="A30" s="1">
        <v>-3.5</v>
      </c>
      <c r="B30">
        <f>COS(RADIANS($A30))*('Lift @ Cruising Speed vs. AoA'!B31)+SIN(RADIANS($A30))*'Prop. Thrust vs Airspeed vs RPM'!$C$18-(9.81*($B$1+$B$2)) - SIN(RADIANS($A30))*'Drag @ Cruising Speed vs AoA'!B30</f>
        <v>-13.908682721294669</v>
      </c>
      <c r="C30">
        <f>COS(RADIANS($A30))*('Lift @ Cruising Speed vs. AoA'!C31)+SIN(RADIANS($A30))*'Prop. Thrust vs Airspeed vs RPM'!$C$18-(9.81*($B$1+$B$2)) - SIN(RADIANS($A30))*'Drag @ Cruising Speed vs AoA'!C30</f>
        <v>-13.821909122578777</v>
      </c>
      <c r="D30">
        <f>COS(RADIANS($A30))*('Lift @ Cruising Speed vs. AoA'!D31)+SIN(RADIANS($A30))*'Prop. Thrust vs Airspeed vs RPM'!$C$18-(9.81*($B$1+$B$2)) - SIN(RADIANS($A30))*'Drag @ Cruising Speed vs AoA'!D30</f>
        <v>-13.75682892354186</v>
      </c>
      <c r="E30">
        <f>COS(RADIANS($A30))*('Lift @ Cruising Speed vs. AoA'!E31)+SIN(RADIANS($A30))*'Prop. Thrust vs Airspeed vs RPM'!$C$18-(9.81*($B$1+$B$2)) - SIN(RADIANS($A30))*'Drag @ Cruising Speed vs AoA'!E30</f>
        <v>-13.677286458052297</v>
      </c>
      <c r="F30">
        <f>COS(RADIANS($A30))*('Lift @ Cruising Speed vs. AoA'!F31)+SIN(RADIANS($A30))*'Prop. Thrust vs Airspeed vs RPM'!$C$18-(9.81*($B$1+$B$2)) - SIN(RADIANS($A30))*'Drag @ Cruising Speed vs AoA'!F30</f>
        <v>-13.583281726110084</v>
      </c>
      <c r="G30">
        <f>COS(RADIANS($A30))*('Lift @ Cruising Speed vs. AoA'!G31)+SIN(RADIANS($A30))*'Prop. Thrust vs Airspeed vs RPM'!$C$18-(9.81*($B$1+$B$2)) - SIN(RADIANS($A30))*'Drag @ Cruising Speed vs AoA'!G30</f>
        <v>-13.47481472771522</v>
      </c>
      <c r="H30">
        <f>COS(RADIANS($A30))*('Lift @ Cruising Speed vs. AoA'!H31)+SIN(RADIANS($A30))*'Prop. Thrust vs Airspeed vs RPM'!$C$18-(9.81*($B$1+$B$2)) - SIN(RADIANS($A30))*'Drag @ Cruising Speed vs AoA'!H30</f>
        <v>-13.214493931567553</v>
      </c>
      <c r="I30">
        <f>COS(RADIANS($A30))*('Lift @ Cruising Speed vs. AoA'!I31)+SIN(RADIANS($A30))*'Prop. Thrust vs Airspeed vs RPM'!$C$18-(9.81*($B$1+$B$2)) - SIN(RADIANS($A30))*'Drag @ Cruising Speed vs AoA'!I30</f>
        <v>-12.896324069609292</v>
      </c>
    </row>
    <row r="31" spans="1:9" x14ac:dyDescent="0.35">
      <c r="A31" s="1">
        <v>-3.25</v>
      </c>
      <c r="B31">
        <f>COS(RADIANS($A31))*('Lift @ Cruising Speed vs. AoA'!B32)+SIN(RADIANS($A31))*'Prop. Thrust vs Airspeed vs RPM'!$C$18-(9.81*($B$1+$B$2)) - SIN(RADIANS($A31))*'Drag @ Cruising Speed vs AoA'!B31</f>
        <v>-13.824770385531215</v>
      </c>
      <c r="C31">
        <f>COS(RADIANS($A31))*('Lift @ Cruising Speed vs. AoA'!C32)+SIN(RADIANS($A31))*'Prop. Thrust vs Airspeed vs RPM'!$C$18-(9.81*($B$1+$B$2)) - SIN(RADIANS($A31))*'Drag @ Cruising Speed vs AoA'!C31</f>
        <v>-13.529841298705259</v>
      </c>
      <c r="D31">
        <f>COS(RADIANS($A31))*('Lift @ Cruising Speed vs. AoA'!D32)+SIN(RADIANS($A31))*'Prop. Thrust vs Airspeed vs RPM'!$C$18-(9.81*($B$1+$B$2)) - SIN(RADIANS($A31))*'Drag @ Cruising Speed vs AoA'!D31</f>
        <v>-13.308644483585791</v>
      </c>
      <c r="E31">
        <f>COS(RADIANS($A31))*('Lift @ Cruising Speed vs. AoA'!E32)+SIN(RADIANS($A31))*'Prop. Thrust vs Airspeed vs RPM'!$C$18-(9.81*($B$1+$B$2)) - SIN(RADIANS($A31))*'Drag @ Cruising Speed vs AoA'!E31</f>
        <v>-13.038292820661999</v>
      </c>
      <c r="F31">
        <f>COS(RADIANS($A31))*('Lift @ Cruising Speed vs. AoA'!F32)+SIN(RADIANS($A31))*'Prop. Thrust vs Airspeed vs RPM'!$C$18-(9.81*($B$1+$B$2)) - SIN(RADIANS($A31))*'Drag @ Cruising Speed vs AoA'!F31</f>
        <v>-12.718786309933879</v>
      </c>
      <c r="G31">
        <f>COS(RADIANS($A31))*('Lift @ Cruising Speed vs. AoA'!G32)+SIN(RADIANS($A31))*'Prop. Thrust vs Airspeed vs RPM'!$C$18-(9.81*($B$1+$B$2)) - SIN(RADIANS($A31))*'Drag @ Cruising Speed vs AoA'!G31</f>
        <v>-12.350124951401433</v>
      </c>
      <c r="H31">
        <f>COS(RADIANS($A31))*('Lift @ Cruising Speed vs. AoA'!H32)+SIN(RADIANS($A31))*'Prop. Thrust vs Airspeed vs RPM'!$C$18-(9.81*($B$1+$B$2)) - SIN(RADIANS($A31))*'Drag @ Cruising Speed vs AoA'!H31</f>
        <v>-11.465337690923564</v>
      </c>
      <c r="I31">
        <f>COS(RADIANS($A31))*('Lift @ Cruising Speed vs. AoA'!I32)+SIN(RADIANS($A31))*'Prop. Thrust vs Airspeed vs RPM'!$C$18-(9.81*($B$1+$B$2)) - SIN(RADIANS($A31))*'Drag @ Cruising Speed vs AoA'!I31</f>
        <v>-10.383931039228388</v>
      </c>
    </row>
    <row r="32" spans="1:9" x14ac:dyDescent="0.35">
      <c r="A32" s="1">
        <v>-3</v>
      </c>
      <c r="B32">
        <f>COS(RADIANS($A32))*('Lift @ Cruising Speed vs. AoA'!B33)+SIN(RADIANS($A32))*'Prop. Thrust vs Airspeed vs RPM'!$C$18-(9.81*($B$1+$B$2)) - SIN(RADIANS($A32))*'Drag @ Cruising Speed vs AoA'!B32</f>
        <v>-13.728020464906736</v>
      </c>
      <c r="C32">
        <f>COS(RADIANS($A32))*('Lift @ Cruising Speed vs. AoA'!C33)+SIN(RADIANS($A32))*'Prop. Thrust vs Airspeed vs RPM'!$C$18-(9.81*($B$1+$B$2)) - SIN(RADIANS($A32))*'Drag @ Cruising Speed vs AoA'!C32</f>
        <v>-13.186433934824205</v>
      </c>
      <c r="D32">
        <f>COS(RADIANS($A32))*('Lift @ Cruising Speed vs. AoA'!D33)+SIN(RADIANS($A32))*'Prop. Thrust vs Airspeed vs RPM'!$C$18-(9.81*($B$1+$B$2)) - SIN(RADIANS($A32))*'Drag @ Cruising Speed vs AoA'!D32</f>
        <v>-12.780244037262307</v>
      </c>
      <c r="E32">
        <f>COS(RADIANS($A32))*('Lift @ Cruising Speed vs. AoA'!E33)+SIN(RADIANS($A32))*'Prop. Thrust vs Airspeed vs RPM'!$C$18-(9.81*($B$1+$B$2)) - SIN(RADIANS($A32))*'Drag @ Cruising Speed vs AoA'!E32</f>
        <v>-12.283789718019987</v>
      </c>
      <c r="F32">
        <f>COS(RADIANS($A32))*('Lift @ Cruising Speed vs. AoA'!F33)+SIN(RADIANS($A32))*'Prop. Thrust vs Airspeed vs RPM'!$C$18-(9.81*($B$1+$B$2)) - SIN(RADIANS($A32))*'Drag @ Cruising Speed vs AoA'!F32</f>
        <v>-11.697070977097244</v>
      </c>
      <c r="G32">
        <f>COS(RADIANS($A32))*('Lift @ Cruising Speed vs. AoA'!G33)+SIN(RADIANS($A32))*'Prop. Thrust vs Airspeed vs RPM'!$C$18-(9.81*($B$1+$B$2)) - SIN(RADIANS($A32))*'Drag @ Cruising Speed vs AoA'!G32</f>
        <v>-11.020087814494079</v>
      </c>
      <c r="H32">
        <f>COS(RADIANS($A32))*('Lift @ Cruising Speed vs. AoA'!H33)+SIN(RADIANS($A32))*'Prop. Thrust vs Airspeed vs RPM'!$C$18-(9.81*($B$1+$B$2)) - SIN(RADIANS($A32))*'Drag @ Cruising Speed vs AoA'!H32</f>
        <v>-9.3953282242464873</v>
      </c>
      <c r="I32">
        <f>COS(RADIANS($A32))*('Lift @ Cruising Speed vs. AoA'!I33)+SIN(RADIANS($A32))*'Prop. Thrust vs Airspeed vs RPM'!$C$18-(9.81*($B$1+$B$2)) - SIN(RADIANS($A32))*'Drag @ Cruising Speed vs AoA'!I32</f>
        <v>-7.4095109472772069</v>
      </c>
    </row>
    <row r="33" spans="1:9" x14ac:dyDescent="0.35">
      <c r="A33" s="1">
        <v>-2.75</v>
      </c>
      <c r="B33">
        <f>COS(RADIANS($A33))*('Lift @ Cruising Speed vs. AoA'!B34)+SIN(RADIANS($A33))*'Prop. Thrust vs Airspeed vs RPM'!$C$18-(9.81*($B$1+$B$2)) - SIN(RADIANS($A33))*'Drag @ Cruising Speed vs AoA'!B33</f>
        <v>-13.643087310517895</v>
      </c>
      <c r="C33">
        <f>COS(RADIANS($A33))*('Lift @ Cruising Speed vs. AoA'!C34)+SIN(RADIANS($A33))*'Prop. Thrust vs Airspeed vs RPM'!$C$18-(9.81*($B$1+$B$2)) - SIN(RADIANS($A33))*'Drag @ Cruising Speed vs AoA'!C33</f>
        <v>-12.890303605387372</v>
      </c>
      <c r="D33">
        <f>COS(RADIANS($A33))*('Lift @ Cruising Speed vs. AoA'!D34)+SIN(RADIANS($A33))*'Prop. Thrust vs Airspeed vs RPM'!$C$18-(9.81*($B$1+$B$2)) - SIN(RADIANS($A33))*'Drag @ Cruising Speed vs AoA'!D33</f>
        <v>-12.325715826539478</v>
      </c>
      <c r="E33">
        <f>COS(RADIANS($A33))*('Lift @ Cruising Speed vs. AoA'!E34)+SIN(RADIANS($A33))*'Prop. Thrust vs Airspeed vs RPM'!$C$18-(9.81*($B$1+$B$2)) - SIN(RADIANS($A33))*'Drag @ Cruising Speed vs AoA'!E33</f>
        <v>-11.635664096836498</v>
      </c>
      <c r="F33">
        <f>COS(RADIANS($A33))*('Lift @ Cruising Speed vs. AoA'!F34)+SIN(RADIANS($A33))*'Prop. Thrust vs Airspeed vs RPM'!$C$18-(9.81*($B$1+$B$2)) - SIN(RADIANS($A33))*'Drag @ Cruising Speed vs AoA'!F33</f>
        <v>-10.82014841627843</v>
      </c>
      <c r="G33">
        <f>COS(RADIANS($A33))*('Lift @ Cruising Speed vs. AoA'!G34)+SIN(RADIANS($A33))*'Prop. Thrust vs Airspeed vs RPM'!$C$18-(9.81*($B$1+$B$2)) - SIN(RADIANS($A33))*'Drag @ Cruising Speed vs AoA'!G33</f>
        <v>-9.8791687848652749</v>
      </c>
      <c r="H33">
        <f>COS(RADIANS($A33))*('Lift @ Cruising Speed vs. AoA'!H34)+SIN(RADIANS($A33))*'Prop. Thrust vs Airspeed vs RPM'!$C$18-(9.81*($B$1+$B$2)) - SIN(RADIANS($A33))*'Drag @ Cruising Speed vs AoA'!H33</f>
        <v>-7.6208176694737029</v>
      </c>
      <c r="I33">
        <f>COS(RADIANS($A33))*('Lift @ Cruising Speed vs. AoA'!I34)+SIN(RADIANS($A33))*'Prop. Thrust vs Airspeed vs RPM'!$C$18-(9.81*($B$1+$B$2)) - SIN(RADIANS($A33))*'Drag @ Cruising Speed vs AoA'!I33</f>
        <v>-4.8606107506617802</v>
      </c>
    </row>
    <row r="34" spans="1:9" x14ac:dyDescent="0.35">
      <c r="A34" s="1">
        <v>-2.5</v>
      </c>
      <c r="B34">
        <f>COS(RADIANS($A34))*('Lift @ Cruising Speed vs. AoA'!B35)+SIN(RADIANS($A34))*'Prop. Thrust vs Airspeed vs RPM'!$C$18-(9.81*($B$1+$B$2)) - SIN(RADIANS($A34))*'Drag @ Cruising Speed vs AoA'!B34</f>
        <v>-13.550749346516998</v>
      </c>
      <c r="C34">
        <f>COS(RADIANS($A34))*('Lift @ Cruising Speed vs. AoA'!C35)+SIN(RADIANS($A34))*'Prop. Thrust vs Airspeed vs RPM'!$C$18-(9.81*($B$1+$B$2)) - SIN(RADIANS($A34))*'Drag @ Cruising Speed vs AoA'!C34</f>
        <v>-12.564563176879266</v>
      </c>
      <c r="D34">
        <f>COS(RADIANS($A34))*('Lift @ Cruising Speed vs. AoA'!D35)+SIN(RADIANS($A34))*'Prop. Thrust vs Airspeed vs RPM'!$C$18-(9.81*($B$1+$B$2)) - SIN(RADIANS($A34))*'Drag @ Cruising Speed vs AoA'!D34</f>
        <v>-11.824923549650968</v>
      </c>
      <c r="E34">
        <f>COS(RADIANS($A34))*('Lift @ Cruising Speed vs. AoA'!E35)+SIN(RADIANS($A34))*'Prop. Thrust vs Airspeed vs RPM'!$C$18-(9.81*($B$1+$B$2)) - SIN(RADIANS($A34))*'Drag @ Cruising Speed vs AoA'!E34</f>
        <v>-10.92091956081638</v>
      </c>
      <c r="F34">
        <f>COS(RADIANS($A34))*('Lift @ Cruising Speed vs. AoA'!F35)+SIN(RADIANS($A34))*'Prop. Thrust vs Airspeed vs RPM'!$C$18-(9.81*($B$1+$B$2)) - SIN(RADIANS($A34))*'Drag @ Cruising Speed vs AoA'!F34</f>
        <v>-9.852551210375502</v>
      </c>
      <c r="G34">
        <f>COS(RADIANS($A34))*('Lift @ Cruising Speed vs. AoA'!G35)+SIN(RADIANS($A34))*'Prop. Thrust vs Airspeed vs RPM'!$C$18-(9.81*($B$1+$B$2)) - SIN(RADIANS($A34))*'Drag @ Cruising Speed vs AoA'!G34</f>
        <v>-8.6198184983283372</v>
      </c>
      <c r="H34">
        <f>COS(RADIANS($A34))*('Lift @ Cruising Speed vs. AoA'!H35)+SIN(RADIANS($A34))*'Prop. Thrust vs Airspeed vs RPM'!$C$18-(9.81*($B$1+$B$2)) - SIN(RADIANS($A34))*'Drag @ Cruising Speed vs AoA'!H34</f>
        <v>-5.6612599894151394</v>
      </c>
      <c r="I34">
        <f>COS(RADIANS($A34))*('Lift @ Cruising Speed vs. AoA'!I35)+SIN(RADIANS($A34))*'Prop. Thrust vs Airspeed vs RPM'!$C$18-(9.81*($B$1+$B$2)) - SIN(RADIANS($A34))*'Drag @ Cruising Speed vs AoA'!I34</f>
        <v>-2.0452440340767879</v>
      </c>
    </row>
    <row r="35" spans="1:9" x14ac:dyDescent="0.35">
      <c r="A35" s="1">
        <v>-2.25</v>
      </c>
      <c r="B35">
        <f>COS(RADIANS($A35))*('Lift @ Cruising Speed vs. AoA'!B36)+SIN(RADIANS($A35))*'Prop. Thrust vs Airspeed vs RPM'!$C$18-(9.81*($B$1+$B$2)) - SIN(RADIANS($A35))*'Drag @ Cruising Speed vs AoA'!B35</f>
        <v>-13.465734430453674</v>
      </c>
      <c r="C35">
        <f>COS(RADIANS($A35))*('Lift @ Cruising Speed vs. AoA'!C36)+SIN(RADIANS($A35))*'Prop. Thrust vs Airspeed vs RPM'!$C$18-(9.81*($B$1+$B$2)) - SIN(RADIANS($A35))*'Drag @ Cruising Speed vs AoA'!C35</f>
        <v>-12.268123249199686</v>
      </c>
      <c r="D35">
        <f>COS(RADIANS($A35))*('Lift @ Cruising Speed vs. AoA'!D36)+SIN(RADIANS($A35))*'Prop. Thrust vs Airspeed vs RPM'!$C$18-(9.81*($B$1+$B$2)) - SIN(RADIANS($A35))*'Drag @ Cruising Speed vs AoA'!D35</f>
        <v>-11.369914863259197</v>
      </c>
      <c r="E35">
        <f>COS(RADIANS($A35))*('Lift @ Cruising Speed vs. AoA'!E36)+SIN(RADIANS($A35))*'Prop. Thrust vs Airspeed vs RPM'!$C$18-(9.81*($B$1+$B$2)) - SIN(RADIANS($A35))*'Drag @ Cruising Speed vs AoA'!E35</f>
        <v>-10.272104613776374</v>
      </c>
      <c r="F35">
        <f>COS(RADIANS($A35))*('Lift @ Cruising Speed vs. AoA'!F36)+SIN(RADIANS($A35))*'Prop. Thrust vs Airspeed vs RPM'!$C$18-(9.81*($B$1+$B$2)) - SIN(RADIANS($A35))*'Drag @ Cruising Speed vs AoA'!F35</f>
        <v>-8.974692500751221</v>
      </c>
      <c r="G35">
        <f>COS(RADIANS($A35))*('Lift @ Cruising Speed vs. AoA'!G36)+SIN(RADIANS($A35))*'Prop. Thrust vs Airspeed vs RPM'!$C$18-(9.81*($B$1+$B$2)) - SIN(RADIANS($A35))*'Drag @ Cruising Speed vs AoA'!G35</f>
        <v>-7.4776785241837365</v>
      </c>
      <c r="H35">
        <f>COS(RADIANS($A35))*('Lift @ Cruising Speed vs. AoA'!H36)+SIN(RADIANS($A35))*'Prop. Thrust vs Airspeed vs RPM'!$C$18-(9.81*($B$1+$B$2)) - SIN(RADIANS($A35))*'Drag @ Cruising Speed vs AoA'!H35</f>
        <v>-3.884844980421772</v>
      </c>
      <c r="I35">
        <f>COS(RADIANS($A35))*('Lift @ Cruising Speed vs. AoA'!I36)+SIN(RADIANS($A35))*'Prop. Thrust vs Airspeed vs RPM'!$C$18-(9.81*($B$1+$B$2)) - SIN(RADIANS($A35))*'Drag @ Cruising Speed vs AoA'!I35</f>
        <v>0.50639601750951291</v>
      </c>
    </row>
    <row r="36" spans="1:9" x14ac:dyDescent="0.35">
      <c r="A36" s="1">
        <v>-2</v>
      </c>
      <c r="B36">
        <f>COS(RADIANS($A36))*('Lift @ Cruising Speed vs. AoA'!B37)+SIN(RADIANS($A36))*'Prop. Thrust vs Airspeed vs RPM'!$C$18-(9.81*($B$1+$B$2)) - SIN(RADIANS($A36))*'Drag @ Cruising Speed vs AoA'!B36</f>
        <v>-13.380052997168978</v>
      </c>
      <c r="C36">
        <f>COS(RADIANS($A36))*('Lift @ Cruising Speed vs. AoA'!C37)+SIN(RADIANS($A36))*'Prop. Thrust vs Airspeed vs RPM'!$C$18-(9.81*($B$1+$B$2)) - SIN(RADIANS($A36))*'Drag @ Cruising Speed vs AoA'!C36</f>
        <v>-11.969024731255949</v>
      </c>
      <c r="D36">
        <f>COS(RADIANS($A36))*('Lift @ Cruising Speed vs. AoA'!D37)+SIN(RADIANS($A36))*'Prop. Thrust vs Airspeed vs RPM'!$C$18-(9.81*($B$1+$B$2)) - SIN(RADIANS($A36))*'Drag @ Cruising Speed vs AoA'!D36</f>
        <v>-10.910753531821173</v>
      </c>
      <c r="E36">
        <f>COS(RADIANS($A36))*('Lift @ Cruising Speed vs. AoA'!E37)+SIN(RADIANS($A36))*'Prop. Thrust vs Airspeed vs RPM'!$C$18-(9.81*($B$1+$B$2)) - SIN(RADIANS($A36))*'Drag @ Cruising Speed vs AoA'!E36</f>
        <v>-9.6173109547342293</v>
      </c>
      <c r="F36">
        <f>COS(RADIANS($A36))*('Lift @ Cruising Speed vs. AoA'!F37)+SIN(RADIANS($A36))*'Prop. Thrust vs Airspeed vs RPM'!$C$18-(9.81*($B$1+$B$2)) - SIN(RADIANS($A36))*'Drag @ Cruising Speed vs AoA'!F36</f>
        <v>-8.088696999995113</v>
      </c>
      <c r="G36">
        <f>COS(RADIANS($A36))*('Lift @ Cruising Speed vs. AoA'!G37)+SIN(RADIANS($A36))*'Prop. Thrust vs Airspeed vs RPM'!$C$18-(9.81*($B$1+$B$2)) - SIN(RADIANS($A36))*'Drag @ Cruising Speed vs AoA'!G36</f>
        <v>-6.3249116676038257</v>
      </c>
      <c r="H36">
        <f>COS(RADIANS($A36))*('Lift @ Cruising Speed vs. AoA'!H37)+SIN(RADIANS($A36))*'Prop. Thrust vs Airspeed vs RPM'!$C$18-(9.81*($B$1+$B$2)) - SIN(RADIANS($A36))*'Drag @ Cruising Speed vs AoA'!H36</f>
        <v>-2.0918268698647342</v>
      </c>
      <c r="I36">
        <f>COS(RADIANS($A36))*('Lift @ Cruising Speed vs. AoA'!I37)+SIN(RADIANS($A36))*'Prop. Thrust vs Airspeed vs RPM'!$C$18-(9.81*($B$1+$B$2)) - SIN(RADIANS($A36))*'Drag @ Cruising Speed vs AoA'!I36</f>
        <v>3.0819434384830413</v>
      </c>
    </row>
    <row r="37" spans="1:9" x14ac:dyDescent="0.35">
      <c r="A37" s="1">
        <v>-1.75</v>
      </c>
      <c r="B37">
        <f>COS(RADIANS($A37))*('Lift @ Cruising Speed vs. AoA'!B38)+SIN(RADIANS($A37))*'Prop. Thrust vs Airspeed vs RPM'!$C$18-(9.81*($B$1+$B$2)) - SIN(RADIANS($A37))*'Drag @ Cruising Speed vs AoA'!B37</f>
        <v>-13.320082270583649</v>
      </c>
      <c r="C37">
        <f>COS(RADIANS($A37))*('Lift @ Cruising Speed vs. AoA'!C38)+SIN(RADIANS($A37))*'Prop. Thrust vs Airspeed vs RPM'!$C$18-(9.81*($B$1+$B$2)) - SIN(RADIANS($A37))*'Drag @ Cruising Speed vs AoA'!C37</f>
        <v>-11.77277568813172</v>
      </c>
      <c r="D37">
        <f>COS(RADIANS($A37))*('Lift @ Cruising Speed vs. AoA'!D38)+SIN(RADIANS($A37))*'Prop. Thrust vs Airspeed vs RPM'!$C$18-(9.81*($B$1+$B$2)) - SIN(RADIANS($A37))*'Drag @ Cruising Speed vs AoA'!D37</f>
        <v>-10.612295751292773</v>
      </c>
      <c r="E37">
        <f>COS(RADIANS($A37))*('Lift @ Cruising Speed vs. AoA'!E38)+SIN(RADIANS($A37))*'Prop. Thrust vs Airspeed vs RPM'!$C$18-(9.81*($B$1+$B$2)) - SIN(RADIANS($A37))*'Drag @ Cruising Speed vs AoA'!E37</f>
        <v>-9.19393138404517</v>
      </c>
      <c r="F37">
        <f>COS(RADIANS($A37))*('Lift @ Cruising Speed vs. AoA'!F38)+SIN(RADIANS($A37))*'Prop. Thrust vs Airspeed vs RPM'!$C$18-(9.81*($B$1+$B$2)) - SIN(RADIANS($A37))*'Drag @ Cruising Speed vs AoA'!F37</f>
        <v>-7.5176825863889132</v>
      </c>
      <c r="G37">
        <f>COS(RADIANS($A37))*('Lift @ Cruising Speed vs. AoA'!G38)+SIN(RADIANS($A37))*'Prop. Thrust vs Airspeed vs RPM'!$C$18-(9.81*($B$1+$B$2)) - SIN(RADIANS($A37))*'Drag @ Cruising Speed vs AoA'!G37</f>
        <v>-5.5835493583240021</v>
      </c>
      <c r="H37">
        <f>COS(RADIANS($A37))*('Lift @ Cruising Speed vs. AoA'!H38)+SIN(RADIANS($A37))*'Prop. Thrust vs Airspeed vs RPM'!$C$18-(9.81*($B$1+$B$2)) - SIN(RADIANS($A37))*'Drag @ Cruising Speed vs AoA'!H37</f>
        <v>-0.94162961096820896</v>
      </c>
      <c r="I37">
        <f>COS(RADIANS($A37))*('Lift @ Cruising Speed vs. AoA'!I38)+SIN(RADIANS($A37))*'Prop. Thrust vs Airspeed vs RPM'!$C$18-(9.81*($B$1+$B$2)) - SIN(RADIANS($A37))*'Drag @ Cruising Speed vs AoA'!I37</f>
        <v>4.7318278580221955</v>
      </c>
    </row>
    <row r="38" spans="1:9" x14ac:dyDescent="0.35">
      <c r="A38" s="1">
        <v>-1.5</v>
      </c>
      <c r="B38">
        <f>COS(RADIANS($A38))*('Lift @ Cruising Speed vs. AoA'!B39)+SIN(RADIANS($A38))*'Prop. Thrust vs Airspeed vs RPM'!$C$18-(9.81*($B$1+$B$2)) - SIN(RADIANS($A38))*'Drag @ Cruising Speed vs AoA'!B38</f>
        <v>-13.261671933389742</v>
      </c>
      <c r="C38">
        <f>COS(RADIANS($A38))*('Lift @ Cruising Speed vs. AoA'!C39)+SIN(RADIANS($A38))*'Prop. Thrust vs Airspeed vs RPM'!$C$18-(9.81*($B$1+$B$2)) - SIN(RADIANS($A38))*'Drag @ Cruising Speed vs AoA'!C38</f>
        <v>-11.582774019869357</v>
      </c>
      <c r="D38">
        <f>COS(RADIANS($A38))*('Lift @ Cruising Speed vs. AoA'!D39)+SIN(RADIANS($A38))*'Prop. Thrust vs Airspeed vs RPM'!$C$18-(9.81*($B$1+$B$2)) - SIN(RADIANS($A38))*'Drag @ Cruising Speed vs AoA'!D38</f>
        <v>-10.323600584729069</v>
      </c>
      <c r="E38">
        <f>COS(RADIANS($A38))*('Lift @ Cruising Speed vs. AoA'!E39)+SIN(RADIANS($A38))*'Prop. Thrust vs Airspeed vs RPM'!$C$18-(9.81*($B$1+$B$2)) - SIN(RADIANS($A38))*'Drag @ Cruising Speed vs AoA'!E38</f>
        <v>-8.7846108306687167</v>
      </c>
      <c r="F38">
        <f>COS(RADIANS($A38))*('Lift @ Cruising Speed vs. AoA'!F39)+SIN(RADIANS($A38))*'Prop. Thrust vs Airspeed vs RPM'!$C$18-(9.81*($B$1+$B$2)) - SIN(RADIANS($A38))*'Drag @ Cruising Speed vs AoA'!F38</f>
        <v>-6.9658047576882991</v>
      </c>
      <c r="G38">
        <f>COS(RADIANS($A38))*('Lift @ Cruising Speed vs. AoA'!G39)+SIN(RADIANS($A38))*'Prop. Thrust vs Airspeed vs RPM'!$C$18-(9.81*($B$1+$B$2)) - SIN(RADIANS($A38))*'Drag @ Cruising Speed vs AoA'!G38</f>
        <v>-4.8671823657878166</v>
      </c>
      <c r="H38">
        <f>COS(RADIANS($A38))*('Lift @ Cruising Speed vs. AoA'!H39)+SIN(RADIANS($A38))*'Prop. Thrust vs Airspeed vs RPM'!$C$18-(9.81*($B$1+$B$2)) - SIN(RADIANS($A38))*'Drag @ Cruising Speed vs AoA'!H38</f>
        <v>0.16951137477334077</v>
      </c>
      <c r="I38">
        <f>COS(RADIANS($A38))*('Lift @ Cruising Speed vs. AoA'!I39)+SIN(RADIANS($A38))*'Prop. Thrust vs Airspeed vs RPM'!$C$18-(9.81*($B$1+$B$2)) - SIN(RADIANS($A38))*'Drag @ Cruising Speed vs AoA'!I38</f>
        <v>6.3254703910147487</v>
      </c>
    </row>
    <row r="39" spans="1:9" x14ac:dyDescent="0.35">
      <c r="A39" s="1">
        <v>-1.25</v>
      </c>
      <c r="B39">
        <f>COS(RADIANS($A39))*('Lift @ Cruising Speed vs. AoA'!B40)+SIN(RADIANS($A39))*'Prop. Thrust vs Airspeed vs RPM'!$C$18-(9.81*($B$1+$B$2)) - SIN(RADIANS($A39))*'Drag @ Cruising Speed vs AoA'!B39</f>
        <v>-12.987950265330065</v>
      </c>
      <c r="C39">
        <f>COS(RADIANS($A39))*('Lift @ Cruising Speed vs. AoA'!C40)+SIN(RADIANS($A39))*'Prop. Thrust vs Airspeed vs RPM'!$C$18-(9.81*($B$1+$B$2)) - SIN(RADIANS($A39))*'Drag @ Cruising Speed vs AoA'!C39</f>
        <v>-10.53153201460348</v>
      </c>
      <c r="D39">
        <f>COS(RADIANS($A39))*('Lift @ Cruising Speed vs. AoA'!D40)+SIN(RADIANS($A39))*'Prop. Thrust vs Airspeed vs RPM'!$C$18-(9.81*($B$1+$B$2)) - SIN(RADIANS($A39))*'Drag @ Cruising Speed vs AoA'!D39</f>
        <v>-8.6892183265585405</v>
      </c>
      <c r="E39">
        <f>COS(RADIANS($A39))*('Lift @ Cruising Speed vs. AoA'!E40)+SIN(RADIANS($A39))*'Prop. Thrust vs Airspeed vs RPM'!$C$18-(9.81*($B$1+$B$2)) - SIN(RADIANS($A39))*'Drag @ Cruising Speed vs AoA'!E39</f>
        <v>-6.4375015967258413</v>
      </c>
      <c r="F39">
        <f>COS(RADIANS($A39))*('Lift @ Cruising Speed vs. AoA'!F40)+SIN(RADIANS($A39))*'Prop. Thrust vs Airspeed vs RPM'!$C$18-(9.81*($B$1+$B$2)) - SIN(RADIANS($A39))*'Drag @ Cruising Speed vs AoA'!F39</f>
        <v>-3.7763818251053736</v>
      </c>
      <c r="G39">
        <f>COS(RADIANS($A39))*('Lift @ Cruising Speed vs. AoA'!G40)+SIN(RADIANS($A39))*'Prop. Thrust vs Airspeed vs RPM'!$C$18-(9.81*($B$1+$B$2)) - SIN(RADIANS($A39))*'Drag @ Cruising Speed vs AoA'!G39</f>
        <v>-0.7058590116971426</v>
      </c>
      <c r="H39">
        <f>COS(RADIANS($A39))*('Lift @ Cruising Speed vs. AoA'!H40)+SIN(RADIANS($A39))*'Prop. Thrust vs Airspeed vs RPM'!$C$18-(9.81*($B$1+$B$2)) - SIN(RADIANS($A39))*'Drag @ Cruising Speed vs AoA'!H39</f>
        <v>6.6633957404826107</v>
      </c>
      <c r="I39">
        <f>COS(RADIANS($A39))*('Lift @ Cruising Speed vs. AoA'!I40)+SIN(RADIANS($A39))*'Prop. Thrust vs Airspeed vs RPM'!$C$18-(9.81*($B$1+$B$2)) - SIN(RADIANS($A39))*'Drag @ Cruising Speed vs AoA'!I39</f>
        <v>15.670262659813412</v>
      </c>
    </row>
    <row r="40" spans="1:9" x14ac:dyDescent="0.35">
      <c r="A40" s="1">
        <v>-1</v>
      </c>
      <c r="B40">
        <f>COS(RADIANS($A40))*('Lift @ Cruising Speed vs. AoA'!B41)+SIN(RADIANS($A40))*'Prop. Thrust vs Airspeed vs RPM'!$C$18-(9.81*($B$1+$B$2)) - SIN(RADIANS($A40))*'Drag @ Cruising Speed vs AoA'!B40</f>
        <v>-12.745978177887901</v>
      </c>
      <c r="C40">
        <f>COS(RADIANS($A40))*('Lift @ Cruising Speed vs. AoA'!C41)+SIN(RADIANS($A40))*'Prop. Thrust vs Airspeed vs RPM'!$C$18-(9.81*($B$1+$B$2)) - SIN(RADIANS($A40))*'Drag @ Cruising Speed vs AoA'!C40</f>
        <v>-9.6072924873356786</v>
      </c>
      <c r="D40">
        <f>COS(RADIANS($A40))*('Lift @ Cruising Speed vs. AoA'!D41)+SIN(RADIANS($A40))*'Prop. Thrust vs Airspeed vs RPM'!$C$18-(9.81*($B$1+$B$2)) - SIN(RADIANS($A40))*'Drag @ Cruising Speed vs AoA'!D40</f>
        <v>-7.2532782194215102</v>
      </c>
      <c r="E40">
        <f>COS(RADIANS($A40))*('Lift @ Cruising Speed vs. AoA'!E41)+SIN(RADIANS($A40))*'Prop. Thrust vs Airspeed vs RPM'!$C$18-(9.81*($B$1+$B$2)) - SIN(RADIANS($A40))*'Drag @ Cruising Speed vs AoA'!E40</f>
        <v>-4.3761496697486413</v>
      </c>
      <c r="F40">
        <f>COS(RADIANS($A40))*('Lift @ Cruising Speed vs. AoA'!F41)+SIN(RADIANS($A40))*'Prop. Thrust vs Airspeed vs RPM'!$C$18-(9.81*($B$1+$B$2)) - SIN(RADIANS($A40))*'Drag @ Cruising Speed vs AoA'!F40</f>
        <v>-0.97590683831706648</v>
      </c>
      <c r="G40">
        <f>COS(RADIANS($A40))*('Lift @ Cruising Speed vs. AoA'!G41)+SIN(RADIANS($A40))*'Prop. Thrust vs Airspeed vs RPM'!$C$18-(9.81*($B$1+$B$2)) - SIN(RADIANS($A40))*'Drag @ Cruising Speed vs AoA'!G40</f>
        <v>2.9474502748732121</v>
      </c>
      <c r="H40">
        <f>COS(RADIANS($A40))*('Lift @ Cruising Speed vs. AoA'!H41)+SIN(RADIANS($A40))*'Prop. Thrust vs Airspeed vs RPM'!$C$18-(9.81*($B$1+$B$2)) - SIN(RADIANS($A40))*'Drag @ Cruising Speed vs AoA'!H40</f>
        <v>12.363507346529881</v>
      </c>
      <c r="I40">
        <f>COS(RADIANS($A40))*('Lift @ Cruising Speed vs. AoA'!I41)+SIN(RADIANS($A40))*'Prop. Thrust vs Airspeed vs RPM'!$C$18-(9.81*($B$1+$B$2)) - SIN(RADIANS($A40))*'Drag @ Cruising Speed vs AoA'!I40</f>
        <v>23.872021545221362</v>
      </c>
    </row>
    <row r="41" spans="1:9" x14ac:dyDescent="0.35">
      <c r="A41" s="1">
        <v>-0.75</v>
      </c>
      <c r="B41">
        <f>COS(RADIANS($A41))*('Lift @ Cruising Speed vs. AoA'!B42)+SIN(RADIANS($A41))*'Prop. Thrust vs Airspeed vs RPM'!$C$18-(9.81*($B$1+$B$2)) - SIN(RADIANS($A41))*'Drag @ Cruising Speed vs AoA'!B41</f>
        <v>-12.666581168252863</v>
      </c>
      <c r="C41">
        <f>COS(RADIANS($A41))*('Lift @ Cruising Speed vs. AoA'!C42)+SIN(RADIANS($A41))*'Prop. Thrust vs Airspeed vs RPM'!$C$18-(9.81*($B$1+$B$2)) - SIN(RADIANS($A41))*'Drag @ Cruising Speed vs AoA'!C41</f>
        <v>-9.3333565958137417</v>
      </c>
      <c r="D41">
        <f>COS(RADIANS($A41))*('Lift @ Cruising Speed vs. AoA'!D42)+SIN(RADIANS($A41))*'Prop. Thrust vs Airspeed vs RPM'!$C$18-(9.81*($B$1+$B$2)) - SIN(RADIANS($A41))*'Drag @ Cruising Speed vs AoA'!D41</f>
        <v>-6.8334381664843988</v>
      </c>
      <c r="E41">
        <f>COS(RADIANS($A41))*('Lift @ Cruising Speed vs. AoA'!E42)+SIN(RADIANS($A41))*'Prop. Thrust vs Airspeed vs RPM'!$C$18-(9.81*($B$1+$B$2)) - SIN(RADIANS($A41))*'Drag @ Cruising Speed vs AoA'!E41</f>
        <v>-3.7779823084152055</v>
      </c>
      <c r="F41">
        <f>COS(RADIANS($A41))*('Lift @ Cruising Speed vs. AoA'!F42)+SIN(RADIANS($A41))*'Prop. Thrust vs Airspeed vs RPM'!$C$18-(9.81*($B$1+$B$2)) - SIN(RADIANS($A41))*'Drag @ Cruising Speed vs AoA'!F41</f>
        <v>-0.16698902160615745</v>
      </c>
      <c r="G41">
        <f>COS(RADIANS($A41))*('Lift @ Cruising Speed vs. AoA'!G42)+SIN(RADIANS($A41))*'Prop. Thrust vs Airspeed vs RPM'!$C$18-(9.81*($B$1+$B$2)) - SIN(RADIANS($A41))*'Drag @ Cruising Speed vs AoA'!G41</f>
        <v>3.9995416939427466</v>
      </c>
      <c r="H41">
        <f>COS(RADIANS($A41))*('Lift @ Cruising Speed vs. AoA'!H42)+SIN(RADIANS($A41))*'Prop. Thrust vs Airspeed vs RPM'!$C$18-(9.81*($B$1+$B$2)) - SIN(RADIANS($A41))*'Drag @ Cruising Speed vs AoA'!H41</f>
        <v>13.999215411260117</v>
      </c>
      <c r="I41">
        <f>COS(RADIANS($A41))*('Lift @ Cruising Speed vs. AoA'!I42)+SIN(RADIANS($A41))*'Prop. Thrust vs Airspeed vs RPM'!$C$18-(9.81*($B$1+$B$2)) - SIN(RADIANS($A41))*'Drag @ Cruising Speed vs AoA'!I41</f>
        <v>26.221038843536892</v>
      </c>
    </row>
    <row r="42" spans="1:9" x14ac:dyDescent="0.35">
      <c r="A42" s="1">
        <v>-0.5</v>
      </c>
      <c r="B42">
        <f>COS(RADIANS($A42))*('Lift @ Cruising Speed vs. AoA'!B43)+SIN(RADIANS($A42))*'Prop. Thrust vs Airspeed vs RPM'!$C$18-(9.81*($B$1+$B$2)) - SIN(RADIANS($A42))*'Drag @ Cruising Speed vs AoA'!B42</f>
        <v>-12.584125327688183</v>
      </c>
      <c r="C42">
        <f>COS(RADIANS($A42))*('Lift @ Cruising Speed vs. AoA'!C43)+SIN(RADIANS($A42))*'Prop. Thrust vs Airspeed vs RPM'!$C$18-(9.81*($B$1+$B$2)) - SIN(RADIANS($A42))*'Drag @ Cruising Speed vs AoA'!C42</f>
        <v>-9.0471878740166396</v>
      </c>
      <c r="D42">
        <f>COS(RADIANS($A42))*('Lift @ Cruising Speed vs. AoA'!D43)+SIN(RADIANS($A42))*'Prop. Thrust vs Airspeed vs RPM'!$C$18-(9.81*($B$1+$B$2)) - SIN(RADIANS($A42))*'Drag @ Cruising Speed vs AoA'!D42</f>
        <v>-6.3944847837629801</v>
      </c>
      <c r="E42">
        <f>COS(RADIANS($A42))*('Lift @ Cruising Speed vs. AoA'!E43)+SIN(RADIANS($A42))*'Prop. Thrust vs Airspeed vs RPM'!$C$18-(9.81*($B$1+$B$2)) - SIN(RADIANS($A42))*'Drag @ Cruising Speed vs AoA'!E42</f>
        <v>-3.1522921178973964</v>
      </c>
      <c r="F42">
        <f>COS(RADIANS($A42))*('Lift @ Cruising Speed vs. AoA'!F43)+SIN(RADIANS($A42))*'Prop. Thrust vs Airspeed vs RPM'!$C$18-(9.81*($B$1+$B$2)) - SIN(RADIANS($A42))*'Drag @ Cruising Speed vs AoA'!F42</f>
        <v>0.67939012358011086</v>
      </c>
      <c r="G42">
        <f>COS(RADIANS($A42))*('Lift @ Cruising Speed vs. AoA'!G43)+SIN(RADIANS($A42))*'Prop. Thrust vs Airspeed vs RPM'!$C$18-(9.81*($B$1+$B$2)) - SIN(RADIANS($A42))*'Drag @ Cruising Speed vs AoA'!G42</f>
        <v>5.1005619406695386</v>
      </c>
      <c r="H42">
        <f>COS(RADIANS($A42))*('Lift @ Cruising Speed vs. AoA'!H43)+SIN(RADIANS($A42))*'Prop. Thrust vs Airspeed vs RPM'!$C$18-(9.81*($B$1+$B$2)) - SIN(RADIANS($A42))*'Drag @ Cruising Speed vs AoA'!H42</f>
        <v>15.711374301684174</v>
      </c>
      <c r="I42">
        <f>COS(RADIANS($A42))*('Lift @ Cruising Speed vs. AoA'!I43)+SIN(RADIANS($A42))*'Prop. Thrust vs Airspeed vs RPM'!$C$18-(9.81*($B$1+$B$2)) - SIN(RADIANS($A42))*'Drag @ Cruising Speed vs AoA'!I42</f>
        <v>28.6801449651465</v>
      </c>
    </row>
    <row r="43" spans="1:9" x14ac:dyDescent="0.35">
      <c r="A43" s="1">
        <v>-0.25</v>
      </c>
      <c r="B43">
        <f>COS(RADIANS($A43))*('Lift @ Cruising Speed vs. AoA'!B44)+SIN(RADIANS($A43))*'Prop. Thrust vs Airspeed vs RPM'!$C$18-(9.81*($B$1+$B$2)) - SIN(RADIANS($A43))*'Drag @ Cruising Speed vs AoA'!B43</f>
        <v>-12.498624131639348</v>
      </c>
      <c r="C43">
        <f>COS(RADIANS($A43))*('Lift @ Cruising Speed vs. AoA'!C44)+SIN(RADIANS($A43))*'Prop. Thrust vs Airspeed vs RPM'!$C$18-(9.81*($B$1+$B$2)) - SIN(RADIANS($A43))*'Drag @ Cruising Speed vs AoA'!C43</f>
        <v>-8.7488393926048964</v>
      </c>
      <c r="D43">
        <f>COS(RADIANS($A43))*('Lift @ Cruising Speed vs. AoA'!D44)+SIN(RADIANS($A43))*'Prop. Thrust vs Airspeed vs RPM'!$C$18-(9.81*($B$1+$B$2)) - SIN(RADIANS($A43))*'Drag @ Cruising Speed vs AoA'!D43</f>
        <v>-5.9365008383290556</v>
      </c>
      <c r="E43">
        <f>COS(RADIANS($A43))*('Lift @ Cruising Speed vs. AoA'!E44)+SIN(RADIANS($A43))*'Prop. Thrust vs Airspeed vs RPM'!$C$18-(9.81*($B$1+$B$2)) - SIN(RADIANS($A43))*'Drag @ Cruising Speed vs AoA'!E43</f>
        <v>-2.4991981608808085</v>
      </c>
      <c r="F43">
        <f>COS(RADIANS($A43))*('Lift @ Cruising Speed vs. AoA'!F44)+SIN(RADIANS($A43))*'Prop. Thrust vs Airspeed vs RPM'!$C$18-(9.81*($B$1+$B$2)) - SIN(RADIANS($A43))*'Drag @ Cruising Speed vs AoA'!F43</f>
        <v>1.5630686397398481</v>
      </c>
      <c r="G43">
        <f>COS(RADIANS($A43))*('Lift @ Cruising Speed vs. AoA'!G44)+SIN(RADIANS($A43))*'Prop. Thrust vs Airspeed vs RPM'!$C$18-(9.81*($B$1+$B$2)) - SIN(RADIANS($A43))*'Drag @ Cruising Speed vs AoA'!G43</f>
        <v>6.2502995635329182</v>
      </c>
      <c r="H43">
        <f>COS(RADIANS($A43))*('Lift @ Cruising Speed vs. AoA'!H44)+SIN(RADIANS($A43))*'Prop. Thrust vs Airspeed vs RPM'!$C$18-(9.81*($B$1+$B$2)) - SIN(RADIANS($A43))*'Drag @ Cruising Speed vs AoA'!H43</f>
        <v>17.49965378063628</v>
      </c>
      <c r="I43">
        <f>COS(RADIANS($A43))*('Lift @ Cruising Speed vs. AoA'!I44)+SIN(RADIANS($A43))*'Prop. Thrust vs Airspeed vs RPM'!$C$18-(9.81*($B$1+$B$2)) - SIN(RADIANS($A43))*'Drag @ Cruising Speed vs AoA'!I43</f>
        <v>31.248864490429266</v>
      </c>
    </row>
    <row r="44" spans="1:9" x14ac:dyDescent="0.35">
      <c r="A44" s="1">
        <v>0</v>
      </c>
      <c r="B44">
        <f>COS(RADIANS($A44))*('Lift @ Cruising Speed vs. AoA'!B45)+SIN(RADIANS($A44))*'Prop. Thrust vs Airspeed vs RPM'!$C$18-(9.81*($B$1+$B$2)) - SIN(RADIANS($A44))*'Drag @ Cruising Speed vs AoA'!B44</f>
        <v>-12.415900000000001</v>
      </c>
      <c r="C44">
        <f>COS(RADIANS($A44))*('Lift @ Cruising Speed vs. AoA'!C45)+SIN(RADIANS($A44))*'Prop. Thrust vs Airspeed vs RPM'!$C$18-(9.81*($B$1+$B$2)) - SIN(RADIANS($A44))*'Drag @ Cruising Speed vs AoA'!C44</f>
        <v>-8.4616000000000007</v>
      </c>
      <c r="D44">
        <f>COS(RADIANS($A44))*('Lift @ Cruising Speed vs. AoA'!D45)+SIN(RADIANS($A44))*'Prop. Thrust vs Airspeed vs RPM'!$C$18-(9.81*($B$1+$B$2)) - SIN(RADIANS($A44))*'Drag @ Cruising Speed vs AoA'!D44</f>
        <v>-5.4958749999999998</v>
      </c>
      <c r="E44">
        <f>COS(RADIANS($A44))*('Lift @ Cruising Speed vs. AoA'!E45)+SIN(RADIANS($A44))*'Prop. Thrust vs Airspeed vs RPM'!$C$18-(9.81*($B$1+$B$2)) - SIN(RADIANS($A44))*'Drag @ Cruising Speed vs AoA'!E44</f>
        <v>-1.8711000000000002</v>
      </c>
      <c r="F44">
        <f>COS(RADIANS($A44))*('Lift @ Cruising Speed vs. AoA'!F45)+SIN(RADIANS($A44))*'Prop. Thrust vs Airspeed vs RPM'!$C$18-(9.81*($B$1+$B$2)) - SIN(RADIANS($A44))*'Drag @ Cruising Speed vs AoA'!F44</f>
        <v>2.4127249999999982</v>
      </c>
      <c r="G44">
        <f>COS(RADIANS($A44))*('Lift @ Cruising Speed vs. AoA'!G45)+SIN(RADIANS($A44))*'Prop. Thrust vs Airspeed vs RPM'!$C$18-(9.81*($B$1+$B$2)) - SIN(RADIANS($A44))*'Drag @ Cruising Speed vs AoA'!G44</f>
        <v>7.3556000000000026</v>
      </c>
      <c r="H44">
        <f>COS(RADIANS($A44))*('Lift @ Cruising Speed vs. AoA'!H45)+SIN(RADIANS($A44))*'Prop. Thrust vs Airspeed vs RPM'!$C$18-(9.81*($B$1+$B$2)) - SIN(RADIANS($A44))*'Drag @ Cruising Speed vs AoA'!H44</f>
        <v>19.218500000000006</v>
      </c>
      <c r="I44">
        <f>COS(RADIANS($A44))*('Lift @ Cruising Speed vs. AoA'!I45)+SIN(RADIANS($A44))*'Prop. Thrust vs Airspeed vs RPM'!$C$18-(9.81*($B$1+$B$2)) - SIN(RADIANS($A44))*'Drag @ Cruising Speed vs AoA'!I44</f>
        <v>33.717600000000004</v>
      </c>
    </row>
    <row r="45" spans="1:9" x14ac:dyDescent="0.35">
      <c r="A45" s="1">
        <v>0.25</v>
      </c>
      <c r="B45">
        <f>COS(RADIANS($A45))*('Lift @ Cruising Speed vs. AoA'!B46)+SIN(RADIANS($A45))*'Prop. Thrust vs Airspeed vs RPM'!$C$18-(9.81*($B$1+$B$2)) - SIN(RADIANS($A45))*'Drag @ Cruising Speed vs AoA'!B45</f>
        <v>-12.33013875949014</v>
      </c>
      <c r="C45">
        <f>COS(RADIANS($A45))*('Lift @ Cruising Speed vs. AoA'!C46)+SIN(RADIANS($A45))*'Prop. Thrust vs Airspeed vs RPM'!$C$18-(9.81*($B$1+$B$2)) - SIN(RADIANS($A45))*'Drag @ Cruising Speed vs AoA'!C45</f>
        <v>-8.1622121719130512</v>
      </c>
      <c r="D45">
        <f>COS(RADIANS($A45))*('Lift @ Cruising Speed vs. AoA'!D46)+SIN(RADIANS($A45))*'Prop. Thrust vs Airspeed vs RPM'!$C$18-(9.81*($B$1+$B$2)) - SIN(RADIANS($A45))*'Drag @ Cruising Speed vs AoA'!D45</f>
        <v>-5.0362672312302319</v>
      </c>
      <c r="E45">
        <f>COS(RADIANS($A45))*('Lift @ Cruising Speed vs. AoA'!E46)+SIN(RADIANS($A45))*'Prop. Thrust vs Airspeed vs RPM'!$C$18-(9.81*($B$1+$B$2)) - SIN(RADIANS($A45))*'Drag @ Cruising Speed vs AoA'!E45</f>
        <v>-1.2156678592845696</v>
      </c>
      <c r="F45">
        <f>COS(RADIANS($A45))*('Lift @ Cruising Speed vs. AoA'!F46)+SIN(RADIANS($A45))*'Prop. Thrust vs Airspeed vs RPM'!$C$18-(9.81*($B$1+$B$2)) - SIN(RADIANS($A45))*'Drag @ Cruising Speed vs AoA'!F45</f>
        <v>3.2995859439239412</v>
      </c>
      <c r="G45">
        <f>COS(RADIANS($A45))*('Lift @ Cruising Speed vs. AoA'!G46)+SIN(RADIANS($A45))*'Prop. Thrust vs Airspeed vs RPM'!$C$18-(9.81*($B$1+$B$2)) - SIN(RADIANS($A45))*'Drag @ Cruising Speed vs AoA'!G45</f>
        <v>8.509494178395304</v>
      </c>
      <c r="H45">
        <f>COS(RADIANS($A45))*('Lift @ Cruising Speed vs. AoA'!H46)+SIN(RADIANS($A45))*'Prop. Thrust vs Airspeed vs RPM'!$C$18-(9.81*($B$1+$B$2)) - SIN(RADIANS($A45))*'Drag @ Cruising Speed vs AoA'!H45</f>
        <v>21.013273941126585</v>
      </c>
      <c r="I45">
        <f>COS(RADIANS($A45))*('Lift @ Cruising Speed vs. AoA'!I46)+SIN(RADIANS($A45))*'Prop. Thrust vs Airspeed vs RPM'!$C$18-(9.81*($B$1+$B$2)) - SIN(RADIANS($A45))*'Drag @ Cruising Speed vs AoA'!I45</f>
        <v>36.295671428909237</v>
      </c>
    </row>
    <row r="46" spans="1:9" x14ac:dyDescent="0.35">
      <c r="A46" s="1">
        <v>0.5</v>
      </c>
      <c r="B46">
        <f>COS(RADIANS($A46))*('Lift @ Cruising Speed vs. AoA'!B47)+SIN(RADIANS($A46))*'Prop. Thrust vs Airspeed vs RPM'!$C$18-(9.81*($B$1+$B$2)) - SIN(RADIANS($A46))*'Drag @ Cruising Speed vs AoA'!B46</f>
        <v>-12.24195759129082</v>
      </c>
      <c r="C46">
        <f>COS(RADIANS($A46))*('Lift @ Cruising Speed vs. AoA'!C47)+SIN(RADIANS($A46))*'Prop. Thrust vs Airspeed vs RPM'!$C$18-(9.81*($B$1+$B$2)) - SIN(RADIANS($A46))*'Drag @ Cruising Speed vs AoA'!C46</f>
        <v>-7.8531438018993658</v>
      </c>
      <c r="D46">
        <f>COS(RADIANS($A46))*('Lift @ Cruising Speed vs. AoA'!D47)+SIN(RADIANS($A46))*'Prop. Thrust vs Airspeed vs RPM'!$C$18-(9.81*($B$1+$B$2)) - SIN(RADIANS($A46))*'Drag @ Cruising Speed vs AoA'!D46</f>
        <v>-4.5615334598557746</v>
      </c>
      <c r="E46">
        <f>COS(RADIANS($A46))*('Lift @ Cruising Speed vs. AoA'!E47)+SIN(RADIANS($A46))*'Prop. Thrust vs Airspeed vs RPM'!$C$18-(9.81*($B$1+$B$2)) - SIN(RADIANS($A46))*'Drag @ Cruising Speed vs AoA'!E46</f>
        <v>-0.53845415291361065</v>
      </c>
      <c r="F46">
        <f>COS(RADIANS($A46))*('Lift @ Cruising Speed vs. AoA'!F47)+SIN(RADIANS($A46))*'Prop. Thrust vs Airspeed vs RPM'!$C$18-(9.81*($B$1+$B$2)) - SIN(RADIANS($A46))*'Drag @ Cruising Speed vs AoA'!F46</f>
        <v>4.2160941189271295</v>
      </c>
      <c r="G46">
        <f>COS(RADIANS($A46))*('Lift @ Cruising Speed vs. AoA'!G47)+SIN(RADIANS($A46))*'Prop. Thrust vs Airspeed vs RPM'!$C$18-(9.81*($B$1+$B$2)) - SIN(RADIANS($A46))*'Drag @ Cruising Speed vs AoA'!G46</f>
        <v>9.7021113556664531</v>
      </c>
      <c r="H46">
        <f>COS(RADIANS($A46))*('Lift @ Cruising Speed vs. AoA'!H47)+SIN(RADIANS($A46))*'Prop. Thrust vs Airspeed vs RPM'!$C$18-(9.81*($B$1+$B$2)) - SIN(RADIANS($A46))*'Drag @ Cruising Speed vs AoA'!H46</f>
        <v>22.868552723840825</v>
      </c>
      <c r="I46">
        <f>COS(RADIANS($A46))*('Lift @ Cruising Speed vs. AoA'!I47)+SIN(RADIANS($A46))*'Prop. Thrust vs Airspeed vs RPM'!$C$18-(9.81*($B$1+$B$2)) - SIN(RADIANS($A46))*'Drag @ Cruising Speed vs AoA'!I46</f>
        <v>38.960869951609482</v>
      </c>
    </row>
    <row r="47" spans="1:9" x14ac:dyDescent="0.35">
      <c r="A47" s="1">
        <v>0.75</v>
      </c>
      <c r="B47">
        <f>COS(RADIANS($A47))*('Lift @ Cruising Speed vs. AoA'!B48)+SIN(RADIANS($A47))*'Prop. Thrust vs Airspeed vs RPM'!$C$18-(9.81*($B$1+$B$2)) - SIN(RADIANS($A47))*'Drag @ Cruising Speed vs AoA'!B47</f>
        <v>-12.156566597487963</v>
      </c>
      <c r="C47">
        <f>COS(RADIANS($A47))*('Lift @ Cruising Speed vs. AoA'!C48)+SIN(RADIANS($A47))*'Prop. Thrust vs Airspeed vs RPM'!$C$18-(9.81*($B$1+$B$2)) - SIN(RADIANS($A47))*'Drag @ Cruising Speed vs AoA'!C47</f>
        <v>-7.5552344671495506</v>
      </c>
      <c r="D47">
        <f>COS(RADIANS($A47))*('Lift @ Cruising Speed vs. AoA'!D48)+SIN(RADIANS($A47))*'Prop. Thrust vs Airspeed vs RPM'!$C$18-(9.81*($B$1+$B$2)) - SIN(RADIANS($A47))*'Drag @ Cruising Speed vs AoA'!D47</f>
        <v>-4.104235369395739</v>
      </c>
      <c r="E47">
        <f>COS(RADIANS($A47))*('Lift @ Cruising Speed vs. AoA'!E48)+SIN(RADIANS($A47))*'Prop. Thrust vs Airspeed vs RPM'!$C$18-(9.81*($B$1+$B$2)) - SIN(RADIANS($A47))*'Drag @ Cruising Speed vs AoA'!E47</f>
        <v>0.11365241674780123</v>
      </c>
      <c r="F47">
        <f>COS(RADIANS($A47))*('Lift @ Cruising Speed vs. AoA'!F48)+SIN(RADIANS($A47))*'Prop. Thrust vs Airspeed vs RPM'!$C$18-(9.81*($B$1+$B$2)) - SIN(RADIANS($A47))*'Drag @ Cruising Speed vs AoA'!F47</f>
        <v>5.0984288912810811</v>
      </c>
      <c r="G47">
        <f>COS(RADIANS($A47))*('Lift @ Cruising Speed vs. AoA'!G48)+SIN(RADIANS($A47))*'Prop. Thrust vs Airspeed vs RPM'!$C$18-(9.81*($B$1+$B$2)) - SIN(RADIANS($A47))*'Drag @ Cruising Speed vs AoA'!G47</f>
        <v>10.850094054204098</v>
      </c>
      <c r="H47">
        <f>COS(RADIANS($A47))*('Lift @ Cruising Speed vs. AoA'!H48)+SIN(RADIANS($A47))*'Prop. Thrust vs Airspeed vs RPM'!$C$18-(9.81*($B$1+$B$2)) - SIN(RADIANS($A47))*'Drag @ Cruising Speed vs AoA'!H47</f>
        <v>24.654090445219342</v>
      </c>
      <c r="I47">
        <f>COS(RADIANS($A47))*('Lift @ Cruising Speed vs. AoA'!I48)+SIN(RADIANS($A47))*'Prop. Thrust vs Airspeed vs RPM'!$C$18-(9.81*($B$1+$B$2)) - SIN(RADIANS($A47))*'Drag @ Cruising Speed vs AoA'!I47</f>
        <v>41.525641589793501</v>
      </c>
    </row>
    <row r="48" spans="1:9" x14ac:dyDescent="0.35">
      <c r="A48" s="1">
        <v>1</v>
      </c>
      <c r="B48">
        <f>COS(RADIANS($A48))*('Lift @ Cruising Speed vs. AoA'!B49)+SIN(RADIANS($A48))*'Prop. Thrust vs Airspeed vs RPM'!$C$18-(9.81*($B$1+$B$2)) - SIN(RADIANS($A48))*'Drag @ Cruising Speed vs AoA'!B48</f>
        <v>-12.069072733289209</v>
      </c>
      <c r="C48">
        <f>COS(RADIANS($A48))*('Lift @ Cruising Speed vs. AoA'!C49)+SIN(RADIANS($A48))*'Prop. Thrust vs Airspeed vs RPM'!$C$18-(9.81*($B$1+$B$2)) - SIN(RADIANS($A48))*'Drag @ Cruising Speed vs AoA'!C48</f>
        <v>-7.24891115737275</v>
      </c>
      <c r="D48">
        <f>COS(RADIANS($A48))*('Lift @ Cruising Speed vs. AoA'!D49)+SIN(RADIANS($A48))*'Prop. Thrust vs Airspeed vs RPM'!$C$18-(9.81*($B$1+$B$2)) - SIN(RADIANS($A48))*'Drag @ Cruising Speed vs AoA'!D48</f>
        <v>-3.6337899754354033</v>
      </c>
      <c r="E48">
        <f>COS(RADIANS($A48))*('Lift @ Cruising Speed vs. AoA'!E49)+SIN(RADIANS($A48))*'Prop. Thrust vs Airspeed vs RPM'!$C$18-(9.81*($B$1+$B$2)) - SIN(RADIANS($A48))*'Drag @ Cruising Speed vs AoA'!E48</f>
        <v>0.78469146915468257</v>
      </c>
      <c r="F48">
        <f>COS(RADIANS($A48))*('Lift @ Cruising Speed vs. AoA'!F49)+SIN(RADIANS($A48))*'Prop. Thrust vs Airspeed vs RPM'!$C$18-(9.81*($B$1+$B$2)) - SIN(RADIANS($A48))*'Drag @ Cruising Speed vs AoA'!F48</f>
        <v>6.0065331763975136</v>
      </c>
      <c r="G48">
        <f>COS(RADIANS($A48))*('Lift @ Cruising Speed vs. AoA'!G49)+SIN(RADIANS($A48))*'Prop. Thrust vs Airspeed vs RPM'!$C$18-(9.81*($B$1+$B$2)) - SIN(RADIANS($A48))*'Drag @ Cruising Speed vs AoA'!G48</f>
        <v>12.031735146293085</v>
      </c>
      <c r="H48">
        <f>COS(RADIANS($A48))*('Lift @ Cruising Speed vs. AoA'!H49)+SIN(RADIANS($A48))*'Prop. Thrust vs Airspeed vs RPM'!$C$18-(9.81*($B$1+$B$2)) - SIN(RADIANS($A48))*'Drag @ Cruising Speed vs AoA'!H48</f>
        <v>26.492219874042469</v>
      </c>
      <c r="I48">
        <f>COS(RADIANS($A48))*('Lift @ Cruising Speed vs. AoA'!I49)+SIN(RADIANS($A48))*'Prop. Thrust vs Airspeed vs RPM'!$C$18-(9.81*($B$1+$B$2)) - SIN(RADIANS($A48))*'Drag @ Cruising Speed vs AoA'!I48</f>
        <v>44.166145652402811</v>
      </c>
    </row>
    <row r="49" spans="1:9" x14ac:dyDescent="0.35">
      <c r="A49" s="1">
        <v>1.25</v>
      </c>
      <c r="B49">
        <f>COS(RADIANS($A49))*('Lift @ Cruising Speed vs. AoA'!B50)+SIN(RADIANS($A49))*'Prop. Thrust vs Airspeed vs RPM'!$C$18-(9.81*($B$1+$B$2)) - SIN(RADIANS($A49))*'Drag @ Cruising Speed vs AoA'!B49</f>
        <v>-11.979173633443565</v>
      </c>
      <c r="C49">
        <f>COS(RADIANS($A49))*('Lift @ Cruising Speed vs. AoA'!C50)+SIN(RADIANS($A49))*'Prop. Thrust vs Airspeed vs RPM'!$C$18-(9.81*($B$1+$B$2)) - SIN(RADIANS($A49))*'Drag @ Cruising Speed vs AoA'!C49</f>
        <v>-6.9329635804910321</v>
      </c>
      <c r="D49">
        <f>COS(RADIANS($A49))*('Lift @ Cruising Speed vs. AoA'!D50)+SIN(RADIANS($A49))*'Prop. Thrust vs Airspeed vs RPM'!$C$18-(9.81*($B$1+$B$2)) - SIN(RADIANS($A49))*'Drag @ Cruising Speed vs AoA'!D49</f>
        <v>-3.1483060407766312</v>
      </c>
      <c r="E49">
        <f>COS(RADIANS($A49))*('Lift @ Cruising Speed vs. AoA'!E50)+SIN(RADIANS($A49))*'Prop. Thrust vs Airspeed vs RPM'!$C$18-(9.81*($B$1+$B$2)) - SIN(RADIANS($A49))*'Drag @ Cruising Speed vs AoA'!E49</f>
        <v>1.4773865077631907</v>
      </c>
      <c r="F49">
        <f>COS(RADIANS($A49))*('Lift @ Cruising Speed vs. AoA'!F50)+SIN(RADIANS($A49))*'Prop. Thrust vs Airspeed vs RPM'!$C$18-(9.81*($B$1+$B$2)) - SIN(RADIANS($A49))*'Drag @ Cruising Speed vs AoA'!F49</f>
        <v>6.9441140651284368</v>
      </c>
      <c r="G49">
        <f>COS(RADIANS($A49))*('Lift @ Cruising Speed vs. AoA'!G50)+SIN(RADIANS($A49))*'Prop. Thrust vs Airspeed vs RPM'!$C$18-(9.81*($B$1+$B$2)) - SIN(RADIANS($A49))*'Drag @ Cruising Speed vs AoA'!G49</f>
        <v>13.251876631319103</v>
      </c>
      <c r="H49">
        <f>COS(RADIANS($A49))*('Lift @ Cruising Speed vs. AoA'!H50)+SIN(RADIANS($A49))*'Prop. Thrust vs Airspeed vs RPM'!$C$18-(9.81*($B$1+$B$2)) - SIN(RADIANS($A49))*'Drag @ Cruising Speed vs AoA'!H49</f>
        <v>28.390506790176708</v>
      </c>
      <c r="I49">
        <f>COS(RADIANS($A49))*('Lift @ Cruising Speed vs. AoA'!I50)+SIN(RADIANS($A49))*'Prop. Thrust vs Airspeed vs RPM'!$C$18-(9.81*($B$1+$B$2)) - SIN(RADIANS($A49))*'Drag @ Cruising Speed vs AoA'!I49</f>
        <v>46.893276984335998</v>
      </c>
    </row>
    <row r="50" spans="1:9" x14ac:dyDescent="0.35">
      <c r="A50" s="1">
        <v>1.5</v>
      </c>
      <c r="B50">
        <f>COS(RADIANS($A50))*('Lift @ Cruising Speed vs. AoA'!B51)+SIN(RADIANS($A50))*'Prop. Thrust vs Airspeed vs RPM'!$C$18-(9.81*($B$1+$B$2)) - SIN(RADIANS($A50))*'Drag @ Cruising Speed vs AoA'!B50</f>
        <v>-11.89238432811095</v>
      </c>
      <c r="C50">
        <f>COS(RADIANS($A50))*('Lift @ Cruising Speed vs. AoA'!C51)+SIN(RADIANS($A50))*'Prop. Thrust vs Airspeed vs RPM'!$C$18-(9.81*($B$1+$B$2)) - SIN(RADIANS($A50))*'Drag @ Cruising Speed vs AoA'!C50</f>
        <v>-6.6294510261334034</v>
      </c>
      <c r="D50">
        <f>COS(RADIANS($A50))*('Lift @ Cruising Speed vs. AoA'!D51)+SIN(RADIANS($A50))*'Prop. Thrust vs Airspeed vs RPM'!$C$18-(9.81*($B$1+$B$2)) - SIN(RADIANS($A50))*'Drag @ Cruising Speed vs AoA'!D50</f>
        <v>-2.6822510496502425</v>
      </c>
      <c r="E50">
        <f>COS(RADIANS($A50))*('Lift @ Cruising Speed vs. AoA'!E51)+SIN(RADIANS($A50))*'Prop. Thrust vs Airspeed vs RPM'!$C$18-(9.81*($B$1+$B$2)) - SIN(RADIANS($A50))*'Drag @ Cruising Speed vs AoA'!E50</f>
        <v>2.1421044771625088</v>
      </c>
      <c r="F50">
        <f>COS(RADIANS($A50))*('Lift @ Cruising Speed vs. AoA'!F51)+SIN(RADIANS($A50))*'Prop. Thrust vs Airspeed vs RPM'!$C$18-(9.81*($B$1+$B$2)) - SIN(RADIANS($A50))*'Drag @ Cruising Speed vs AoA'!F50</f>
        <v>7.8436155543048489</v>
      </c>
      <c r="G50">
        <f>COS(RADIANS($A50))*('Lift @ Cruising Speed vs. AoA'!G51)+SIN(RADIANS($A50))*'Prop. Thrust vs Airspeed vs RPM'!$C$18-(9.81*($B$1+$B$2)) - SIN(RADIANS($A50))*'Drag @ Cruising Speed vs AoA'!G50</f>
        <v>14.422282181776783</v>
      </c>
      <c r="H50">
        <f>COS(RADIANS($A50))*('Lift @ Cruising Speed vs. AoA'!H51)+SIN(RADIANS($A50))*'Prop. Thrust vs Airspeed vs RPM'!$C$18-(9.81*($B$1+$B$2)) - SIN(RADIANS($A50))*'Drag @ Cruising Speed vs AoA'!H50</f>
        <v>30.211082087709432</v>
      </c>
      <c r="I50">
        <f>COS(RADIANS($A50))*('Lift @ Cruising Speed vs. AoA'!I51)+SIN(RADIANS($A50))*'Prop. Thrust vs Airspeed vs RPM'!$C$18-(9.81*($B$1+$B$2)) - SIN(RADIANS($A50))*'Drag @ Cruising Speed vs AoA'!I50</f>
        <v>49.508504194960437</v>
      </c>
    </row>
    <row r="51" spans="1:9" x14ac:dyDescent="0.35">
      <c r="A51" s="1">
        <v>1.75</v>
      </c>
      <c r="B51">
        <f>COS(RADIANS($A51))*('Lift @ Cruising Speed vs. AoA'!B52)+SIN(RADIANS($A51))*'Prop. Thrust vs Airspeed vs RPM'!$C$18-(9.81*($B$1+$B$2)) - SIN(RADIANS($A51))*'Drag @ Cruising Speed vs AoA'!B51</f>
        <v>-11.804732217557943</v>
      </c>
      <c r="C51">
        <f>COS(RADIANS($A51))*('Lift @ Cruising Speed vs. AoA'!C52)+SIN(RADIANS($A51))*'Prop. Thrust vs Airspeed vs RPM'!$C$18-(9.81*($B$1+$B$2)) - SIN(RADIANS($A51))*'Drag @ Cruising Speed vs AoA'!C51</f>
        <v>-6.3224822644346403</v>
      </c>
      <c r="D51">
        <f>COS(RADIANS($A51))*('Lift @ Cruising Speed vs. AoA'!D52)+SIN(RADIANS($A51))*'Prop. Thrust vs Airspeed vs RPM'!$C$18-(9.81*($B$1+$B$2)) - SIN(RADIANS($A51))*'Drag @ Cruising Speed vs AoA'!D51</f>
        <v>-2.2107947995921609</v>
      </c>
      <c r="E51">
        <f>COS(RADIANS($A51))*('Lift @ Cruising Speed vs. AoA'!E52)+SIN(RADIANS($A51))*'Prop. Thrust vs Airspeed vs RPM'!$C$18-(9.81*($B$1+$B$2)) - SIN(RADIANS($A51))*'Drag @ Cruising Speed vs AoA'!E51</f>
        <v>2.8146009907708649</v>
      </c>
      <c r="F51">
        <f>COS(RADIANS($A51))*('Lift @ Cruising Speed vs. AoA'!F52)+SIN(RADIANS($A51))*'Prop. Thrust vs Airspeed vs RPM'!$C$18-(9.81*($B$1+$B$2)) - SIN(RADIANS($A51))*'Drag @ Cruising Speed vs AoA'!F51</f>
        <v>8.75370510665444</v>
      </c>
      <c r="G51">
        <f>COS(RADIANS($A51))*('Lift @ Cruising Speed vs. AoA'!G52)+SIN(RADIANS($A51))*'Prop. Thrust vs Airspeed vs RPM'!$C$18-(9.81*($B$1+$B$2)) - SIN(RADIANS($A51))*'Drag @ Cruising Speed vs AoA'!G51</f>
        <v>15.606517548058573</v>
      </c>
      <c r="H51">
        <f>COS(RADIANS($A51))*('Lift @ Cruising Speed vs. AoA'!H52)+SIN(RADIANS($A51))*'Prop. Thrust vs Airspeed vs RPM'!$C$18-(9.81*($B$1+$B$2)) - SIN(RADIANS($A51))*'Drag @ Cruising Speed vs AoA'!H51</f>
        <v>32.053267407428486</v>
      </c>
      <c r="I51">
        <f>COS(RADIANS($A51))*('Lift @ Cruising Speed vs. AoA'!I52)+SIN(RADIANS($A51))*'Prop. Thrust vs Airspeed vs RPM'!$C$18-(9.81*($B$1+$B$2)) - SIN(RADIANS($A51))*'Drag @ Cruising Speed vs AoA'!I51</f>
        <v>52.15485056888059</v>
      </c>
    </row>
    <row r="52" spans="1:9" x14ac:dyDescent="0.35">
      <c r="A52" s="1">
        <v>2</v>
      </c>
      <c r="B52">
        <f>COS(RADIANS($A52))*('Lift @ Cruising Speed vs. AoA'!B53)+SIN(RADIANS($A52))*'Prop. Thrust vs Airspeed vs RPM'!$C$18-(9.81*($B$1+$B$2)) - SIN(RADIANS($A52))*'Drag @ Cruising Speed vs AoA'!B52</f>
        <v>-11.715915110012634</v>
      </c>
      <c r="C52">
        <f>COS(RADIANS($A52))*('Lift @ Cruising Speed vs. AoA'!C53)+SIN(RADIANS($A52))*'Prop. Thrust vs Airspeed vs RPM'!$C$18-(9.81*($B$1+$B$2)) - SIN(RADIANS($A52))*'Drag @ Cruising Speed vs AoA'!C52</f>
        <v>-6.0108476974704912</v>
      </c>
      <c r="D52">
        <f>COS(RADIANS($A52))*('Lift @ Cruising Speed vs. AoA'!D53)+SIN(RADIANS($A52))*'Prop. Thrust vs Airspeed vs RPM'!$C$18-(9.81*($B$1+$B$2)) - SIN(RADIANS($A52))*'Drag @ Cruising Speed vs AoA'!D52</f>
        <v>-1.7320471380638816</v>
      </c>
      <c r="E52">
        <f>COS(RADIANS($A52))*('Lift @ Cruising Speed vs. AoA'!E53)+SIN(RADIANS($A52))*'Prop. Thrust vs Airspeed vs RPM'!$C$18-(9.81*($B$1+$B$2)) - SIN(RADIANS($A52))*'Drag @ Cruising Speed vs AoA'!E52</f>
        <v>3.4975979900997483</v>
      </c>
      <c r="F52">
        <f>COS(RADIANS($A52))*('Lift @ Cruising Speed vs. AoA'!F53)+SIN(RADIANS($A52))*'Prop. Thrust vs Airspeed vs RPM'!$C$18-(9.81*($B$1+$B$2)) - SIN(RADIANS($A52))*'Drag @ Cruising Speed vs AoA'!F52</f>
        <v>9.6780876870204011</v>
      </c>
      <c r="G52">
        <f>COS(RADIANS($A52))*('Lift @ Cruising Speed vs. AoA'!G53)+SIN(RADIANS($A52))*'Prop. Thrust vs Airspeed vs RPM'!$C$18-(9.81*($B$1+$B$2)) - SIN(RADIANS($A52))*'Drag @ Cruising Speed vs AoA'!G52</f>
        <v>16.809421952698084</v>
      </c>
      <c r="H52">
        <f>COS(RADIANS($A52))*('Lift @ Cruising Speed vs. AoA'!H53)+SIN(RADIANS($A52))*'Prop. Thrust vs Airspeed vs RPM'!$C$18-(9.81*($B$1+$B$2)) - SIN(RADIANS($A52))*'Drag @ Cruising Speed vs AoA'!H52</f>
        <v>33.924624190324515</v>
      </c>
      <c r="I52">
        <f>COS(RADIANS($A52))*('Lift @ Cruising Speed vs. AoA'!I53)+SIN(RADIANS($A52))*'Prop. Thrust vs Airspeed vs RPM'!$C$18-(9.81*($B$1+$B$2)) - SIN(RADIANS($A52))*'Drag @ Cruising Speed vs AoA'!I52</f>
        <v>54.843204702979044</v>
      </c>
    </row>
    <row r="53" spans="1:9" x14ac:dyDescent="0.35">
      <c r="A53" s="1">
        <v>2.25</v>
      </c>
      <c r="B53">
        <f>COS(RADIANS($A53))*('Lift @ Cruising Speed vs. AoA'!B54)+SIN(RADIANS($A53))*'Prop. Thrust vs Airspeed vs RPM'!$C$18-(9.81*($B$1+$B$2)) - SIN(RADIANS($A53))*'Drag @ Cruising Speed vs AoA'!B53</f>
        <v>-11.625325235101842</v>
      </c>
      <c r="C53">
        <f>COS(RADIANS($A53))*('Lift @ Cruising Speed vs. AoA'!C54)+SIN(RADIANS($A53))*'Prop. Thrust vs Airspeed vs RPM'!$C$18-(9.81*($B$1+$B$2)) - SIN(RADIANS($A53))*'Drag @ Cruising Speed vs AoA'!C53</f>
        <v>-5.6921154130223677</v>
      </c>
      <c r="D53">
        <f>COS(RADIANS($A53))*('Lift @ Cruising Speed vs. AoA'!D54)+SIN(RADIANS($A53))*'Prop. Thrust vs Airspeed vs RPM'!$C$18-(9.81*($B$1+$B$2)) - SIN(RADIANS($A53))*'Drag @ Cruising Speed vs AoA'!D53</f>
        <v>-1.2422080464627612</v>
      </c>
      <c r="E53">
        <f>COS(RADIANS($A53))*('Lift @ Cruising Speed vs. AoA'!E54)+SIN(RADIANS($A53))*'Prop. Thrust vs Airspeed vs RPM'!$C$18-(9.81*($B$1+$B$2)) - SIN(RADIANS($A53))*'Drag @ Cruising Speed vs AoA'!E53</f>
        <v>4.1965676237767555</v>
      </c>
      <c r="F53">
        <f>COS(RADIANS($A53))*('Lift @ Cruising Speed vs. AoA'!F54)+SIN(RADIANS($A53))*'Prop. Thrust vs Airspeed vs RPM'!$C$18-(9.81*($B$1+$B$2)) - SIN(RADIANS($A53))*'Drag @ Cruising Speed vs AoA'!F53</f>
        <v>10.624211597696185</v>
      </c>
      <c r="G53">
        <f>COS(RADIANS($A53))*('Lift @ Cruising Speed vs. AoA'!G54)+SIN(RADIANS($A53))*'Prop. Thrust vs Airspeed vs RPM'!$C$18-(9.81*($B$1+$B$2)) - SIN(RADIANS($A53))*'Drag @ Cruising Speed vs AoA'!G53</f>
        <v>18.04072387529553</v>
      </c>
      <c r="H53">
        <f>COS(RADIANS($A53))*('Lift @ Cruising Speed vs. AoA'!H54)+SIN(RADIANS($A53))*'Prop. Thrust vs Airspeed vs RPM'!$C$18-(9.81*($B$1+$B$2)) - SIN(RADIANS($A53))*'Drag @ Cruising Speed vs AoA'!H53</f>
        <v>35.840353341533962</v>
      </c>
      <c r="I53">
        <f>COS(RADIANS($A53))*('Lift @ Cruising Speed vs. AoA'!I54)+SIN(RADIANS($A53))*'Prop. Thrust vs Airspeed vs RPM'!$C$18-(9.81*($B$1+$B$2)) - SIN(RADIANS($A53))*'Drag @ Cruising Speed vs AoA'!I53</f>
        <v>57.595456022492023</v>
      </c>
    </row>
    <row r="54" spans="1:9" x14ac:dyDescent="0.35">
      <c r="A54" s="1">
        <v>2.5</v>
      </c>
      <c r="B54">
        <f>COS(RADIANS($A54))*('Lift @ Cruising Speed vs. AoA'!B55)+SIN(RADIANS($A54))*'Prop. Thrust vs Airspeed vs RPM'!$C$18-(9.81*($B$1+$B$2)) - SIN(RADIANS($A54))*'Drag @ Cruising Speed vs AoA'!B54</f>
        <v>-11.538475375635299</v>
      </c>
      <c r="C54">
        <f>COS(RADIANS($A54))*('Lift @ Cruising Speed vs. AoA'!C55)+SIN(RADIANS($A54))*'Prop. Thrust vs Airspeed vs RPM'!$C$18-(9.81*($B$1+$B$2)) - SIN(RADIANS($A54))*'Drag @ Cruising Speed vs AoA'!C54</f>
        <v>-5.388335711729912</v>
      </c>
      <c r="D54">
        <f>COS(RADIANS($A54))*('Lift @ Cruising Speed vs. AoA'!D55)+SIN(RADIANS($A54))*'Prop. Thrust vs Airspeed vs RPM'!$C$18-(9.81*($B$1+$B$2)) - SIN(RADIANS($A54))*'Drag @ Cruising Speed vs AoA'!D54</f>
        <v>-0.77573096380086826</v>
      </c>
      <c r="E54">
        <f>COS(RADIANS($A54))*('Lift @ Cruising Speed vs. AoA'!E55)+SIN(RADIANS($A54))*'Prop. Thrust vs Airspeed vs RPM'!$C$18-(9.81*($B$1+$B$2)) - SIN(RADIANS($A54))*'Drag @ Cruising Speed vs AoA'!E54</f>
        <v>4.8618970614457329</v>
      </c>
      <c r="F54">
        <f>COS(RADIANS($A54))*('Lift @ Cruising Speed vs. AoA'!F55)+SIN(RADIANS($A54))*'Prop. Thrust vs Airspeed vs RPM'!$C$18-(9.81*($B$1+$B$2)) - SIN(RADIANS($A54))*'Drag @ Cruising Speed vs AoA'!F54</f>
        <v>11.524548364009901</v>
      </c>
      <c r="G54">
        <f>COS(RADIANS($A54))*('Lift @ Cruising Speed vs. AoA'!G55)+SIN(RADIANS($A54))*'Prop. Thrust vs Airspeed vs RPM'!$C$18-(9.81*($B$1+$B$2)) - SIN(RADIANS($A54))*'Drag @ Cruising Speed vs AoA'!G54</f>
        <v>19.212222943891639</v>
      </c>
      <c r="H54">
        <f>COS(RADIANS($A54))*('Lift @ Cruising Speed vs. AoA'!H55)+SIN(RADIANS($A54))*'Prop. Thrust vs Airspeed vs RPM'!$C$18-(9.81*($B$1+$B$2)) - SIN(RADIANS($A54))*'Drag @ Cruising Speed vs AoA'!H54</f>
        <v>37.662641935607816</v>
      </c>
      <c r="I54">
        <f>COS(RADIANS($A54))*('Lift @ Cruising Speed vs. AoA'!I55)+SIN(RADIANS($A54))*'Prop. Thrust vs Airspeed vs RPM'!$C$18-(9.81*($B$1+$B$2)) - SIN(RADIANS($A54))*'Drag @ Cruising Speed vs AoA'!I54</f>
        <v>60.213154036594219</v>
      </c>
    </row>
    <row r="55" spans="1:9" x14ac:dyDescent="0.35">
      <c r="A55" s="1">
        <v>2.75</v>
      </c>
      <c r="B55">
        <f>COS(RADIANS($A55))*('Lift @ Cruising Speed vs. AoA'!B56)+SIN(RADIANS($A55))*'Prop. Thrust vs Airspeed vs RPM'!$C$18-(9.81*($B$1+$B$2)) - SIN(RADIANS($A55))*'Drag @ Cruising Speed vs AoA'!B55</f>
        <v>-11.450782443093813</v>
      </c>
      <c r="C55">
        <f>COS(RADIANS($A55))*('Lift @ Cruising Speed vs. AoA'!C56)+SIN(RADIANS($A55))*'Prop. Thrust vs Airspeed vs RPM'!$C$18-(9.81*($B$1+$B$2)) - SIN(RADIANS($A55))*'Drag @ Cruising Speed vs AoA'!C55</f>
        <v>-5.081175409059445</v>
      </c>
      <c r="D55">
        <f>COS(RADIANS($A55))*('Lift @ Cruising Speed vs. AoA'!D56)+SIN(RADIANS($A55))*'Prop. Thrust vs Airspeed vs RPM'!$C$18-(9.81*($B$1+$B$2)) - SIN(RADIANS($A55))*'Drag @ Cruising Speed vs AoA'!D55</f>
        <v>-0.30397013353367053</v>
      </c>
      <c r="E55">
        <f>COS(RADIANS($A55))*('Lift @ Cruising Speed vs. AoA'!E56)+SIN(RADIANS($A55))*'Prop. Thrust vs Airspeed vs RPM'!$C$18-(9.81*($B$1+$B$2)) - SIN(RADIANS($A55))*'Drag @ Cruising Speed vs AoA'!E55</f>
        <v>5.5348363143311659</v>
      </c>
      <c r="F55">
        <f>COS(RADIANS($A55))*('Lift @ Cruising Speed vs. AoA'!F56)+SIN(RADIANS($A55))*'Prop. Thrust vs Airspeed vs RPM'!$C$18-(9.81*($B$1+$B$2)) - SIN(RADIANS($A55))*'Drag @ Cruising Speed vs AoA'!F55</f>
        <v>12.435243934535066</v>
      </c>
      <c r="G55">
        <f>COS(RADIANS($A55))*('Lift @ Cruising Speed vs. AoA'!G56)+SIN(RADIANS($A55))*'Prop. Thrust vs Airspeed vs RPM'!$C$18-(9.81*($B$1+$B$2)) - SIN(RADIANS($A55))*'Drag @ Cruising Speed vs AoA'!G55</f>
        <v>20.397252727078023</v>
      </c>
      <c r="H55">
        <f>COS(RADIANS($A55))*('Lift @ Cruising Speed vs. AoA'!H56)+SIN(RADIANS($A55))*'Prop. Thrust vs Airspeed vs RPM'!$C$18-(9.81*($B$1+$B$2)) - SIN(RADIANS($A55))*'Drag @ Cruising Speed vs AoA'!H55</f>
        <v>39.506073829181119</v>
      </c>
      <c r="I55">
        <f>COS(RADIANS($A55))*('Lift @ Cruising Speed vs. AoA'!I56)+SIN(RADIANS($A55))*'Prop. Thrust vs Airspeed vs RPM'!$C$18-(9.81*($B$1+$B$2)) - SIN(RADIANS($A55))*'Drag @ Cruising Speed vs AoA'!I55</f>
        <v>62.861299620640473</v>
      </c>
    </row>
    <row r="56" spans="1:9" x14ac:dyDescent="0.35">
      <c r="A56" s="1">
        <v>3</v>
      </c>
      <c r="B56">
        <f>COS(RADIANS($A56))*('Lift @ Cruising Speed vs. AoA'!B57)+SIN(RADIANS($A56))*'Prop. Thrust vs Airspeed vs RPM'!$C$18-(9.81*($B$1+$B$2)) - SIN(RADIANS($A56))*'Drag @ Cruising Speed vs AoA'!B56</f>
        <v>-11.36225226556955</v>
      </c>
      <c r="C56">
        <f>COS(RADIANS($A56))*('Lift @ Cruising Speed vs. AoA'!C57)+SIN(RADIANS($A56))*'Prop. Thrust vs Airspeed vs RPM'!$C$18-(9.81*($B$1+$B$2)) - SIN(RADIANS($A56))*'Drag @ Cruising Speed vs AoA'!C56</f>
        <v>-4.7706569870809288</v>
      </c>
      <c r="D56">
        <f>COS(RADIANS($A56))*('Lift @ Cruising Speed vs. AoA'!D57)+SIN(RADIANS($A56))*'Prop. Thrust vs Airspeed vs RPM'!$C$18-(9.81*($B$1+$B$2)) - SIN(RADIANS($A56))*'Drag @ Cruising Speed vs AoA'!D56</f>
        <v>0.17303947178554041</v>
      </c>
      <c r="E56">
        <f>COS(RADIANS($A56))*('Lift @ Cruising Speed vs. AoA'!E57)+SIN(RADIANS($A56))*'Prop. Thrust vs Airspeed vs RPM'!$C$18-(9.81*($B$1+$B$2)) - SIN(RADIANS($A56))*'Drag @ Cruising Speed vs AoA'!E56</f>
        <v>6.2153351437334399</v>
      </c>
      <c r="F56">
        <f>COS(RADIANS($A56))*('Lift @ Cruising Speed vs. AoA'!F57)+SIN(RADIANS($A56))*'Prop. Thrust vs Airspeed vs RPM'!$C$18-(9.81*($B$1+$B$2)) - SIN(RADIANS($A56))*'Drag @ Cruising Speed vs AoA'!F56</f>
        <v>13.356230028762781</v>
      </c>
      <c r="G56">
        <f>COS(RADIANS($A56))*('Lift @ Cruising Speed vs. AoA'!G57)+SIN(RADIANS($A56))*'Prop. Thrust vs Airspeed vs RPM'!$C$18-(9.81*($B$1+$B$2)) - SIN(RADIANS($A56))*'Drag @ Cruising Speed vs AoA'!G56</f>
        <v>21.595724126873559</v>
      </c>
      <c r="H56">
        <f>COS(RADIANS($A56))*('Lift @ Cruising Speed vs. AoA'!H57)+SIN(RADIANS($A56))*'Prop. Thrust vs Airspeed vs RPM'!$C$18-(9.81*($B$1+$B$2)) - SIN(RADIANS($A56))*'Drag @ Cruising Speed vs AoA'!H56</f>
        <v>41.370509962339433</v>
      </c>
      <c r="I56">
        <f>COS(RADIANS($A56))*('Lift @ Cruising Speed vs. AoA'!I57)+SIN(RADIANS($A56))*'Prop. Thrust vs Airspeed vs RPM'!$C$18-(9.81*($B$1+$B$2)) - SIN(RADIANS($A56))*'Drag @ Cruising Speed vs AoA'!I56</f>
        <v>65.53969265013103</v>
      </c>
    </row>
    <row r="57" spans="1:9" x14ac:dyDescent="0.35">
      <c r="A57" s="1">
        <v>3.25</v>
      </c>
      <c r="B57">
        <f>COS(RADIANS($A57))*('Lift @ Cruising Speed vs. AoA'!B58)+SIN(RADIANS($A57))*'Prop. Thrust vs Airspeed vs RPM'!$C$18-(9.81*($B$1+$B$2)) - SIN(RADIANS($A57))*'Drag @ Cruising Speed vs AoA'!B57</f>
        <v>-11.273498815989131</v>
      </c>
      <c r="C57">
        <f>COS(RADIANS($A57))*('Lift @ Cruising Speed vs. AoA'!C58)+SIN(RADIANS($A57))*'Prop. Thrust vs Airspeed vs RPM'!$C$18-(9.81*($B$1+$B$2)) - SIN(RADIANS($A57))*'Drag @ Cruising Speed vs AoA'!C57</f>
        <v>-4.4592355073761176</v>
      </c>
      <c r="D57">
        <f>COS(RADIANS($A57))*('Lift @ Cruising Speed vs. AoA'!D58)+SIN(RADIANS($A57))*'Prop. Thrust vs Airspeed vs RPM'!$C$18-(9.81*($B$1+$B$2)) - SIN(RADIANS($A57))*'Drag @ Cruising Speed vs AoA'!D57</f>
        <v>0.65146197408364648</v>
      </c>
      <c r="E57">
        <f>COS(RADIANS($A57))*('Lift @ Cruising Speed vs. AoA'!E58)+SIN(RADIANS($A57))*'Prop. Thrust vs Airspeed vs RPM'!$C$18-(9.81*($B$1+$B$2)) - SIN(RADIANS($A57))*'Drag @ Cruising Speed vs AoA'!E57</f>
        <v>6.8978700069789083</v>
      </c>
      <c r="F57">
        <f>COS(RADIANS($A57))*('Lift @ Cruising Speed vs. AoA'!F58)+SIN(RADIANS($A57))*'Prop. Thrust vs Airspeed vs RPM'!$C$18-(9.81*($B$1+$B$2)) - SIN(RADIANS($A57))*'Drag @ Cruising Speed vs AoA'!F57</f>
        <v>14.279988591309676</v>
      </c>
      <c r="G57">
        <f>COS(RADIANS($A57))*('Lift @ Cruising Speed vs. AoA'!G58)+SIN(RADIANS($A57))*'Prop. Thrust vs Airspeed vs RPM'!$C$18-(9.81*($B$1+$B$2)) - SIN(RADIANS($A57))*'Drag @ Cruising Speed vs AoA'!G57</f>
        <v>22.797817727075937</v>
      </c>
      <c r="H57">
        <f>COS(RADIANS($A57))*('Lift @ Cruising Speed vs. AoA'!H58)+SIN(RADIANS($A57))*'Prop. Thrust vs Airspeed vs RPM'!$C$18-(9.81*($B$1+$B$2)) - SIN(RADIANS($A57))*'Drag @ Cruising Speed vs AoA'!H57</f>
        <v>43.240607652914996</v>
      </c>
      <c r="I57">
        <f>COS(RADIANS($A57))*('Lift @ Cruising Speed vs. AoA'!I58)+SIN(RADIANS($A57))*'Prop. Thrust vs Airspeed vs RPM'!$C$18-(9.81*($B$1+$B$2)) - SIN(RADIANS($A57))*'Drag @ Cruising Speed vs AoA'!I57</f>
        <v>68.226239784496045</v>
      </c>
    </row>
    <row r="58" spans="1:9" x14ac:dyDescent="0.35">
      <c r="A58" s="1">
        <v>3.5</v>
      </c>
      <c r="B58">
        <f>COS(RADIANS($A58))*('Lift @ Cruising Speed vs. AoA'!B59)+SIN(RADIANS($A58))*'Prop. Thrust vs Airspeed vs RPM'!$C$18-(9.81*($B$1+$B$2)) - SIN(RADIANS($A58))*'Drag @ Cruising Speed vs AoA'!B58</f>
        <v>-11.184223045411834</v>
      </c>
      <c r="C58">
        <f>COS(RADIANS($A58))*('Lift @ Cruising Speed vs. AoA'!C59)+SIN(RADIANS($A58))*'Prop. Thrust vs Airspeed vs RPM'!$C$18-(9.81*($B$1+$B$2)) - SIN(RADIANS($A58))*'Drag @ Cruising Speed vs AoA'!C58</f>
        <v>-4.14571394424721</v>
      </c>
      <c r="D58">
        <f>COS(RADIANS($A58))*('Lift @ Cruising Speed vs. AoA'!D59)+SIN(RADIANS($A58))*'Prop. Thrust vs Airspeed vs RPM'!$C$18-(9.81*($B$1+$B$2)) - SIN(RADIANS($A58))*'Drag @ Cruising Speed vs AoA'!D58</f>
        <v>1.1331678816262563</v>
      </c>
      <c r="E58">
        <f>COS(RADIANS($A58))*('Lift @ Cruising Speed vs. AoA'!E59)+SIN(RADIANS($A58))*'Prop. Thrust vs Airspeed vs RPM'!$C$18-(9.81*($B$1+$B$2)) - SIN(RADIANS($A58))*'Drag @ Cruising Speed vs AoA'!E58</f>
        <v>7.5851345576938254</v>
      </c>
      <c r="F58">
        <f>COS(RADIANS($A58))*('Lift @ Cruising Speed vs. AoA'!F59)+SIN(RADIANS($A58))*'Prop. Thrust vs Airspeed vs RPM'!$C$18-(9.81*($B$1+$B$2)) - SIN(RADIANS($A58))*'Drag @ Cruising Speed vs AoA'!F58</f>
        <v>15.210186083955501</v>
      </c>
      <c r="G58">
        <f>COS(RADIANS($A58))*('Lift @ Cruising Speed vs. AoA'!G59)+SIN(RADIANS($A58))*'Prop. Thrust vs Airspeed vs RPM'!$C$18-(9.81*($B$1+$B$2)) - SIN(RADIANS($A58))*'Drag @ Cruising Speed vs AoA'!G58</f>
        <v>24.008322460411275</v>
      </c>
      <c r="H58">
        <f>COS(RADIANS($A58))*('Lift @ Cruising Speed vs. AoA'!H59)+SIN(RADIANS($A58))*'Prop. Thrust vs Airspeed vs RPM'!$C$18-(9.81*($B$1+$B$2)) - SIN(RADIANS($A58))*'Drag @ Cruising Speed vs AoA'!H58</f>
        <v>45.123849763905142</v>
      </c>
      <c r="I58">
        <f>COS(RADIANS($A58))*('Lift @ Cruising Speed vs. AoA'!I59)+SIN(RADIANS($A58))*'Prop. Thrust vs Airspeed vs RPM'!$C$18-(9.81*($B$1+$B$2)) - SIN(RADIANS($A58))*'Drag @ Cruising Speed vs AoA'!I58</f>
        <v>70.931716468175424</v>
      </c>
    </row>
    <row r="59" spans="1:9" x14ac:dyDescent="0.35">
      <c r="A59" s="1">
        <v>3.75</v>
      </c>
      <c r="B59">
        <f>COS(RADIANS($A59))*('Lift @ Cruising Speed vs. AoA'!B60)+SIN(RADIANS($A59))*'Prop. Thrust vs Airspeed vs RPM'!$C$18-(9.81*($B$1+$B$2)) - SIN(RADIANS($A59))*'Drag @ Cruising Speed vs AoA'!B59</f>
        <v>-11.097178745788787</v>
      </c>
      <c r="C59">
        <f>COS(RADIANS($A59))*('Lift @ Cruising Speed vs. AoA'!C60)+SIN(RADIANS($A59))*'Prop. Thrust vs Airspeed vs RPM'!$C$18-(9.81*($B$1+$B$2)) - SIN(RADIANS($A59))*'Drag @ Cruising Speed vs AoA'!C59</f>
        <v>-3.8411066357694321</v>
      </c>
      <c r="D59">
        <f>COS(RADIANS($A59))*('Lift @ Cruising Speed vs. AoA'!D60)+SIN(RADIANS($A59))*'Prop. Thrust vs Airspeed vs RPM'!$C$18-(9.81*($B$1+$B$2)) - SIN(RADIANS($A59))*'Drag @ Cruising Speed vs AoA'!D59</f>
        <v>1.6009474467450828</v>
      </c>
      <c r="E59">
        <f>COS(RADIANS($A59))*('Lift @ Cruising Speed vs. AoA'!E60)+SIN(RADIANS($A59))*'Prop. Thrust vs Airspeed vs RPM'!$C$18-(9.81*($B$1+$B$2)) - SIN(RADIANS($A59))*'Drag @ Cruising Speed vs AoA'!E59</f>
        <v>8.2523468809294869</v>
      </c>
      <c r="F59">
        <f>COS(RADIANS($A59))*('Lift @ Cruising Speed vs. AoA'!F60)+SIN(RADIANS($A59))*'Prop. Thrust vs Airspeed vs RPM'!$C$18-(9.81*($B$1+$B$2)) - SIN(RADIANS($A59))*'Drag @ Cruising Speed vs AoA'!F59</f>
        <v>16.113091666783788</v>
      </c>
      <c r="G59">
        <f>COS(RADIANS($A59))*('Lift @ Cruising Speed vs. AoA'!G60)+SIN(RADIANS($A59))*'Prop. Thrust vs Airspeed vs RPM'!$C$18-(9.81*($B$1+$B$2)) - SIN(RADIANS($A59))*'Drag @ Cruising Speed vs AoA'!G59</f>
        <v>25.183181804307974</v>
      </c>
      <c r="H59">
        <f>COS(RADIANS($A59))*('Lift @ Cruising Speed vs. AoA'!H60)+SIN(RADIANS($A59))*'Prop. Thrust vs Airspeed vs RPM'!$C$18-(9.81*($B$1+$B$2)) - SIN(RADIANS($A59))*'Drag @ Cruising Speed vs AoA'!H59</f>
        <v>46.951398134366038</v>
      </c>
      <c r="I59">
        <f>COS(RADIANS($A59))*('Lift @ Cruising Speed vs. AoA'!I60)+SIN(RADIANS($A59))*'Prop. Thrust vs Airspeed vs RPM'!$C$18-(9.81*($B$1+$B$2)) - SIN(RADIANS($A59))*'Drag @ Cruising Speed vs AoA'!I59</f>
        <v>73.556995871103652</v>
      </c>
    </row>
    <row r="60" spans="1:9" x14ac:dyDescent="0.35">
      <c r="A60" s="1">
        <v>4</v>
      </c>
      <c r="B60">
        <f>COS(RADIANS($A60))*('Lift @ Cruising Speed vs. AoA'!B61)+SIN(RADIANS($A60))*'Prop. Thrust vs Airspeed vs RPM'!$C$18-(9.81*($B$1+$B$2)) - SIN(RADIANS($A60))*'Drag @ Cruising Speed vs AoA'!B60</f>
        <v>-11.010537704560141</v>
      </c>
      <c r="C60">
        <f>COS(RADIANS($A60))*('Lift @ Cruising Speed vs. AoA'!C61)+SIN(RADIANS($A60))*'Prop. Thrust vs Airspeed vs RPM'!$C$18-(9.81*($B$1+$B$2)) - SIN(RADIANS($A60))*'Drag @ Cruising Speed vs AoA'!C60</f>
        <v>-3.5380999021954844</v>
      </c>
      <c r="D60">
        <f>COS(RADIANS($A60))*('Lift @ Cruising Speed vs. AoA'!D61)+SIN(RADIANS($A60))*'Prop. Thrust vs Airspeed vs RPM'!$C$18-(9.81*($B$1+$B$2)) - SIN(RADIANS($A60))*'Drag @ Cruising Speed vs AoA'!D60</f>
        <v>2.066228449578011</v>
      </c>
      <c r="E60">
        <f>COS(RADIANS($A60))*('Lift @ Cruising Speed vs. AoA'!E61)+SIN(RADIANS($A60))*'Prop. Thrust vs Airspeed vs RPM'!$C$18-(9.81*($B$1+$B$2)) - SIN(RADIANS($A60))*'Drag @ Cruising Speed vs AoA'!E60</f>
        <v>8.9159631017456125</v>
      </c>
      <c r="F60">
        <f>COS(RADIANS($A60))*('Lift @ Cruising Speed vs. AoA'!F61)+SIN(RADIANS($A60))*'Prop. Thrust vs Airspeed vs RPM'!$C$18-(9.81*($B$1+$B$2)) - SIN(RADIANS($A60))*'Drag @ Cruising Speed vs AoA'!F60</f>
        <v>17.011104054307324</v>
      </c>
      <c r="G60">
        <f>COS(RADIANS($A60))*('Lift @ Cruising Speed vs. AoA'!G61)+SIN(RADIANS($A60))*'Prop. Thrust vs Airspeed vs RPM'!$C$18-(9.81*($B$1+$B$2)) - SIN(RADIANS($A60))*'Drag @ Cruising Speed vs AoA'!G60</f>
        <v>26.351651307263143</v>
      </c>
      <c r="H60">
        <f>COS(RADIANS($A60))*('Lift @ Cruising Speed vs. AoA'!H61)+SIN(RADIANS($A60))*'Prop. Thrust vs Airspeed vs RPM'!$C$18-(9.81*($B$1+$B$2)) - SIN(RADIANS($A60))*'Drag @ Cruising Speed vs AoA'!H60</f>
        <v>48.768964714357125</v>
      </c>
      <c r="I60">
        <f>COS(RADIANS($A60))*('Lift @ Cruising Speed vs. AoA'!I61)+SIN(RADIANS($A60))*'Prop. Thrust vs Airspeed vs RPM'!$C$18-(9.81*($B$1+$B$2)) - SIN(RADIANS($A60))*'Drag @ Cruising Speed vs AoA'!I60</f>
        <v>76.167903323027517</v>
      </c>
    </row>
    <row r="61" spans="1:9" x14ac:dyDescent="0.35">
      <c r="A61" s="1">
        <v>4.25</v>
      </c>
      <c r="B61">
        <f>COS(RADIANS($A61))*('Lift @ Cruising Speed vs. AoA'!B62)+SIN(RADIANS($A61))*'Prop. Thrust vs Airspeed vs RPM'!$C$18-(9.81*($B$1+$B$2)) - SIN(RADIANS($A61))*'Drag @ Cruising Speed vs AoA'!B61</f>
        <v>-10.923693664081824</v>
      </c>
      <c r="C61">
        <f>COS(RADIANS($A61))*('Lift @ Cruising Speed vs. AoA'!C62)+SIN(RADIANS($A61))*'Prop. Thrust vs Airspeed vs RPM'!$C$18-(9.81*($B$1+$B$2)) - SIN(RADIANS($A61))*'Drag @ Cruising Speed vs AoA'!C61</f>
        <v>-3.2342678836783603</v>
      </c>
      <c r="D61">
        <f>COS(RADIANS($A61))*('Lift @ Cruising Speed vs. AoA'!D62)+SIN(RADIANS($A61))*'Prop. Thrust vs Airspeed vs RPM'!$C$18-(9.81*($B$1+$B$2)) - SIN(RADIANS($A61))*'Drag @ Cruising Speed vs AoA'!D61</f>
        <v>2.5328014516242399</v>
      </c>
      <c r="E61">
        <f>COS(RADIANS($A61))*('Lift @ Cruising Speed vs. AoA'!E62)+SIN(RADIANS($A61))*'Prop. Thrust vs Airspeed vs RPM'!$C$18-(9.81*($B$1+$B$2)) - SIN(RADIANS($A61))*'Drag @ Cruising Speed vs AoA'!E61</f>
        <v>9.5814417503274143</v>
      </c>
      <c r="F61">
        <f>COS(RADIANS($A61))*('Lift @ Cruising Speed vs. AoA'!F62)+SIN(RADIANS($A61))*'Prop. Thrust vs Airspeed vs RPM'!$C$18-(9.81*($B$1+$B$2)) - SIN(RADIANS($A61))*'Drag @ Cruising Speed vs AoA'!F61</f>
        <v>17.911653012431167</v>
      </c>
      <c r="G61">
        <f>COS(RADIANS($A61))*('Lift @ Cruising Speed vs. AoA'!G62)+SIN(RADIANS($A61))*'Prop. Thrust vs Airspeed vs RPM'!$C$18-(9.81*($B$1+$B$2)) - SIN(RADIANS($A61))*'Drag @ Cruising Speed vs AoA'!G61</f>
        <v>27.523435237935491</v>
      </c>
      <c r="H61">
        <f>COS(RADIANS($A61))*('Lift @ Cruising Speed vs. AoA'!H62)+SIN(RADIANS($A61))*'Prop. Thrust vs Airspeed vs RPM'!$C$18-(9.81*($B$1+$B$2)) - SIN(RADIANS($A61))*'Drag @ Cruising Speed vs AoA'!H61</f>
        <v>50.591712579145891</v>
      </c>
      <c r="I61">
        <f>COS(RADIANS($A61))*('Lift @ Cruising Speed vs. AoA'!I62)+SIN(RADIANS($A61))*'Prop. Thrust vs Airspeed vs RPM'!$C$18-(9.81*($B$1+$B$2)) - SIN(RADIANS($A61))*'Drag @ Cruising Speed vs AoA'!I61</f>
        <v>78.786273773958598</v>
      </c>
    </row>
    <row r="62" spans="1:9" x14ac:dyDescent="0.35">
      <c r="A62" s="1">
        <v>4.5</v>
      </c>
      <c r="B62">
        <f>COS(RADIANS($A62))*('Lift @ Cruising Speed vs. AoA'!B63)+SIN(RADIANS($A62))*'Prop. Thrust vs Airspeed vs RPM'!$C$18-(9.81*($B$1+$B$2)) - SIN(RADIANS($A62))*'Drag @ Cruising Speed vs AoA'!B62</f>
        <v>-10.837262367960124</v>
      </c>
      <c r="C62">
        <f>COS(RADIANS($A62))*('Lift @ Cruising Speed vs. AoA'!C63)+SIN(RADIANS($A62))*'Prop. Thrust vs Airspeed vs RPM'!$C$18-(9.81*($B$1+$B$2)) - SIN(RADIANS($A62))*'Drag @ Cruising Speed vs AoA'!C62</f>
        <v>-2.932072725625487</v>
      </c>
      <c r="D62">
        <f>COS(RADIANS($A62))*('Lift @ Cruising Speed vs. AoA'!D63)+SIN(RADIANS($A62))*'Prop. Thrust vs Airspeed vs RPM'!$C$18-(9.81*($B$1+$B$2)) - SIN(RADIANS($A62))*'Drag @ Cruising Speed vs AoA'!D62</f>
        <v>2.9968195061254903</v>
      </c>
      <c r="E62">
        <f>COS(RADIANS($A62))*('Lift @ Cruising Speed vs. AoA'!E63)+SIN(RADIANS($A62))*'Prop. Thrust vs Airspeed vs RPM'!$C$18-(9.81*($B$1+$B$2)) - SIN(RADIANS($A62))*'Drag @ Cruising Speed vs AoA'!E62</f>
        <v>10.243243344932237</v>
      </c>
      <c r="F62">
        <f>COS(RADIANS($A62))*('Lift @ Cruising Speed vs. AoA'!F63)+SIN(RADIANS($A62))*'Prop. Thrust vs Airspeed vs RPM'!$C$18-(9.81*($B$1+$B$2)) - SIN(RADIANS($A62))*'Drag @ Cruising Speed vs AoA'!F62</f>
        <v>18.807198790794757</v>
      </c>
      <c r="G62">
        <f>COS(RADIANS($A62))*('Lift @ Cruising Speed vs. AoA'!G63)+SIN(RADIANS($A62))*'Prop. Thrust vs Airspeed vs RPM'!$C$18-(9.81*($B$1+$B$2)) - SIN(RADIANS($A62))*'Drag @ Cruising Speed vs AoA'!G62</f>
        <v>28.68868584371306</v>
      </c>
      <c r="H62">
        <f>COS(RADIANS($A62))*('Lift @ Cruising Speed vs. AoA'!H63)+SIN(RADIANS($A62))*'Prop. Thrust vs Airspeed vs RPM'!$C$18-(9.81*($B$1+$B$2)) - SIN(RADIANS($A62))*'Drag @ Cruising Speed vs AoA'!H62</f>
        <v>52.404254770716967</v>
      </c>
      <c r="I62">
        <f>COS(RADIANS($A62))*('Lift @ Cruising Speed vs. AoA'!I63)+SIN(RADIANS($A62))*'Prop. Thrust vs Airspeed vs RPM'!$C$18-(9.81*($B$1+$B$2)) - SIN(RADIANS($A62))*'Drag @ Cruising Speed vs AoA'!I62</f>
        <v>81.389950125943955</v>
      </c>
    </row>
    <row r="63" spans="1:9" x14ac:dyDescent="0.35">
      <c r="A63" s="1">
        <v>4.75</v>
      </c>
      <c r="B63">
        <f>COS(RADIANS($A63))*('Lift @ Cruising Speed vs. AoA'!B64)+SIN(RADIANS($A63))*'Prop. Thrust vs Airspeed vs RPM'!$C$18-(9.81*($B$1+$B$2)) - SIN(RADIANS($A63))*'Drag @ Cruising Speed vs AoA'!B63</f>
        <v>-10.750640472713615</v>
      </c>
      <c r="C63">
        <f>COS(RADIANS($A63))*('Lift @ Cruising Speed vs. AoA'!C64)+SIN(RADIANS($A63))*'Prop. Thrust vs Airspeed vs RPM'!$C$18-(9.81*($B$1+$B$2)) - SIN(RADIANS($A63))*'Drag @ Cruising Speed vs AoA'!C63</f>
        <v>-2.6291002253622193</v>
      </c>
      <c r="D63">
        <f>COS(RADIANS($A63))*('Lift @ Cruising Speed vs. AoA'!D64)+SIN(RADIANS($A63))*'Prop. Thrust vs Airspeed vs RPM'!$C$18-(9.81*($B$1+$B$2)) - SIN(RADIANS($A63))*'Drag @ Cruising Speed vs AoA'!D63</f>
        <v>3.4620549601513324</v>
      </c>
      <c r="E63">
        <f>COS(RADIANS($A63))*('Lift @ Cruising Speed vs. AoA'!E64)+SIN(RADIANS($A63))*'Prop. Thrust vs Airspeed vs RPM'!$C$18-(9.81*($B$1+$B$2)) - SIN(RADIANS($A63))*'Drag @ Cruising Speed vs AoA'!E63</f>
        <v>10.906800186890109</v>
      </c>
      <c r="F63">
        <f>COS(RADIANS($A63))*('Lift @ Cruising Speed vs. AoA'!F64)+SIN(RADIANS($A63))*'Prop. Thrust vs Airspeed vs RPM'!$C$18-(9.81*($B$1+$B$2)) - SIN(RADIANS($A63))*'Drag @ Cruising Speed vs AoA'!F63</f>
        <v>19.705135454854123</v>
      </c>
      <c r="G63">
        <f>COS(RADIANS($A63))*('Lift @ Cruising Speed vs. AoA'!G64)+SIN(RADIANS($A63))*'Prop. Thrust vs Airspeed vs RPM'!$C$18-(9.81*($B$1+$B$2)) - SIN(RADIANS($A63))*'Drag @ Cruising Speed vs AoA'!G63</f>
        <v>29.857060764043368</v>
      </c>
      <c r="H63">
        <f>COS(RADIANS($A63))*('Lift @ Cruising Speed vs. AoA'!H64)+SIN(RADIANS($A63))*'Prop. Thrust vs Airspeed vs RPM'!$C$18-(9.81*($B$1+$B$2)) - SIN(RADIANS($A63))*'Drag @ Cruising Speed vs AoA'!H63</f>
        <v>54.221681506097568</v>
      </c>
      <c r="I63">
        <f>COS(RADIANS($A63))*('Lift @ Cruising Speed vs. AoA'!I64)+SIN(RADIANS($A63))*'Prop. Thrust vs Airspeed vs RPM'!$C$18-(9.81*($B$1+$B$2)) - SIN(RADIANS($A63))*'Drag @ Cruising Speed vs AoA'!I63</f>
        <v>84.00066241305268</v>
      </c>
    </row>
    <row r="64" spans="1:9" x14ac:dyDescent="0.35">
      <c r="A64" s="1">
        <v>5</v>
      </c>
      <c r="B64">
        <f>COS(RADIANS($A64))*('Lift @ Cruising Speed vs. AoA'!B65)+SIN(RADIANS($A64))*'Prop. Thrust vs Airspeed vs RPM'!$C$18-(9.81*($B$1+$B$2)) - SIN(RADIANS($A64))*'Drag @ Cruising Speed vs AoA'!B64</f>
        <v>-10.664743453330978</v>
      </c>
      <c r="C64">
        <f>COS(RADIANS($A64))*('Lift @ Cruising Speed vs. AoA'!C65)+SIN(RADIANS($A64))*'Prop. Thrust vs Airspeed vs RPM'!$C$18-(9.81*($B$1+$B$2)) - SIN(RADIANS($A64))*'Drag @ Cruising Speed vs AoA'!C64</f>
        <v>-2.3290114543788585</v>
      </c>
      <c r="D64">
        <f>COS(RADIANS($A64))*('Lift @ Cruising Speed vs. AoA'!D65)+SIN(RADIANS($A64))*'Prop. Thrust vs Airspeed vs RPM'!$C$18-(9.81*($B$1+$B$2)) - SIN(RADIANS($A64))*'Drag @ Cruising Speed vs AoA'!D64</f>
        <v>3.9227875448352356</v>
      </c>
      <c r="E64">
        <f>COS(RADIANS($A64))*('Lift @ Cruising Speed vs. AoA'!E65)+SIN(RADIANS($A64))*'Prop. Thrust vs Airspeed vs RPM'!$C$18-(9.81*($B$1+$B$2)) - SIN(RADIANS($A64))*'Drag @ Cruising Speed vs AoA'!E64</f>
        <v>11.563875210541342</v>
      </c>
      <c r="F64">
        <f>COS(RADIANS($A64))*('Lift @ Cruising Speed vs. AoA'!F65)+SIN(RADIANS($A64))*'Prop. Thrust vs Airspeed vs RPM'!$C$18-(9.81*($B$1+$B$2)) - SIN(RADIANS($A64))*'Drag @ Cruising Speed vs AoA'!F64</f>
        <v>20.594251542739471</v>
      </c>
      <c r="G64">
        <f>COS(RADIANS($A64))*('Lift @ Cruising Speed vs. AoA'!G65)+SIN(RADIANS($A64))*'Prop. Thrust vs Airspeed vs RPM'!$C$18-(9.81*($B$1+$B$2)) - SIN(RADIANS($A64))*'Drag @ Cruising Speed vs AoA'!G64</f>
        <v>31.013916541429619</v>
      </c>
      <c r="H64">
        <f>COS(RADIANS($A64))*('Lift @ Cruising Speed vs. AoA'!H65)+SIN(RADIANS($A64))*'Prop. Thrust vs Airspeed vs RPM'!$C$18-(9.81*($B$1+$B$2)) - SIN(RADIANS($A64))*'Drag @ Cruising Speed vs AoA'!H64</f>
        <v>56.02111253828599</v>
      </c>
      <c r="I64">
        <f>COS(RADIANS($A64))*('Lift @ Cruising Speed vs. AoA'!I65)+SIN(RADIANS($A64))*'Prop. Thrust vs Airspeed vs RPM'!$C$18-(9.81*($B$1+$B$2)) - SIN(RADIANS($A64))*'Drag @ Cruising Speed vs AoA'!I64</f>
        <v>86.5854632011104</v>
      </c>
    </row>
    <row r="65" spans="1:9" x14ac:dyDescent="0.35">
      <c r="A65" s="1">
        <v>5.25</v>
      </c>
      <c r="B65">
        <f>COS(RADIANS($A65))*('Lift @ Cruising Speed vs. AoA'!B66)+SIN(RADIANS($A65))*'Prop. Thrust vs Airspeed vs RPM'!$C$18-(9.81*($B$1+$B$2)) - SIN(RADIANS($A65))*'Drag @ Cruising Speed vs AoA'!B65</f>
        <v>-10.579580631808637</v>
      </c>
      <c r="C65">
        <f>COS(RADIANS($A65))*('Lift @ Cruising Speed vs. AoA'!C66)+SIN(RADIANS($A65))*'Prop. Thrust vs Airspeed vs RPM'!$C$18-(9.81*($B$1+$B$2)) - SIN(RADIANS($A65))*'Drag @ Cruising Speed vs AoA'!C65</f>
        <v>-2.0318428724970188</v>
      </c>
      <c r="D65">
        <f>COS(RADIANS($A65))*('Lift @ Cruising Speed vs. AoA'!D66)+SIN(RADIANS($A65))*'Prop. Thrust vs Airspeed vs RPM'!$C$18-(9.81*($B$1+$B$2)) - SIN(RADIANS($A65))*'Drag @ Cruising Speed vs AoA'!D65</f>
        <v>4.3789604469866958</v>
      </c>
      <c r="E65">
        <f>COS(RADIANS($A65))*('Lift @ Cruising Speed vs. AoA'!E66)+SIN(RADIANS($A65))*'Prop. Thrust vs Airspeed vs RPM'!$C$18-(9.81*($B$1+$B$2)) - SIN(RADIANS($A65))*'Drag @ Cruising Speed vs AoA'!E65</f>
        <v>12.214386726355681</v>
      </c>
      <c r="F65">
        <f>COS(RADIANS($A65))*('Lift @ Cruising Speed vs. AoA'!F66)+SIN(RADIANS($A65))*'Prop. Thrust vs Airspeed vs RPM'!$C$18-(9.81*($B$1+$B$2)) - SIN(RADIANS($A65))*'Drag @ Cruising Speed vs AoA'!F65</f>
        <v>21.474435965609928</v>
      </c>
      <c r="G65">
        <f>COS(RADIANS($A65))*('Lift @ Cruising Speed vs. AoA'!G66)+SIN(RADIANS($A65))*'Prop. Thrust vs Airspeed vs RPM'!$C$18-(9.81*($B$1+$B$2)) - SIN(RADIANS($A65))*'Drag @ Cruising Speed vs AoA'!G65</f>
        <v>32.159108164749455</v>
      </c>
      <c r="H65">
        <f>COS(RADIANS($A65))*('Lift @ Cruising Speed vs. AoA'!H66)+SIN(RADIANS($A65))*'Prop. Thrust vs Airspeed vs RPM'!$C$18-(9.81*($B$1+$B$2)) - SIN(RADIANS($A65))*'Drag @ Cruising Speed vs AoA'!H65</f>
        <v>57.802321442684324</v>
      </c>
      <c r="I65">
        <f>COS(RADIANS($A65))*('Lift @ Cruising Speed vs. AoA'!I66)+SIN(RADIANS($A65))*'Prop. Thrust vs Airspeed vs RPM'!$C$18-(9.81*($B$1+$B$2)) - SIN(RADIANS($A65))*'Drag @ Cruising Speed vs AoA'!I65</f>
        <v>89.14402656016027</v>
      </c>
    </row>
    <row r="66" spans="1:9" x14ac:dyDescent="0.35">
      <c r="A66" s="1">
        <v>5.5</v>
      </c>
      <c r="B66">
        <f>COS(RADIANS($A66))*('Lift @ Cruising Speed vs. AoA'!B67)+SIN(RADIANS($A66))*'Prop. Thrust vs Airspeed vs RPM'!$C$18-(9.81*($B$1+$B$2)) - SIN(RADIANS($A66))*'Drag @ Cruising Speed vs AoA'!B66</f>
        <v>-10.495153515530321</v>
      </c>
      <c r="C66">
        <f>COS(RADIANS($A66))*('Lift @ Cruising Speed vs. AoA'!C67)+SIN(RADIANS($A66))*'Prop. Thrust vs Airspeed vs RPM'!$C$18-(9.81*($B$1+$B$2)) - SIN(RADIANS($A66))*'Drag @ Cruising Speed vs AoA'!C66</f>
        <v>-1.7375996814035903</v>
      </c>
      <c r="D66">
        <f>COS(RADIANS($A66))*('Lift @ Cruising Speed vs. AoA'!D67)+SIN(RADIANS($A66))*'Prop. Thrust vs Airspeed vs RPM'!$C$18-(9.81*($B$1+$B$2)) - SIN(RADIANS($A66))*'Drag @ Cruising Speed vs AoA'!D66</f>
        <v>4.8305656941914616</v>
      </c>
      <c r="E66">
        <f>COS(RADIANS($A66))*('Lift @ Cruising Speed vs. AoA'!E67)+SIN(RADIANS($A66))*'Prop. Thrust vs Airspeed vs RPM'!$C$18-(9.81*($B$1+$B$2)) - SIN(RADIANS($A66))*'Drag @ Cruising Speed vs AoA'!E66</f>
        <v>12.858323375474294</v>
      </c>
      <c r="F66">
        <f>COS(RADIANS($A66))*('Lift @ Cruising Speed vs. AoA'!F67)+SIN(RADIANS($A66))*'Prop. Thrust vs Airspeed vs RPM'!$C$18-(9.81*($B$1+$B$2)) - SIN(RADIANS($A66))*'Drag @ Cruising Speed vs AoA'!F66</f>
        <v>22.345673362444916</v>
      </c>
      <c r="G66">
        <f>COS(RADIANS($A66))*('Lift @ Cruising Speed vs. AoA'!G67)+SIN(RADIANS($A66))*'Prop. Thrust vs Airspeed vs RPM'!$C$18-(9.81*($B$1+$B$2)) - SIN(RADIANS($A66))*'Drag @ Cruising Speed vs AoA'!G66</f>
        <v>33.292615655103326</v>
      </c>
      <c r="H66">
        <f>COS(RADIANS($A66))*('Lift @ Cruising Speed vs. AoA'!H67)+SIN(RADIANS($A66))*'Prop. Thrust vs Airspeed vs RPM'!$C$18-(9.81*($B$1+$B$2)) - SIN(RADIANS($A66))*'Drag @ Cruising Speed vs AoA'!H66</f>
        <v>59.565277157483536</v>
      </c>
      <c r="I66">
        <f>COS(RADIANS($A66))*('Lift @ Cruising Speed vs. AoA'!I67)+SIN(RADIANS($A66))*'Prop. Thrust vs Airspeed vs RPM'!$C$18-(9.81*($B$1+$B$2)) - SIN(RADIANS($A66))*'Drag @ Cruising Speed vs AoA'!I66</f>
        <v>91.676307882614864</v>
      </c>
    </row>
    <row r="67" spans="1:9" x14ac:dyDescent="0.35">
      <c r="A67" s="1">
        <v>5.75</v>
      </c>
      <c r="B67">
        <f>COS(RADIANS($A67))*('Lift @ Cruising Speed vs. AoA'!B68)+SIN(RADIANS($A67))*'Prop. Thrust vs Airspeed vs RPM'!$C$18-(9.81*($B$1+$B$2)) - SIN(RADIANS($A67))*'Drag @ Cruising Speed vs AoA'!B67</f>
        <v>-10.412075492566398</v>
      </c>
      <c r="C67">
        <f>COS(RADIANS($A67))*('Lift @ Cruising Speed vs. AoA'!C68)+SIN(RADIANS($A67))*'Prop. Thrust vs Airspeed vs RPM'!$C$18-(9.81*($B$1+$B$2)) - SIN(RADIANS($A67))*'Drag @ Cruising Speed vs AoA'!C67</f>
        <v>-1.4487346058639021</v>
      </c>
      <c r="D67">
        <f>COS(RADIANS($A67))*('Lift @ Cruising Speed vs. AoA'!D68)+SIN(RADIANS($A67))*'Prop. Thrust vs Airspeed vs RPM'!$C$18-(9.81*($B$1+$B$2)) - SIN(RADIANS($A67))*'Drag @ Cruising Speed vs AoA'!D67</f>
        <v>5.2737710591629705</v>
      </c>
      <c r="E67">
        <f>COS(RADIANS($A67))*('Lift @ Cruising Speed vs. AoA'!E68)+SIN(RADIANS($A67))*'Prop. Thrust vs Airspeed vs RPM'!$C$18-(9.81*($B$1+$B$2)) - SIN(RADIANS($A67))*'Drag @ Cruising Speed vs AoA'!E67</f>
        <v>13.490166871973589</v>
      </c>
      <c r="F67">
        <f>COS(RADIANS($A67))*('Lift @ Cruising Speed vs. AoA'!F68)+SIN(RADIANS($A67))*'Prop. Thrust vs Airspeed vs RPM'!$C$18-(9.81*($B$1+$B$2)) - SIN(RADIANS($A67))*'Drag @ Cruising Speed vs AoA'!F67</f>
        <v>23.200452832567962</v>
      </c>
      <c r="G67">
        <f>COS(RADIANS($A67))*('Lift @ Cruising Speed vs. AoA'!G68)+SIN(RADIANS($A67))*'Prop. Thrust vs Airspeed vs RPM'!$C$18-(9.81*($B$1+$B$2)) - SIN(RADIANS($A67))*'Drag @ Cruising Speed vs AoA'!G67</f>
        <v>34.404628940946075</v>
      </c>
      <c r="H67">
        <f>COS(RADIANS($A67))*('Lift @ Cruising Speed vs. AoA'!H68)+SIN(RADIANS($A67))*'Prop. Thrust vs Airspeed vs RPM'!$C$18-(9.81*($B$1+$B$2)) - SIN(RADIANS($A67))*'Drag @ Cruising Speed vs AoA'!H67</f>
        <v>61.294651601053573</v>
      </c>
      <c r="I67">
        <f>COS(RADIANS($A67))*('Lift @ Cruising Speed vs. AoA'!I68)+SIN(RADIANS($A67))*'Prop. Thrust vs Airspeed vs RPM'!$C$18-(9.81*($B$1+$B$2)) - SIN(RADIANS($A67))*'Drag @ Cruising Speed vs AoA'!I67</f>
        <v>94.160234852296043</v>
      </c>
    </row>
    <row r="68" spans="1:9" x14ac:dyDescent="0.35">
      <c r="A68" s="1">
        <v>6</v>
      </c>
      <c r="B68">
        <f>COS(RADIANS($A68))*('Lift @ Cruising Speed vs. AoA'!B69)+SIN(RADIANS($A68))*'Prop. Thrust vs Airspeed vs RPM'!$C$18-(9.81*($B$1+$B$2)) - SIN(RADIANS($A68))*'Drag @ Cruising Speed vs AoA'!B68</f>
        <v>-10.329435921465144</v>
      </c>
      <c r="C68">
        <f>COS(RADIANS($A68))*('Lift @ Cruising Speed vs. AoA'!C69)+SIN(RADIANS($A68))*'Prop. Thrust vs Airspeed vs RPM'!$C$18-(9.81*($B$1+$B$2)) - SIN(RADIANS($A68))*'Drag @ Cruising Speed vs AoA'!C68</f>
        <v>-1.1616042529024753</v>
      </c>
      <c r="D68">
        <f>COS(RADIANS($A68))*('Lift @ Cruising Speed vs. AoA'!D69)+SIN(RADIANS($A68))*'Prop. Thrust vs Airspeed vs RPM'!$C$18-(9.81*($B$1+$B$2)) - SIN(RADIANS($A68))*'Drag @ Cruising Speed vs AoA'!D68</f>
        <v>5.7142694985195295</v>
      </c>
      <c r="E68">
        <f>COS(RADIANS($A68))*('Lift @ Cruising Speed vs. AoA'!E69)+SIN(RADIANS($A68))*'Prop. Thrust vs Airspeed vs RPM'!$C$18-(9.81*($B$1+$B$2)) - SIN(RADIANS($A68))*'Drag @ Cruising Speed vs AoA'!E68</f>
        <v>14.118115194701971</v>
      </c>
      <c r="F68">
        <f>COS(RADIANS($A68))*('Lift @ Cruising Speed vs. AoA'!F69)+SIN(RADIANS($A68))*'Prop. Thrust vs Airspeed vs RPM'!$C$18-(9.81*($B$1+$B$2)) - SIN(RADIANS($A68))*'Drag @ Cruising Speed vs AoA'!F68</f>
        <v>24.04993283564486</v>
      </c>
      <c r="G68">
        <f>COS(RADIANS($A68))*('Lift @ Cruising Speed vs. AoA'!G69)+SIN(RADIANS($A68))*'Prop. Thrust vs Airspeed vs RPM'!$C$18-(9.81*($B$1+$B$2)) - SIN(RADIANS($A68))*'Drag @ Cruising Speed vs AoA'!G68</f>
        <v>35.509722421348208</v>
      </c>
      <c r="H68">
        <f>COS(RADIANS($A68))*('Lift @ Cruising Speed vs. AoA'!H69)+SIN(RADIANS($A68))*'Prop. Thrust vs Airspeed vs RPM'!$C$18-(9.81*($B$1+$B$2)) - SIN(RADIANS($A68))*'Drag @ Cruising Speed vs AoA'!H68</f>
        <v>63.013217427036224</v>
      </c>
      <c r="I68">
        <f>COS(RADIANS($A68))*('Lift @ Cruising Speed vs. AoA'!I69)+SIN(RADIANS($A68))*'Prop. Thrust vs Airspeed vs RPM'!$C$18-(9.81*($B$1+$B$2)) - SIN(RADIANS($A68))*'Drag @ Cruising Speed vs AoA'!I68</f>
        <v>96.628600211765999</v>
      </c>
    </row>
    <row r="69" spans="1:9" x14ac:dyDescent="0.35">
      <c r="A69" s="1">
        <v>6.25</v>
      </c>
      <c r="B69">
        <f>COS(RADIANS($A69))*('Lift @ Cruising Speed vs. AoA'!B70)+SIN(RADIANS($A69))*'Prop. Thrust vs Airspeed vs RPM'!$C$18-(9.81*($B$1+$B$2)) - SIN(RADIANS($A69))*'Drag @ Cruising Speed vs AoA'!B69</f>
        <v>-10.247847877129859</v>
      </c>
      <c r="C69">
        <f>COS(RADIANS($A69))*('Lift @ Cruising Speed vs. AoA'!C70)+SIN(RADIANS($A69))*'Prop. Thrust vs Airspeed vs RPM'!$C$18-(9.81*($B$1+$B$2)) - SIN(RADIANS($A69))*'Drag @ Cruising Speed vs AoA'!C69</f>
        <v>-0.87866009532730938</v>
      </c>
      <c r="D69">
        <f>COS(RADIANS($A69))*('Lift @ Cruising Speed vs. AoA'!D70)+SIN(RADIANS($A69))*'Prop. Thrust vs Airspeed vs RPM'!$C$18-(9.81*($B$1+$B$2)) - SIN(RADIANS($A69))*'Drag @ Cruising Speed vs AoA'!D69</f>
        <v>6.1482307410246033</v>
      </c>
      <c r="E69">
        <f>COS(RADIANS($A69))*('Lift @ Cruising Speed vs. AoA'!E70)+SIN(RADIANS($A69))*'Prop. Thrust vs Airspeed vs RPM'!$C$18-(9.81*($B$1+$B$2)) - SIN(RADIANS($A69))*'Drag @ Cruising Speed vs AoA'!E69</f>
        <v>14.736652874343605</v>
      </c>
      <c r="F69">
        <f>COS(RADIANS($A69))*('Lift @ Cruising Speed vs. AoA'!F70)+SIN(RADIANS($A69))*'Prop. Thrust vs Airspeed vs RPM'!$C$18-(9.81*($B$1+$B$2)) - SIN(RADIANS($A69))*'Drag @ Cruising Speed vs AoA'!F69</f>
        <v>24.886606304629701</v>
      </c>
      <c r="G69">
        <f>COS(RADIANS($A69))*('Lift @ Cruising Speed vs. AoA'!G70)+SIN(RADIANS($A69))*'Prop. Thrust vs Airspeed vs RPM'!$C$18-(9.81*($B$1+$B$2)) - SIN(RADIANS($A69))*'Drag @ Cruising Speed vs AoA'!G69</f>
        <v>36.598091031882895</v>
      </c>
      <c r="H69">
        <f>COS(RADIANS($A69))*('Lift @ Cruising Speed vs. AoA'!H70)+SIN(RADIANS($A69))*'Prop. Thrust vs Airspeed vs RPM'!$C$18-(9.81*($B$1+$B$2)) - SIN(RADIANS($A69))*'Drag @ Cruising Speed vs AoA'!H69</f>
        <v>64.705654377290557</v>
      </c>
      <c r="I69">
        <f>COS(RADIANS($A69))*('Lift @ Cruising Speed vs. AoA'!I70)+SIN(RADIANS($A69))*'Prop. Thrust vs Airspeed vs RPM'!$C$18-(9.81*($B$1+$B$2)) - SIN(RADIANS($A69))*'Drag @ Cruising Speed vs AoA'!I69</f>
        <v>99.059342910566542</v>
      </c>
    </row>
    <row r="70" spans="1:9" x14ac:dyDescent="0.35">
      <c r="A70" s="1">
        <v>6.5</v>
      </c>
      <c r="B70">
        <f>COS(RADIANS($A70))*('Lift @ Cruising Speed vs. AoA'!B71)+SIN(RADIANS($A70))*'Prop. Thrust vs Airspeed vs RPM'!$C$18-(9.81*($B$1+$B$2)) - SIN(RADIANS($A70))*'Drag @ Cruising Speed vs AoA'!B70</f>
        <v>-10.167930142118864</v>
      </c>
      <c r="C70">
        <f>COS(RADIANS($A70))*('Lift @ Cruising Speed vs. AoA'!C71)+SIN(RADIANS($A70))*'Prop. Thrust vs Airspeed vs RPM'!$C$18-(9.81*($B$1+$B$2)) - SIN(RADIANS($A70))*'Drag @ Cruising Speed vs AoA'!C70</f>
        <v>-0.60237643694555354</v>
      </c>
      <c r="D70">
        <f>COS(RADIANS($A70))*('Lift @ Cruising Speed vs. AoA'!D71)+SIN(RADIANS($A70))*'Prop. Thrust vs Airspeed vs RPM'!$C$18-(9.81*($B$1+$B$2)) - SIN(RADIANS($A70))*'Drag @ Cruising Speed vs AoA'!D70</f>
        <v>6.5717888419344339</v>
      </c>
      <c r="E70">
        <f>COS(RADIANS($A70))*('Lift @ Cruising Speed vs. AoA'!E71)+SIN(RADIANS($A70))*'Prop. Thrust vs Airspeed vs RPM'!$C$18-(9.81*($B$1+$B$2)) - SIN(RADIANS($A70))*'Drag @ Cruising Speed vs AoA'!E70</f>
        <v>15.340213071676633</v>
      </c>
      <c r="F70">
        <f>COS(RADIANS($A70))*('Lift @ Cruising Speed vs. AoA'!F71)+SIN(RADIANS($A70))*'Prop. Thrust vs Airspeed vs RPM'!$C$18-(9.81*($B$1+$B$2)) - SIN(RADIANS($A70))*'Drag @ Cruising Speed vs AoA'!F70</f>
        <v>25.702896252281054</v>
      </c>
      <c r="G70">
        <f>COS(RADIANS($A70))*('Lift @ Cruising Speed vs. AoA'!G71)+SIN(RADIANS($A70))*'Prop. Thrust vs Airspeed vs RPM'!$C$18-(9.81*($B$1+$B$2)) - SIN(RADIANS($A70))*'Drag @ Cruising Speed vs AoA'!G70</f>
        <v>37.659838383747697</v>
      </c>
      <c r="H70">
        <f>COS(RADIANS($A70))*('Lift @ Cruising Speed vs. AoA'!H71)+SIN(RADIANS($A70))*'Prop. Thrust vs Airspeed vs RPM'!$C$18-(9.81*($B$1+$B$2)) - SIN(RADIANS($A70))*'Drag @ Cruising Speed vs AoA'!H70</f>
        <v>66.356499499267628</v>
      </c>
      <c r="I70">
        <f>COS(RADIANS($A70))*('Lift @ Cruising Speed vs. AoA'!I71)+SIN(RADIANS($A70))*'Prop. Thrust vs Airspeed vs RPM'!$C$18-(9.81*($B$1+$B$2)) - SIN(RADIANS($A70))*'Drag @ Cruising Speed vs AoA'!I70</f>
        <v>101.43019641823643</v>
      </c>
    </row>
    <row r="71" spans="1:9" x14ac:dyDescent="0.35">
      <c r="A71" s="1">
        <v>6.75</v>
      </c>
      <c r="B71">
        <f>COS(RADIANS($A71))*('Lift @ Cruising Speed vs. AoA'!B72)+SIN(RADIANS($A71))*'Prop. Thrust vs Airspeed vs RPM'!$C$18-(9.81*($B$1+$B$2)) - SIN(RADIANS($A71))*'Drag @ Cruising Speed vs AoA'!B71</f>
        <v>-10.089070311642619</v>
      </c>
      <c r="C71">
        <f>COS(RADIANS($A71))*('Lift @ Cruising Speed vs. AoA'!C72)+SIN(RADIANS($A71))*'Prop. Thrust vs Airspeed vs RPM'!$C$18-(9.81*($B$1+$B$2)) - SIN(RADIANS($A71))*'Drag @ Cruising Speed vs AoA'!C71</f>
        <v>-0.33030283256774207</v>
      </c>
      <c r="D71">
        <f>COS(RADIANS($A71))*('Lift @ Cruising Speed vs. AoA'!D72)+SIN(RADIANS($A71))*'Prop. Thrust vs Airspeed vs RPM'!$C$18-(9.81*($B$1+$B$2)) - SIN(RADIANS($A71))*'Drag @ Cruising Speed vs AoA'!D71</f>
        <v>6.988772776738422</v>
      </c>
      <c r="E71">
        <f>COS(RADIANS($A71))*('Lift @ Cruising Speed vs. AoA'!E72)+SIN(RADIANS($A71))*'Prop. Thrust vs Airspeed vs RPM'!$C$18-(9.81*($B$1+$B$2)) - SIN(RADIANS($A71))*'Drag @ Cruising Speed vs AoA'!E71</f>
        <v>15.934309632557049</v>
      </c>
      <c r="F71">
        <f>COS(RADIANS($A71))*('Lift @ Cruising Speed vs. AoA'!F72)+SIN(RADIANS($A71))*'Prop. Thrust vs Airspeed vs RPM'!$C$18-(9.81*($B$1+$B$2)) - SIN(RADIANS($A71))*'Drag @ Cruising Speed vs AoA'!F71</f>
        <v>26.506307734888168</v>
      </c>
      <c r="G71">
        <f>COS(RADIANS($A71))*('Lift @ Cruising Speed vs. AoA'!G72)+SIN(RADIANS($A71))*'Prop. Thrust vs Airspeed vs RPM'!$C$18-(9.81*($B$1+$B$2)) - SIN(RADIANS($A71))*'Drag @ Cruising Speed vs AoA'!G71</f>
        <v>38.70476708373176</v>
      </c>
      <c r="H71">
        <f>COS(RADIANS($A71))*('Lift @ Cruising Speed vs. AoA'!H72)+SIN(RADIANS($A71))*'Prop. Thrust vs Airspeed vs RPM'!$C$18-(9.81*($B$1+$B$2)) - SIN(RADIANS($A71))*'Drag @ Cruising Speed vs AoA'!H71</f>
        <v>67.981069520956424</v>
      </c>
      <c r="I71">
        <f>COS(RADIANS($A71))*('Lift @ Cruising Speed vs. AoA'!I72)+SIN(RADIANS($A71))*'Prop. Thrust vs Airspeed vs RPM'!$C$18-(9.81*($B$1+$B$2)) - SIN(RADIANS($A71))*'Drag @ Cruising Speed vs AoA'!I71</f>
        <v>103.76321694423093</v>
      </c>
    </row>
    <row r="72" spans="1:9" x14ac:dyDescent="0.35">
      <c r="A72" s="1">
        <v>7</v>
      </c>
      <c r="B72">
        <f>COS(RADIANS($A72))*('Lift @ Cruising Speed vs. AoA'!B73)+SIN(RADIANS($A72))*'Prop. Thrust vs Airspeed vs RPM'!$C$18-(9.81*($B$1+$B$2)) - SIN(RADIANS($A72))*'Drag @ Cruising Speed vs AoA'!B72</f>
        <v>-10.01249848495255</v>
      </c>
      <c r="C72">
        <f>COS(RADIANS($A72))*('Lift @ Cruising Speed vs. AoA'!C73)+SIN(RADIANS($A72))*'Prop. Thrust vs Airspeed vs RPM'!$C$18-(9.81*($B$1+$B$2)) - SIN(RADIANS($A72))*'Drag @ Cruising Speed vs AoA'!C72</f>
        <v>-6.7358853578848091E-2</v>
      </c>
      <c r="D72">
        <f>COS(RADIANS($A72))*('Lift @ Cruising Speed vs. AoA'!D73)+SIN(RADIANS($A72))*'Prop. Thrust vs Airspeed vs RPM'!$C$18-(9.81*($B$1+$B$2)) - SIN(RADIANS($A72))*'Drag @ Cruising Speed vs AoA'!D72</f>
        <v>7.3914958699514308</v>
      </c>
      <c r="E72">
        <f>COS(RADIANS($A72))*('Lift @ Cruising Speed vs. AoA'!E73)+SIN(RADIANS($A72))*'Prop. Thrust vs Airspeed vs RPM'!$C$18-(9.81*($B$1+$B$2)) - SIN(RADIANS($A72))*'Drag @ Cruising Speed vs AoA'!E72</f>
        <v>16.507873865377324</v>
      </c>
      <c r="F72">
        <f>COS(RADIANS($A72))*('Lift @ Cruising Speed vs. AoA'!F73)+SIN(RADIANS($A72))*'Prop. Thrust vs Airspeed vs RPM'!$C$18-(9.81*($B$1+$B$2)) - SIN(RADIANS($A72))*'Drag @ Cruising Speed vs AoA'!F72</f>
        <v>27.281775132698829</v>
      </c>
      <c r="G72">
        <f>COS(RADIANS($A72))*('Lift @ Cruising Speed vs. AoA'!G73)+SIN(RADIANS($A72))*'Prop. Thrust vs Airspeed vs RPM'!$C$18-(9.81*($B$1+$B$2)) - SIN(RADIANS($A72))*'Drag @ Cruising Speed vs AoA'!G72</f>
        <v>39.713199671915952</v>
      </c>
      <c r="H72">
        <f>COS(RADIANS($A72))*('Lift @ Cruising Speed vs. AoA'!H73)+SIN(RADIANS($A72))*'Prop. Thrust vs Airspeed vs RPM'!$C$18-(9.81*($B$1+$B$2)) - SIN(RADIANS($A72))*'Drag @ Cruising Speed vs AoA'!H72</f>
        <v>69.548618566037078</v>
      </c>
      <c r="I72">
        <f>COS(RADIANS($A72))*('Lift @ Cruising Speed vs. AoA'!I73)+SIN(RADIANS($A72))*'Prop. Thrust vs Airspeed vs RPM'!$C$18-(9.81*($B$1+$B$2)) - SIN(RADIANS($A72))*'Drag @ Cruising Speed vs AoA'!I72</f>
        <v>106.01413054774066</v>
      </c>
    </row>
    <row r="73" spans="1:9" x14ac:dyDescent="0.35">
      <c r="A73" s="1">
        <v>7.25</v>
      </c>
      <c r="B73">
        <f>COS(RADIANS($A73))*('Lift @ Cruising Speed vs. AoA'!B74)+SIN(RADIANS($A73))*'Prop. Thrust vs Airspeed vs RPM'!$C$18-(9.81*($B$1+$B$2)) - SIN(RADIANS($A73))*'Drag @ Cruising Speed vs AoA'!B73</f>
        <v>-9.9375898638736508</v>
      </c>
      <c r="C73">
        <f>COS(RADIANS($A73))*('Lift @ Cruising Speed vs. AoA'!C74)+SIN(RADIANS($A73))*'Prop. Thrust vs Airspeed vs RPM'!$C$18-(9.81*($B$1+$B$2)) - SIN(RADIANS($A73))*'Drag @ Cruising Speed vs AoA'!C73</f>
        <v>0.18895551791564955</v>
      </c>
      <c r="D73">
        <f>COS(RADIANS($A73))*('Lift @ Cruising Speed vs. AoA'!D74)+SIN(RADIANS($A73))*'Prop. Thrust vs Airspeed vs RPM'!$C$18-(9.81*($B$1+$B$2)) - SIN(RADIANS($A73))*'Drag @ Cruising Speed vs AoA'!D73</f>
        <v>7.7838645542576286</v>
      </c>
      <c r="E73">
        <f>COS(RADIANS($A73))*('Lift @ Cruising Speed vs. AoA'!E74)+SIN(RADIANS($A73))*'Prop. Thrust vs Airspeed vs RPM'!$C$18-(9.81*($B$1+$B$2)) - SIN(RADIANS($A73))*'Drag @ Cruising Speed vs AoA'!E73</f>
        <v>17.06653115423115</v>
      </c>
      <c r="F73">
        <f>COS(RADIANS($A73))*('Lift @ Cruising Speed vs. AoA'!F74)+SIN(RADIANS($A73))*'Prop. Thrust vs Airspeed vs RPM'!$C$18-(9.81*($B$1+$B$2)) - SIN(RADIANS($A73))*'Drag @ Cruising Speed vs AoA'!F73</f>
        <v>28.036955317836224</v>
      </c>
      <c r="G73">
        <f>COS(RADIANS($A73))*('Lift @ Cruising Speed vs. AoA'!G74)+SIN(RADIANS($A73))*'Prop. Thrust vs Airspeed vs RPM'!$C$18-(9.81*($B$1+$B$2)) - SIN(RADIANS($A73))*'Drag @ Cruising Speed vs AoA'!G73</f>
        <v>40.695137045072855</v>
      </c>
      <c r="H73">
        <f>COS(RADIANS($A73))*('Lift @ Cruising Speed vs. AoA'!H74)+SIN(RADIANS($A73))*'Prop. Thrust vs Airspeed vs RPM'!$C$18-(9.81*($B$1+$B$2)) - SIN(RADIANS($A73))*'Drag @ Cruising Speed vs AoA'!H73</f>
        <v>71.07477319044078</v>
      </c>
      <c r="I73">
        <f>COS(RADIANS($A73))*('Lift @ Cruising Speed vs. AoA'!I74)+SIN(RADIANS($A73))*'Prop. Thrust vs Airspeed vs RPM'!$C$18-(9.81*($B$1+$B$2)) - SIN(RADIANS($A73))*'Drag @ Cruising Speed vs AoA'!I73</f>
        <v>108.20543959033485</v>
      </c>
    </row>
    <row r="74" spans="1:9" x14ac:dyDescent="0.35">
      <c r="A74" s="1">
        <v>7.5</v>
      </c>
      <c r="B74">
        <f>COS(RADIANS($A74))*('Lift @ Cruising Speed vs. AoA'!B75)+SIN(RADIANS($A74))*'Prop. Thrust vs Airspeed vs RPM'!$C$18-(9.81*($B$1+$B$2)) - SIN(RADIANS($A74))*'Drag @ Cruising Speed vs AoA'!B74</f>
        <v>-9.8646609918789814</v>
      </c>
      <c r="C74">
        <f>COS(RADIANS($A74))*('Lift @ Cruising Speed vs. AoA'!C75)+SIN(RADIANS($A74))*'Prop. Thrust vs Airspeed vs RPM'!$C$18-(9.81*($B$1+$B$2)) - SIN(RADIANS($A74))*'Drag @ Cruising Speed vs AoA'!C74</f>
        <v>0.43737493277602102</v>
      </c>
      <c r="D74">
        <f>COS(RADIANS($A74))*('Lift @ Cruising Speed vs. AoA'!D75)+SIN(RADIANS($A74))*'Prop. Thrust vs Airspeed vs RPM'!$C$18-(9.81*($B$1+$B$2)) - SIN(RADIANS($A74))*'Drag @ Cruising Speed vs AoA'!D74</f>
        <v>8.1639018762672713</v>
      </c>
      <c r="E74">
        <f>COS(RADIANS($A74))*('Lift @ Cruising Speed vs. AoA'!E75)+SIN(RADIANS($A74))*'Prop. Thrust vs Airspeed vs RPM'!$C$18-(9.81*($B$1+$B$2)) - SIN(RADIANS($A74))*'Drag @ Cruising Speed vs AoA'!E74</f>
        <v>17.60743480720102</v>
      </c>
      <c r="F74">
        <f>COS(RADIANS($A74))*('Lift @ Cruising Speed vs. AoA'!F75)+SIN(RADIANS($A74))*'Prop. Thrust vs Airspeed vs RPM'!$C$18-(9.81*($B$1+$B$2)) - SIN(RADIANS($A74))*'Drag @ Cruising Speed vs AoA'!F74</f>
        <v>28.767973725577271</v>
      </c>
      <c r="G74">
        <f>COS(RADIANS($A74))*('Lift @ Cruising Speed vs. AoA'!G75)+SIN(RADIANS($A74))*'Prop. Thrust vs Airspeed vs RPM'!$C$18-(9.81*($B$1+$B$2)) - SIN(RADIANS($A74))*'Drag @ Cruising Speed vs AoA'!G74</f>
        <v>41.64551863139603</v>
      </c>
      <c r="H74">
        <f>COS(RADIANS($A74))*('Lift @ Cruising Speed vs. AoA'!H75)+SIN(RADIANS($A74))*'Prop. Thrust vs Airspeed vs RPM'!$C$18-(9.81*($B$1+$B$2)) - SIN(RADIANS($A74))*'Drag @ Cruising Speed vs AoA'!H74</f>
        <v>72.551626405361034</v>
      </c>
      <c r="I74">
        <f>COS(RADIANS($A74))*('Lift @ Cruising Speed vs. AoA'!I75)+SIN(RADIANS($A74))*'Prop. Thrust vs Airspeed vs RPM'!$C$18-(9.81*($B$1+$B$2)) - SIN(RADIANS($A74))*'Drag @ Cruising Speed vs AoA'!I74</f>
        <v>110.32575812909602</v>
      </c>
    </row>
    <row r="75" spans="1:9" x14ac:dyDescent="0.35">
      <c r="A75" s="1">
        <v>7.75</v>
      </c>
      <c r="B75">
        <f>COS(RADIANS($A75))*('Lift @ Cruising Speed vs. AoA'!B76)+SIN(RADIANS($A75))*'Prop. Thrust vs Airspeed vs RPM'!$C$18-(9.81*($B$1+$B$2)) - SIN(RADIANS($A75))*'Drag @ Cruising Speed vs AoA'!B75</f>
        <v>-9.7940291151788745</v>
      </c>
      <c r="C75">
        <f>COS(RADIANS($A75))*('Lift @ Cruising Speed vs. AoA'!C76)+SIN(RADIANS($A75))*'Prop. Thrust vs Airspeed vs RPM'!$C$18-(9.81*($B$1+$B$2)) - SIN(RADIANS($A75))*'Drag @ Cruising Speed vs AoA'!C75</f>
        <v>0.67663123045573881</v>
      </c>
      <c r="D75">
        <f>COS(RADIANS($A75))*('Lift @ Cruising Speed vs. AoA'!D76)+SIN(RADIANS($A75))*'Prop. Thrust vs Airspeed vs RPM'!$C$18-(9.81*($B$1+$B$2)) - SIN(RADIANS($A75))*'Drag @ Cruising Speed vs AoA'!D75</f>
        <v>8.5296264896817036</v>
      </c>
      <c r="E75">
        <f>COS(RADIANS($A75))*('Lift @ Cruising Speed vs. AoA'!E76)+SIN(RADIANS($A75))*'Prop. Thrust vs Airspeed vs RPM'!$C$18-(9.81*($B$1+$B$2)) - SIN(RADIANS($A75))*'Drag @ Cruising Speed vs AoA'!E75</f>
        <v>18.127731806513427</v>
      </c>
      <c r="F75">
        <f>COS(RADIANS($A75))*('Lift @ Cruising Speed vs. AoA'!F76)+SIN(RADIANS($A75))*'Prop. Thrust vs Airspeed vs RPM'!$C$18-(9.81*($B$1+$B$2)) - SIN(RADIANS($A75))*'Drag @ Cruising Speed vs AoA'!F75</f>
        <v>29.470947180950919</v>
      </c>
      <c r="G75">
        <f>COS(RADIANS($A75))*('Lift @ Cruising Speed vs. AoA'!G76)+SIN(RADIANS($A75))*'Prop. Thrust vs Airspeed vs RPM'!$C$18-(9.81*($B$1+$B$2)) - SIN(RADIANS($A75))*'Drag @ Cruising Speed vs AoA'!G75</f>
        <v>42.559272612994192</v>
      </c>
      <c r="H75">
        <f>COS(RADIANS($A75))*('Lift @ Cruising Speed vs. AoA'!H76)+SIN(RADIANS($A75))*'Prop. Thrust vs Airspeed vs RPM'!$C$18-(9.81*($B$1+$B$2)) - SIN(RADIANS($A75))*'Drag @ Cruising Speed vs AoA'!H75</f>
        <v>73.97125364989806</v>
      </c>
      <c r="I75">
        <f>COS(RADIANS($A75))*('Lift @ Cruising Speed vs. AoA'!I76)+SIN(RADIANS($A75))*'Prop. Thrust vs Airspeed vs RPM'!$C$18-(9.81*($B$1+$B$2)) - SIN(RADIANS($A75))*'Drag @ Cruising Speed vs AoA'!I75</f>
        <v>112.36367491722496</v>
      </c>
    </row>
    <row r="76" spans="1:9" x14ac:dyDescent="0.35">
      <c r="A76" s="1">
        <v>8</v>
      </c>
      <c r="B76">
        <f>COS(RADIANS($A76))*('Lift @ Cruising Speed vs. AoA'!B77)+SIN(RADIANS($A76))*'Prop. Thrust vs Airspeed vs RPM'!$C$18-(9.81*($B$1+$B$2)) - SIN(RADIANS($A76))*'Drag @ Cruising Speed vs AoA'!B76</f>
        <v>-9.7262940813777536</v>
      </c>
      <c r="C76">
        <f>COS(RADIANS($A76))*('Lift @ Cruising Speed vs. AoA'!C77)+SIN(RADIANS($A76))*'Prop. Thrust vs Airspeed vs RPM'!$C$18-(9.81*($B$1+$B$2)) - SIN(RADIANS($A76))*'Drag @ Cruising Speed vs AoA'!C76</f>
        <v>0.90432584435857033</v>
      </c>
      <c r="D76">
        <f>COS(RADIANS($A76))*('Lift @ Cruising Speed vs. AoA'!D77)+SIN(RADIANS($A76))*'Prop. Thrust vs Airspeed vs RPM'!$C$18-(9.81*($B$1+$B$2)) - SIN(RADIANS($A76))*'Drag @ Cruising Speed vs AoA'!D76</f>
        <v>8.8772907886608188</v>
      </c>
      <c r="E76">
        <f>COS(RADIANS($A76))*('Lift @ Cruising Speed vs. AoA'!E77)+SIN(RADIANS($A76))*'Prop. Thrust vs Airspeed vs RPM'!$C$18-(9.81*($B$1+$B$2)) - SIN(RADIANS($A76))*'Drag @ Cruising Speed vs AoA'!E76</f>
        <v>18.622025720585778</v>
      </c>
      <c r="F76">
        <f>COS(RADIANS($A76))*('Lift @ Cruising Speed vs. AoA'!F77)+SIN(RADIANS($A76))*'Prop. Thrust vs Airspeed vs RPM'!$C$18-(9.81*($B$1+$B$2)) - SIN(RADIANS($A76))*'Drag @ Cruising Speed vs AoA'!F76</f>
        <v>30.13853064013346</v>
      </c>
      <c r="G76">
        <f>COS(RADIANS($A76))*('Lift @ Cruising Speed vs. AoA'!G77)+SIN(RADIANS($A76))*'Prop. Thrust vs Airspeed vs RPM'!$C$18-(9.81*($B$1+$B$2)) - SIN(RADIANS($A76))*'Drag @ Cruising Speed vs AoA'!G76</f>
        <v>43.426805547303871</v>
      </c>
      <c r="H76">
        <f>COS(RADIANS($A76))*('Lift @ Cruising Speed vs. AoA'!H77)+SIN(RADIANS($A76))*'Prop. Thrust vs Airspeed vs RPM'!$C$18-(9.81*($B$1+$B$2)) - SIN(RADIANS($A76))*'Drag @ Cruising Speed vs AoA'!H76</f>
        <v>75.318665324512864</v>
      </c>
      <c r="I76">
        <f>COS(RADIANS($A76))*('Lift @ Cruising Speed vs. AoA'!I77)+SIN(RADIANS($A76))*'Prop. Thrust vs Airspeed vs RPM'!$C$18-(9.81*($B$1+$B$2)) - SIN(RADIANS($A76))*'Drag @ Cruising Speed vs AoA'!I76</f>
        <v>114.29760505221272</v>
      </c>
    </row>
    <row r="77" spans="1:9" x14ac:dyDescent="0.35">
      <c r="A77" s="1">
        <v>8.25</v>
      </c>
      <c r="B77">
        <f>COS(RADIANS($A77))*('Lift @ Cruising Speed vs. AoA'!B78)+SIN(RADIANS($A77))*'Prop. Thrust vs Airspeed vs RPM'!$C$18-(9.81*($B$1+$B$2)) - SIN(RADIANS($A77))*'Drag @ Cruising Speed vs AoA'!B77</f>
        <v>-9.6632696368962687</v>
      </c>
      <c r="C77">
        <f>COS(RADIANS($A77))*('Lift @ Cruising Speed vs. AoA'!C78)+SIN(RADIANS($A77))*'Prop. Thrust vs Airspeed vs RPM'!$C$18-(9.81*($B$1+$B$2)) - SIN(RADIANS($A77))*'Drag @ Cruising Speed vs AoA'!C77</f>
        <v>1.1132046121343133</v>
      </c>
      <c r="D77">
        <f>COS(RADIANS($A77))*('Lift @ Cruising Speed vs. AoA'!D78)+SIN(RADIANS($A77))*'Prop. Thrust vs Airspeed vs RPM'!$C$18-(9.81*($B$1+$B$2)) - SIN(RADIANS($A77))*'Drag @ Cruising Speed vs AoA'!D77</f>
        <v>9.1955602989072514</v>
      </c>
      <c r="E77">
        <f>COS(RADIANS($A77))*('Lift @ Cruising Speed vs. AoA'!E78)+SIN(RADIANS($A77))*'Prop. Thrust vs Airspeed vs RPM'!$C$18-(9.81*($B$1+$B$2)) - SIN(RADIANS($A77))*'Drag @ Cruising Speed vs AoA'!E77</f>
        <v>19.073995027185276</v>
      </c>
      <c r="F77">
        <f>COS(RADIANS($A77))*('Lift @ Cruising Speed vs. AoA'!F78)+SIN(RADIANS($A77))*'Prop. Thrust vs Airspeed vs RPM'!$C$18-(9.81*($B$1+$B$2)) - SIN(RADIANS($A77))*'Drag @ Cruising Speed vs AoA'!F77</f>
        <v>30.748508796968405</v>
      </c>
      <c r="G77">
        <f>COS(RADIANS($A77))*('Lift @ Cruising Speed vs. AoA'!G78)+SIN(RADIANS($A77))*'Prop. Thrust vs Airspeed vs RPM'!$C$18-(9.81*($B$1+$B$2)) - SIN(RADIANS($A77))*'Drag @ Cruising Speed vs AoA'!G77</f>
        <v>44.219101608256629</v>
      </c>
      <c r="H77">
        <f>COS(RADIANS($A77))*('Lift @ Cruising Speed vs. AoA'!H78)+SIN(RADIANS($A77))*'Prop. Thrust vs Airspeed vs RPM'!$C$18-(9.81*($B$1+$B$2)) - SIN(RADIANS($A77))*'Drag @ Cruising Speed vs AoA'!H77</f>
        <v>76.548524355348405</v>
      </c>
      <c r="I77">
        <f>COS(RADIANS($A77))*('Lift @ Cruising Speed vs. AoA'!I78)+SIN(RADIANS($A77))*'Prop. Thrust vs Airspeed vs RPM'!$C$18-(9.81*($B$1+$B$2)) - SIN(RADIANS($A77))*'Drag @ Cruising Speed vs AoA'!I77</f>
        <v>116.0622632684605</v>
      </c>
    </row>
    <row r="78" spans="1:9" x14ac:dyDescent="0.35">
      <c r="A78" s="1">
        <v>8.5</v>
      </c>
      <c r="B78">
        <f>COS(RADIANS($A78))*('Lift @ Cruising Speed vs. AoA'!B79)+SIN(RADIANS($A78))*'Prop. Thrust vs Airspeed vs RPM'!$C$18-(9.81*($B$1+$B$2)) - SIN(RADIANS($A78))*'Drag @ Cruising Speed vs AoA'!B78</f>
        <v>-9.6031520106013826</v>
      </c>
      <c r="C78">
        <f>COS(RADIANS($A78))*('Lift @ Cruising Speed vs. AoA'!C79)+SIN(RADIANS($A78))*'Prop. Thrust vs Airspeed vs RPM'!$C$18-(9.81*($B$1+$B$2)) - SIN(RADIANS($A78))*'Drag @ Cruising Speed vs AoA'!C78</f>
        <v>1.3104834411427415</v>
      </c>
      <c r="D78">
        <f>COS(RADIANS($A78))*('Lift @ Cruising Speed vs. AoA'!D79)+SIN(RADIANS($A78))*'Prop. Thrust vs Airspeed vs RPM'!$C$18-(9.81*($B$1+$B$2)) - SIN(RADIANS($A78))*'Drag @ Cruising Speed vs AoA'!D78</f>
        <v>9.4957100299508372</v>
      </c>
      <c r="E78">
        <f>COS(RADIANS($A78))*('Lift @ Cruising Speed vs. AoA'!E79)+SIN(RADIANS($A78))*'Prop. Thrust vs Airspeed vs RPM'!$C$18-(9.81*($B$1+$B$2)) - SIN(RADIANS($A78))*'Drag @ Cruising Speed vs AoA'!E78</f>
        <v>19.499875860716287</v>
      </c>
      <c r="F78">
        <f>COS(RADIANS($A78))*('Lift @ Cruising Speed vs. AoA'!F79)+SIN(RADIANS($A78))*'Prop. Thrust vs Airspeed vs RPM'!$C$18-(9.81*($B$1+$B$2)) - SIN(RADIANS($A78))*'Drag @ Cruising Speed vs AoA'!F78</f>
        <v>31.322980933439087</v>
      </c>
      <c r="G78">
        <f>COS(RADIANS($A78))*('Lift @ Cruising Speed vs. AoA'!G79)+SIN(RADIANS($A78))*'Prop. Thrust vs Airspeed vs RPM'!$C$18-(9.81*($B$1+$B$2)) - SIN(RADIANS($A78))*'Drag @ Cruising Speed vs AoA'!G78</f>
        <v>44.96502524811924</v>
      </c>
      <c r="H78">
        <f>COS(RADIANS($A78))*('Lift @ Cruising Speed vs. AoA'!H79)+SIN(RADIANS($A78))*'Prop. Thrust vs Airspeed vs RPM'!$C$18-(9.81*($B$1+$B$2)) - SIN(RADIANS($A78))*'Drag @ Cruising Speed vs AoA'!H78</f>
        <v>77.705931603351615</v>
      </c>
      <c r="I78">
        <f>COS(RADIANS($A78))*('Lift @ Cruising Speed vs. AoA'!I79)+SIN(RADIANS($A78))*'Prop. Thrust vs Airspeed vs RPM'!$C$18-(9.81*($B$1+$B$2)) - SIN(RADIANS($A78))*'Drag @ Cruising Speed vs AoA'!I78</f>
        <v>117.72259492641339</v>
      </c>
    </row>
    <row r="79" spans="1:9" x14ac:dyDescent="0.35">
      <c r="A79" s="1">
        <v>8.75</v>
      </c>
      <c r="B79">
        <f>COS(RADIANS($A79))*('Lift @ Cruising Speed vs. AoA'!B80)+SIN(RADIANS($A79))*'Prop. Thrust vs Airspeed vs RPM'!$C$18-(9.81*($B$1+$B$2)) - SIN(RADIANS($A79))*'Drag @ Cruising Speed vs AoA'!B79</f>
        <v>-9.5468400488452758</v>
      </c>
      <c r="C79">
        <f>COS(RADIANS($A79))*('Lift @ Cruising Speed vs. AoA'!C80)+SIN(RADIANS($A79))*'Prop. Thrust vs Airspeed vs RPM'!$C$18-(9.81*($B$1+$B$2)) - SIN(RADIANS($A79))*'Drag @ Cruising Speed vs AoA'!C79</f>
        <v>1.4925677682824166</v>
      </c>
      <c r="D79">
        <f>COS(RADIANS($A79))*('Lift @ Cruising Speed vs. AoA'!D80)+SIN(RADIANS($A79))*'Prop. Thrust vs Airspeed vs RPM'!$C$18-(9.81*($B$1+$B$2)) - SIN(RADIANS($A79))*'Drag @ Cruising Speed vs AoA'!D79</f>
        <v>9.7721236311281903</v>
      </c>
      <c r="E79">
        <f>COS(RADIANS($A79))*('Lift @ Cruising Speed vs. AoA'!E80)+SIN(RADIANS($A79))*'Prop. Thrust vs Airspeed vs RPM'!$C$18-(9.81*($B$1+$B$2)) - SIN(RADIANS($A79))*'Drag @ Cruising Speed vs AoA'!E79</f>
        <v>19.891580796828578</v>
      </c>
      <c r="F79">
        <f>COS(RADIANS($A79))*('Lift @ Cruising Speed vs. AoA'!F80)+SIN(RADIANS($A79))*'Prop. Thrust vs Airspeed vs RPM'!$C$18-(9.81*($B$1+$B$2)) - SIN(RADIANS($A79))*'Drag @ Cruising Speed vs AoA'!F79</f>
        <v>31.850939265383573</v>
      </c>
      <c r="G79">
        <f>COS(RADIANS($A79))*('Lift @ Cruising Speed vs. AoA'!G80)+SIN(RADIANS($A79))*'Prop. Thrust vs Airspeed vs RPM'!$C$18-(9.81*($B$1+$B$2)) - SIN(RADIANS($A79))*'Drag @ Cruising Speed vs AoA'!G79</f>
        <v>45.65019903679319</v>
      </c>
      <c r="H79">
        <f>COS(RADIANS($A79))*('Lift @ Cruising Speed vs. AoA'!H80)+SIN(RADIANS($A79))*'Prop. Thrust vs Airspeed vs RPM'!$C$18-(9.81*($B$1+$B$2)) - SIN(RADIANS($A79))*'Drag @ Cruising Speed vs AoA'!H79</f>
        <v>78.768422488176284</v>
      </c>
      <c r="I79">
        <f>COS(RADIANS($A79))*('Lift @ Cruising Speed vs. AoA'!I80)+SIN(RADIANS($A79))*'Prop. Thrust vs Airspeed vs RPM'!$C$18-(9.81*($B$1+$B$2)) - SIN(RADIANS($A79))*'Drag @ Cruising Speed vs AoA'!I79</f>
        <v>119.2462511509778</v>
      </c>
    </row>
    <row r="80" spans="1:9" x14ac:dyDescent="0.35">
      <c r="A80" s="1">
        <v>9</v>
      </c>
      <c r="B80">
        <f>COS(RADIANS($A80))*('Lift @ Cruising Speed vs. AoA'!B81)+SIN(RADIANS($A80))*'Prop. Thrust vs Airspeed vs RPM'!$C$18-(9.81*($B$1+$B$2)) - SIN(RADIANS($A80))*'Drag @ Cruising Speed vs AoA'!B80</f>
        <v>-9.4964530396483049</v>
      </c>
      <c r="C80">
        <f>COS(RADIANS($A80))*('Lift @ Cruising Speed vs. AoA'!C81)+SIN(RADIANS($A80))*'Prop. Thrust vs Airspeed vs RPM'!$C$18-(9.81*($B$1+$B$2)) - SIN(RADIANS($A80))*'Drag @ Cruising Speed vs AoA'!C80</f>
        <v>1.6509812632430929</v>
      </c>
      <c r="D80">
        <f>COS(RADIANS($A80))*('Lift @ Cruising Speed vs. AoA'!D81)+SIN(RADIANS($A80))*'Prop. Thrust vs Airspeed vs RPM'!$C$18-(9.81*($B$1+$B$2)) - SIN(RADIANS($A80))*'Drag @ Cruising Speed vs AoA'!D80</f>
        <v>10.011556990411647</v>
      </c>
      <c r="E80">
        <f>COS(RADIANS($A80))*('Lift @ Cruising Speed vs. AoA'!E81)+SIN(RADIANS($A80))*'Prop. Thrust vs Airspeed vs RPM'!$C$18-(9.81*($B$1+$B$2)) - SIN(RADIANS($A80))*'Drag @ Cruising Speed vs AoA'!E80</f>
        <v>20.230038434728762</v>
      </c>
      <c r="F80">
        <f>COS(RADIANS($A80))*('Lift @ Cruising Speed vs. AoA'!F81)+SIN(RADIANS($A80))*'Prop. Thrust vs Airspeed vs RPM'!$C$18-(9.81*($B$1+$B$2)) - SIN(RADIANS($A80))*'Drag @ Cruising Speed vs AoA'!F80</f>
        <v>32.306425596194444</v>
      </c>
      <c r="G80">
        <f>COS(RADIANS($A80))*('Lift @ Cruising Speed vs. AoA'!G81)+SIN(RADIANS($A80))*'Prop. Thrust vs Airspeed vs RPM'!$C$18-(9.81*($B$1+$B$2)) - SIN(RADIANS($A80))*'Drag @ Cruising Speed vs AoA'!G80</f>
        <v>46.240718474808688</v>
      </c>
      <c r="H80">
        <f>COS(RADIANS($A80))*('Lift @ Cruising Speed vs. AoA'!H81)+SIN(RADIANS($A80))*'Prop. Thrust vs Airspeed vs RPM'!$C$18-(9.81*($B$1+$B$2)) - SIN(RADIANS($A80))*'Drag @ Cruising Speed vs AoA'!H80</f>
        <v>79.683021383482924</v>
      </c>
      <c r="I80">
        <f>COS(RADIANS($A80))*('Lift @ Cruising Speed vs. AoA'!I81)+SIN(RADIANS($A80))*'Prop. Thrust vs Airspeed vs RPM'!$C$18-(9.81*($B$1+$B$2)) - SIN(RADIANS($A80))*'Drag @ Cruising Speed vs AoA'!I80</f>
        <v>120.55694716075135</v>
      </c>
    </row>
    <row r="81" spans="1:9" x14ac:dyDescent="0.35">
      <c r="A81" s="1">
        <v>9.25</v>
      </c>
      <c r="B81">
        <f>COS(RADIANS($A81))*('Lift @ Cruising Speed vs. AoA'!B82)+SIN(RADIANS($A81))*'Prop. Thrust vs Airspeed vs RPM'!$C$18-(9.81*($B$1+$B$2)) - SIN(RADIANS($A81))*'Drag @ Cruising Speed vs AoA'!B81</f>
        <v>-9.4501897327251125</v>
      </c>
      <c r="C81">
        <f>COS(RADIANS($A81))*('Lift @ Cruising Speed vs. AoA'!C82)+SIN(RADIANS($A81))*'Prop. Thrust vs Airspeed vs RPM'!$C$18-(9.81*($B$1+$B$2)) - SIN(RADIANS($A81))*'Drag @ Cruising Speed vs AoA'!C81</f>
        <v>1.7929297483857143</v>
      </c>
      <c r="D81">
        <f>COS(RADIANS($A81))*('Lift @ Cruising Speed vs. AoA'!D82)+SIN(RADIANS($A81))*'Prop. Thrust vs Airspeed vs RPM'!$C$18-(9.81*($B$1+$B$2)) - SIN(RADIANS($A81))*'Drag @ Cruising Speed vs AoA'!D81</f>
        <v>10.225269359218839</v>
      </c>
      <c r="E81">
        <f>COS(RADIANS($A81))*('Lift @ Cruising Speed vs. AoA'!E82)+SIN(RADIANS($A81))*'Prop. Thrust vs Airspeed vs RPM'!$C$18-(9.81*($B$1+$B$2)) - SIN(RADIANS($A81))*'Drag @ Cruising Speed vs AoA'!E81</f>
        <v>20.531462216903758</v>
      </c>
      <c r="F81">
        <f>COS(RADIANS($A81))*('Lift @ Cruising Speed vs. AoA'!F82)+SIN(RADIANS($A81))*'Prop. Thrust vs Airspeed vs RPM'!$C$18-(9.81*($B$1+$B$2)) - SIN(RADIANS($A81))*'Drag @ Cruising Speed vs AoA'!F81</f>
        <v>32.71150832144049</v>
      </c>
      <c r="G81">
        <f>COS(RADIANS($A81))*('Lift @ Cruising Speed vs. AoA'!G82)+SIN(RADIANS($A81))*'Prop. Thrust vs Airspeed vs RPM'!$C$18-(9.81*($B$1+$B$2)) - SIN(RADIANS($A81))*'Drag @ Cruising Speed vs AoA'!G81</f>
        <v>46.765407672829021</v>
      </c>
      <c r="H81">
        <f>COS(RADIANS($A81))*('Lift @ Cruising Speed vs. AoA'!H82)+SIN(RADIANS($A81))*'Prop. Thrust vs Airspeed vs RPM'!$C$18-(9.81*($B$1+$B$2)) - SIN(RADIANS($A81))*'Drag @ Cruising Speed vs AoA'!H81</f>
        <v>80.494766116161514</v>
      </c>
      <c r="I81">
        <f>COS(RADIANS($A81))*('Lift @ Cruising Speed vs. AoA'!I82)+SIN(RADIANS($A81))*'Prop. Thrust vs Airspeed vs RPM'!$C$18-(9.81*($B$1+$B$2)) - SIN(RADIANS($A81))*'Drag @ Cruising Speed vs AoA'!I81</f>
        <v>121.71953754690118</v>
      </c>
    </row>
    <row r="82" spans="1:9" x14ac:dyDescent="0.35">
      <c r="A82" s="1">
        <v>9.5</v>
      </c>
      <c r="B82">
        <f>COS(RADIANS($A82))*('Lift @ Cruising Speed vs. AoA'!B83)+SIN(RADIANS($A82))*'Prop. Thrust vs Airspeed vs RPM'!$C$18-(9.81*($B$1+$B$2)) - SIN(RADIANS($A82))*'Drag @ Cruising Speed vs AoA'!B82</f>
        <v>-9.4137663605774922</v>
      </c>
      <c r="C82">
        <f>COS(RADIANS($A82))*('Lift @ Cruising Speed vs. AoA'!C83)+SIN(RADIANS($A82))*'Prop. Thrust vs Airspeed vs RPM'!$C$18-(9.81*($B$1+$B$2)) - SIN(RADIANS($A82))*'Drag @ Cruising Speed vs AoA'!C82</f>
        <v>1.8955491143552574</v>
      </c>
      <c r="D82">
        <f>COS(RADIANS($A82))*('Lift @ Cruising Speed vs. AoA'!D83)+SIN(RADIANS($A82))*'Prop. Thrust vs Airspeed vs RPM'!$C$18-(9.81*($B$1+$B$2)) - SIN(RADIANS($A82))*'Drag @ Cruising Speed vs AoA'!D82</f>
        <v>10.377535720554819</v>
      </c>
      <c r="E82">
        <f>COS(RADIANS($A82))*('Lift @ Cruising Speed vs. AoA'!E83)+SIN(RADIANS($A82))*'Prop. Thrust vs Airspeed vs RPM'!$C$18-(9.81*($B$1+$B$2)) - SIN(RADIANS($A82))*'Drag @ Cruising Speed vs AoA'!E82</f>
        <v>20.744408239243171</v>
      </c>
      <c r="F82">
        <f>COS(RADIANS($A82))*('Lift @ Cruising Speed vs. AoA'!F83)+SIN(RADIANS($A82))*'Prop. Thrust vs Airspeed vs RPM'!$C$18-(9.81*($B$1+$B$2)) - SIN(RADIANS($A82))*'Drag @ Cruising Speed vs AoA'!F82</f>
        <v>32.996166670420315</v>
      </c>
      <c r="G82">
        <f>COS(RADIANS($A82))*('Lift @ Cruising Speed vs. AoA'!G83)+SIN(RADIANS($A82))*'Prop. Thrust vs Airspeed vs RPM'!$C$18-(9.81*($B$1+$B$2)) - SIN(RADIANS($A82))*'Drag @ Cruising Speed vs AoA'!G82</f>
        <v>47.132811014086258</v>
      </c>
      <c r="H82">
        <f>COS(RADIANS($A82))*('Lift @ Cruising Speed vs. AoA'!H83)+SIN(RADIANS($A82))*'Prop. Thrust vs Airspeed vs RPM'!$C$18-(9.81*($B$1+$B$2)) - SIN(RADIANS($A82))*'Drag @ Cruising Speed vs AoA'!H82</f>
        <v>81.060757438884494</v>
      </c>
      <c r="I82">
        <f>COS(RADIANS($A82))*('Lift @ Cruising Speed vs. AoA'!I83)+SIN(RADIANS($A82))*'Prop. Thrust vs Airspeed vs RPM'!$C$18-(9.81*($B$1+$B$2)) - SIN(RADIANS($A82))*'Drag @ Cruising Speed vs AoA'!I82</f>
        <v>122.52824751363789</v>
      </c>
    </row>
    <row r="83" spans="1:9" x14ac:dyDescent="0.35">
      <c r="A83" s="1">
        <v>9.75</v>
      </c>
      <c r="B83">
        <f>COS(RADIANS($A83))*('Lift @ Cruising Speed vs. AoA'!B84)+SIN(RADIANS($A83))*'Prop. Thrust vs Airspeed vs RPM'!$C$18-(9.81*($B$1+$B$2)) - SIN(RADIANS($A83))*'Drag @ Cruising Speed vs AoA'!B83</f>
        <v>-9.3883833295112105</v>
      </c>
      <c r="C83">
        <f>COS(RADIANS($A83))*('Lift @ Cruising Speed vs. AoA'!C84)+SIN(RADIANS($A83))*'Prop. Thrust vs Airspeed vs RPM'!$C$18-(9.81*($B$1+$B$2)) - SIN(RADIANS($A83))*'Drag @ Cruising Speed vs AoA'!C83</f>
        <v>1.9540385559978626</v>
      </c>
      <c r="D83">
        <f>COS(RADIANS($A83))*('Lift @ Cruising Speed vs. AoA'!D84)+SIN(RADIANS($A83))*'Prop. Thrust vs Airspeed vs RPM'!$C$18-(9.81*($B$1+$B$2)) - SIN(RADIANS($A83))*'Drag @ Cruising Speed vs AoA'!D83</f>
        <v>10.460854970129667</v>
      </c>
      <c r="E83">
        <f>COS(RADIANS($A83))*('Lift @ Cruising Speed vs. AoA'!E84)+SIN(RADIANS($A83))*'Prop. Thrust vs Airspeed vs RPM'!$C$18-(9.81*($B$1+$B$2)) - SIN(RADIANS($A83))*'Drag @ Cruising Speed vs AoA'!E83</f>
        <v>20.858075031846315</v>
      </c>
      <c r="F83">
        <f>COS(RADIANS($A83))*('Lift @ Cruising Speed vs. AoA'!F84)+SIN(RADIANS($A83))*'Prop. Thrust vs Airspeed vs RPM'!$C$18-(9.81*($B$1+$B$2)) - SIN(RADIANS($A83))*'Drag @ Cruising Speed vs AoA'!F83</f>
        <v>33.145698741147818</v>
      </c>
      <c r="G83">
        <f>COS(RADIANS($A83))*('Lift @ Cruising Speed vs. AoA'!G84)+SIN(RADIANS($A83))*'Prop. Thrust vs Airspeed vs RPM'!$C$18-(9.81*($B$1+$B$2)) - SIN(RADIANS($A83))*'Drag @ Cruising Speed vs AoA'!G83</f>
        <v>47.323726098034165</v>
      </c>
      <c r="H83">
        <f>COS(RADIANS($A83))*('Lift @ Cruising Speed vs. AoA'!H84)+SIN(RADIANS($A83))*'Prop. Thrust vs Airspeed vs RPM'!$C$18-(9.81*($B$1+$B$2)) - SIN(RADIANS($A83))*'Drag @ Cruising Speed vs AoA'!H83</f>
        <v>81.350991754561377</v>
      </c>
      <c r="I83">
        <f>COS(RADIANS($A83))*('Lift @ Cruising Speed vs. AoA'!I84)+SIN(RADIANS($A83))*'Prop. Thrust vs Airspeed vs RPM'!$C$18-(9.81*($B$1+$B$2)) - SIN(RADIANS($A83))*'Drag @ Cruising Speed vs AoA'!I83</f>
        <v>122.93987200142796</v>
      </c>
    </row>
    <row r="84" spans="1:9" x14ac:dyDescent="0.35">
      <c r="A84" s="1">
        <v>10</v>
      </c>
      <c r="B84">
        <f>COS(RADIANS($A84))*('Lift @ Cruising Speed vs. AoA'!B85)+SIN(RADIANS($A84))*'Prop. Thrust vs Airspeed vs RPM'!$C$18-(9.81*($B$1+$B$2)) - SIN(RADIANS($A84))*'Drag @ Cruising Speed vs AoA'!B84</f>
        <v>-9.3683218541488529</v>
      </c>
      <c r="C84">
        <f>COS(RADIANS($A84))*('Lift @ Cruising Speed vs. AoA'!C85)+SIN(RADIANS($A84))*'Prop. Thrust vs Airspeed vs RPM'!$C$18-(9.81*($B$1+$B$2)) - SIN(RADIANS($A84))*'Drag @ Cruising Speed vs AoA'!C84</f>
        <v>1.9912740342938402</v>
      </c>
      <c r="D84">
        <f>COS(RADIANS($A84))*('Lift @ Cruising Speed vs. AoA'!D85)+SIN(RADIANS($A84))*'Prop. Thrust vs Airspeed vs RPM'!$C$18-(9.81*($B$1+$B$2)) - SIN(RADIANS($A84))*'Drag @ Cruising Speed vs AoA'!D84</f>
        <v>10.510970950625861</v>
      </c>
      <c r="E84">
        <f>COS(RADIANS($A84))*('Lift @ Cruising Speed vs. AoA'!E85)+SIN(RADIANS($A84))*'Prop. Thrust vs Airspeed vs RPM'!$C$18-(9.81*($B$1+$B$2)) - SIN(RADIANS($A84))*'Drag @ Cruising Speed vs AoA'!E84</f>
        <v>20.923933848364989</v>
      </c>
      <c r="F84">
        <f>COS(RADIANS($A84))*('Lift @ Cruising Speed vs. AoA'!F85)+SIN(RADIANS($A84))*'Prop. Thrust vs Airspeed vs RPM'!$C$18-(9.81*($B$1+$B$2)) - SIN(RADIANS($A84))*'Drag @ Cruising Speed vs AoA'!F84</f>
        <v>33.230162727511242</v>
      </c>
      <c r="G84">
        <f>COS(RADIANS($A84))*('Lift @ Cruising Speed vs. AoA'!G85)+SIN(RADIANS($A84))*'Prop. Thrust vs Airspeed vs RPM'!$C$18-(9.81*($B$1+$B$2)) - SIN(RADIANS($A84))*'Drag @ Cruising Speed vs AoA'!G84</f>
        <v>47.4296575880646</v>
      </c>
      <c r="H84">
        <f>COS(RADIANS($A84))*('Lift @ Cruising Speed vs. AoA'!H85)+SIN(RADIANS($A84))*'Prop. Thrust vs Airspeed vs RPM'!$C$18-(9.81*($B$1+$B$2)) - SIN(RADIANS($A84))*'Drag @ Cruising Speed vs AoA'!H84</f>
        <v>81.508445253392694</v>
      </c>
      <c r="I84">
        <f>COS(RADIANS($A84))*('Lift @ Cruising Speed vs. AoA'!I85)+SIN(RADIANS($A84))*'Prop. Thrust vs Airspeed vs RPM'!$C$18-(9.81*($B$1+$B$2)) - SIN(RADIANS($A84))*'Drag @ Cruising Speed vs AoA'!I84</f>
        <v>123.1602968443492</v>
      </c>
    </row>
    <row r="85" spans="1:9" x14ac:dyDescent="0.35">
      <c r="A85" s="1">
        <v>10.25</v>
      </c>
      <c r="B85">
        <f>COS(RADIANS($A85))*('Lift @ Cruising Speed vs. AoA'!B86)+SIN(RADIANS($A85))*'Prop. Thrust vs Airspeed vs RPM'!$C$18-(9.81*($B$1+$B$2)) - SIN(RADIANS($A85))*'Drag @ Cruising Speed vs AoA'!B85</f>
        <v>-9.3490938105289896</v>
      </c>
      <c r="C85">
        <f>COS(RADIANS($A85))*('Lift @ Cruising Speed vs. AoA'!C86)+SIN(RADIANS($A85))*'Prop. Thrust vs Airspeed vs RPM'!$C$18-(9.81*($B$1+$B$2)) - SIN(RADIANS($A85))*'Drag @ Cruising Speed vs AoA'!C85</f>
        <v>2.0252088639453323</v>
      </c>
      <c r="D85">
        <f>COS(RADIANS($A85))*('Lift @ Cruising Speed vs. AoA'!D86)+SIN(RADIANS($A85))*'Prop. Thrust vs Airspeed vs RPM'!$C$18-(9.81*($B$1+$B$2)) - SIN(RADIANS($A85))*'Drag @ Cruising Speed vs AoA'!D85</f>
        <v>10.555935869801079</v>
      </c>
      <c r="E85">
        <f>COS(RADIANS($A85))*('Lift @ Cruising Speed vs. AoA'!E86)+SIN(RADIANS($A85))*'Prop. Thrust vs Airspeed vs RPM'!$C$18-(9.81*($B$1+$B$2)) - SIN(RADIANS($A85))*'Drag @ Cruising Speed vs AoA'!E85</f>
        <v>20.982379988069205</v>
      </c>
      <c r="F85">
        <f>COS(RADIANS($A85))*('Lift @ Cruising Speed vs. AoA'!F86)+SIN(RADIANS($A85))*'Prop. Thrust vs Airspeed vs RPM'!$C$18-(9.81*($B$1+$B$2)) - SIN(RADIANS($A85))*'Drag @ Cruising Speed vs AoA'!F85</f>
        <v>33.304541218749712</v>
      </c>
      <c r="G85">
        <f>COS(RADIANS($A85))*('Lift @ Cruising Speed vs. AoA'!G86)+SIN(RADIANS($A85))*'Prop. Thrust vs Airspeed vs RPM'!$C$18-(9.81*($B$1+$B$2)) - SIN(RADIANS($A85))*'Drag @ Cruising Speed vs AoA'!G85</f>
        <v>47.522419561842618</v>
      </c>
      <c r="H85">
        <f>COS(RADIANS($A85))*('Lift @ Cruising Speed vs. AoA'!H86)+SIN(RADIANS($A85))*'Prop. Thrust vs Airspeed vs RPM'!$C$18-(9.81*($B$1+$B$2)) - SIN(RADIANS($A85))*'Drag @ Cruising Speed vs AoA'!H85</f>
        <v>81.645327585265619</v>
      </c>
      <c r="I85">
        <f>COS(RADIANS($A85))*('Lift @ Cruising Speed vs. AoA'!I86)+SIN(RADIANS($A85))*'Prop. Thrust vs Airspeed vs RPM'!$C$18-(9.81*($B$1+$B$2)) - SIN(RADIANS($A85))*'Drag @ Cruising Speed vs AoA'!I85</f>
        <v>123.35110405833808</v>
      </c>
    </row>
    <row r="86" spans="1:9" x14ac:dyDescent="0.35">
      <c r="A86" s="1">
        <v>10.5</v>
      </c>
      <c r="B86">
        <f>COS(RADIANS($A86))*('Lift @ Cruising Speed vs. AoA'!B87)+SIN(RADIANS($A86))*'Prop. Thrust vs Airspeed vs RPM'!$C$18-(9.81*($B$1+$B$2)) - SIN(RADIANS($A86))*'Drag @ Cruising Speed vs AoA'!B86</f>
        <v>-9.3309684129788586</v>
      </c>
      <c r="C86">
        <f>COS(RADIANS($A86))*('Lift @ Cruising Speed vs. AoA'!C87)+SIN(RADIANS($A86))*'Prop. Thrust vs Airspeed vs RPM'!$C$18-(9.81*($B$1+$B$2)) - SIN(RADIANS($A86))*'Drag @ Cruising Speed vs AoA'!C86</f>
        <v>2.0547670058701111</v>
      </c>
      <c r="D86">
        <f>COS(RADIANS($A86))*('Lift @ Cruising Speed vs. AoA'!D87)+SIN(RADIANS($A86))*'Prop. Thrust vs Airspeed vs RPM'!$C$18-(9.81*($B$1+$B$2)) - SIN(RADIANS($A86))*'Drag @ Cruising Speed vs AoA'!D86</f>
        <v>10.594068570006844</v>
      </c>
      <c r="E86">
        <f>COS(RADIANS($A86))*('Lift @ Cruising Speed vs. AoA'!E87)+SIN(RADIANS($A86))*'Prop. Thrust vs Airspeed vs RPM'!$C$18-(9.81*($B$1+$B$2)) - SIN(RADIANS($A86))*'Drag @ Cruising Speed vs AoA'!E86</f>
        <v>21.030992703951725</v>
      </c>
      <c r="F86">
        <f>COS(RADIANS($A86))*('Lift @ Cruising Speed vs. AoA'!F87)+SIN(RADIANS($A86))*'Prop. Thrust vs Airspeed vs RPM'!$C$18-(9.81*($B$1+$B$2)) - SIN(RADIANS($A86))*'Drag @ Cruising Speed vs AoA'!F86</f>
        <v>33.365539407704773</v>
      </c>
      <c r="G86">
        <f>COS(RADIANS($A86))*('Lift @ Cruising Speed vs. AoA'!G87)+SIN(RADIANS($A86))*'Prop. Thrust vs Airspeed vs RPM'!$C$18-(9.81*($B$1+$B$2)) - SIN(RADIANS($A86))*'Drag @ Cruising Speed vs AoA'!G86</f>
        <v>47.597708681265992</v>
      </c>
      <c r="H86">
        <f>COS(RADIANS($A86))*('Lift @ Cruising Speed vs. AoA'!H87)+SIN(RADIANS($A86))*'Prop. Thrust vs Airspeed vs RPM'!$C$18-(9.81*($B$1+$B$2)) - SIN(RADIANS($A86))*'Drag @ Cruising Speed vs AoA'!H86</f>
        <v>81.754914937812927</v>
      </c>
      <c r="I86">
        <f>COS(RADIANS($A86))*('Lift @ Cruising Speed vs. AoA'!I87)+SIN(RADIANS($A86))*'Prop. Thrust vs Airspeed vs RPM'!$C$18-(9.81*($B$1+$B$2)) - SIN(RADIANS($A86))*'Drag @ Cruising Speed vs AoA'!I86</f>
        <v>123.50261147359245</v>
      </c>
    </row>
    <row r="87" spans="1:9" x14ac:dyDescent="0.35">
      <c r="A87" s="1">
        <v>10.75</v>
      </c>
      <c r="B87">
        <f>COS(RADIANS($A87))*('Lift @ Cruising Speed vs. AoA'!B88)+SIN(RADIANS($A87))*'Prop. Thrust vs Airspeed vs RPM'!$C$18-(9.81*($B$1+$B$2)) - SIN(RADIANS($A87))*'Drag @ Cruising Speed vs AoA'!B87</f>
        <v>-9.3190755459218693</v>
      </c>
      <c r="C87">
        <f>COS(RADIANS($A87))*('Lift @ Cruising Speed vs. AoA'!C88)+SIN(RADIANS($A87))*'Prop. Thrust vs Airspeed vs RPM'!$C$18-(9.81*($B$1+$B$2)) - SIN(RADIANS($A87))*'Drag @ Cruising Speed vs AoA'!C87</f>
        <v>2.059429739955883</v>
      </c>
      <c r="D87">
        <f>COS(RADIANS($A87))*('Lift @ Cruising Speed vs. AoA'!D88)+SIN(RADIANS($A87))*'Prop. Thrust vs Airspeed vs RPM'!$C$18-(9.81*($B$1+$B$2)) - SIN(RADIANS($A87))*'Drag @ Cruising Speed vs AoA'!D87</f>
        <v>10.593308704364201</v>
      </c>
      <c r="E87">
        <f>COS(RADIANS($A87))*('Lift @ Cruising Speed vs. AoA'!E88)+SIN(RADIANS($A87))*'Prop. Thrust vs Airspeed vs RPM'!$C$18-(9.81*($B$1+$B$2)) - SIN(RADIANS($A87))*'Drag @ Cruising Speed vs AoA'!E87</f>
        <v>21.023605216418801</v>
      </c>
      <c r="F87">
        <f>COS(RADIANS($A87))*('Lift @ Cruising Speed vs. AoA'!F88)+SIN(RADIANS($A87))*'Prop. Thrust vs Airspeed vs RPM'!$C$18-(9.81*($B$1+$B$2)) - SIN(RADIANS($A87))*'Drag @ Cruising Speed vs AoA'!F87</f>
        <v>33.350319276119698</v>
      </c>
      <c r="G87">
        <f>COS(RADIANS($A87))*('Lift @ Cruising Speed vs. AoA'!G88)+SIN(RADIANS($A87))*'Prop. Thrust vs Airspeed vs RPM'!$C$18-(9.81*($B$1+$B$2)) - SIN(RADIANS($A87))*'Drag @ Cruising Speed vs AoA'!G87</f>
        <v>47.573450883466897</v>
      </c>
      <c r="H87">
        <f>COS(RADIANS($A87))*('Lift @ Cruising Speed vs. AoA'!H88)+SIN(RADIANS($A87))*'Prop. Thrust vs Airspeed vs RPM'!$C$18-(9.81*($B$1+$B$2)) - SIN(RADIANS($A87))*'Drag @ Cruising Speed vs AoA'!H87</f>
        <v>81.708966741100156</v>
      </c>
      <c r="I87">
        <f>COS(RADIANS($A87))*('Lift @ Cruising Speed vs. AoA'!I88)+SIN(RADIANS($A87))*'Prop. Thrust vs Airspeed vs RPM'!$C$18-(9.81*($B$1+$B$2)) - SIN(RADIANS($A87))*'Drag @ Cruising Speed vs AoA'!I87</f>
        <v>123.43015278931856</v>
      </c>
    </row>
    <row r="88" spans="1:9" x14ac:dyDescent="0.35">
      <c r="A88" s="1">
        <v>11</v>
      </c>
      <c r="B88">
        <f>COS(RADIANS($A88))*('Lift @ Cruising Speed vs. AoA'!B89)+SIN(RADIANS($A88))*'Prop. Thrust vs Airspeed vs RPM'!$C$18-(9.81*($B$1+$B$2)) - SIN(RADIANS($A88))*'Drag @ Cruising Speed vs AoA'!B88</f>
        <v>-9.320367686415846</v>
      </c>
      <c r="C88">
        <f>COS(RADIANS($A88))*('Lift @ Cruising Speed vs. AoA'!C89)+SIN(RADIANS($A88))*'Prop. Thrust vs Airspeed vs RPM'!$C$18-(9.81*($B$1+$B$2)) - SIN(RADIANS($A88))*'Drag @ Cruising Speed vs AoA'!C88</f>
        <v>2.0113879748917927</v>
      </c>
      <c r="D88">
        <f>COS(RADIANS($A88))*('Lift @ Cruising Speed vs. AoA'!D89)+SIN(RADIANS($A88))*'Prop. Thrust vs Airspeed vs RPM'!$C$18-(9.81*($B$1+$B$2)) - SIN(RADIANS($A88))*'Drag @ Cruising Speed vs AoA'!D88</f>
        <v>10.510204720872531</v>
      </c>
      <c r="E88">
        <f>COS(RADIANS($A88))*('Lift @ Cruising Speed vs. AoA'!E89)+SIN(RADIANS($A88))*'Prop. Thrust vs Airspeed vs RPM'!$C$18-(9.81*($B$1+$B$2)) - SIN(RADIANS($A88))*'Drag @ Cruising Speed vs AoA'!E88</f>
        <v>20.897647410404524</v>
      </c>
      <c r="F88">
        <f>COS(RADIANS($A88))*('Lift @ Cruising Speed vs. AoA'!F89)+SIN(RADIANS($A88))*'Prop. Thrust vs Airspeed vs RPM'!$C$18-(9.81*($B$1+$B$2)) - SIN(RADIANS($A88))*'Drag @ Cruising Speed vs AoA'!F88</f>
        <v>33.173716043487808</v>
      </c>
      <c r="G88">
        <f>COS(RADIANS($A88))*('Lift @ Cruising Speed vs. AoA'!G89)+SIN(RADIANS($A88))*'Prop. Thrust vs Airspeed vs RPM'!$C$18-(9.81*($B$1+$B$2)) - SIN(RADIANS($A88))*'Drag @ Cruising Speed vs AoA'!G88</f>
        <v>47.338410620122353</v>
      </c>
      <c r="H88">
        <f>COS(RADIANS($A88))*('Lift @ Cruising Speed vs. AoA'!H89)+SIN(RADIANS($A88))*'Prop. Thrust vs Airspeed vs RPM'!$C$18-(9.81*($B$1+$B$2)) - SIN(RADIANS($A88))*'Drag @ Cruising Speed vs AoA'!H88</f>
        <v>81.333677604045292</v>
      </c>
      <c r="I88">
        <f>COS(RADIANS($A88))*('Lift @ Cruising Speed vs. AoA'!I89)+SIN(RADIANS($A88))*'Prop. Thrust vs Airspeed vs RPM'!$C$18-(9.81*($B$1+$B$2)) - SIN(RADIANS($A88))*'Drag @ Cruising Speed vs AoA'!I88</f>
        <v>122.88344836217328</v>
      </c>
    </row>
    <row r="89" spans="1:9" x14ac:dyDescent="0.35">
      <c r="A89" s="1">
        <v>11.25</v>
      </c>
      <c r="B89">
        <f>COS(RADIANS($A89))*('Lift @ Cruising Speed vs. AoA'!B90)+SIN(RADIANS($A89))*'Prop. Thrust vs Airspeed vs RPM'!$C$18-(9.81*($B$1+$B$2)) - SIN(RADIANS($A89))*'Drag @ Cruising Speed vs AoA'!B89</f>
        <v>-9.3307352589146522</v>
      </c>
      <c r="C89">
        <f>COS(RADIANS($A89))*('Lift @ Cruising Speed vs. AoA'!C90)+SIN(RADIANS($A89))*'Prop. Thrust vs Airspeed vs RPM'!$C$18-(9.81*($B$1+$B$2)) - SIN(RADIANS($A89))*'Drag @ Cruising Speed vs AoA'!C89</f>
        <v>1.9270808291063832</v>
      </c>
      <c r="D89">
        <f>COS(RADIANS($A89))*('Lift @ Cruising Speed vs. AoA'!D90)+SIN(RADIANS($A89))*'Prop. Thrust vs Airspeed vs RPM'!$C$18-(9.81*($B$1+$B$2)) - SIN(RADIANS($A89))*'Drag @ Cruising Speed vs AoA'!D89</f>
        <v>10.370442895122164</v>
      </c>
      <c r="E89">
        <f>COS(RADIANS($A89))*('Lift @ Cruising Speed vs. AoA'!E90)+SIN(RADIANS($A89))*'Prop. Thrust vs Airspeed vs RPM'!$C$18-(9.81*($B$1+$B$2)) - SIN(RADIANS($A89))*'Drag @ Cruising Speed vs AoA'!E89</f>
        <v>20.690107642474771</v>
      </c>
      <c r="F89">
        <f>COS(RADIANS($A89))*('Lift @ Cruising Speed vs. AoA'!F90)+SIN(RADIANS($A89))*'Prop. Thrust vs Airspeed vs RPM'!$C$18-(9.81*($B$1+$B$2)) - SIN(RADIANS($A89))*'Drag @ Cruising Speed vs AoA'!F89</f>
        <v>32.886075071164228</v>
      </c>
      <c r="G89">
        <f>COS(RADIANS($A89))*('Lift @ Cruising Speed vs. AoA'!G90)+SIN(RADIANS($A89))*'Prop. Thrust vs Airspeed vs RPM'!$C$18-(9.81*($B$1+$B$2)) - SIN(RADIANS($A89))*'Drag @ Cruising Speed vs AoA'!G89</f>
        <v>46.958345181190523</v>
      </c>
      <c r="H89">
        <f>COS(RADIANS($A89))*('Lift @ Cruising Speed vs. AoA'!H90)+SIN(RADIANS($A89))*'Prop. Thrust vs Airspeed vs RPM'!$C$18-(9.81*($B$1+$B$2)) - SIN(RADIANS($A89))*'Drag @ Cruising Speed vs AoA'!H89</f>
        <v>80.731793445253643</v>
      </c>
      <c r="I89">
        <f>COS(RADIANS($A89))*('Lift @ Cruising Speed vs. AoA'!I90)+SIN(RADIANS($A89))*'Prop. Thrust vs Airspeed vs RPM'!$C$18-(9.81*($B$1+$B$2)) - SIN(RADIANS($A89))*'Drag @ Cruising Speed vs AoA'!I89</f>
        <v>122.01045243466407</v>
      </c>
    </row>
    <row r="90" spans="1:9" x14ac:dyDescent="0.35">
      <c r="A90" s="1">
        <v>11.5</v>
      </c>
      <c r="B90">
        <f>COS(RADIANS($A90))*('Lift @ Cruising Speed vs. AoA'!B91)+SIN(RADIANS($A90))*'Prop. Thrust vs Airspeed vs RPM'!$C$18-(9.81*($B$1+$B$2)) - SIN(RADIANS($A90))*'Drag @ Cruising Speed vs AoA'!B90</f>
        <v>-9.341138160573232</v>
      </c>
      <c r="C90">
        <f>COS(RADIANS($A90))*('Lift @ Cruising Speed vs. AoA'!C91)+SIN(RADIANS($A90))*'Prop. Thrust vs Airspeed vs RPM'!$C$18-(9.81*($B$1+$B$2)) - SIN(RADIANS($A90))*'Drag @ Cruising Speed vs AoA'!C90</f>
        <v>1.8426695295318571</v>
      </c>
      <c r="D90">
        <f>COS(RADIANS($A90))*('Lift @ Cruising Speed vs. AoA'!D91)+SIN(RADIANS($A90))*'Prop. Thrust vs Airspeed vs RPM'!$C$18-(9.81*($B$1+$B$2)) - SIN(RADIANS($A90))*'Drag @ Cruising Speed vs AoA'!D90</f>
        <v>10.230525297110676</v>
      </c>
      <c r="E90">
        <f>COS(RADIANS($A90))*('Lift @ Cruising Speed vs. AoA'!E91)+SIN(RADIANS($A90))*'Prop. Thrust vs Airspeed vs RPM'!$C$18-(9.81*($B$1+$B$2)) - SIN(RADIANS($A90))*'Drag @ Cruising Speed vs AoA'!E90</f>
        <v>20.482349013040345</v>
      </c>
      <c r="F90">
        <f>COS(RADIANS($A90))*('Lift @ Cruising Speed vs. AoA'!F91)+SIN(RADIANS($A90))*'Prop. Thrust vs Airspeed vs RPM'!$C$18-(9.81*($B$1+$B$2)) - SIN(RADIANS($A90))*'Drag @ Cruising Speed vs AoA'!F90</f>
        <v>32.598140677320856</v>
      </c>
      <c r="G90">
        <f>COS(RADIANS($A90))*('Lift @ Cruising Speed vs. AoA'!G91)+SIN(RADIANS($A90))*'Prop. Thrust vs Airspeed vs RPM'!$C$18-(9.81*($B$1+$B$2)) - SIN(RADIANS($A90))*'Drag @ Cruising Speed vs AoA'!G90</f>
        <v>46.577900289952218</v>
      </c>
      <c r="H90">
        <f>COS(RADIANS($A90))*('Lift @ Cruising Speed vs. AoA'!H91)+SIN(RADIANS($A90))*'Prop. Thrust vs Airspeed vs RPM'!$C$18-(9.81*($B$1+$B$2)) - SIN(RADIANS($A90))*'Drag @ Cruising Speed vs AoA'!H90</f>
        <v>80.129323360267506</v>
      </c>
      <c r="I90">
        <f>COS(RADIANS($A90))*('Lift @ Cruising Speed vs. AoA'!I91)+SIN(RADIANS($A90))*'Prop. Thrust vs Airspeed vs RPM'!$C$18-(9.81*($B$1+$B$2)) - SIN(RADIANS($A90))*'Drag @ Cruising Speed vs AoA'!I90</f>
        <v>121.13661822398613</v>
      </c>
    </row>
    <row r="91" spans="1:9" x14ac:dyDescent="0.35">
      <c r="A91" s="1">
        <v>11.75</v>
      </c>
      <c r="B91">
        <f>COS(RADIANS($A91))*('Lift @ Cruising Speed vs. AoA'!B92)+SIN(RADIANS($A91))*'Prop. Thrust vs Airspeed vs RPM'!$C$18-(9.81*($B$1+$B$2)) - SIN(RADIANS($A91))*'Drag @ Cruising Speed vs AoA'!B91</f>
        <v>-9.3604364224951144</v>
      </c>
      <c r="C91">
        <f>COS(RADIANS($A91))*('Lift @ Cruising Speed vs. AoA'!C92)+SIN(RADIANS($A91))*'Prop. Thrust vs Airspeed vs RPM'!$C$18-(9.81*($B$1+$B$2)) - SIN(RADIANS($A91))*'Drag @ Cruising Speed vs AoA'!C91</f>
        <v>1.72271476659856</v>
      </c>
      <c r="D91">
        <f>COS(RADIANS($A91))*('Lift @ Cruising Speed vs. AoA'!D92)+SIN(RADIANS($A91))*'Prop. Thrust vs Airspeed vs RPM'!$C$18-(9.81*($B$1+$B$2)) - SIN(RADIANS($A91))*'Drag @ Cruising Speed vs AoA'!D91</f>
        <v>10.035078158418822</v>
      </c>
      <c r="E91">
        <f>COS(RADIANS($A91))*('Lift @ Cruising Speed vs. AoA'!E92)+SIN(RADIANS($A91))*'Prop. Thrust vs Airspeed vs RPM'!$C$18-(9.81*($B$1+$B$2)) - SIN(RADIANS($A91))*'Drag @ Cruising Speed vs AoA'!E91</f>
        <v>20.194633415088024</v>
      </c>
      <c r="F91">
        <f>COS(RADIANS($A91))*('Lift @ Cruising Speed vs. AoA'!F92)+SIN(RADIANS($A91))*'Prop. Thrust vs Airspeed vs RPM'!$C$18-(9.81*($B$1+$B$2)) - SIN(RADIANS($A91))*'Drag @ Cruising Speed vs AoA'!F91</f>
        <v>32.201380536606166</v>
      </c>
      <c r="G91">
        <f>COS(RADIANS($A91))*('Lift @ Cruising Speed vs. AoA'!G92)+SIN(RADIANS($A91))*'Prop. Thrust vs Airspeed vs RPM'!$C$18-(9.81*($B$1+$B$2)) - SIN(RADIANS($A91))*'Drag @ Cruising Speed vs AoA'!G91</f>
        <v>46.055319522973257</v>
      </c>
      <c r="H91">
        <f>COS(RADIANS($A91))*('Lift @ Cruising Speed vs. AoA'!H92)+SIN(RADIANS($A91))*'Prop. Thrust vs Airspeed vs RPM'!$C$18-(9.81*($B$1+$B$2)) - SIN(RADIANS($A91))*'Drag @ Cruising Speed vs AoA'!H91</f>
        <v>79.304773090254301</v>
      </c>
      <c r="I91">
        <f>COS(RADIANS($A91))*('Lift @ Cruising Speed vs. AoA'!I92)+SIN(RADIANS($A91))*'Prop. Thrust vs Airspeed vs RPM'!$C$18-(9.81*($B$1+$B$2)) - SIN(RADIANS($A91))*'Drag @ Cruising Speed vs AoA'!I91</f>
        <v>119.9429941169311</v>
      </c>
    </row>
    <row r="92" spans="1:9" x14ac:dyDescent="0.35">
      <c r="A92" s="1">
        <v>12</v>
      </c>
      <c r="B92">
        <f>COS(RADIANS($A92))*('Lift @ Cruising Speed vs. AoA'!B93)+SIN(RADIANS($A92))*'Prop. Thrust vs Airspeed vs RPM'!$C$18-(9.81*($B$1+$B$2)) - SIN(RADIANS($A92))*'Drag @ Cruising Speed vs AoA'!B92</f>
        <v>-9.3534283550190196</v>
      </c>
      <c r="C92">
        <f>COS(RADIANS($A92))*('Lift @ Cruising Speed vs. AoA'!C93)+SIN(RADIANS($A92))*'Prop. Thrust vs Airspeed vs RPM'!$C$18-(9.81*($B$1+$B$2)) - SIN(RADIANS($A92))*'Drag @ Cruising Speed vs AoA'!C92</f>
        <v>1.7080241130730285</v>
      </c>
      <c r="D92">
        <f>COS(RADIANS($A92))*('Lift @ Cruising Speed vs. AoA'!D93)+SIN(RADIANS($A92))*'Prop. Thrust vs Airspeed vs RPM'!$C$18-(9.81*($B$1+$B$2)) - SIN(RADIANS($A92))*'Drag @ Cruising Speed vs AoA'!D92</f>
        <v>10.004113464142069</v>
      </c>
      <c r="E92">
        <f>COS(RADIANS($A92))*('Lift @ Cruising Speed vs. AoA'!E93)+SIN(RADIANS($A92))*'Prop. Thrust vs Airspeed vs RPM'!$C$18-(9.81*($B$1+$B$2)) - SIN(RADIANS($A92))*'Drag @ Cruising Speed vs AoA'!E92</f>
        <v>20.143778226559771</v>
      </c>
      <c r="F92">
        <f>COS(RADIANS($A92))*('Lift @ Cruising Speed vs. AoA'!F93)+SIN(RADIANS($A92))*'Prop. Thrust vs Airspeed vs RPM'!$C$18-(9.81*($B$1+$B$2)) - SIN(RADIANS($A92))*'Drag @ Cruising Speed vs AoA'!F92</f>
        <v>32.127018400326158</v>
      </c>
      <c r="G92">
        <f>COS(RADIANS($A92))*('Lift @ Cruising Speed vs. AoA'!G93)+SIN(RADIANS($A92))*'Prop. Thrust vs Airspeed vs RPM'!$C$18-(9.81*($B$1+$B$2)) - SIN(RADIANS($A92))*'Drag @ Cruising Speed vs AoA'!G92</f>
        <v>45.953833985441214</v>
      </c>
      <c r="H92">
        <f>COS(RADIANS($A92))*('Lift @ Cruising Speed vs. AoA'!H93)+SIN(RADIANS($A92))*'Prop. Thrust vs Airspeed vs RPM'!$C$18-(9.81*($B$1+$B$2)) - SIN(RADIANS($A92))*'Drag @ Cruising Speed vs AoA'!H92</f>
        <v>79.138191389717392</v>
      </c>
      <c r="I92">
        <f>COS(RADIANS($A92))*('Lift @ Cruising Speed vs. AoA'!I93)+SIN(RADIANS($A92))*'Prop. Thrust vs Airspeed vs RPM'!$C$18-(9.81*($B$1+$B$2)) - SIN(RADIANS($A92))*'Drag @ Cruising Speed vs AoA'!I92</f>
        <v>119.69685043938817</v>
      </c>
    </row>
    <row r="93" spans="1:9" x14ac:dyDescent="0.35">
      <c r="A93" s="1">
        <v>12.25</v>
      </c>
      <c r="B93">
        <f>COS(RADIANS($A93))*('Lift @ Cruising Speed vs. AoA'!B94)+SIN(RADIANS($A93))*'Prop. Thrust vs Airspeed vs RPM'!$C$18-(9.81*($B$1+$B$2)) - SIN(RADIANS($A93))*'Drag @ Cruising Speed vs AoA'!B93</f>
        <v>-9.3548549714230536</v>
      </c>
      <c r="C93">
        <f>COS(RADIANS($A93))*('Lift @ Cruising Speed vs. AoA'!C94)+SIN(RADIANS($A93))*'Prop. Thrust vs Airspeed vs RPM'!$C$18-(9.81*($B$1+$B$2)) - SIN(RADIANS($A93))*'Drag @ Cruising Speed vs AoA'!C93</f>
        <v>1.6596343292257085</v>
      </c>
      <c r="D93">
        <f>COS(RADIANS($A93))*('Lift @ Cruising Speed vs. AoA'!D94)+SIN(RADIANS($A93))*'Prop. Thrust vs Airspeed vs RPM'!$C$18-(9.81*($B$1+$B$2)) - SIN(RADIANS($A93))*'Drag @ Cruising Speed vs AoA'!D93</f>
        <v>9.9205013047122836</v>
      </c>
      <c r="E93">
        <f>COS(RADIANS($A93))*('Lift @ Cruising Speed vs. AoA'!E94)+SIN(RADIANS($A93))*'Prop. Thrust vs Airspeed vs RPM'!$C$18-(9.81*($B$1+$B$2)) - SIN(RADIANS($A93))*'Drag @ Cruising Speed vs AoA'!E93</f>
        <v>20.017116496973646</v>
      </c>
      <c r="F93">
        <f>COS(RADIANS($A93))*('Lift @ Cruising Speed vs. AoA'!F94)+SIN(RADIANS($A93))*'Prop. Thrust vs Airspeed vs RPM'!$C$18-(9.81*($B$1+$B$2)) - SIN(RADIANS($A93))*'Drag @ Cruising Speed vs AoA'!F93</f>
        <v>31.949479906009802</v>
      </c>
      <c r="G93">
        <f>COS(RADIANS($A93))*('Lift @ Cruising Speed vs. AoA'!G94)+SIN(RADIANS($A93))*'Prop. Thrust vs Airspeed vs RPM'!$C$18-(9.81*($B$1+$B$2)) - SIN(RADIANS($A93))*'Drag @ Cruising Speed vs AoA'!G93</f>
        <v>45.717591531820752</v>
      </c>
      <c r="H93">
        <f>COS(RADIANS($A93))*('Lift @ Cruising Speed vs. AoA'!H94)+SIN(RADIANS($A93))*'Prop. Thrust vs Airspeed vs RPM'!$C$18-(9.81*($B$1+$B$2)) - SIN(RADIANS($A93))*'Drag @ Cruising Speed vs AoA'!H93</f>
        <v>78.761059433767059</v>
      </c>
      <c r="I93">
        <f>COS(RADIANS($A93))*('Lift @ Cruising Speed vs. AoA'!I94)+SIN(RADIANS($A93))*'Prop. Thrust vs Airspeed vs RPM'!$C$18-(9.81*($B$1+$B$2)) - SIN(RADIANS($A93))*'Drag @ Cruising Speed vs AoA'!I93</f>
        <v>119.14752020281252</v>
      </c>
    </row>
    <row r="94" spans="1:9" x14ac:dyDescent="0.35">
      <c r="A94" s="1">
        <v>12.5</v>
      </c>
      <c r="B94">
        <f>COS(RADIANS($A94))*('Lift @ Cruising Speed vs. AoA'!B95)+SIN(RADIANS($A94))*'Prop. Thrust vs Airspeed vs RPM'!$C$18-(9.81*($B$1+$B$2)) - SIN(RADIANS($A94))*'Drag @ Cruising Speed vs AoA'!B94</f>
        <v>-9.369196919884649</v>
      </c>
      <c r="C94">
        <f>COS(RADIANS($A94))*('Lift @ Cruising Speed vs. AoA'!C95)+SIN(RADIANS($A94))*'Prop. Thrust vs Airspeed vs RPM'!$C$18-(9.81*($B$1+$B$2)) - SIN(RADIANS($A94))*'Drag @ Cruising Speed vs AoA'!C94</f>
        <v>1.5596236349757335</v>
      </c>
      <c r="D94">
        <f>COS(RADIANS($A94))*('Lift @ Cruising Speed vs. AoA'!D95)+SIN(RADIANS($A94))*'Prop. Thrust vs Airspeed vs RPM'!$C$18-(9.81*($B$1+$B$2)) - SIN(RADIANS($A94))*'Drag @ Cruising Speed vs AoA'!D94</f>
        <v>9.7562390511210229</v>
      </c>
      <c r="E94">
        <f>COS(RADIANS($A94))*('Lift @ Cruising Speed vs. AoA'!E95)+SIN(RADIANS($A94))*'Prop. Thrust vs Airspeed vs RPM'!$C$18-(9.81*($B$1+$B$2)) - SIN(RADIANS($A94))*'Drag @ Cruising Speed vs AoA'!E94</f>
        <v>19.774324559743047</v>
      </c>
      <c r="F94">
        <f>COS(RADIANS($A94))*('Lift @ Cruising Speed vs. AoA'!F95)+SIN(RADIANS($A94))*'Prop. Thrust vs Airspeed vs RPM'!$C$18-(9.81*($B$1+$B$2)) - SIN(RADIANS($A94))*'Drag @ Cruising Speed vs AoA'!F94</f>
        <v>31.613880160841788</v>
      </c>
      <c r="G94">
        <f>COS(RADIANS($A94))*('Lift @ Cruising Speed vs. AoA'!G95)+SIN(RADIANS($A94))*'Prop. Thrust vs Airspeed vs RPM'!$C$18-(9.81*($B$1+$B$2)) - SIN(RADIANS($A94))*'Drag @ Cruising Speed vs AoA'!G94</f>
        <v>45.27490585441727</v>
      </c>
      <c r="H94">
        <f>COS(RADIANS($A94))*('Lift @ Cruising Speed vs. AoA'!H95)+SIN(RADIANS($A94))*'Prop. Thrust vs Airspeed vs RPM'!$C$18-(9.81*($B$1+$B$2)) - SIN(RADIANS($A94))*'Drag @ Cruising Speed vs AoA'!H94</f>
        <v>78.061367518998424</v>
      </c>
      <c r="I94">
        <f>COS(RADIANS($A94))*('Lift @ Cruising Speed vs. AoA'!I95)+SIN(RADIANS($A94))*'Prop. Thrust vs Airspeed vs RPM'!$C$18-(9.81*($B$1+$B$2)) - SIN(RADIANS($A94))*'Drag @ Cruising Speed vs AoA'!I94</f>
        <v>118.13370955348653</v>
      </c>
    </row>
    <row r="95" spans="1:9" x14ac:dyDescent="0.35">
      <c r="A95" s="1">
        <v>12.75</v>
      </c>
      <c r="B95">
        <f>COS(RADIANS($A95))*('Lift @ Cruising Speed vs. AoA'!B96)+SIN(RADIANS($A95))*'Prop. Thrust vs Airspeed vs RPM'!$C$18-(9.81*($B$1+$B$2)) - SIN(RADIANS($A95))*'Drag @ Cruising Speed vs AoA'!B95</f>
        <v>-9.3771503848910402</v>
      </c>
      <c r="C95">
        <f>COS(RADIANS($A95))*('Lift @ Cruising Speed vs. AoA'!C96)+SIN(RADIANS($A95))*'Prop. Thrust vs Airspeed vs RPM'!$C$18-(9.81*($B$1+$B$2)) - SIN(RADIANS($A95))*'Drag @ Cruising Speed vs AoA'!C95</f>
        <v>1.4852081042335219</v>
      </c>
      <c r="D95">
        <f>COS(RADIANS($A95))*('Lift @ Cruising Speed vs. AoA'!D96)+SIN(RADIANS($A95))*'Prop. Thrust vs Airspeed vs RPM'!$C$18-(9.81*($B$1+$B$2)) - SIN(RADIANS($A95))*'Drag @ Cruising Speed vs AoA'!D95</f>
        <v>9.6319769710769521</v>
      </c>
      <c r="E95">
        <f>COS(RADIANS($A95))*('Lift @ Cruising Speed vs. AoA'!E96)+SIN(RADIANS($A95))*'Prop. Thrust vs Airspeed vs RPM'!$C$18-(9.81*($B$1+$B$2)) - SIN(RADIANS($A95))*'Drag @ Cruising Speed vs AoA'!E95</f>
        <v>19.589138919441137</v>
      </c>
      <c r="F95">
        <f>COS(RADIANS($A95))*('Lift @ Cruising Speed vs. AoA'!F96)+SIN(RADIANS($A95))*'Prop. Thrust vs Airspeed vs RPM'!$C$18-(9.81*($B$1+$B$2)) - SIN(RADIANS($A95))*'Drag @ Cruising Speed vs AoA'!F95</f>
        <v>31.356693949326068</v>
      </c>
      <c r="G95">
        <f>COS(RADIANS($A95))*('Lift @ Cruising Speed vs. AoA'!G96)+SIN(RADIANS($A95))*'Prop. Thrust vs Airspeed vs RPM'!$C$18-(9.81*($B$1+$B$2)) - SIN(RADIANS($A95))*'Drag @ Cruising Speed vs AoA'!G95</f>
        <v>44.934642060731768</v>
      </c>
      <c r="H95">
        <f>COS(RADIANS($A95))*('Lift @ Cruising Speed vs. AoA'!H96)+SIN(RADIANS($A95))*'Prop. Thrust vs Airspeed vs RPM'!$C$18-(9.81*($B$1+$B$2)) - SIN(RADIANS($A95))*'Drag @ Cruising Speed vs AoA'!H95</f>
        <v>77.521717528105498</v>
      </c>
      <c r="I95">
        <f>COS(RADIANS($A95))*('Lift @ Cruising Speed vs. AoA'!I96)+SIN(RADIANS($A95))*'Prop. Thrust vs Airspeed vs RPM'!$C$18-(9.81*($B$1+$B$2)) - SIN(RADIANS($A95))*'Drag @ Cruising Speed vs AoA'!I95</f>
        <v>117.35036532156222</v>
      </c>
    </row>
    <row r="96" spans="1:9" x14ac:dyDescent="0.35">
      <c r="A96" s="1">
        <v>13</v>
      </c>
      <c r="B96">
        <f>COS(RADIANS($A96))*('Lift @ Cruising Speed vs. AoA'!B97)+SIN(RADIANS($A96))*'Prop. Thrust vs Airspeed vs RPM'!$C$18-(9.81*($B$1+$B$2)) - SIN(RADIANS($A96))*'Drag @ Cruising Speed vs AoA'!B96</f>
        <v>-9.3654978348587221</v>
      </c>
      <c r="C96">
        <f>COS(RADIANS($A96))*('Lift @ Cruising Speed vs. AoA'!C97)+SIN(RADIANS($A96))*'Prop. Thrust vs Airspeed vs RPM'!$C$18-(9.81*($B$1+$B$2)) - SIN(RADIANS($A96))*'Drag @ Cruising Speed vs AoA'!C96</f>
        <v>1.4892586744074889</v>
      </c>
      <c r="D96">
        <f>COS(RADIANS($A96))*('Lift @ Cruising Speed vs. AoA'!D97)+SIN(RADIANS($A96))*'Prop. Thrust vs Airspeed vs RPM'!$C$18-(9.81*($B$1+$B$2)) - SIN(RADIANS($A96))*'Drag @ Cruising Speed vs AoA'!D96</f>
        <v>9.6303260563571502</v>
      </c>
      <c r="E96">
        <f>COS(RADIANS($A96))*('Lift @ Cruising Speed vs. AoA'!E97)+SIN(RADIANS($A96))*'Prop. Thrust vs Airspeed vs RPM'!$C$18-(9.81*($B$1+$B$2)) - SIN(RADIANS($A96))*'Drag @ Cruising Speed vs AoA'!E96</f>
        <v>19.580519523184517</v>
      </c>
      <c r="F96">
        <f>COS(RADIANS($A96))*('Lift @ Cruising Speed vs. AoA'!F97)+SIN(RADIANS($A96))*'Prop. Thrust vs Airspeed vs RPM'!$C$18-(9.81*($B$1+$B$2)) - SIN(RADIANS($A96))*'Drag @ Cruising Speed vs AoA'!F96</f>
        <v>31.339839074889571</v>
      </c>
      <c r="G96">
        <f>COS(RADIANS($A96))*('Lift @ Cruising Speed vs. AoA'!G97)+SIN(RADIANS($A96))*'Prop. Thrust vs Airspeed vs RPM'!$C$18-(9.81*($B$1+$B$2)) - SIN(RADIANS($A96))*'Drag @ Cruising Speed vs AoA'!G96</f>
        <v>44.908284711472341</v>
      </c>
      <c r="H96">
        <f>COS(RADIANS($A96))*('Lift @ Cruising Speed vs. AoA'!H97)+SIN(RADIANS($A96))*'Prop. Thrust vs Airspeed vs RPM'!$C$18-(9.81*($B$1+$B$2)) - SIN(RADIANS($A96))*'Drag @ Cruising Speed vs AoA'!H96</f>
        <v>77.472554239270977</v>
      </c>
      <c r="I96">
        <f>COS(RADIANS($A96))*('Lift @ Cruising Speed vs. AoA'!I97)+SIN(RADIANS($A96))*'Prop. Thrust vs Airspeed vs RPM'!$C$18-(9.81*($B$1+$B$2)) - SIN(RADIANS($A96))*'Drag @ Cruising Speed vs AoA'!I96</f>
        <v>117.27332810658042</v>
      </c>
    </row>
    <row r="97" spans="1:9" x14ac:dyDescent="0.35">
      <c r="A97" s="1">
        <v>13.25</v>
      </c>
      <c r="B97">
        <f>COS(RADIANS($A97))*('Lift @ Cruising Speed vs. AoA'!B98)+SIN(RADIANS($A97))*'Prop. Thrust vs Airspeed vs RPM'!$C$18-(9.81*($B$1+$B$2)) - SIN(RADIANS($A97))*'Drag @ Cruising Speed vs AoA'!B97</f>
        <v>-9.3535981830978319</v>
      </c>
      <c r="C97">
        <f>COS(RADIANS($A97))*('Lift @ Cruising Speed vs. AoA'!C98)+SIN(RADIANS($A97))*'Prop. Thrust vs Airspeed vs RPM'!$C$18-(9.81*($B$1+$B$2)) - SIN(RADIANS($A97))*'Drag @ Cruising Speed vs AoA'!C97</f>
        <v>1.4943405025310934</v>
      </c>
      <c r="D97">
        <f>COS(RADIANS($A97))*('Lift @ Cruising Speed vs. AoA'!D98)+SIN(RADIANS($A97))*'Prop. Thrust vs Airspeed vs RPM'!$C$18-(9.81*($B$1+$B$2)) - SIN(RADIANS($A97))*'Drag @ Cruising Speed vs AoA'!D97</f>
        <v>9.6302945167527927</v>
      </c>
      <c r="E97">
        <f>COS(RADIANS($A97))*('Lift @ Cruising Speed vs. AoA'!E98)+SIN(RADIANS($A97))*'Prop. Thrust vs Airspeed vs RPM'!$C$18-(9.81*($B$1+$B$2)) - SIN(RADIANS($A97))*'Drag @ Cruising Speed vs AoA'!E97</f>
        <v>19.574238311912644</v>
      </c>
      <c r="F97">
        <f>COS(RADIANS($A97))*('Lift @ Cruising Speed vs. AoA'!F98)+SIN(RADIANS($A97))*'Prop. Thrust vs Airspeed vs RPM'!$C$18-(9.81*($B$1+$B$2)) - SIN(RADIANS($A97))*'Drag @ Cruising Speed vs AoA'!F97</f>
        <v>31.326171888010645</v>
      </c>
      <c r="G97">
        <f>COS(RADIANS($A97))*('Lift @ Cruising Speed vs. AoA'!G98)+SIN(RADIANS($A97))*'Prop. Thrust vs Airspeed vs RPM'!$C$18-(9.81*($B$1+$B$2)) - SIN(RADIANS($A97))*'Drag @ Cruising Speed vs AoA'!G97</f>
        <v>44.886095245046803</v>
      </c>
      <c r="H97">
        <f>COS(RADIANS($A97))*('Lift @ Cruising Speed vs. AoA'!H98)+SIN(RADIANS($A97))*'Prop. Thrust vs Airspeed vs RPM'!$C$18-(9.81*($B$1+$B$2)) - SIN(RADIANS($A97))*'Drag @ Cruising Speed vs AoA'!H97</f>
        <v>77.4299113019336</v>
      </c>
      <c r="I97">
        <f>COS(RADIANS($A97))*('Lift @ Cruising Speed vs. AoA'!I98)+SIN(RADIANS($A97))*'Prop. Thrust vs Airspeed vs RPM'!$C$18-(9.81*($B$1+$B$2)) - SIN(RADIANS($A97))*'Drag @ Cruising Speed vs AoA'!I97</f>
        <v>117.20568648257299</v>
      </c>
    </row>
    <row r="98" spans="1:9" x14ac:dyDescent="0.35">
      <c r="A98" s="1">
        <v>13.5</v>
      </c>
      <c r="B98">
        <f>COS(RADIANS($A98))*('Lift @ Cruising Speed vs. AoA'!B99)+SIN(RADIANS($A98))*'Prop. Thrust vs Airspeed vs RPM'!$C$18-(9.81*($B$1+$B$2)) - SIN(RADIANS($A98))*'Drag @ Cruising Speed vs AoA'!B98</f>
        <v>-9.339532154558599</v>
      </c>
      <c r="C98">
        <f>COS(RADIANS($A98))*('Lift @ Cruising Speed vs. AoA'!C99)+SIN(RADIANS($A98))*'Prop. Thrust vs Airspeed vs RPM'!$C$18-(9.81*($B$1+$B$2)) - SIN(RADIANS($A98))*'Drag @ Cruising Speed vs AoA'!C98</f>
        <v>1.5081314982616134</v>
      </c>
      <c r="D98">
        <f>COS(RADIANS($A98))*('Lift @ Cruising Speed vs. AoA'!D99)+SIN(RADIANS($A98))*'Prop. Thrust vs Airspeed vs RPM'!$C$18-(9.81*($B$1+$B$2)) - SIN(RADIANS($A98))*'Drag @ Cruising Speed vs AoA'!D98</f>
        <v>9.6438792378767744</v>
      </c>
      <c r="E98">
        <f>COS(RADIANS($A98))*('Lift @ Cruising Speed vs. AoA'!E99)+SIN(RADIANS($A98))*'Prop. Thrust vs Airspeed vs RPM'!$C$18-(9.81*($B$1+$B$2)) - SIN(RADIANS($A98))*'Drag @ Cruising Speed vs AoA'!E98</f>
        <v>19.587570919628636</v>
      </c>
      <c r="F98">
        <f>COS(RADIANS($A98))*('Lift @ Cruising Speed vs. AoA'!F99)+SIN(RADIANS($A98))*'Prop. Thrust vs Airspeed vs RPM'!$C$18-(9.81*($B$1+$B$2)) - SIN(RADIANS($A98))*'Drag @ Cruising Speed vs AoA'!F98</f>
        <v>31.3392065435172</v>
      </c>
      <c r="G98">
        <f>COS(RADIANS($A98))*('Lift @ Cruising Speed vs. AoA'!G99)+SIN(RADIANS($A98))*'Prop. Thrust vs Airspeed vs RPM'!$C$18-(9.81*($B$1+$B$2)) - SIN(RADIANS($A98))*'Drag @ Cruising Speed vs AoA'!G98</f>
        <v>44.898786109542456</v>
      </c>
      <c r="H98">
        <f>COS(RADIANS($A98))*('Lift @ Cruising Speed vs. AoA'!H99)+SIN(RADIANS($A98))*'Prop. Thrust vs Airspeed vs RPM'!$C$18-(9.81*($B$1+$B$2)) - SIN(RADIANS($A98))*'Drag @ Cruising Speed vs AoA'!H98</f>
        <v>77.44177706800312</v>
      </c>
      <c r="I98">
        <f>COS(RADIANS($A98))*('Lift @ Cruising Speed vs. AoA'!I99)+SIN(RADIANS($A98))*'Prop. Thrust vs Airspeed vs RPM'!$C$18-(9.81*($B$1+$B$2)) - SIN(RADIANS($A98))*'Drag @ Cruising Speed vs AoA'!I98</f>
        <v>117.21654379501054</v>
      </c>
    </row>
    <row r="99" spans="1:9" x14ac:dyDescent="0.35">
      <c r="A99" s="1">
        <v>13.75</v>
      </c>
      <c r="B99">
        <f>COS(RADIANS($A99))*('Lift @ Cruising Speed vs. AoA'!B100)+SIN(RADIANS($A99))*'Prop. Thrust vs Airspeed vs RPM'!$C$18-(9.81*($B$1+$B$2)) - SIN(RADIANS($A99))*'Drag @ Cruising Speed vs AoA'!B99</f>
        <v>-9.3226429835567206</v>
      </c>
      <c r="C99">
        <f>COS(RADIANS($A99))*('Lift @ Cruising Speed vs. AoA'!C100)+SIN(RADIANS($A99))*'Prop. Thrust vs Airspeed vs RPM'!$C$18-(9.81*($B$1+$B$2)) - SIN(RADIANS($A99))*'Drag @ Cruising Speed vs AoA'!C99</f>
        <v>1.533259532963188</v>
      </c>
      <c r="D99">
        <f>COS(RADIANS($A99))*('Lift @ Cruising Speed vs. AoA'!D100)+SIN(RADIANS($A99))*'Prop. Thrust vs Airspeed vs RPM'!$C$18-(9.81*($B$1+$B$2)) - SIN(RADIANS($A99))*'Drag @ Cruising Speed vs AoA'!D99</f>
        <v>9.6751864203531177</v>
      </c>
      <c r="E99">
        <f>COS(RADIANS($A99))*('Lift @ Cruising Speed vs. AoA'!E100)+SIN(RADIANS($A99))*'Prop. Thrust vs Airspeed vs RPM'!$C$18-(9.81*($B$1+$B$2)) - SIN(RADIANS($A99))*'Drag @ Cruising Speed vs AoA'!E99</f>
        <v>19.626430393829708</v>
      </c>
      <c r="F99">
        <f>COS(RADIANS($A99))*('Lift @ Cruising Speed vs. AoA'!F100)+SIN(RADIANS($A99))*'Prop. Thrust vs Airspeed vs RPM'!$C$18-(9.81*($B$1+$B$2)) - SIN(RADIANS($A99))*'Drag @ Cruising Speed vs AoA'!F99</f>
        <v>31.386991453392938</v>
      </c>
      <c r="G99">
        <f>COS(RADIANS($A99))*('Lift @ Cruising Speed vs. AoA'!G100)+SIN(RADIANS($A99))*'Prop. Thrust vs Airspeed vs RPM'!$C$18-(9.81*($B$1+$B$2)) - SIN(RADIANS($A99))*'Drag @ Cruising Speed vs AoA'!G99</f>
        <v>44.956869599042825</v>
      </c>
      <c r="H99">
        <f>COS(RADIANS($A99))*('Lift @ Cruising Speed vs. AoA'!H100)+SIN(RADIANS($A99))*'Prop. Thrust vs Airspeed vs RPM'!$C$18-(9.81*($B$1+$B$2)) - SIN(RADIANS($A99))*'Drag @ Cruising Speed vs AoA'!H99</f>
        <v>77.524577148602546</v>
      </c>
      <c r="I99">
        <f>COS(RADIANS($A99))*('Lift @ Cruising Speed vs. AoA'!I100)+SIN(RADIANS($A99))*'Prop. Thrust vs Airspeed vs RPM'!$C$18-(9.81*($B$1+$B$2)) - SIN(RADIANS($A99))*'Drag @ Cruising Speed vs AoA'!I99</f>
        <v>117.32955304250888</v>
      </c>
    </row>
    <row r="100" spans="1:9" x14ac:dyDescent="0.35">
      <c r="A100" s="1">
        <v>14</v>
      </c>
      <c r="B100">
        <f>COS(RADIANS($A100))*('Lift @ Cruising Speed vs. AoA'!B101)+SIN(RADIANS($A100))*'Prop. Thrust vs Airspeed vs RPM'!$C$18-(9.81*($B$1+$B$2)) - SIN(RADIANS($A100))*'Drag @ Cruising Speed vs AoA'!B100</f>
        <v>-9.308585842546421</v>
      </c>
      <c r="C100">
        <f>COS(RADIANS($A100))*('Lift @ Cruising Speed vs. AoA'!C101)+SIN(RADIANS($A100))*'Prop. Thrust vs Airspeed vs RPM'!$C$18-(9.81*($B$1+$B$2)) - SIN(RADIANS($A100))*'Drag @ Cruising Speed vs AoA'!C100</f>
        <v>1.5471047245992591</v>
      </c>
      <c r="D100">
        <f>COS(RADIANS($A100))*('Lift @ Cruising Speed vs. AoA'!D101)+SIN(RADIANS($A100))*'Prop. Thrust vs Airspeed vs RPM'!$C$18-(9.81*($B$1+$B$2)) - SIN(RADIANS($A100))*'Drag @ Cruising Speed vs AoA'!D100</f>
        <v>9.6888726499585243</v>
      </c>
      <c r="E100">
        <f>COS(RADIANS($A100))*('Lift @ Cruising Speed vs. AoA'!E101)+SIN(RADIANS($A100))*'Prop. Thrust vs Airspeed vs RPM'!$C$18-(9.81*($B$1+$B$2)) - SIN(RADIANS($A100))*'Drag @ Cruising Speed vs AoA'!E100</f>
        <v>19.639922336508725</v>
      </c>
      <c r="F100">
        <f>COS(RADIANS($A100))*('Lift @ Cruising Speed vs. AoA'!F101)+SIN(RADIANS($A100))*'Prop. Thrust vs Airspeed vs RPM'!$C$18-(9.81*($B$1+$B$2)) - SIN(RADIANS($A100))*'Drag @ Cruising Speed vs AoA'!F100</f>
        <v>31.400253784249884</v>
      </c>
      <c r="G100">
        <f>COS(RADIANS($A100))*('Lift @ Cruising Speed vs. AoA'!G101)+SIN(RADIANS($A100))*'Prop. Thrust vs Airspeed vs RPM'!$C$18-(9.81*($B$1+$B$2)) - SIN(RADIANS($A100))*'Drag @ Cruising Speed vs AoA'!G100</f>
        <v>44.969866993181988</v>
      </c>
      <c r="H100">
        <f>COS(RADIANS($A100))*('Lift @ Cruising Speed vs. AoA'!H101)+SIN(RADIANS($A100))*'Prop. Thrust vs Airspeed vs RPM'!$C$18-(9.81*($B$1+$B$2)) - SIN(RADIANS($A100))*'Drag @ Cruising Speed vs AoA'!H100</f>
        <v>77.536938694619039</v>
      </c>
      <c r="I100">
        <f>COS(RADIANS($A100))*('Lift @ Cruising Speed vs. AoA'!I101)+SIN(RADIANS($A100))*'Prop. Thrust vs Airspeed vs RPM'!$C$18-(9.81*($B$1+$B$2)) - SIN(RADIANS($A100))*'Drag @ Cruising Speed vs AoA'!I100</f>
        <v>117.34113744081984</v>
      </c>
    </row>
    <row r="101" spans="1:9" x14ac:dyDescent="0.35">
      <c r="A101" s="1">
        <v>14.25</v>
      </c>
      <c r="B101">
        <f>COS(RADIANS($A101))*('Lift @ Cruising Speed vs. AoA'!B102)+SIN(RADIANS($A101))*'Prop. Thrust vs Airspeed vs RPM'!$C$18-(9.81*($B$1+$B$2)) - SIN(RADIANS($A101))*'Drag @ Cruising Speed vs AoA'!B101</f>
        <v>-9.2933393973320317</v>
      </c>
      <c r="C101">
        <f>COS(RADIANS($A101))*('Lift @ Cruising Speed vs. AoA'!C102)+SIN(RADIANS($A101))*'Prop. Thrust vs Airspeed vs RPM'!$C$18-(9.81*($B$1+$B$2)) - SIN(RADIANS($A101))*'Drag @ Cruising Speed vs AoA'!C101</f>
        <v>1.5657532168708213</v>
      </c>
      <c r="D101">
        <f>COS(RADIANS($A101))*('Lift @ Cruising Speed vs. AoA'!D102)+SIN(RADIANS($A101))*'Prop. Thrust vs Airspeed vs RPM'!$C$18-(9.81*($B$1+$B$2)) - SIN(RADIANS($A101))*'Drag @ Cruising Speed vs AoA'!D101</f>
        <v>9.7100726775229642</v>
      </c>
      <c r="E101">
        <f>COS(RADIANS($A101))*('Lift @ Cruising Speed vs. AoA'!E102)+SIN(RADIANS($A101))*'Prop. Thrust vs Airspeed vs RPM'!$C$18-(9.81*($B$1+$B$2)) - SIN(RADIANS($A101))*'Drag @ Cruising Speed vs AoA'!E101</f>
        <v>19.66424090720891</v>
      </c>
      <c r="F101">
        <f>COS(RADIANS($A101))*('Lift @ Cruising Speed vs. AoA'!F102)+SIN(RADIANS($A101))*'Prop. Thrust vs Airspeed vs RPM'!$C$18-(9.81*($B$1+$B$2)) - SIN(RADIANS($A101))*'Drag @ Cruising Speed vs AoA'!F101</f>
        <v>31.428257905928675</v>
      </c>
      <c r="G101">
        <f>COS(RADIANS($A101))*('Lift @ Cruising Speed vs. AoA'!G102)+SIN(RADIANS($A101))*'Prop. Thrust vs Airspeed vs RPM'!$C$18-(9.81*($B$1+$B$2)) - SIN(RADIANS($A101))*'Drag @ Cruising Speed vs AoA'!G101</f>
        <v>45.002123673682227</v>
      </c>
      <c r="H101">
        <f>COS(RADIANS($A101))*('Lift @ Cruising Speed vs. AoA'!H102)+SIN(RADIANS($A101))*'Prop. Thrust vs Airspeed vs RPM'!$C$18-(9.81*($B$1+$B$2)) - SIN(RADIANS($A101))*'Drag @ Cruising Speed vs AoA'!H101</f>
        <v>77.579401516290815</v>
      </c>
      <c r="I101">
        <f>COS(RADIANS($A101))*('Lift @ Cruising Speed vs. AoA'!I102)+SIN(RADIANS($A101))*'Prop. Thrust vs Airspeed vs RPM'!$C$18-(9.81*($B$1+$B$2)) - SIN(RADIANS($A101))*'Drag @ Cruising Speed vs AoA'!I101</f>
        <v>117.39607443503458</v>
      </c>
    </row>
    <row r="102" spans="1:9" x14ac:dyDescent="0.35">
      <c r="A102" s="1">
        <v>14.5</v>
      </c>
      <c r="B102">
        <f>COS(RADIANS($A102))*('Lift @ Cruising Speed vs. AoA'!B103)+SIN(RADIANS($A102))*'Prop. Thrust vs Airspeed vs RPM'!$C$18-(9.81*($B$1+$B$2)) - SIN(RADIANS($A102))*'Drag @ Cruising Speed vs AoA'!B102</f>
        <v>-9.278610288700321</v>
      </c>
      <c r="C102">
        <f>COS(RADIANS($A102))*('Lift @ Cruising Speed vs. AoA'!C103)+SIN(RADIANS($A102))*'Prop. Thrust vs Airspeed vs RPM'!$C$18-(9.81*($B$1+$B$2)) - SIN(RADIANS($A102))*'Drag @ Cruising Speed vs AoA'!C102</f>
        <v>1.5823792526717375</v>
      </c>
      <c r="D102">
        <f>COS(RADIANS($A102))*('Lift @ Cruising Speed vs. AoA'!D103)+SIN(RADIANS($A102))*'Prop. Thrust vs Airspeed vs RPM'!$C$18-(9.81*($B$1+$B$2)) - SIN(RADIANS($A102))*'Drag @ Cruising Speed vs AoA'!D102</f>
        <v>9.7281214087007832</v>
      </c>
      <c r="E102">
        <f>COS(RADIANS($A102))*('Lift @ Cruising Speed vs. AoA'!E103)+SIN(RADIANS($A102))*'Prop. Thrust vs Airspeed vs RPM'!$C$18-(9.81*($B$1+$B$2)) - SIN(RADIANS($A102))*'Drag @ Cruising Speed vs AoA'!E102</f>
        <v>19.684028488291833</v>
      </c>
      <c r="F102">
        <f>COS(RADIANS($A102))*('Lift @ Cruising Speed vs. AoA'!F103)+SIN(RADIANS($A102))*'Prop. Thrust vs Airspeed vs RPM'!$C$18-(9.81*($B$1+$B$2)) - SIN(RADIANS($A102))*'Drag @ Cruising Speed vs AoA'!F102</f>
        <v>31.450100491444893</v>
      </c>
      <c r="G102">
        <f>COS(RADIANS($A102))*('Lift @ Cruising Speed vs. AoA'!G103)+SIN(RADIANS($A102))*'Prop. Thrust vs Airspeed vs RPM'!$C$18-(9.81*($B$1+$B$2)) - SIN(RADIANS($A102))*'Drag @ Cruising Speed vs AoA'!G102</f>
        <v>45.026337418159962</v>
      </c>
      <c r="H102">
        <f>COS(RADIANS($A102))*('Lift @ Cruising Speed vs. AoA'!H103)+SIN(RADIANS($A102))*'Prop. Thrust vs Airspeed vs RPM'!$C$18-(9.81*($B$1+$B$2)) - SIN(RADIANS($A102))*'Drag @ Cruising Speed vs AoA'!H102</f>
        <v>77.609306042276145</v>
      </c>
      <c r="I102">
        <f>COS(RADIANS($A102))*('Lift @ Cruising Speed vs. AoA'!I103)+SIN(RADIANS($A102))*'Prop. Thrust vs Airspeed vs RPM'!$C$18-(9.81*($B$1+$B$2)) - SIN(RADIANS($A102))*'Drag @ Cruising Speed vs AoA'!I102</f>
        <v>117.43293436064035</v>
      </c>
    </row>
    <row r="103" spans="1:9" x14ac:dyDescent="0.35">
      <c r="A103" s="1">
        <v>14.75</v>
      </c>
      <c r="B103">
        <f>COS(RADIANS($A103))*('Lift @ Cruising Speed vs. AoA'!B104)+SIN(RADIANS($A103))*'Prop. Thrust vs Airspeed vs RPM'!$C$18-(9.81*($B$1+$B$2)) - SIN(RADIANS($A103))*'Drag @ Cruising Speed vs AoA'!B103</f>
        <v>-9.269177853705644</v>
      </c>
      <c r="C103">
        <f>COS(RADIANS($A103))*('Lift @ Cruising Speed vs. AoA'!C104)+SIN(RADIANS($A103))*'Prop. Thrust vs Airspeed vs RPM'!$C$18-(9.81*($B$1+$B$2)) - SIN(RADIANS($A103))*'Drag @ Cruising Speed vs AoA'!C103</f>
        <v>1.5778662889328161</v>
      </c>
      <c r="D103">
        <f>COS(RADIANS($A103))*('Lift @ Cruising Speed vs. AoA'!D104)+SIN(RADIANS($A103))*'Prop. Thrust vs Airspeed vs RPM'!$C$18-(9.81*($B$1+$B$2)) - SIN(RADIANS($A103))*'Drag @ Cruising Speed vs AoA'!D103</f>
        <v>9.7131493959116657</v>
      </c>
      <c r="E103">
        <f>COS(RADIANS($A103))*('Lift @ Cruising Speed vs. AoA'!E104)+SIN(RADIANS($A103))*'Prop. Thrust vs Airspeed vs RPM'!$C$18-(9.81*($B$1+$B$2)) - SIN(RADIANS($A103))*'Drag @ Cruising Speed vs AoA'!E103</f>
        <v>19.656273193330254</v>
      </c>
      <c r="F103">
        <f>COS(RADIANS($A103))*('Lift @ Cruising Speed vs. AoA'!F104)+SIN(RADIANS($A103))*'Prop. Thrust vs Airspeed vs RPM'!$C$18-(9.81*($B$1+$B$2)) - SIN(RADIANS($A103))*'Drag @ Cruising Speed vs AoA'!F103</f>
        <v>31.407237681188587</v>
      </c>
      <c r="G103">
        <f>COS(RADIANS($A103))*('Lift @ Cruising Speed vs. AoA'!G104)+SIN(RADIANS($A103))*'Prop. Thrust vs Airspeed vs RPM'!$C$18-(9.81*($B$1+$B$2)) - SIN(RADIANS($A103))*'Drag @ Cruising Speed vs AoA'!G103</f>
        <v>44.966042859486656</v>
      </c>
      <c r="H103">
        <f>COS(RADIANS($A103))*('Lift @ Cruising Speed vs. AoA'!H104)+SIN(RADIANS($A103))*'Prop. Thrust vs Airspeed vs RPM'!$C$18-(9.81*($B$1+$B$2)) - SIN(RADIANS($A103))*'Drag @ Cruising Speed vs AoA'!H103</f>
        <v>77.507175287402049</v>
      </c>
      <c r="I103">
        <f>COS(RADIANS($A103))*('Lift @ Cruising Speed vs. AoA'!I104)+SIN(RADIANS($A103))*'Prop. Thrust vs Airspeed vs RPM'!$C$18-(9.81*($B$1+$B$2)) - SIN(RADIANS($A103))*'Drag @ Cruising Speed vs AoA'!I103</f>
        <v>117.27967047707638</v>
      </c>
    </row>
    <row r="104" spans="1:9" x14ac:dyDescent="0.35">
      <c r="A104" s="1">
        <v>15</v>
      </c>
      <c r="B104">
        <f>COS(RADIANS($A104))*('Lift @ Cruising Speed vs. AoA'!B105)+SIN(RADIANS($A104))*'Prop. Thrust vs Airspeed vs RPM'!$C$18-(9.81*($B$1+$B$2)) - SIN(RADIANS($A104))*'Drag @ Cruising Speed vs AoA'!B104</f>
        <v>-9.2642925016944471</v>
      </c>
      <c r="C104">
        <f>COS(RADIANS($A104))*('Lift @ Cruising Speed vs. AoA'!C105)+SIN(RADIANS($A104))*'Prop. Thrust vs Airspeed vs RPM'!$C$18-(9.81*($B$1+$B$2)) - SIN(RADIANS($A104))*'Drag @ Cruising Speed vs AoA'!C104</f>
        <v>1.5552134925084675</v>
      </c>
      <c r="D104">
        <f>COS(RADIANS($A104))*('Lift @ Cruising Speed vs. AoA'!D105)+SIN(RADIANS($A104))*'Prop. Thrust vs Airspeed vs RPM'!$C$18-(9.81*($B$1+$B$2)) - SIN(RADIANS($A104))*'Drag @ Cruising Speed vs AoA'!D104</f>
        <v>9.6698429881606565</v>
      </c>
      <c r="E104">
        <f>COS(RADIANS($A104))*('Lift @ Cruising Speed vs. AoA'!E105)+SIN(RADIANS($A104))*'Prop. Thrust vs Airspeed vs RPM'!$C$18-(9.81*($B$1+$B$2)) - SIN(RADIANS($A104))*'Drag @ Cruising Speed vs AoA'!E104</f>
        <v>19.587723482846656</v>
      </c>
      <c r="F104">
        <f>COS(RADIANS($A104))*('Lift @ Cruising Speed vs. AoA'!F105)+SIN(RADIANS($A104))*'Prop. Thrust vs Airspeed vs RPM'!$C$18-(9.81*($B$1+$B$2)) - SIN(RADIANS($A104))*'Drag @ Cruising Speed vs AoA'!F104</f>
        <v>31.308854976566483</v>
      </c>
      <c r="G104">
        <f>COS(RADIANS($A104))*('Lift @ Cruising Speed vs. AoA'!G105)+SIN(RADIANS($A104))*'Prop. Thrust vs Airspeed vs RPM'!$C$18-(9.81*($B$1+$B$2)) - SIN(RADIANS($A104))*'Drag @ Cruising Speed vs AoA'!G104</f>
        <v>44.833237469320125</v>
      </c>
      <c r="H104">
        <f>COS(RADIANS($A104))*('Lift @ Cruising Speed vs. AoA'!H105)+SIN(RADIANS($A104))*'Prop. Thrust vs Airspeed vs RPM'!$C$18-(9.81*($B$1+$B$2)) - SIN(RADIANS($A104))*'Drag @ Cruising Speed vs AoA'!H104</f>
        <v>77.291755451928879</v>
      </c>
      <c r="I104">
        <f>COS(RADIANS($A104))*('Lift @ Cruising Speed vs. AoA'!I105)+SIN(RADIANS($A104))*'Prop. Thrust vs Airspeed vs RPM'!$C$18-(9.81*($B$1+$B$2)) - SIN(RADIANS($A104))*'Drag @ Cruising Speed vs AoA'!I104</f>
        <v>116.96327743067286</v>
      </c>
    </row>
    <row r="105" spans="1:9" x14ac:dyDescent="0.35">
      <c r="A105" s="1">
        <v>15.25</v>
      </c>
      <c r="B105">
        <f>COS(RADIANS($A105))*('Lift @ Cruising Speed vs. AoA'!B106)+SIN(RADIANS($A105))*'Prop. Thrust vs Airspeed vs RPM'!$C$18-(9.81*($B$1+$B$2)) - SIN(RADIANS($A105))*'Drag @ Cruising Speed vs AoA'!B105</f>
        <v>-9.2666105824404532</v>
      </c>
      <c r="C105">
        <f>COS(RADIANS($A105))*('Lift @ Cruising Speed vs. AoA'!C106)+SIN(RADIANS($A105))*'Prop. Thrust vs Airspeed vs RPM'!$C$18-(9.81*($B$1+$B$2)) - SIN(RADIANS($A105))*'Drag @ Cruising Speed vs AoA'!C105</f>
        <v>1.5037962676206229</v>
      </c>
      <c r="D105">
        <f>COS(RADIANS($A105))*('Lift @ Cruising Speed vs. AoA'!D106)+SIN(RADIANS($A105))*'Prop. Thrust vs Airspeed vs RPM'!$C$18-(9.81*($B$1+$B$2)) - SIN(RADIANS($A105))*'Drag @ Cruising Speed vs AoA'!D105</f>
        <v>9.5816014051664364</v>
      </c>
      <c r="E105">
        <f>COS(RADIANS($A105))*('Lift @ Cruising Speed vs. AoA'!E106)+SIN(RADIANS($A105))*'Prop. Thrust vs Airspeed vs RPM'!$C$18-(9.81*($B$1+$B$2)) - SIN(RADIANS($A105))*'Drag @ Cruising Speed vs AoA'!E105</f>
        <v>19.454474351055758</v>
      </c>
      <c r="F105">
        <f>COS(RADIANS($A105))*('Lift @ Cruising Speed vs. AoA'!F106)+SIN(RADIANS($A105))*'Prop. Thrust vs Airspeed vs RPM'!$C$18-(9.81*($B$1+$B$2)) - SIN(RADIANS($A105))*'Drag @ Cruising Speed vs AoA'!F105</f>
        <v>31.122415105288596</v>
      </c>
      <c r="G105">
        <f>COS(RADIANS($A105))*('Lift @ Cruising Speed vs. AoA'!G106)+SIN(RADIANS($A105))*'Prop. Thrust vs Airspeed vs RPM'!$C$18-(9.81*($B$1+$B$2)) - SIN(RADIANS($A105))*'Drag @ Cruising Speed vs AoA'!G105</f>
        <v>44.585423667864937</v>
      </c>
      <c r="H105">
        <f>COS(RADIANS($A105))*('Lift @ Cruising Speed vs. AoA'!H106)+SIN(RADIANS($A105))*'Prop. Thrust vs Airspeed vs RPM'!$C$18-(9.81*($B$1+$B$2)) - SIN(RADIANS($A105))*'Drag @ Cruising Speed vs AoA'!H105</f>
        <v>76.896644218048181</v>
      </c>
      <c r="I105">
        <f>COS(RADIANS($A105))*('Lift @ Cruising Speed vs. AoA'!I106)+SIN(RADIANS($A105))*'Prop. Thrust vs Airspeed vs RPM'!$C$18-(9.81*($B$1+$B$2)) - SIN(RADIANS($A105))*'Drag @ Cruising Speed vs AoA'!I105</f>
        <v>116.38813600160546</v>
      </c>
    </row>
    <row r="106" spans="1:9" x14ac:dyDescent="0.35">
      <c r="A106" s="1">
        <v>15.5</v>
      </c>
      <c r="B106">
        <f>COS(RADIANS($A106))*('Lift @ Cruising Speed vs. AoA'!B107)+SIN(RADIANS($A106))*'Prop. Thrust vs Airspeed vs RPM'!$C$18-(9.81*($B$1+$B$2)) - SIN(RADIANS($A106))*'Drag @ Cruising Speed vs AoA'!B106</f>
        <v>-9.2785291795399534</v>
      </c>
      <c r="C106">
        <f>COS(RADIANS($A106))*('Lift @ Cruising Speed vs. AoA'!C107)+SIN(RADIANS($A106))*'Prop. Thrust vs Airspeed vs RPM'!$C$18-(9.81*($B$1+$B$2)) - SIN(RADIANS($A106))*'Drag @ Cruising Speed vs AoA'!C106</f>
        <v>1.4140270822623122</v>
      </c>
      <c r="D106">
        <f>COS(RADIANS($A106))*('Lift @ Cruising Speed vs. AoA'!D107)+SIN(RADIANS($A106))*'Prop. Thrust vs Airspeed vs RPM'!$C$18-(9.81*($B$1+$B$2)) - SIN(RADIANS($A106))*'Drag @ Cruising Speed vs AoA'!D106</f>
        <v>9.4334442786140187</v>
      </c>
      <c r="E106">
        <f>COS(RADIANS($A106))*('Lift @ Cruising Speed vs. AoA'!E107)+SIN(RADIANS($A106))*'Prop. Thrust vs Airspeed vs RPM'!$C$18-(9.81*($B$1+$B$2)) - SIN(RADIANS($A106))*'Drag @ Cruising Speed vs AoA'!E106</f>
        <v>19.234954185266091</v>
      </c>
      <c r="F106">
        <f>COS(RADIANS($A106))*('Lift @ Cruising Speed vs. AoA'!F107)+SIN(RADIANS($A106))*'Prop. Thrust vs Airspeed vs RPM'!$C$18-(9.81*($B$1+$B$2)) - SIN(RADIANS($A106))*'Drag @ Cruising Speed vs AoA'!F106</f>
        <v>30.818556802218549</v>
      </c>
      <c r="G106">
        <f>COS(RADIANS($A106))*('Lift @ Cruising Speed vs. AoA'!G107)+SIN(RADIANS($A106))*'Prop. Thrust vs Airspeed vs RPM'!$C$18-(9.81*($B$1+$B$2)) - SIN(RADIANS($A106))*'Drag @ Cruising Speed vs AoA'!G106</f>
        <v>44.184252129471375</v>
      </c>
      <c r="H106">
        <f>COS(RADIANS($A106))*('Lift @ Cruising Speed vs. AoA'!H107)+SIN(RADIANS($A106))*'Prop. Thrust vs Airspeed vs RPM'!$C$18-(9.81*($B$1+$B$2)) - SIN(RADIANS($A106))*'Drag @ Cruising Speed vs AoA'!H106</f>
        <v>76.261920914878189</v>
      </c>
      <c r="I106">
        <f>COS(RADIANS($A106))*('Lift @ Cruising Speed vs. AoA'!I107)+SIN(RADIANS($A106))*'Prop. Thrust vs Airspeed vs RPM'!$C$18-(9.81*($B$1+$B$2)) - SIN(RADIANS($A106))*'Drag @ Cruising Speed vs AoA'!I106</f>
        <v>115.46796054148649</v>
      </c>
    </row>
    <row r="107" spans="1:9" x14ac:dyDescent="0.35">
      <c r="A107" s="1">
        <v>15.75</v>
      </c>
      <c r="B107">
        <f>COS(RADIANS($A107))*('Lift @ Cruising Speed vs. AoA'!B108)+SIN(RADIANS($A107))*'Prop. Thrust vs Airspeed vs RPM'!$C$18-(9.81*($B$1+$B$2)) - SIN(RADIANS($A107))*'Drag @ Cruising Speed vs AoA'!B107</f>
        <v>-9.2996548780045245</v>
      </c>
      <c r="C107">
        <f>COS(RADIANS($A107))*('Lift @ Cruising Speed vs. AoA'!C108)+SIN(RADIANS($A107))*'Prop. Thrust vs Airspeed vs RPM'!$C$18-(9.81*($B$1+$B$2)) - SIN(RADIANS($A107))*'Drag @ Cruising Speed vs AoA'!C107</f>
        <v>1.2874803978114804</v>
      </c>
      <c r="D107">
        <f>COS(RADIANS($A107))*('Lift @ Cruising Speed vs. AoA'!D108)+SIN(RADIANS($A107))*'Prop. Thrust vs Airspeed vs RPM'!$C$18-(9.81*($B$1+$B$2)) - SIN(RADIANS($A107))*'Drag @ Cruising Speed vs AoA'!D107</f>
        <v>9.2278318546734912</v>
      </c>
      <c r="E107">
        <f>COS(RADIANS($A107))*('Lift @ Cruising Speed vs. AoA'!E108)+SIN(RADIANS($A107))*'Prop. Thrust vs Airspeed vs RPM'!$C$18-(9.81*($B$1+$B$2)) - SIN(RADIANS($A107))*'Drag @ Cruising Speed vs AoA'!E107</f>
        <v>18.932705857504821</v>
      </c>
      <c r="F107">
        <f>COS(RADIANS($A107))*('Lift @ Cruising Speed vs. AoA'!F108)+SIN(RADIANS($A107))*'Prop. Thrust vs Airspeed vs RPM'!$C$18-(9.81*($B$1+$B$2)) - SIN(RADIANS($A107))*'Drag @ Cruising Speed vs AoA'!F107</f>
        <v>30.402102406305499</v>
      </c>
      <c r="G107">
        <f>COS(RADIANS($A107))*('Lift @ Cruising Speed vs. AoA'!G108)+SIN(RADIANS($A107))*'Prop. Thrust vs Airspeed vs RPM'!$C$18-(9.81*($B$1+$B$2)) - SIN(RADIANS($A107))*'Drag @ Cruising Speed vs AoA'!G107</f>
        <v>43.636021501075497</v>
      </c>
      <c r="H107">
        <f>COS(RADIANS($A107))*('Lift @ Cruising Speed vs. AoA'!H108)+SIN(RADIANS($A107))*'Prop. Thrust vs Airspeed vs RPM'!$C$18-(9.81*($B$1+$B$2)) - SIN(RADIANS($A107))*'Drag @ Cruising Speed vs AoA'!H107</f>
        <v>75.397427328523548</v>
      </c>
      <c r="I107">
        <f>COS(RADIANS($A107))*('Lift @ Cruising Speed vs. AoA'!I108)+SIN(RADIANS($A107))*'Prop. Thrust vs Airspeed vs RPM'!$C$18-(9.81*($B$1+$B$2)) - SIN(RADIANS($A107))*'Drag @ Cruising Speed vs AoA'!I107</f>
        <v>114.21692333984888</v>
      </c>
    </row>
    <row r="108" spans="1:9" x14ac:dyDescent="0.35">
      <c r="A108" s="1">
        <v>16</v>
      </c>
      <c r="B108">
        <f>COS(RADIANS($A108))*('Lift @ Cruising Speed vs. AoA'!B109)+SIN(RADIANS($A108))*'Prop. Thrust vs Airspeed vs RPM'!$C$18-(9.81*($B$1+$B$2)) - SIN(RADIANS($A108))*'Drag @ Cruising Speed vs AoA'!B108</f>
        <v>-9.3398697262921697</v>
      </c>
      <c r="C108">
        <f>COS(RADIANS($A108))*('Lift @ Cruising Speed vs. AoA'!C109)+SIN(RADIANS($A108))*'Prop. Thrust vs Airspeed vs RPM'!$C$18-(9.81*($B$1+$B$2)) - SIN(RADIANS($A108))*'Drag @ Cruising Speed vs AoA'!C108</f>
        <v>1.0846288208911812</v>
      </c>
      <c r="D108">
        <f>COS(RADIANS($A108))*('Lift @ Cruising Speed vs. AoA'!D109)+SIN(RADIANS($A108))*'Prop. Thrust vs Airspeed vs RPM'!$C$18-(9.81*($B$1+$B$2)) - SIN(RADIANS($A108))*'Drag @ Cruising Speed vs AoA'!D108</f>
        <v>8.9030027312786952</v>
      </c>
      <c r="E108">
        <f>COS(RADIANS($A108))*('Lift @ Cruising Speed vs. AoA'!E109)+SIN(RADIANS($A108))*'Prop. Thrust vs Airspeed vs RPM'!$C$18-(9.81*($B$1+$B$2)) - SIN(RADIANS($A108))*'Drag @ Cruising Speed vs AoA'!E108</f>
        <v>18.458793066196773</v>
      </c>
      <c r="F108">
        <f>COS(RADIANS($A108))*('Lift @ Cruising Speed vs. AoA'!F109)+SIN(RADIANS($A108))*'Prop. Thrust vs Airspeed vs RPM'!$C$18-(9.81*($B$1+$B$2)) - SIN(RADIANS($A108))*'Drag @ Cruising Speed vs AoA'!F108</f>
        <v>29.751999825645395</v>
      </c>
      <c r="G108">
        <f>COS(RADIANS($A108))*('Lift @ Cruising Speed vs. AoA'!G109)+SIN(RADIANS($A108))*'Prop. Thrust vs Airspeed vs RPM'!$C$18-(9.81*($B$1+$B$2)) - SIN(RADIANS($A108))*'Drag @ Cruising Speed vs AoA'!G108</f>
        <v>42.782623009624579</v>
      </c>
      <c r="H108">
        <f>COS(RADIANS($A108))*('Lift @ Cruising Speed vs. AoA'!H109)+SIN(RADIANS($A108))*'Prop. Thrust vs Airspeed vs RPM'!$C$18-(9.81*($B$1+$B$2)) - SIN(RADIANS($A108))*'Drag @ Cruising Speed vs AoA'!H108</f>
        <v>74.056118651174643</v>
      </c>
      <c r="I108">
        <f>COS(RADIANS($A108))*('Lift @ Cruising Speed vs. AoA'!I109)+SIN(RADIANS($A108))*'Prop. Thrust vs Airspeed vs RPM'!$C$18-(9.81*($B$1+$B$2)) - SIN(RADIANS($A108))*'Drag @ Cruising Speed vs AoA'!I108</f>
        <v>112.27927999084694</v>
      </c>
    </row>
    <row r="109" spans="1:9" x14ac:dyDescent="0.35">
      <c r="A109" s="1">
        <v>16.25</v>
      </c>
      <c r="B109">
        <f>COS(RADIANS($A109))*('Lift @ Cruising Speed vs. AoA'!B110)+SIN(RADIANS($A109))*'Prop. Thrust vs Airspeed vs RPM'!$C$18-(9.81*($B$1+$B$2)) - SIN(RADIANS($A109))*'Drag @ Cruising Speed vs AoA'!B109</f>
        <v>-9.3776864075990485</v>
      </c>
      <c r="C109">
        <f>COS(RADIANS($A109))*('Lift @ Cruising Speed vs. AoA'!C110)+SIN(RADIANS($A109))*'Prop. Thrust vs Airspeed vs RPM'!$C$18-(9.81*($B$1+$B$2)) - SIN(RADIANS($A109))*'Drag @ Cruising Speed vs AoA'!C109</f>
        <v>0.89142241818742662</v>
      </c>
      <c r="D109">
        <f>COS(RADIANS($A109))*('Lift @ Cruising Speed vs. AoA'!D110)+SIN(RADIANS($A109))*'Prop. Thrust vs Airspeed vs RPM'!$C$18-(9.81*($B$1+$B$2)) - SIN(RADIANS($A109))*'Drag @ Cruising Speed vs AoA'!D109</f>
        <v>8.5932540375272808</v>
      </c>
      <c r="E109">
        <f>COS(RADIANS($A109))*('Lift @ Cruising Speed vs. AoA'!E110)+SIN(RADIANS($A109))*'Prop. Thrust vs Airspeed vs RPM'!$C$18-(9.81*($B$1+$B$2)) - SIN(RADIANS($A109))*'Drag @ Cruising Speed vs AoA'!E109</f>
        <v>18.006603794498208</v>
      </c>
      <c r="F109">
        <f>COS(RADIANS($A109))*('Lift @ Cruising Speed vs. AoA'!F110)+SIN(RADIANS($A109))*'Prop. Thrust vs Airspeed vs RPM'!$C$18-(9.81*($B$1+$B$2)) - SIN(RADIANS($A109))*'Drag @ Cruising Speed vs AoA'!F109</f>
        <v>29.131471689100231</v>
      </c>
      <c r="G109">
        <f>COS(RADIANS($A109))*('Lift @ Cruising Speed vs. AoA'!G110)+SIN(RADIANS($A109))*'Prop. Thrust vs Airspeed vs RPM'!$C$18-(9.81*($B$1+$B$2)) - SIN(RADIANS($A109))*'Drag @ Cruising Speed vs AoA'!G109</f>
        <v>41.967857721333317</v>
      </c>
      <c r="H109">
        <f>COS(RADIANS($A109))*('Lift @ Cruising Speed vs. AoA'!H110)+SIN(RADIANS($A109))*'Prop. Thrust vs Airspeed vs RPM'!$C$18-(9.81*($B$1+$B$2)) - SIN(RADIANS($A109))*'Drag @ Cruising Speed vs AoA'!H109</f>
        <v>72.775184198692742</v>
      </c>
      <c r="I109">
        <f>COS(RADIANS($A109))*('Lift @ Cruising Speed vs. AoA'!I110)+SIN(RADIANS($A109))*'Prop. Thrust vs Airspeed vs RPM'!$C$18-(9.81*($B$1+$B$2)) - SIN(RADIANS($A109))*'Drag @ Cruising Speed vs AoA'!I109</f>
        <v>110.42858322657644</v>
      </c>
    </row>
    <row r="110" spans="1:9" x14ac:dyDescent="0.35">
      <c r="A110" s="1">
        <v>16.5</v>
      </c>
      <c r="B110">
        <f>COS(RADIANS($A110))*('Lift @ Cruising Speed vs. AoA'!B111)+SIN(RADIANS($A110))*'Prop. Thrust vs Airspeed vs RPM'!$C$18-(9.81*($B$1+$B$2)) - SIN(RADIANS($A110))*'Drag @ Cruising Speed vs AoA'!B110</f>
        <v>-9.3946631162396379</v>
      </c>
      <c r="C110">
        <f>COS(RADIANS($A110))*('Lift @ Cruising Speed vs. AoA'!C111)+SIN(RADIANS($A110))*'Prop. Thrust vs Airspeed vs RPM'!$C$18-(9.81*($B$1+$B$2)) - SIN(RADIANS($A110))*'Drag @ Cruising Speed vs AoA'!C110</f>
        <v>0.78162921091331206</v>
      </c>
      <c r="D110">
        <f>COS(RADIANS($A110))*('Lift @ Cruising Speed vs. AoA'!D111)+SIN(RADIANS($A110))*'Prop. Thrust vs Airspeed vs RPM'!$C$18-(9.81*($B$1+$B$2)) - SIN(RADIANS($A110))*'Drag @ Cruising Speed vs AoA'!D110</f>
        <v>8.4138484562780249</v>
      </c>
      <c r="E110">
        <f>COS(RADIANS($A110))*('Lift @ Cruising Speed vs. AoA'!E111)+SIN(RADIANS($A110))*'Prop. Thrust vs Airspeed vs RPM'!$C$18-(9.81*($B$1+$B$2)) - SIN(RADIANS($A110))*'Drag @ Cruising Speed vs AoA'!E110</f>
        <v>17.742116422834894</v>
      </c>
      <c r="F110">
        <f>COS(RADIANS($A110))*('Lift @ Cruising Speed vs. AoA'!F111)+SIN(RADIANS($A110))*'Prop. Thrust vs Airspeed vs RPM'!$C$18-(9.81*($B$1+$B$2)) - SIN(RADIANS($A110))*'Drag @ Cruising Speed vs AoA'!F110</f>
        <v>28.766433110583922</v>
      </c>
      <c r="G110">
        <f>COS(RADIANS($A110))*('Lift @ Cruising Speed vs. AoA'!G111)+SIN(RADIANS($A110))*'Prop. Thrust vs Airspeed vs RPM'!$C$18-(9.81*($B$1+$B$2)) - SIN(RADIANS($A110))*'Drag @ Cruising Speed vs AoA'!G110</f>
        <v>41.486798519525109</v>
      </c>
      <c r="H110">
        <f>COS(RADIANS($A110))*('Lift @ Cruising Speed vs. AoA'!H111)+SIN(RADIANS($A110))*'Prop. Thrust vs Airspeed vs RPM'!$C$18-(9.81*($B$1+$B$2)) - SIN(RADIANS($A110))*'Drag @ Cruising Speed vs AoA'!H110</f>
        <v>72.015675500983974</v>
      </c>
      <c r="I110">
        <f>COS(RADIANS($A110))*('Lift @ Cruising Speed vs. AoA'!I111)+SIN(RADIANS($A110))*'Prop. Thrust vs Airspeed vs RPM'!$C$18-(9.81*($B$1+$B$2)) - SIN(RADIANS($A110))*'Drag @ Cruising Speed vs AoA'!I110</f>
        <v>109.32874736721145</v>
      </c>
    </row>
    <row r="111" spans="1:9" x14ac:dyDescent="0.35">
      <c r="A111" s="1">
        <v>16.75</v>
      </c>
      <c r="B111">
        <f>COS(RADIANS($A111))*('Lift @ Cruising Speed vs. AoA'!B112)+SIN(RADIANS($A111))*'Prop. Thrust vs Airspeed vs RPM'!$C$18-(9.81*($B$1+$B$2)) - SIN(RADIANS($A111))*'Drag @ Cruising Speed vs AoA'!B111</f>
        <v>-9.4536270414801979</v>
      </c>
      <c r="C111">
        <f>COS(RADIANS($A111))*('Lift @ Cruising Speed vs. AoA'!C112)+SIN(RADIANS($A111))*'Prop. Thrust vs Airspeed vs RPM'!$C$18-(9.81*($B$1+$B$2)) - SIN(RADIANS($A111))*'Drag @ Cruising Speed vs AoA'!C111</f>
        <v>0.50394123945995473</v>
      </c>
      <c r="D111">
        <f>COS(RADIANS($A111))*('Lift @ Cruising Speed vs. AoA'!D112)+SIN(RADIANS($A111))*'Prop. Thrust vs Airspeed vs RPM'!$C$18-(9.81*($B$1+$B$2)) - SIN(RADIANS($A111))*'Drag @ Cruising Speed vs AoA'!D111</f>
        <v>7.972117450165074</v>
      </c>
      <c r="E111">
        <f>COS(RADIANS($A111))*('Lift @ Cruising Speed vs. AoA'!E112)+SIN(RADIANS($A111))*'Prop. Thrust vs Airspeed vs RPM'!$C$18-(9.81*($B$1+$B$2)) - SIN(RADIANS($A111))*'Drag @ Cruising Speed vs AoA'!E111</f>
        <v>17.099888374360212</v>
      </c>
      <c r="F111">
        <f>COS(RADIANS($A111))*('Lift @ Cruising Speed vs. AoA'!F112)+SIN(RADIANS($A111))*'Prop. Thrust vs Airspeed vs RPM'!$C$18-(9.81*($B$1+$B$2)) - SIN(RADIANS($A111))*'Drag @ Cruising Speed vs AoA'!F111</f>
        <v>27.887254012045375</v>
      </c>
      <c r="G111">
        <f>COS(RADIANS($A111))*('Lift @ Cruising Speed vs. AoA'!G112)+SIN(RADIANS($A111))*'Prop. Thrust vs Airspeed vs RPM'!$C$18-(9.81*($B$1+$B$2)) - SIN(RADIANS($A111))*'Drag @ Cruising Speed vs AoA'!G111</f>
        <v>40.334214363220568</v>
      </c>
      <c r="H111">
        <f>COS(RADIANS($A111))*('Lift @ Cruising Speed vs. AoA'!H112)+SIN(RADIANS($A111))*'Prop. Thrust vs Airspeed vs RPM'!$C$18-(9.81*($B$1+$B$2)) - SIN(RADIANS($A111))*'Drag @ Cruising Speed vs AoA'!H111</f>
        <v>70.206919206041036</v>
      </c>
      <c r="I111">
        <f>COS(RADIANS($A111))*('Lift @ Cruising Speed vs. AoA'!I112)+SIN(RADIANS($A111))*'Prop. Thrust vs Airspeed vs RPM'!$C$18-(9.81*($B$1+$B$2)) - SIN(RADIANS($A111))*'Drag @ Cruising Speed vs AoA'!I111</f>
        <v>106.71800290282161</v>
      </c>
    </row>
    <row r="112" spans="1:9" x14ac:dyDescent="0.35">
      <c r="A112" s="1">
        <v>17</v>
      </c>
      <c r="B112">
        <f>COS(RADIANS($A112))*('Lift @ Cruising Speed vs. AoA'!B113)+SIN(RADIANS($A112))*'Prop. Thrust vs Airspeed vs RPM'!$C$18-(9.81*($B$1+$B$2)) - SIN(RADIANS($A112))*'Drag @ Cruising Speed vs AoA'!B112</f>
        <v>-9.4746381273970854</v>
      </c>
      <c r="C112">
        <f>COS(RADIANS($A112))*('Lift @ Cruising Speed vs. AoA'!C113)+SIN(RADIANS($A112))*'Prop. Thrust vs Airspeed vs RPM'!$C$18-(9.81*($B$1+$B$2)) - SIN(RADIANS($A112))*'Drag @ Cruising Speed vs AoA'!C112</f>
        <v>0.37811952394806164</v>
      </c>
      <c r="D112">
        <f>COS(RADIANS($A112))*('Lift @ Cruising Speed vs. AoA'!D113)+SIN(RADIANS($A112))*'Prop. Thrust vs Airspeed vs RPM'!$C$18-(9.81*($B$1+$B$2)) - SIN(RADIANS($A112))*'Drag @ Cruising Speed vs AoA'!D112</f>
        <v>7.7676877624569212</v>
      </c>
      <c r="E112">
        <f>COS(RADIANS($A112))*('Lift @ Cruising Speed vs. AoA'!E113)+SIN(RADIANS($A112))*'Prop. Thrust vs Airspeed vs RPM'!$C$18-(9.81*($B$1+$B$2)) - SIN(RADIANS($A112))*'Drag @ Cruising Speed vs AoA'!E112</f>
        <v>16.799382276189974</v>
      </c>
      <c r="F112">
        <f>COS(RADIANS($A112))*('Lift @ Cruising Speed vs. AoA'!F113)+SIN(RADIANS($A112))*'Prop. Thrust vs Airspeed vs RPM'!$C$18-(9.81*($B$1+$B$2)) - SIN(RADIANS($A112))*'Drag @ Cruising Speed vs AoA'!F112</f>
        <v>27.47320306514721</v>
      </c>
      <c r="G112">
        <f>COS(RADIANS($A112))*('Lift @ Cruising Speed vs. AoA'!G113)+SIN(RADIANS($A112))*'Prop. Thrust vs Airspeed vs RPM'!$C$18-(9.81*($B$1+$B$2)) - SIN(RADIANS($A112))*'Drag @ Cruising Speed vs AoA'!G112</f>
        <v>39.789150129328647</v>
      </c>
      <c r="H112">
        <f>COS(RADIANS($A112))*('Lift @ Cruising Speed vs. AoA'!H113)+SIN(RADIANS($A112))*'Prop. Thrust vs Airspeed vs RPM'!$C$18-(9.81*($B$1+$B$2)) - SIN(RADIANS($A112))*'Drag @ Cruising Speed vs AoA'!H112</f>
        <v>69.347423083364077</v>
      </c>
      <c r="I112">
        <f>COS(RADIANS($A112))*('Lift @ Cruising Speed vs. AoA'!I113)+SIN(RADIANS($A112))*'Prop. Thrust vs Airspeed vs RPM'!$C$18-(9.81*($B$1+$B$2)) - SIN(RADIANS($A112))*'Drag @ Cruising Speed vs AoA'!I112</f>
        <v>105.47420113829631</v>
      </c>
    </row>
    <row r="113" spans="1:9" x14ac:dyDescent="0.35">
      <c r="A113" s="1">
        <v>17.25</v>
      </c>
      <c r="B113">
        <f>COS(RADIANS($A113))*('Lift @ Cruising Speed vs. AoA'!B114)+SIN(RADIANS($A113))*'Prop. Thrust vs Airspeed vs RPM'!$C$18-(9.81*($B$1+$B$2)) - SIN(RADIANS($A113))*'Drag @ Cruising Speed vs AoA'!B113</f>
        <v>-9.5231901124498357</v>
      </c>
      <c r="C113">
        <f>COS(RADIANS($A113))*('Lift @ Cruising Speed vs. AoA'!C114)+SIN(RADIANS($A113))*'Prop. Thrust vs Airspeed vs RPM'!$C$18-(9.81*($B$1+$B$2)) - SIN(RADIANS($A113))*'Drag @ Cruising Speed vs AoA'!C113</f>
        <v>0.14218990592043024</v>
      </c>
      <c r="D113">
        <f>COS(RADIANS($A113))*('Lift @ Cruising Speed vs. AoA'!D114)+SIN(RADIANS($A113))*'Prop. Thrust vs Airspeed vs RPM'!$C$18-(9.81*($B$1+$B$2)) - SIN(RADIANS($A113))*'Drag @ Cruising Speed vs AoA'!D113</f>
        <v>7.3912249196981294</v>
      </c>
      <c r="E113">
        <f>COS(RADIANS($A113))*('Lift @ Cruising Speed vs. AoA'!E114)+SIN(RADIANS($A113))*'Prop. Thrust vs Airspeed vs RPM'!$C$18-(9.81*($B$1+$B$2)) - SIN(RADIANS($A113))*'Drag @ Cruising Speed vs AoA'!E113</f>
        <v>16.251156603204208</v>
      </c>
      <c r="F113">
        <f>COS(RADIANS($A113))*('Lift @ Cruising Speed vs. AoA'!F114)+SIN(RADIANS($A113))*'Prop. Thrust vs Airspeed vs RPM'!$C$18-(9.81*($B$1+$B$2)) - SIN(RADIANS($A113))*'Drag @ Cruising Speed vs AoA'!F113</f>
        <v>26.721984956438661</v>
      </c>
      <c r="G113">
        <f>COS(RADIANS($A113))*('Lift @ Cruising Speed vs. AoA'!G114)+SIN(RADIANS($A113))*'Prop. Thrust vs Airspeed vs RPM'!$C$18-(9.81*($B$1+$B$2)) - SIN(RADIANS($A113))*'Drag @ Cruising Speed vs AoA'!G113</f>
        <v>38.803709979401496</v>
      </c>
      <c r="H113">
        <f>COS(RADIANS($A113))*('Lift @ Cruising Speed vs. AoA'!H114)+SIN(RADIANS($A113))*'Prop. Thrust vs Airspeed vs RPM'!$C$18-(9.81*($B$1+$B$2)) - SIN(RADIANS($A113))*'Drag @ Cruising Speed vs AoA'!H113</f>
        <v>67.799850034512275</v>
      </c>
      <c r="I113">
        <f>COS(RADIANS($A113))*('Lift @ Cruising Speed vs. AoA'!I114)+SIN(RADIANS($A113))*'Prop. Thrust vs Airspeed vs RPM'!$C$18-(9.81*($B$1+$B$2)) - SIN(RADIANS($A113))*'Drag @ Cruising Speed vs AoA'!I113</f>
        <v>103.23957676853659</v>
      </c>
    </row>
    <row r="114" spans="1:9" x14ac:dyDescent="0.35">
      <c r="A114" s="1">
        <v>17.5</v>
      </c>
      <c r="B114">
        <f>COS(RADIANS($A114))*('Lift @ Cruising Speed vs. AoA'!B115)+SIN(RADIANS($A114))*'Prop. Thrust vs Airspeed vs RPM'!$C$18-(9.81*($B$1+$B$2)) - SIN(RADIANS($A114))*'Drag @ Cruising Speed vs AoA'!B114</f>
        <v>-9.5552486594332375</v>
      </c>
      <c r="C114">
        <f>COS(RADIANS($A114))*('Lift @ Cruising Speed vs. AoA'!C115)+SIN(RADIANS($A114))*'Prop. Thrust vs Airspeed vs RPM'!$C$18-(9.81*($B$1+$B$2)) - SIN(RADIANS($A114))*'Drag @ Cruising Speed vs AoA'!C114</f>
        <v>-2.7709471481488723E-2</v>
      </c>
      <c r="D114">
        <f>COS(RADIANS($A114))*('Lift @ Cruising Speed vs. AoA'!D115)+SIN(RADIANS($A114))*'Prop. Thrust vs Airspeed vs RPM'!$C$18-(9.81*($B$1+$B$2)) - SIN(RADIANS($A114))*'Drag @ Cruising Speed vs AoA'!D114</f>
        <v>7.1179449194823281</v>
      </c>
      <c r="E114">
        <f>COS(RADIANS($A114))*('Lift @ Cruising Speed vs. AoA'!E115)+SIN(RADIANS($A114))*'Prop. Thrust vs Airspeed vs RPM'!$C$18-(9.81*($B$1+$B$2)) - SIN(RADIANS($A114))*'Drag @ Cruising Speed vs AoA'!E114</f>
        <v>15.851522508438089</v>
      </c>
      <c r="F114">
        <f>COS(RADIANS($A114))*('Lift @ Cruising Speed vs. AoA'!F115)+SIN(RADIANS($A114))*'Prop. Thrust vs Airspeed vs RPM'!$C$18-(9.81*($B$1+$B$2)) - SIN(RADIANS($A114))*'Drag @ Cruising Speed vs AoA'!F114</f>
        <v>26.173023295385818</v>
      </c>
      <c r="G114">
        <f>COS(RADIANS($A114))*('Lift @ Cruising Speed vs. AoA'!G115)+SIN(RADIANS($A114))*'Prop. Thrust vs Airspeed vs RPM'!$C$18-(9.81*($B$1+$B$2)) - SIN(RADIANS($A114))*'Drag @ Cruising Speed vs AoA'!G114</f>
        <v>38.082447280325511</v>
      </c>
      <c r="H114">
        <f>COS(RADIANS($A114))*('Lift @ Cruising Speed vs. AoA'!H115)+SIN(RADIANS($A114))*'Prop. Thrust vs Airspeed vs RPM'!$C$18-(9.81*($B$1+$B$2)) - SIN(RADIANS($A114))*'Drag @ Cruising Speed vs AoA'!H114</f>
        <v>66.665064844180762</v>
      </c>
      <c r="I114">
        <f>COS(RADIANS($A114))*('Lift @ Cruising Speed vs. AoA'!I115)+SIN(RADIANS($A114))*'Prop. Thrust vs Airspeed vs RPM'!$C$18-(9.81*($B$1+$B$2)) - SIN(RADIANS($A114))*'Drag @ Cruising Speed vs AoA'!I114</f>
        <v>101.59937520000381</v>
      </c>
    </row>
    <row r="115" spans="1:9" x14ac:dyDescent="0.35">
      <c r="A115" s="1">
        <v>17.75</v>
      </c>
      <c r="B115">
        <f>COS(RADIANS($A115))*('Lift @ Cruising Speed vs. AoA'!B116)+SIN(RADIANS($A115))*'Prop. Thrust vs Airspeed vs RPM'!$C$18-(9.81*($B$1+$B$2)) - SIN(RADIANS($A115))*'Drag @ Cruising Speed vs AoA'!B115</f>
        <v>-9.6047391526272659</v>
      </c>
      <c r="C115">
        <f>COS(RADIANS($A115))*('Lift @ Cruising Speed vs. AoA'!C116)+SIN(RADIANS($A115))*'Prop. Thrust vs Airspeed vs RPM'!$C$18-(9.81*($B$1+$B$2)) - SIN(RADIANS($A115))*'Drag @ Cruising Speed vs AoA'!C115</f>
        <v>-0.26727935213244403</v>
      </c>
      <c r="D115">
        <f>COS(RADIANS($A115))*('Lift @ Cruising Speed vs. AoA'!D116)+SIN(RADIANS($A115))*'Prop. Thrust vs Airspeed vs RPM'!$C$18-(9.81*($B$1+$B$2)) - SIN(RADIANS($A115))*'Drag @ Cruising Speed vs AoA'!D115</f>
        <v>6.7358154982386749</v>
      </c>
      <c r="E115">
        <f>COS(RADIANS($A115))*('Lift @ Cruising Speed vs. AoA'!E116)+SIN(RADIANS($A115))*'Prop. Thrust vs Airspeed vs RPM'!$C$18-(9.81*($B$1+$B$2)) - SIN(RADIANS($A115))*'Drag @ Cruising Speed vs AoA'!E115</f>
        <v>15.295153648692256</v>
      </c>
      <c r="F115">
        <f>COS(RADIANS($A115))*('Lift @ Cruising Speed vs. AoA'!F116)+SIN(RADIANS($A115))*'Prop. Thrust vs Airspeed vs RPM'!$C$18-(9.81*($B$1+$B$2)) - SIN(RADIANS($A115))*'Drag @ Cruising Speed vs AoA'!F115</f>
        <v>25.410735099228315</v>
      </c>
      <c r="G115">
        <f>COS(RADIANS($A115))*('Lift @ Cruising Speed vs. AoA'!G116)+SIN(RADIANS($A115))*'Prop. Thrust vs Airspeed vs RPM'!$C$18-(9.81*($B$1+$B$2)) - SIN(RADIANS($A115))*'Drag @ Cruising Speed vs AoA'!G115</f>
        <v>37.082559849846845</v>
      </c>
      <c r="H115">
        <f>COS(RADIANS($A115))*('Lift @ Cruising Speed vs. AoA'!H116)+SIN(RADIANS($A115))*'Prop. Thrust vs Airspeed vs RPM'!$C$18-(9.81*($B$1+$B$2)) - SIN(RADIANS($A115))*'Drag @ Cruising Speed vs AoA'!H115</f>
        <v>65.094939251331326</v>
      </c>
      <c r="I115">
        <f>COS(RADIANS($A115))*('Lift @ Cruising Speed vs. AoA'!I116)+SIN(RADIANS($A115))*'Prop. Thrust vs Airspeed vs RPM'!$C$18-(9.81*($B$1+$B$2)) - SIN(RADIANS($A115))*'Drag @ Cruising Speed vs AoA'!I115</f>
        <v>99.332291853145634</v>
      </c>
    </row>
  </sheetData>
  <conditionalFormatting sqref="B10:I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Plane Lift Study V1</vt:lpstr>
      <vt:lpstr>Plane Lift Study V2</vt:lpstr>
      <vt:lpstr>Plane Drag Study V1</vt:lpstr>
      <vt:lpstr>Reynolds Number Calc</vt:lpstr>
      <vt:lpstr>S7055 Lift and Drag Function</vt:lpstr>
      <vt:lpstr>Lift @ Cruising Speed vs. AoA</vt:lpstr>
      <vt:lpstr>Drag @ Cruising Speed vs AoA</vt:lpstr>
      <vt:lpstr>Prop. Thrust vs Airspeed vs RPM</vt:lpstr>
      <vt:lpstr>Net Force in Z-Axis</vt:lpstr>
      <vt:lpstr>'Reynolds Number Calc'!Re</vt:lpstr>
      <vt:lpstr>'Reynolds Number Calc'!uplink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Hickey</dc:creator>
  <cp:lastModifiedBy>Hickey, Brandon</cp:lastModifiedBy>
  <dcterms:created xsi:type="dcterms:W3CDTF">2015-06-05T18:17:20Z</dcterms:created>
  <dcterms:modified xsi:type="dcterms:W3CDTF">2023-10-11T20:16:51Z</dcterms:modified>
</cp:coreProperties>
</file>