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rand\Documents\GitHub\RC-Plane\Systems Engineering\Phase B - Preliminary Design and Technology Completition\"/>
    </mc:Choice>
  </mc:AlternateContent>
  <xr:revisionPtr revIDLastSave="0" documentId="13_ncr:1_{68DFD30E-6058-4F94-8997-D91C4497BF1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lane Lift Study V1" sheetId="1" r:id="rId1"/>
    <sheet name="Plane Lift Study V2" sheetId="3" r:id="rId2"/>
    <sheet name="Plane Drag Study V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4" l="1"/>
  <c r="A24" i="4" s="1"/>
  <c r="A17" i="4"/>
  <c r="A18" i="4" s="1"/>
  <c r="D18" i="4" s="1"/>
  <c r="A16" i="4"/>
  <c r="D16" i="4" s="1"/>
  <c r="D15" i="4"/>
  <c r="F15" i="4" s="1"/>
  <c r="A55" i="3"/>
  <c r="A47" i="3"/>
  <c r="A23" i="3"/>
  <c r="A24" i="3" s="1"/>
  <c r="A18" i="3"/>
  <c r="L40" i="3" s="1"/>
  <c r="A17" i="3"/>
  <c r="L31" i="3" s="1"/>
  <c r="A16" i="3"/>
  <c r="L22" i="3" s="1"/>
  <c r="D15" i="3"/>
  <c r="E15" i="3" s="1"/>
  <c r="L13" i="3"/>
  <c r="M22" i="1" a="1"/>
  <c r="M22" i="1" s="1"/>
  <c r="M23" i="1" a="1"/>
  <c r="M23" i="1" s="1"/>
  <c r="M24" i="1" a="1"/>
  <c r="M24" i="1" s="1"/>
  <c r="L41" i="1"/>
  <c r="M41" i="1" a="1"/>
  <c r="M41" i="1" s="1"/>
  <c r="M32" i="1" a="1"/>
  <c r="M32" i="1" s="1"/>
  <c r="M40" i="1" a="1"/>
  <c r="M40" i="1" s="1"/>
  <c r="L40" i="1"/>
  <c r="M31" i="1" a="1"/>
  <c r="M31" i="1" s="1"/>
  <c r="L31" i="1"/>
  <c r="L32" i="1"/>
  <c r="M45" i="1" a="1"/>
  <c r="M45" i="1" s="1"/>
  <c r="L45" i="1"/>
  <c r="M44" i="1" a="1"/>
  <c r="M44" i="1" s="1"/>
  <c r="L44" i="1"/>
  <c r="M43" i="1" a="1"/>
  <c r="M43" i="1" s="1"/>
  <c r="L43" i="1"/>
  <c r="M42" i="1" a="1"/>
  <c r="M42" i="1" s="1"/>
  <c r="L42" i="1"/>
  <c r="M36" i="1" a="1"/>
  <c r="M36" i="1" s="1"/>
  <c r="L36" i="1"/>
  <c r="M35" i="1" a="1"/>
  <c r="M35" i="1" s="1"/>
  <c r="L35" i="1"/>
  <c r="M34" i="1" a="1"/>
  <c r="M34" i="1" s="1"/>
  <c r="L34" i="1"/>
  <c r="M33" i="1" a="1"/>
  <c r="M33" i="1" s="1"/>
  <c r="L33" i="1"/>
  <c r="L22" i="1"/>
  <c r="L23" i="1"/>
  <c r="L13" i="1"/>
  <c r="A23" i="1"/>
  <c r="A24" i="1" s="1"/>
  <c r="E18" i="4" l="1"/>
  <c r="F18" i="4"/>
  <c r="F16" i="4"/>
  <c r="E16" i="4"/>
  <c r="A25" i="4"/>
  <c r="D24" i="4"/>
  <c r="E15" i="4"/>
  <c r="D17" i="4"/>
  <c r="A31" i="4"/>
  <c r="D23" i="4"/>
  <c r="H15" i="3"/>
  <c r="I15" i="3"/>
  <c r="G15" i="3"/>
  <c r="F15" i="3"/>
  <c r="A25" i="3"/>
  <c r="L23" i="3"/>
  <c r="D24" i="3"/>
  <c r="D17" i="3"/>
  <c r="D18" i="3"/>
  <c r="D23" i="3"/>
  <c r="D16" i="3"/>
  <c r="L14" i="3"/>
  <c r="A31" i="3"/>
  <c r="L14" i="1"/>
  <c r="A31" i="1"/>
  <c r="D23" i="1"/>
  <c r="A25" i="1"/>
  <c r="D24" i="1"/>
  <c r="A16" i="1"/>
  <c r="D15" i="1"/>
  <c r="D31" i="4" l="1"/>
  <c r="A32" i="4"/>
  <c r="A39" i="4"/>
  <c r="E23" i="4"/>
  <c r="F23" i="4"/>
  <c r="F17" i="4"/>
  <c r="E17" i="4"/>
  <c r="I15" i="4"/>
  <c r="H15" i="4"/>
  <c r="G15" i="4"/>
  <c r="D25" i="4"/>
  <c r="A26" i="4"/>
  <c r="D26" i="4" s="1"/>
  <c r="G16" i="4"/>
  <c r="I16" i="4"/>
  <c r="H16" i="4"/>
  <c r="F24" i="4"/>
  <c r="E24" i="4"/>
  <c r="I18" i="4"/>
  <c r="H18" i="4"/>
  <c r="G18" i="4"/>
  <c r="M13" i="3" a="1"/>
  <c r="M13" i="3" s="1"/>
  <c r="E23" i="3"/>
  <c r="F23" i="3"/>
  <c r="F16" i="3"/>
  <c r="E16" i="3"/>
  <c r="F18" i="3"/>
  <c r="E18" i="3"/>
  <c r="E17" i="3"/>
  <c r="F17" i="3"/>
  <c r="D31" i="3"/>
  <c r="A39" i="3"/>
  <c r="A32" i="3"/>
  <c r="L15" i="3"/>
  <c r="F24" i="3"/>
  <c r="E24" i="3"/>
  <c r="D25" i="3"/>
  <c r="A26" i="3"/>
  <c r="L32" i="3"/>
  <c r="F15" i="1"/>
  <c r="E15" i="1"/>
  <c r="F24" i="1"/>
  <c r="E24" i="1"/>
  <c r="F23" i="1"/>
  <c r="E23" i="1"/>
  <c r="A39" i="1"/>
  <c r="D31" i="1"/>
  <c r="A32" i="1"/>
  <c r="L15" i="1"/>
  <c r="A26" i="1"/>
  <c r="D26" i="1" s="1"/>
  <c r="D25" i="1"/>
  <c r="A17" i="1"/>
  <c r="D16" i="1"/>
  <c r="I17" i="4" l="1"/>
  <c r="G17" i="4"/>
  <c r="H17" i="4"/>
  <c r="I23" i="4"/>
  <c r="H23" i="4"/>
  <c r="G23" i="4"/>
  <c r="F26" i="4"/>
  <c r="E26" i="4"/>
  <c r="F25" i="4"/>
  <c r="E25" i="4"/>
  <c r="A40" i="4"/>
  <c r="A47" i="4"/>
  <c r="D39" i="4"/>
  <c r="G24" i="4"/>
  <c r="I24" i="4"/>
  <c r="H24" i="4"/>
  <c r="A33" i="4"/>
  <c r="D32" i="4"/>
  <c r="F31" i="4"/>
  <c r="E31" i="4"/>
  <c r="G18" i="3"/>
  <c r="I18" i="3"/>
  <c r="H18" i="3"/>
  <c r="D32" i="3"/>
  <c r="A33" i="3"/>
  <c r="L24" i="3"/>
  <c r="L16" i="3"/>
  <c r="D39" i="3"/>
  <c r="A40" i="3"/>
  <c r="F31" i="3"/>
  <c r="E31" i="3"/>
  <c r="I17" i="3"/>
  <c r="H17" i="3"/>
  <c r="G17" i="3"/>
  <c r="D26" i="3"/>
  <c r="L41" i="3"/>
  <c r="I16" i="3"/>
  <c r="H16" i="3"/>
  <c r="G16" i="3"/>
  <c r="E25" i="3"/>
  <c r="F25" i="3"/>
  <c r="G24" i="3"/>
  <c r="I24" i="3"/>
  <c r="H24" i="3"/>
  <c r="I23" i="3"/>
  <c r="H23" i="3"/>
  <c r="G23" i="3"/>
  <c r="M14" i="3" s="1" a="1"/>
  <c r="M14" i="3" s="1"/>
  <c r="F25" i="1"/>
  <c r="E25" i="1"/>
  <c r="H23" i="1"/>
  <c r="G23" i="1"/>
  <c r="M14" i="1" s="1" a="1"/>
  <c r="M14" i="1" s="1"/>
  <c r="I23" i="1"/>
  <c r="F16" i="1"/>
  <c r="E16" i="1"/>
  <c r="H24" i="1"/>
  <c r="G24" i="1"/>
  <c r="I24" i="1"/>
  <c r="D32" i="1"/>
  <c r="L24" i="1"/>
  <c r="A33" i="1"/>
  <c r="F31" i="1"/>
  <c r="E31" i="1"/>
  <c r="F26" i="1"/>
  <c r="E26" i="1"/>
  <c r="D39" i="1"/>
  <c r="A47" i="1"/>
  <c r="A40" i="1"/>
  <c r="L16" i="1"/>
  <c r="H15" i="1"/>
  <c r="I15" i="1"/>
  <c r="G15" i="1"/>
  <c r="M13" i="1" s="1" a="1"/>
  <c r="M13" i="1" s="1"/>
  <c r="A18" i="1"/>
  <c r="D18" i="1" s="1"/>
  <c r="D17" i="1"/>
  <c r="A48" i="4" l="1"/>
  <c r="A55" i="4"/>
  <c r="D47" i="4"/>
  <c r="D40" i="4"/>
  <c r="A41" i="4"/>
  <c r="H25" i="4"/>
  <c r="G25" i="4"/>
  <c r="I25" i="4"/>
  <c r="G31" i="4"/>
  <c r="I31" i="4"/>
  <c r="H31" i="4"/>
  <c r="F32" i="4"/>
  <c r="E32" i="4"/>
  <c r="D33" i="4"/>
  <c r="A34" i="4"/>
  <c r="D34" i="4" s="1"/>
  <c r="H26" i="4"/>
  <c r="I26" i="4"/>
  <c r="G26" i="4"/>
  <c r="E39" i="4"/>
  <c r="F39" i="4"/>
  <c r="M31" i="3" a="1"/>
  <c r="M31" i="3" s="1"/>
  <c r="M22" i="3" a="1"/>
  <c r="M22" i="3" s="1"/>
  <c r="I31" i="3"/>
  <c r="H31" i="3"/>
  <c r="G31" i="3"/>
  <c r="M23" i="3" a="1"/>
  <c r="M23" i="3" s="1"/>
  <c r="F39" i="3"/>
  <c r="E39" i="3"/>
  <c r="A48" i="3"/>
  <c r="L17" i="3"/>
  <c r="D47" i="3"/>
  <c r="L33" i="3"/>
  <c r="A34" i="3"/>
  <c r="D33" i="3"/>
  <c r="A41" i="3"/>
  <c r="L25" i="3"/>
  <c r="D40" i="3"/>
  <c r="F32" i="3"/>
  <c r="E32" i="3"/>
  <c r="G25" i="3"/>
  <c r="I25" i="3"/>
  <c r="H25" i="3"/>
  <c r="F26" i="3"/>
  <c r="E26" i="3"/>
  <c r="M40" i="3" a="1"/>
  <c r="M40" i="3" s="1"/>
  <c r="H16" i="1"/>
  <c r="I16" i="1"/>
  <c r="G16" i="1"/>
  <c r="F32" i="1"/>
  <c r="E32" i="1"/>
  <c r="H26" i="1"/>
  <c r="I26" i="1"/>
  <c r="G26" i="1"/>
  <c r="F39" i="1"/>
  <c r="E39" i="1"/>
  <c r="F18" i="1"/>
  <c r="E18" i="1"/>
  <c r="H31" i="1"/>
  <c r="G31" i="1"/>
  <c r="I31" i="1"/>
  <c r="I25" i="1"/>
  <c r="G25" i="1"/>
  <c r="H25" i="1"/>
  <c r="A41" i="1"/>
  <c r="L25" i="1"/>
  <c r="D40" i="1"/>
  <c r="D47" i="1"/>
  <c r="A55" i="1"/>
  <c r="A48" i="1"/>
  <c r="L17" i="1"/>
  <c r="F17" i="1"/>
  <c r="E17" i="1"/>
  <c r="D33" i="1"/>
  <c r="A34" i="1"/>
  <c r="D34" i="1" s="1"/>
  <c r="F34" i="4" l="1"/>
  <c r="E34" i="4"/>
  <c r="F47" i="4"/>
  <c r="E47" i="4"/>
  <c r="A42" i="4"/>
  <c r="D42" i="4" s="1"/>
  <c r="D41" i="4"/>
  <c r="F40" i="4"/>
  <c r="E40" i="4"/>
  <c r="E33" i="4"/>
  <c r="F33" i="4"/>
  <c r="D55" i="4"/>
  <c r="A56" i="4"/>
  <c r="I39" i="4"/>
  <c r="H39" i="4"/>
  <c r="G39" i="4"/>
  <c r="I32" i="4"/>
  <c r="H32" i="4"/>
  <c r="G32" i="4"/>
  <c r="A49" i="4"/>
  <c r="D48" i="4"/>
  <c r="A56" i="3"/>
  <c r="D55" i="3"/>
  <c r="L18" i="3"/>
  <c r="L26" i="3"/>
  <c r="D48" i="3"/>
  <c r="A49" i="3"/>
  <c r="M32" i="3" a="1"/>
  <c r="M32" i="3" s="1"/>
  <c r="H32" i="3"/>
  <c r="I32" i="3"/>
  <c r="G32" i="3"/>
  <c r="F40" i="3"/>
  <c r="E40" i="3"/>
  <c r="H39" i="3"/>
  <c r="I39" i="3"/>
  <c r="G39" i="3"/>
  <c r="M15" i="3" a="1"/>
  <c r="M15" i="3" s="1"/>
  <c r="F47" i="3"/>
  <c r="E47" i="3"/>
  <c r="A42" i="3"/>
  <c r="L34" i="3"/>
  <c r="D41" i="3"/>
  <c r="F33" i="3"/>
  <c r="E33" i="3"/>
  <c r="G26" i="3"/>
  <c r="M41" i="3" s="1" a="1"/>
  <c r="M41" i="3" s="1"/>
  <c r="H26" i="3"/>
  <c r="I26" i="3"/>
  <c r="L42" i="3"/>
  <c r="D34" i="3"/>
  <c r="I18" i="1"/>
  <c r="G18" i="1"/>
  <c r="H18" i="1"/>
  <c r="F47" i="1"/>
  <c r="E47" i="1"/>
  <c r="D55" i="1"/>
  <c r="A56" i="1"/>
  <c r="L18" i="1"/>
  <c r="E40" i="1"/>
  <c r="F40" i="1"/>
  <c r="F33" i="1"/>
  <c r="E33" i="1"/>
  <c r="I39" i="1"/>
  <c r="G39" i="1"/>
  <c r="H39" i="1"/>
  <c r="D48" i="1"/>
  <c r="L26" i="1"/>
  <c r="A49" i="1"/>
  <c r="F34" i="1"/>
  <c r="E34" i="1"/>
  <c r="H32" i="1"/>
  <c r="G32" i="1"/>
  <c r="I32" i="1"/>
  <c r="H17" i="1"/>
  <c r="G17" i="1"/>
  <c r="I17" i="1"/>
  <c r="D41" i="1"/>
  <c r="A42" i="1"/>
  <c r="D42" i="1" s="1"/>
  <c r="M15" i="1" a="1"/>
  <c r="M15" i="1" s="1"/>
  <c r="G40" i="4" l="1"/>
  <c r="H40" i="4"/>
  <c r="I40" i="4"/>
  <c r="D49" i="4"/>
  <c r="A50" i="4"/>
  <c r="D50" i="4" s="1"/>
  <c r="F55" i="4"/>
  <c r="E55" i="4"/>
  <c r="F41" i="4"/>
  <c r="E41" i="4"/>
  <c r="H33" i="4"/>
  <c r="I33" i="4"/>
  <c r="G33" i="4"/>
  <c r="E42" i="4"/>
  <c r="F42" i="4"/>
  <c r="I47" i="4"/>
  <c r="H47" i="4"/>
  <c r="G47" i="4"/>
  <c r="A57" i="4"/>
  <c r="D56" i="4"/>
  <c r="F48" i="4"/>
  <c r="E48" i="4"/>
  <c r="I34" i="4"/>
  <c r="H34" i="4"/>
  <c r="G34" i="4"/>
  <c r="D42" i="3"/>
  <c r="L43" i="3"/>
  <c r="M24" i="3" a="1"/>
  <c r="M24" i="3" s="1"/>
  <c r="I47" i="3"/>
  <c r="H47" i="3"/>
  <c r="G47" i="3"/>
  <c r="M17" i="3" s="1" a="1"/>
  <c r="M17" i="3" s="1"/>
  <c r="D49" i="3"/>
  <c r="L35" i="3"/>
  <c r="A50" i="3"/>
  <c r="F48" i="3"/>
  <c r="E48" i="3"/>
  <c r="I40" i="3"/>
  <c r="H40" i="3"/>
  <c r="G40" i="3"/>
  <c r="F41" i="3"/>
  <c r="E41" i="3"/>
  <c r="E34" i="3"/>
  <c r="F34" i="3"/>
  <c r="I33" i="3"/>
  <c r="H33" i="3"/>
  <c r="G33" i="3"/>
  <c r="M33" i="3" s="1" a="1"/>
  <c r="M33" i="3" s="1"/>
  <c r="M16" i="3" a="1"/>
  <c r="M16" i="3" s="1"/>
  <c r="F55" i="3"/>
  <c r="E55" i="3"/>
  <c r="A57" i="3"/>
  <c r="D56" i="3"/>
  <c r="L27" i="3"/>
  <c r="H33" i="1"/>
  <c r="G33" i="1"/>
  <c r="I33" i="1"/>
  <c r="I40" i="1"/>
  <c r="H40" i="1"/>
  <c r="G40" i="1"/>
  <c r="M25" i="1" s="1" a="1"/>
  <c r="M25" i="1" s="1"/>
  <c r="F41" i="1"/>
  <c r="E41" i="1"/>
  <c r="F42" i="1"/>
  <c r="E42" i="1"/>
  <c r="I34" i="1"/>
  <c r="H34" i="1"/>
  <c r="G34" i="1"/>
  <c r="A57" i="1"/>
  <c r="L27" i="1"/>
  <c r="D56" i="1"/>
  <c r="A50" i="1"/>
  <c r="D50" i="1" s="1"/>
  <c r="D49" i="1"/>
  <c r="F55" i="1"/>
  <c r="E55" i="1"/>
  <c r="G47" i="1"/>
  <c r="H47" i="1"/>
  <c r="I47" i="1"/>
  <c r="F48" i="1"/>
  <c r="E48" i="1"/>
  <c r="M16" i="1" a="1"/>
  <c r="M16" i="1" s="1"/>
  <c r="H42" i="4" l="1"/>
  <c r="I42" i="4"/>
  <c r="G42" i="4"/>
  <c r="F56" i="4"/>
  <c r="E56" i="4"/>
  <c r="G55" i="4"/>
  <c r="I55" i="4"/>
  <c r="H55" i="4"/>
  <c r="G41" i="4"/>
  <c r="I41" i="4"/>
  <c r="H41" i="4"/>
  <c r="F49" i="4"/>
  <c r="E49" i="4"/>
  <c r="I48" i="4"/>
  <c r="H48" i="4"/>
  <c r="G48" i="4"/>
  <c r="D57" i="4"/>
  <c r="A58" i="4"/>
  <c r="D58" i="4" s="1"/>
  <c r="F50" i="4"/>
  <c r="E50" i="4"/>
  <c r="H48" i="3"/>
  <c r="G48" i="3"/>
  <c r="I48" i="3"/>
  <c r="L44" i="3"/>
  <c r="D50" i="3"/>
  <c r="F49" i="3"/>
  <c r="E49" i="3"/>
  <c r="I34" i="3"/>
  <c r="H34" i="3"/>
  <c r="G34" i="3"/>
  <c r="M42" i="3" s="1" a="1"/>
  <c r="M42" i="3" s="1"/>
  <c r="F56" i="3"/>
  <c r="E56" i="3"/>
  <c r="I55" i="3"/>
  <c r="H55" i="3"/>
  <c r="G55" i="3"/>
  <c r="H41" i="3"/>
  <c r="I41" i="3"/>
  <c r="G41" i="3"/>
  <c r="M34" i="3" s="1" a="1"/>
  <c r="M34" i="3" s="1"/>
  <c r="M25" i="3" a="1"/>
  <c r="M25" i="3" s="1"/>
  <c r="D57" i="3"/>
  <c r="L36" i="3"/>
  <c r="A58" i="3"/>
  <c r="E42" i="3"/>
  <c r="F42" i="3"/>
  <c r="I42" i="1"/>
  <c r="H42" i="1"/>
  <c r="G42" i="1"/>
  <c r="I55" i="1"/>
  <c r="H55" i="1"/>
  <c r="G55" i="1"/>
  <c r="M18" i="1" s="1" a="1"/>
  <c r="M18" i="1" s="1"/>
  <c r="G41" i="1"/>
  <c r="I41" i="1"/>
  <c r="H41" i="1"/>
  <c r="M17" i="1" a="1"/>
  <c r="M17" i="1" s="1"/>
  <c r="E49" i="1"/>
  <c r="F49" i="1"/>
  <c r="E50" i="1"/>
  <c r="F50" i="1"/>
  <c r="E56" i="1"/>
  <c r="F56" i="1"/>
  <c r="D57" i="1"/>
  <c r="A58" i="1"/>
  <c r="D58" i="1" s="1"/>
  <c r="I48" i="1"/>
  <c r="G48" i="1"/>
  <c r="H48" i="1"/>
  <c r="H49" i="4" l="1"/>
  <c r="I49" i="4"/>
  <c r="G49" i="4"/>
  <c r="I50" i="4"/>
  <c r="H50" i="4"/>
  <c r="G50" i="4"/>
  <c r="F58" i="4"/>
  <c r="E58" i="4"/>
  <c r="E57" i="4"/>
  <c r="F57" i="4"/>
  <c r="I56" i="4"/>
  <c r="H56" i="4"/>
  <c r="G56" i="4"/>
  <c r="G42" i="3"/>
  <c r="I42" i="3"/>
  <c r="H42" i="3"/>
  <c r="H49" i="3"/>
  <c r="G49" i="3"/>
  <c r="I49" i="3"/>
  <c r="E50" i="3"/>
  <c r="F50" i="3"/>
  <c r="D58" i="3"/>
  <c r="L45" i="3"/>
  <c r="E57" i="3"/>
  <c r="F57" i="3"/>
  <c r="M18" i="3" a="1"/>
  <c r="M18" i="3" s="1"/>
  <c r="I56" i="3"/>
  <c r="H56" i="3"/>
  <c r="G56" i="3"/>
  <c r="M26" i="3" a="1"/>
  <c r="M26" i="3" s="1"/>
  <c r="G49" i="1"/>
  <c r="I49" i="1"/>
  <c r="H49" i="1"/>
  <c r="M26" i="1" a="1"/>
  <c r="M26" i="1" s="1"/>
  <c r="F58" i="1"/>
  <c r="E58" i="1"/>
  <c r="F57" i="1"/>
  <c r="E57" i="1"/>
  <c r="I56" i="1"/>
  <c r="H56" i="1"/>
  <c r="G56" i="1"/>
  <c r="M27" i="1" s="1" a="1"/>
  <c r="M27" i="1" s="1"/>
  <c r="I50" i="1"/>
  <c r="H50" i="1"/>
  <c r="G50" i="1"/>
  <c r="I57" i="4" l="1"/>
  <c r="H57" i="4"/>
  <c r="G57" i="4"/>
  <c r="I58" i="4"/>
  <c r="H58" i="4"/>
  <c r="G58" i="4"/>
  <c r="M43" i="3" a="1"/>
  <c r="M43" i="3" s="1"/>
  <c r="F58" i="3"/>
  <c r="E58" i="3"/>
  <c r="G57" i="3"/>
  <c r="I57" i="3"/>
  <c r="H57" i="3"/>
  <c r="I50" i="3"/>
  <c r="H50" i="3"/>
  <c r="G50" i="3"/>
  <c r="M35" i="3" a="1"/>
  <c r="M35" i="3" s="1"/>
  <c r="M27" i="3" a="1"/>
  <c r="M27" i="3" s="1"/>
  <c r="G57" i="1"/>
  <c r="I57" i="1"/>
  <c r="H57" i="1"/>
  <c r="I58" i="1"/>
  <c r="H58" i="1"/>
  <c r="G58" i="1"/>
  <c r="M44" i="3" l="1" a="1"/>
  <c r="M44" i="3" s="1"/>
  <c r="M36" i="3" a="1"/>
  <c r="M36" i="3" s="1"/>
  <c r="I58" i="3"/>
  <c r="H58" i="3"/>
  <c r="G58" i="3"/>
  <c r="M45" i="3" l="1" a="1"/>
  <c r="M4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<sst xmlns="http://schemas.openxmlformats.org/spreadsheetml/2006/main" count="284" uniqueCount="45">
  <si>
    <t>Wingspan (mm)</t>
  </si>
  <si>
    <t>Air Viscosity (kg/m/s)</t>
  </si>
  <si>
    <t>Air Density (kg/m/m/m)</t>
  </si>
  <si>
    <t>Wingspan (m)</t>
  </si>
  <si>
    <t>Wing Aspect Ratio</t>
  </si>
  <si>
    <t>Inputs</t>
  </si>
  <si>
    <t>Reynolds Number</t>
  </si>
  <si>
    <t>Cruising Speed (m/s)</t>
  </si>
  <si>
    <t>Outputs</t>
  </si>
  <si>
    <t>Average Wing Chord (m)</t>
  </si>
  <si>
    <t>Wing Area (m^2)</t>
  </si>
  <si>
    <t>500 mm Wingspan</t>
  </si>
  <si>
    <t>750 mm Wingspan</t>
  </si>
  <si>
    <t>1000 mm Wingspan</t>
  </si>
  <si>
    <t>1250 mm Wingspan</t>
  </si>
  <si>
    <t>1500 mm Wingspan</t>
  </si>
  <si>
    <t>250 mm Wingspan</t>
  </si>
  <si>
    <t>Lift</t>
  </si>
  <si>
    <t>S7055 Flatbottom</t>
  </si>
  <si>
    <t>Alpha = 0 deg</t>
  </si>
  <si>
    <t>Alpha = 5 deg</t>
  </si>
  <si>
    <t>Alpha = 10 deg</t>
  </si>
  <si>
    <t>Drag</t>
  </si>
  <si>
    <t>Lift (N) @ Alpha = 0</t>
  </si>
  <si>
    <t>Lift(N) @ Alpha = 5</t>
  </si>
  <si>
    <t>Lift(N) @ Alpha = 10</t>
  </si>
  <si>
    <t>Aspect Ratio 5, Lift By Wingspan @ 9 m/s cruising</t>
  </si>
  <si>
    <t>Aspect Ratio 5, Lift By Wingspan @ 13.5 m/s cruising</t>
  </si>
  <si>
    <t>Aspect Ratio 6, Lift By Wingspan @ 9 m/s cruising</t>
  </si>
  <si>
    <t>Aspect Ratio 6, Lift By Wingspan @ 13.5 m/s cruising</t>
  </si>
  <si>
    <t>13.5m/s Lift(N) @ Alpha = 5</t>
  </si>
  <si>
    <t>13.5m/s Lift(N) @ Alpha = 10</t>
  </si>
  <si>
    <t>13.5m/s Lift (N) @ Alpha = 0</t>
  </si>
  <si>
    <t>9m/s Lift (N) @ Alpha = 0</t>
  </si>
  <si>
    <t>9m/s Lift(N) @ Alpha = 5</t>
  </si>
  <si>
    <t>9m/s Lift(N) @ Alpha = 10</t>
  </si>
  <si>
    <t>Here we will make all Lift greater than 1 kg (9.81 N) equal to yellow, to indicate a possible cruising condition at 1 kg plane weight</t>
  </si>
  <si>
    <t>We will mark anything greater than 13 N as green to indicate that it can handle the full 1kg plane and 300 gram payload</t>
  </si>
  <si>
    <t>Aspect Ratio 5, Lift By Wingspan @ 15 m/s cruising</t>
  </si>
  <si>
    <t>Aspect Ratio 6, Lift By Wingspan @ 15 m/s cruising</t>
  </si>
  <si>
    <t>Aspect Ratio 5, Lift By Wingspan @ 17 m/s cruising</t>
  </si>
  <si>
    <t>Aspect Ratio 6, Lift By Wingspan @ 17 m/s cruising</t>
  </si>
  <si>
    <t>Drag(N) @ Alpha = 5</t>
  </si>
  <si>
    <t>Drag(N) @ Alpha = 10</t>
  </si>
  <si>
    <t>Drag (N) @ Alpha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</si>
</sst>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2" fillId="3" borderId="1" xfId="2" applyBorder="1" applyAlignment="1">
      <alignment horizontal="center"/>
    </xf>
    <xf numFmtId="0" fontId="0" fillId="4" borderId="1" xfId="0" applyFill="1" applyBorder="1"/>
    <xf numFmtId="3" fontId="0" fillId="0" borderId="0" xfId="0" applyNumberFormat="1"/>
    <xf numFmtId="0" fontId="1" fillId="2" borderId="1" xfId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3" fillId="5" borderId="1" xfId="2" applyFont="1" applyFill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7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3C31C5C-2C65-49F2-A8D3-786E03167E3D}" name="Table1315" displayName="Table1315" ref="A14:I18" totalsRowShown="0">
  <autoFilter ref="A14:I18" xr:uid="{B3C31C5C-2C65-49F2-A8D3-786E03167E3D}"/>
  <tableColumns count="9">
    <tableColumn id="1" xr3:uid="{558F50AF-D768-437C-9FFF-BEE5D78B7BB9}" name="Wingspan (m)"/>
    <tableColumn id="2" xr3:uid="{E076D790-2C4D-48FF-87D5-4472C518ADF4}" name="Wing Aspect Ratio"/>
    <tableColumn id="3" xr3:uid="{BB4DF1C8-2FF0-4946-8315-F1F390788E66}" name="Cruising Speed (m/s)"/>
    <tableColumn id="4" xr3:uid="{62DB681A-D727-44AA-82CA-99C323B05F8C}" name="Average Wing Chord (m)">
      <calculatedColumnFormula>Table1315[[#This Row],[Wingspan (m)]]/Table1315[[#This Row],[Wing Aspect Ratio]]</calculatedColumnFormula>
    </tableColumn>
    <tableColumn id="5" xr3:uid="{CB61A1CC-DEA3-4D86-97A2-339DF9F12CA1}" name="Wing Area (m^2)">
      <calculatedColumnFormula>Table1315[[#This Row],[Average Wing Chord (m)]]*Table1315[[#This Row],[Wingspan (m)]]</calculatedColumnFormula>
    </tableColumn>
    <tableColumn id="6" xr3:uid="{220D8262-EB3D-47B6-A9EE-9BE53028CCD9}" name="Reynolds Number">
      <calculatedColumnFormula>($B$2/$B$1)*D15*C15</calculatedColumnFormula>
    </tableColumn>
    <tableColumn id="8" xr3:uid="{B492564E-F345-487B-ACE7-C85C29D31AC4}" name="Lift (N) @ Alpha = 0" dataDxfId="77">
      <calculatedColumnFormula>(0.5)*$B$2*Table1315[[#This Row],[Wing Area (m^2)]]*$B$6*Table1315[[#This Row],[Cruising Speed (m/s)]]*Table1315[[#This Row],[Cruising Speed (m/s)]]</calculatedColumnFormula>
    </tableColumn>
    <tableColumn id="9" xr3:uid="{47FCD394-1CE0-4B38-8EF3-6F89DFAA3777}" name="Lift(N) @ Alpha = 5" dataDxfId="76">
      <calculatedColumnFormula>(0.5)*$B$2*Table1315[[#This Row],[Wing Area (m^2)]]*$C$6*Table1315[[#This Row],[Cruising Speed (m/s)]]*Table1315[[#This Row],[Cruising Speed (m/s)]]</calculatedColumnFormula>
    </tableColumn>
    <tableColumn id="10" xr3:uid="{0B9356EA-6790-4169-A282-6F417EAEC645}" name="Lift(N) @ Alpha = 10" dataDxfId="75">
      <calculatedColumnFormula>(0.5)*$B$2*Table1315[[#This Row],[Wing Area (m^2)]]*$D$6*Table1315[[#This Row],[Cruising Speed (m/s)]]*Table1315[[#This Row],[Cruising Speed (m/s)]]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92530B-9F2D-4C7C-8529-3560E40AD453}" name="Table131516" displayName="Table131516" ref="A22:I26" totalsRowShown="0">
  <autoFilter ref="A22:I26" xr:uid="{1D92530B-9F2D-4C7C-8529-3560E40AD453}"/>
  <tableColumns count="9">
    <tableColumn id="1" xr3:uid="{98F126FC-3B2E-436E-BABA-F0C0B6E9F8D2}" name="Wingspan (m)"/>
    <tableColumn id="2" xr3:uid="{D5E2EA0D-2D59-468D-B634-EC8CFD3AC9E2}" name="Wing Aspect Ratio"/>
    <tableColumn id="3" xr3:uid="{DBE52444-F526-4E10-B8B1-41E0471922A5}" name="Cruising Speed (m/s)"/>
    <tableColumn id="4" xr3:uid="{A3984588-2F4F-42C0-8C37-B0FE392C953C}" name="Average Wing Chord (m)">
      <calculatedColumnFormula>Table131516[[#This Row],[Wingspan (m)]]/Table131516[[#This Row],[Wing Aspect Ratio]]</calculatedColumnFormula>
    </tableColumn>
    <tableColumn id="5" xr3:uid="{20BE2E5B-B513-426F-9215-BD949B993AEC}" name="Wing Area (m^2)">
      <calculatedColumnFormula>Table131516[[#This Row],[Average Wing Chord (m)]]*Table131516[[#This Row],[Wingspan (m)]]</calculatedColumnFormula>
    </tableColumn>
    <tableColumn id="6" xr3:uid="{E70F979D-E92B-4753-A3B7-97AEBE67EC11}" name="Reynolds Number">
      <calculatedColumnFormula>($B$2/$B$1)*D23*C23</calculatedColumnFormula>
    </tableColumn>
    <tableColumn id="8" xr3:uid="{76B2CC29-695C-4C48-BBC8-090F8D4CA7CB}" name="Lift (N) @ Alpha = 0" dataDxfId="72">
      <calculatedColumnFormula>(0.5)*$B$2*$E23*IF($F23&lt;75000,B$6,IF($F23&lt;150000,B$7,B$8))*$C23*$C23</calculatedColumnFormula>
    </tableColumn>
    <tableColumn id="9" xr3:uid="{F5F75FCF-FD39-48D2-B3CB-33DA9B2B76D8}" name="Lift(N) @ Alpha = 5" dataDxfId="74">
      <calculatedColumnFormula>(0.5)*$B$2*$E23*IF($F23&lt;75000,C$6,IF($F23&lt;150000,C$7,C$8))*$C23*$C23</calculatedColumnFormula>
    </tableColumn>
    <tableColumn id="10" xr3:uid="{A5E70780-4EDB-499E-90C3-0AB10A4442E7}" name="Lift(N) @ Alpha = 10" dataDxfId="73">
      <calculatedColumnFormula>(0.5)*$B$2*$E23*IF($F23&lt;75000,D$6,IF($F23&lt;150000,D$7,D$8))*$C23*$C23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E73D58B-D880-413E-9DBA-F413B1B0ACAF}" name="Table13151621" displayName="Table13151621" ref="A30:I34" totalsRowShown="0">
  <autoFilter ref="A30:I34" xr:uid="{9E73D58B-D880-413E-9DBA-F413B1B0ACAF}"/>
  <tableColumns count="9">
    <tableColumn id="1" xr3:uid="{F0353F97-52E9-4EE6-A357-2FC3DB9BD11D}" name="Wingspan (m)"/>
    <tableColumn id="2" xr3:uid="{D00F8594-65CA-4C35-9BF2-B87611D2E27C}" name="Wing Aspect Ratio"/>
    <tableColumn id="3" xr3:uid="{0E22833F-50E4-47E9-9DBF-922117061DF7}" name="Cruising Speed (m/s)"/>
    <tableColumn id="4" xr3:uid="{A1257DCE-AE58-4C03-B352-630C87BCF941}" name="Average Wing Chord (m)">
      <calculatedColumnFormula>Table13151621[[#This Row],[Wingspan (m)]]/Table13151621[[#This Row],[Wing Aspect Ratio]]</calculatedColumnFormula>
    </tableColumn>
    <tableColumn id="5" xr3:uid="{FF127A1A-808D-4745-AA11-8B410DA5BC18}" name="Wing Area (m^2)">
      <calculatedColumnFormula>Table13151621[[#This Row],[Average Wing Chord (m)]]*Table13151621[[#This Row],[Wingspan (m)]]</calculatedColumnFormula>
    </tableColumn>
    <tableColumn id="6" xr3:uid="{4BF09C91-724A-497E-9B5B-6F29B04E6B33}" name="Reynolds Number">
      <calculatedColumnFormula>($B$2/$B$1)*D31*C31</calculatedColumnFormula>
    </tableColumn>
    <tableColumn id="8" xr3:uid="{DCCED2F5-F916-461F-A833-FA2D61480251}" name="Lift (N) @ Alpha = 0" dataDxfId="71">
      <calculatedColumnFormula>(0.5)*$B$2*$E31*IF($F31&lt;75000,B$6,IF($F31&lt;150000,B$7,B$8))*$C31*$C31</calculatedColumnFormula>
    </tableColumn>
    <tableColumn id="9" xr3:uid="{3E56F7C7-5CF5-40CA-8866-CD34DFE02022}" name="Lift(N) @ Alpha = 5" dataDxfId="70">
      <calculatedColumnFormula>(0.5)*$B$2*$E31*IF($F31&lt;75000,C$6,IF($F31&lt;150000,C$7,C$8))*$C31*$C31</calculatedColumnFormula>
    </tableColumn>
    <tableColumn id="10" xr3:uid="{F9D769C3-B8A8-4389-A2EC-57700BB17640}" name="Lift(N) @ Alpha = 10" dataDxfId="69">
      <calculatedColumnFormula>(0.5)*$B$2*$E31*IF($F31&lt;75000,D$6,IF($F31&lt;150000,D$7,D$8))*$C31*$C31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047F9CA-C86B-4E36-8350-1FA331C15C03}" name="Table13151622" displayName="Table13151622" ref="A38:I42" totalsRowShown="0">
  <autoFilter ref="A38:I42" xr:uid="{5047F9CA-C86B-4E36-8350-1FA331C15C03}"/>
  <tableColumns count="9">
    <tableColumn id="1" xr3:uid="{0BFEEC01-4540-4CDF-B55E-9DA66DD19A74}" name="Wingspan (m)"/>
    <tableColumn id="2" xr3:uid="{C97109D9-F24D-40C7-84F9-0FD2A635C4AE}" name="Wing Aspect Ratio"/>
    <tableColumn id="3" xr3:uid="{709ABD9D-056E-4ED8-945B-56A91A158A45}" name="Cruising Speed (m/s)"/>
    <tableColumn id="4" xr3:uid="{2F78B300-2D1D-4FDF-857F-7586C4F6F6AE}" name="Average Wing Chord (m)">
      <calculatedColumnFormula>Table13151622[[#This Row],[Wingspan (m)]]/Table13151622[[#This Row],[Wing Aspect Ratio]]</calculatedColumnFormula>
    </tableColumn>
    <tableColumn id="5" xr3:uid="{BCF8CBAD-8645-4A49-A8AA-4A059DECA357}" name="Wing Area (m^2)">
      <calculatedColumnFormula>Table13151622[[#This Row],[Average Wing Chord (m)]]*Table13151622[[#This Row],[Wingspan (m)]]</calculatedColumnFormula>
    </tableColumn>
    <tableColumn id="6" xr3:uid="{2F7D40B4-A778-4F22-B99A-26E2060820A4}" name="Reynolds Number">
      <calculatedColumnFormula>($B$2/$B$1)*D39*C39</calculatedColumnFormula>
    </tableColumn>
    <tableColumn id="8" xr3:uid="{DC15C01C-F4F8-4AF2-9D58-E3E56DE140EE}" name="Lift (N) @ Alpha = 0" dataDxfId="68">
      <calculatedColumnFormula>(0.5)*$B$2*$E39*IF($F39&lt;75000,B$6,IF($F39&lt;150000,B$7,B$8))*$C39*$C39</calculatedColumnFormula>
    </tableColumn>
    <tableColumn id="9" xr3:uid="{E494E95C-EF7D-4C4F-B679-E89A51EBBF7F}" name="Lift(N) @ Alpha = 5" dataDxfId="67">
      <calculatedColumnFormula>(0.5)*$B$2*$E39*IF($F39&lt;75000,C$6,IF($F39&lt;150000,C$7,C$8))*$C39*$C39</calculatedColumnFormula>
    </tableColumn>
    <tableColumn id="10" xr3:uid="{92311E89-F9BF-44CA-96E1-ECB0BFFF2DE3}" name="Lift(N) @ Alpha = 10" dataDxfId="66">
      <calculatedColumnFormula>(0.5)*$B$2*$E39*IF($F39&lt;75000,D$6,IF($F39&lt;150000,D$7,D$8))*$C39*$C39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60A6657-5453-4425-9689-E40CCA72D8F0}" name="Table13151623" displayName="Table13151623" ref="A46:I50" totalsRowShown="0">
  <autoFilter ref="A46:I50" xr:uid="{760A6657-5453-4425-9689-E40CCA72D8F0}"/>
  <tableColumns count="9">
    <tableColumn id="1" xr3:uid="{5A68DA93-B8FE-444A-8A23-EE53BA1BE31E}" name="Wingspan (m)"/>
    <tableColumn id="2" xr3:uid="{B4ED793D-1EF3-494C-BAAA-9BC884B6A033}" name="Wing Aspect Ratio"/>
    <tableColumn id="3" xr3:uid="{5E4CC6B6-D305-43C8-84B0-3FDC9F25C80B}" name="Cruising Speed (m/s)"/>
    <tableColumn id="4" xr3:uid="{FFDBB685-BC33-4031-911C-62B23EAF090D}" name="Average Wing Chord (m)">
      <calculatedColumnFormula>Table13151623[[#This Row],[Wingspan (m)]]/Table13151623[[#This Row],[Wing Aspect Ratio]]</calculatedColumnFormula>
    </tableColumn>
    <tableColumn id="5" xr3:uid="{A43D9200-DAD1-4579-8F2B-6F410DF25801}" name="Wing Area (m^2)">
      <calculatedColumnFormula>Table13151623[[#This Row],[Average Wing Chord (m)]]*Table13151623[[#This Row],[Wingspan (m)]]</calculatedColumnFormula>
    </tableColumn>
    <tableColumn id="6" xr3:uid="{2288D3CF-85E1-46CF-A59F-7B065BBE5889}" name="Reynolds Number">
      <calculatedColumnFormula>($B$2/$B$1)*D47*C47</calculatedColumnFormula>
    </tableColumn>
    <tableColumn id="8" xr3:uid="{988FBBB0-BE5E-4FDD-AA85-D5F12F47B2F4}" name="Lift (N) @ Alpha = 0" dataDxfId="65">
      <calculatedColumnFormula>(0.5)*$B$2*$E47*IF($F47&lt;75000,B$6,IF($F47&lt;150000,B$7,B$8))*$C47*$C47</calculatedColumnFormula>
    </tableColumn>
    <tableColumn id="9" xr3:uid="{32251241-16C2-454C-9C4A-448F482C5681}" name="Lift(N) @ Alpha = 5" dataDxfId="64">
      <calculatedColumnFormula>(0.5)*$B$2*$E47*IF($F47&lt;75000,C$6,IF($F47&lt;150000,C$7,C$8))*$C47*$C47</calculatedColumnFormula>
    </tableColumn>
    <tableColumn id="10" xr3:uid="{B48DDDBF-853E-4425-8562-DCEA5E66025D}" name="Lift(N) @ Alpha = 10" dataDxfId="63">
      <calculatedColumnFormula>(0.5)*$B$2*$E47*IF($F47&lt;75000,D$6,IF($F47&lt;150000,D$7,D$8))*$C47*$C47</calculatedColumnFormula>
    </tableColumn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4B490B0-9B87-44B2-BCF7-F488CD3BEBFE}" name="Table13151624" displayName="Table13151624" ref="A54:I58" totalsRowShown="0">
  <autoFilter ref="A54:I58" xr:uid="{B4B490B0-9B87-44B2-BCF7-F488CD3BEBFE}"/>
  <tableColumns count="9">
    <tableColumn id="1" xr3:uid="{D43979D0-082B-4DF2-B911-BB0FEDE747DF}" name="Wingspan (m)"/>
    <tableColumn id="2" xr3:uid="{2A404AE5-FC2F-4452-A2CE-9CD1FADFA7CD}" name="Wing Aspect Ratio"/>
    <tableColumn id="3" xr3:uid="{E936AD39-F9EE-428C-AAAB-E8401D01B4CB}" name="Cruising Speed (m/s)"/>
    <tableColumn id="4" xr3:uid="{0806BEEA-A186-4C4A-86DF-05DCC7D6A740}" name="Average Wing Chord (m)">
      <calculatedColumnFormula>Table13151624[[#This Row],[Wingspan (m)]]/Table13151624[[#This Row],[Wing Aspect Ratio]]</calculatedColumnFormula>
    </tableColumn>
    <tableColumn id="5" xr3:uid="{1C770A57-8F36-446A-8C3A-34FA4DA3966F}" name="Wing Area (m^2)">
      <calculatedColumnFormula>Table13151624[[#This Row],[Average Wing Chord (m)]]*Table13151624[[#This Row],[Wingspan (m)]]</calculatedColumnFormula>
    </tableColumn>
    <tableColumn id="6" xr3:uid="{B7A68358-C3A9-4ECF-8B85-E3F9E966EB8E}" name="Reynolds Number">
      <calculatedColumnFormula>($B$2/$B$1)*D55*C55</calculatedColumnFormula>
    </tableColumn>
    <tableColumn id="8" xr3:uid="{392B989C-C8FB-40D0-8D3E-D1467D1ACC88}" name="Lift (N) @ Alpha = 0" dataDxfId="62">
      <calculatedColumnFormula>(0.5)*$B$2*$E55*IF($F55&lt;75000,B$6,IF($F55&lt;150000,B$7,B$8))*$C55*$C55</calculatedColumnFormula>
    </tableColumn>
    <tableColumn id="9" xr3:uid="{85F41EAD-49D5-4B72-80B1-001AB0E70B80}" name="Lift(N) @ Alpha = 5" dataDxfId="61">
      <calculatedColumnFormula>(0.5)*$B$2*$E55*IF($F55&lt;75000,C$6,IF($F55&lt;150000,C$7,C$8))*$C55*$C55</calculatedColumnFormula>
    </tableColumn>
    <tableColumn id="10" xr3:uid="{90BD4C45-BCB3-45DC-8987-2B9F9C9D634B}" name="Lift(N) @ Alpha = 10" dataDxfId="60">
      <calculatedColumnFormula>(0.5)*$B$2*$E55*IF($F55&lt;75000,D$6,IF($F55&lt;150000,D$7,D$8))*$C55*$C55</calculatedColumnFormula>
    </tableColumn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B1383D4-A5A0-46DA-A8CB-0E9BFED25C19}" name="Table131527" displayName="Table131527" ref="A14:I18" totalsRowShown="0">
  <autoFilter ref="A14:I18" xr:uid="{9B1383D4-A5A0-46DA-A8CB-0E9BFED25C19}"/>
  <tableColumns count="9">
    <tableColumn id="1" xr3:uid="{E6ABB8B5-EC66-4B01-A420-3154C6ACFBAA}" name="Wingspan (m)"/>
    <tableColumn id="2" xr3:uid="{CE8561DE-79B8-4E0F-8380-77E65FA5D3E5}" name="Wing Aspect Ratio"/>
    <tableColumn id="3" xr3:uid="{017A7F9C-2889-4B76-BB05-AE4976A79612}" name="Cruising Speed (m/s)"/>
    <tableColumn id="4" xr3:uid="{36F8E1C2-08B8-4BEF-8254-2242CD906ADF}" name="Average Wing Chord (m)">
      <calculatedColumnFormula>Table131527[[#This Row],[Wingspan (m)]]/Table131527[[#This Row],[Wing Aspect Ratio]]</calculatedColumnFormula>
    </tableColumn>
    <tableColumn id="5" xr3:uid="{43806D15-3A4E-4912-BC85-C4CB152FBE85}" name="Wing Area (m^2)">
      <calculatedColumnFormula>Table131527[[#This Row],[Average Wing Chord (m)]]*Table131527[[#This Row],[Wingspan (m)]]</calculatedColumnFormula>
    </tableColumn>
    <tableColumn id="6" xr3:uid="{33BB6987-1A4C-4FBC-A86E-C9306A81202C}" name="Reynolds Number">
      <calculatedColumnFormula>($B$2/$B$1)*D15*C15</calculatedColumnFormula>
    </tableColumn>
    <tableColumn id="8" xr3:uid="{CB064F7E-76C4-432B-A9AB-FF6CEE2008E3}" name="Lift (N) @ Alpha = 0" dataDxfId="44">
      <calculatedColumnFormula>(0.5)*$B$2*Table131527[[#This Row],[Wing Area (m^2)]]*$B$6*Table131527[[#This Row],[Cruising Speed (m/s)]]*Table131527[[#This Row],[Cruising Speed (m/s)]]</calculatedColumnFormula>
    </tableColumn>
    <tableColumn id="9" xr3:uid="{8BBF02E8-3D20-4ADE-99E4-C352DEF87C92}" name="Lift(N) @ Alpha = 5" dataDxfId="43">
      <calculatedColumnFormula>(0.5)*$B$2*Table131527[[#This Row],[Wing Area (m^2)]]*$C$6*Table131527[[#This Row],[Cruising Speed (m/s)]]*Table131527[[#This Row],[Cruising Speed (m/s)]]</calculatedColumnFormula>
    </tableColumn>
    <tableColumn id="10" xr3:uid="{AA3C3453-B264-4F65-9172-54FD8848A854}" name="Lift(N) @ Alpha = 10" dataDxfId="42">
      <calculatedColumnFormula>(0.5)*$B$2*Table131527[[#This Row],[Wing Area (m^2)]]*$D$6*Table131527[[#This Row],[Cruising Speed (m/s)]]*Table131527[[#This Row],[Cruising Speed (m/s)]]</calculatedColumnFormula>
    </tableColumn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B5A9897-A448-4D4A-8086-3AB40B894BB3}" name="Table13151628" displayName="Table13151628" ref="A22:I26" totalsRowShown="0">
  <autoFilter ref="A22:I26" xr:uid="{3B5A9897-A448-4D4A-8086-3AB40B894BB3}"/>
  <tableColumns count="9">
    <tableColumn id="1" xr3:uid="{CCA58AEC-DCC4-4B7F-B113-E102F23ED024}" name="Wingspan (m)"/>
    <tableColumn id="2" xr3:uid="{0232C630-0954-463B-BBFE-3E6EFEB96961}" name="Wing Aspect Ratio"/>
    <tableColumn id="3" xr3:uid="{0CBE0930-8287-4028-80B1-29A503378E73}" name="Cruising Speed (m/s)"/>
    <tableColumn id="4" xr3:uid="{CC151AA5-89F9-4B46-ABE0-209030010F8C}" name="Average Wing Chord (m)">
      <calculatedColumnFormula>Table13151628[[#This Row],[Wingspan (m)]]/Table13151628[[#This Row],[Wing Aspect Ratio]]</calculatedColumnFormula>
    </tableColumn>
    <tableColumn id="5" xr3:uid="{E6D6FA0F-2E81-4B4E-AEFB-07D2A9DB8113}" name="Wing Area (m^2)">
      <calculatedColumnFormula>Table13151628[[#This Row],[Average Wing Chord (m)]]*Table13151628[[#This Row],[Wingspan (m)]]</calculatedColumnFormula>
    </tableColumn>
    <tableColumn id="6" xr3:uid="{FA9E18FF-B653-4F02-970B-406B51AAA82B}" name="Reynolds Number">
      <calculatedColumnFormula>($B$2/$B$1)*D23*C23</calculatedColumnFormula>
    </tableColumn>
    <tableColumn id="8" xr3:uid="{784768F7-8498-4703-9443-F8DCDD6FDA23}" name="Lift (N) @ Alpha = 0" dataDxfId="59">
      <calculatedColumnFormula>(0.5)*$B$2*$E23*IF($F23&lt;75000,B$6,IF($F23&lt;150000,B$7,B$8))*$C23*$C23</calculatedColumnFormula>
    </tableColumn>
    <tableColumn id="9" xr3:uid="{AC39E8A7-A34B-42A9-9100-AEFE7635128A}" name="Lift(N) @ Alpha = 5" dataDxfId="58">
      <calculatedColumnFormula>(0.5)*$B$2*$E23*IF($F23&lt;75000,C$6,IF($F23&lt;150000,C$7,C$8))*$C23*$C23</calculatedColumnFormula>
    </tableColumn>
    <tableColumn id="10" xr3:uid="{C79E6D62-9AE0-4156-9123-408D95F05523}" name="Lift(N) @ Alpha = 10" dataDxfId="57">
      <calculatedColumnFormula>(0.5)*$B$2*$E23*IF($F23&lt;75000,D$6,IF($F23&lt;150000,D$7,D$8))*$C23*$C23</calculatedColumnFormula>
    </tableColumn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F3DD7BC-EFA6-41A2-96D9-AF809CD81599}" name="Table1315162129" displayName="Table1315162129" ref="A30:I34" totalsRowShown="0">
  <autoFilter ref="A30:I34" xr:uid="{AF3DD7BC-EFA6-41A2-96D9-AF809CD81599}"/>
  <tableColumns count="9">
    <tableColumn id="1" xr3:uid="{9FFAC559-94A9-4CA3-A3CF-1617C7FAC869}" name="Wingspan (m)"/>
    <tableColumn id="2" xr3:uid="{EB08BE34-BB18-4369-8790-AA88FEF75A88}" name="Wing Aspect Ratio"/>
    <tableColumn id="3" xr3:uid="{FE30F61B-4029-4A1D-B981-214DF10599C6}" name="Cruising Speed (m/s)"/>
    <tableColumn id="4" xr3:uid="{A3D58889-66E7-4ED0-AB99-60282F8B6113}" name="Average Wing Chord (m)">
      <calculatedColumnFormula>Table1315162129[[#This Row],[Wingspan (m)]]/Table1315162129[[#This Row],[Wing Aspect Ratio]]</calculatedColumnFormula>
    </tableColumn>
    <tableColumn id="5" xr3:uid="{D40355F0-7636-4CE1-B20E-5847354EAF46}" name="Wing Area (m^2)">
      <calculatedColumnFormula>Table1315162129[[#This Row],[Average Wing Chord (m)]]*Table1315162129[[#This Row],[Wingspan (m)]]</calculatedColumnFormula>
    </tableColumn>
    <tableColumn id="6" xr3:uid="{E552715F-FC80-49BC-8563-AA5476D5AC9F}" name="Reynolds Number">
      <calculatedColumnFormula>($B$2/$B$1)*D31*C31</calculatedColumnFormula>
    </tableColumn>
    <tableColumn id="8" xr3:uid="{ABE93194-C645-42C6-908B-9C1569844975}" name="Lift (N) @ Alpha = 0" dataDxfId="56">
      <calculatedColumnFormula>(0.5)*$B$2*$E31*IF($F31&lt;75000,B$6,IF($F31&lt;150000,B$7,B$8))*$C31*$C31</calculatedColumnFormula>
    </tableColumn>
    <tableColumn id="9" xr3:uid="{20B17C4F-DEF3-4841-ACCE-616461977A50}" name="Lift(N) @ Alpha = 5" dataDxfId="55">
      <calculatedColumnFormula>(0.5)*$B$2*$E31*IF($F31&lt;75000,C$6,IF($F31&lt;150000,C$7,C$8))*$C31*$C31</calculatedColumnFormula>
    </tableColumn>
    <tableColumn id="10" xr3:uid="{8A33FC02-2145-48A9-8681-04FE27644629}" name="Lift(N) @ Alpha = 10" dataDxfId="54">
      <calculatedColumnFormula>(0.5)*$B$2*$E31*IF($F31&lt;75000,D$6,IF($F31&lt;150000,D$7,D$8))*$C31*$C31</calculatedColumnFormula>
    </tableColumn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339DA88-2A89-4D1A-A43B-26B7F8EF3CFC}" name="Table1315162230" displayName="Table1315162230" ref="A38:I42" totalsRowShown="0">
  <autoFilter ref="A38:I42" xr:uid="{F339DA88-2A89-4D1A-A43B-26B7F8EF3CFC}"/>
  <tableColumns count="9">
    <tableColumn id="1" xr3:uid="{B86A28A7-7CBB-4B4D-955D-AFECDF4B85E4}" name="Wingspan (m)"/>
    <tableColumn id="2" xr3:uid="{4C0CD054-325C-41C9-99CC-C0C907917C48}" name="Wing Aspect Ratio"/>
    <tableColumn id="3" xr3:uid="{F8030747-7EE1-4C68-8273-E27686292E74}" name="Cruising Speed (m/s)"/>
    <tableColumn id="4" xr3:uid="{6BED6187-A633-471B-A7DF-6D7D5F20142B}" name="Average Wing Chord (m)">
      <calculatedColumnFormula>Table1315162230[[#This Row],[Wingspan (m)]]/Table1315162230[[#This Row],[Wing Aspect Ratio]]</calculatedColumnFormula>
    </tableColumn>
    <tableColumn id="5" xr3:uid="{B78EAC45-3A91-480C-9793-FA7296DC4504}" name="Wing Area (m^2)">
      <calculatedColumnFormula>Table1315162230[[#This Row],[Average Wing Chord (m)]]*Table1315162230[[#This Row],[Wingspan (m)]]</calculatedColumnFormula>
    </tableColumn>
    <tableColumn id="6" xr3:uid="{839D8AD9-ED65-4034-8567-42D8A9523AD4}" name="Reynolds Number">
      <calculatedColumnFormula>($B$2/$B$1)*D39*C39</calculatedColumnFormula>
    </tableColumn>
    <tableColumn id="8" xr3:uid="{D123E2B9-0B87-4187-9A28-6B3DD78A7341}" name="Lift (N) @ Alpha = 0" dataDxfId="53">
      <calculatedColumnFormula>(0.5)*$B$2*$E39*IF($F39&lt;75000,B$6,IF($F39&lt;150000,B$7,B$8))*$C39*$C39</calculatedColumnFormula>
    </tableColumn>
    <tableColumn id="9" xr3:uid="{EDB6E6FC-B0B4-414F-AE2F-3441953CCDE2}" name="Lift(N) @ Alpha = 5" dataDxfId="52">
      <calculatedColumnFormula>(0.5)*$B$2*$E39*IF($F39&lt;75000,C$6,IF($F39&lt;150000,C$7,C$8))*$C39*$C39</calculatedColumnFormula>
    </tableColumn>
    <tableColumn id="10" xr3:uid="{09629FC7-092F-4EE7-9084-08B84F18BD51}" name="Lift(N) @ Alpha = 10" dataDxfId="51">
      <calculatedColumnFormula>(0.5)*$B$2*$E39*IF($F39&lt;75000,D$6,IF($F39&lt;150000,D$7,D$8))*$C39*$C39</calculatedColumnFormula>
    </tableColumn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9610387-F7EB-42D3-95DE-6E4D3EB722F6}" name="Table1315162331" displayName="Table1315162331" ref="A46:I50" totalsRowShown="0">
  <autoFilter ref="A46:I50" xr:uid="{49610387-F7EB-42D3-95DE-6E4D3EB722F6}"/>
  <tableColumns count="9">
    <tableColumn id="1" xr3:uid="{7327FBDE-15B4-44D3-B49E-759BDCD8FDF1}" name="Wingspan (m)"/>
    <tableColumn id="2" xr3:uid="{4D3FC3A1-5282-4B3D-9320-D5B1955967A9}" name="Wing Aspect Ratio"/>
    <tableColumn id="3" xr3:uid="{D5DD4A4B-E5E3-4F19-8C71-2CDF90CBDFE1}" name="Cruising Speed (m/s)"/>
    <tableColumn id="4" xr3:uid="{9C089651-2747-4825-AA4E-64C41B62DBAC}" name="Average Wing Chord (m)">
      <calculatedColumnFormula>Table1315162331[[#This Row],[Wingspan (m)]]/Table1315162331[[#This Row],[Wing Aspect Ratio]]</calculatedColumnFormula>
    </tableColumn>
    <tableColumn id="5" xr3:uid="{068B701D-107B-498C-8863-09478263DF01}" name="Wing Area (m^2)">
      <calculatedColumnFormula>Table1315162331[[#This Row],[Average Wing Chord (m)]]*Table1315162331[[#This Row],[Wingspan (m)]]</calculatedColumnFormula>
    </tableColumn>
    <tableColumn id="6" xr3:uid="{8409B62C-04A6-43E5-83B2-5B4DB781EC87}" name="Reynolds Number">
      <calculatedColumnFormula>($B$2/$B$1)*D47*C47</calculatedColumnFormula>
    </tableColumn>
    <tableColumn id="8" xr3:uid="{31E48BA4-1C67-4A31-8356-437743AC31BC}" name="Lift (N) @ Alpha = 0" dataDxfId="50">
      <calculatedColumnFormula>(0.5)*$B$2*$E47*IF($F47&lt;75000,B$6,IF($F47&lt;150000,B$7,B$8))*$C47*$C47</calculatedColumnFormula>
    </tableColumn>
    <tableColumn id="9" xr3:uid="{87375CCE-1D7C-4442-B54D-6EB8A5502D44}" name="Lift(N) @ Alpha = 5" dataDxfId="49">
      <calculatedColumnFormula>(0.5)*$B$2*$E47*IF($F47&lt;75000,C$6,IF($F47&lt;150000,C$7,C$8))*$C47*$C47</calculatedColumnFormula>
    </tableColumn>
    <tableColumn id="10" xr3:uid="{35A281BE-3318-415C-857E-7DD224958496}" name="Lift(N) @ Alpha = 10" dataDxfId="48">
      <calculatedColumnFormula>(0.5)*$B$2*$E47*IF($F47&lt;75000,D$6,IF($F47&lt;150000,D$7,D$8))*$C47*$C47</calculatedColumnFormula>
    </tableColumn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386D2EF-FC74-4071-A196-AAFA4934F943}" name="Table1315162432" displayName="Table1315162432" ref="A54:I58" totalsRowShown="0">
  <autoFilter ref="A54:I58" xr:uid="{3386D2EF-FC74-4071-A196-AAFA4934F943}"/>
  <tableColumns count="9">
    <tableColumn id="1" xr3:uid="{9838CC89-2900-4FE4-9E17-17B26F768ECC}" name="Wingspan (m)"/>
    <tableColumn id="2" xr3:uid="{C8D09D4D-568F-4BE4-B757-8ABAD4E0F4CF}" name="Wing Aspect Ratio"/>
    <tableColumn id="3" xr3:uid="{FEBFD382-4C40-4172-8337-9A89F7036B02}" name="Cruising Speed (m/s)"/>
    <tableColumn id="4" xr3:uid="{57D040E2-CE91-4177-94F5-6C3D4714A593}" name="Average Wing Chord (m)">
      <calculatedColumnFormula>Table1315162432[[#This Row],[Wingspan (m)]]/Table1315162432[[#This Row],[Wing Aspect Ratio]]</calculatedColumnFormula>
    </tableColumn>
    <tableColumn id="5" xr3:uid="{E76D1049-324B-4794-9F48-DC251D3C5BB1}" name="Wing Area (m^2)">
      <calculatedColumnFormula>Table1315162432[[#This Row],[Average Wing Chord (m)]]*Table1315162432[[#This Row],[Wingspan (m)]]</calculatedColumnFormula>
    </tableColumn>
    <tableColumn id="6" xr3:uid="{A5B1BE7B-435C-41F0-A79F-9FEA3D38FC24}" name="Reynolds Number">
      <calculatedColumnFormula>($B$2/$B$1)*D55*C55</calculatedColumnFormula>
    </tableColumn>
    <tableColumn id="8" xr3:uid="{0748DF0E-516E-42FC-88D7-A93504795D98}" name="Lift (N) @ Alpha = 0" dataDxfId="47">
      <calculatedColumnFormula>(0.5)*$B$2*$E55*IF($F55&lt;75000,B$6,IF($F55&lt;150000,B$7,B$8))*$C55*$C55</calculatedColumnFormula>
    </tableColumn>
    <tableColumn id="9" xr3:uid="{CA297FC0-541A-47E9-ACE8-E1EA0D4C38EA}" name="Lift(N) @ Alpha = 5" dataDxfId="46">
      <calculatedColumnFormula>(0.5)*$B$2*$E55*IF($F55&lt;75000,C$6,IF($F55&lt;150000,C$7,C$8))*$C55*$C55</calculatedColumnFormula>
    </tableColumn>
    <tableColumn id="10" xr3:uid="{54C817E4-B9A2-4489-8C12-4A6940EBAFE8}" name="Lift(N) @ Alpha = 10" dataDxfId="45">
      <calculatedColumnFormula>(0.5)*$B$2*$E55*IF($F55&lt;75000,D$6,IF($F55&lt;150000,D$7,D$8))*$C55*$C55</calculatedColumnFormula>
    </tableColumn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B63BEF-60D8-4C27-9A83-E7128BB37C98}" name="Table13152739" displayName="Table13152739" ref="A14:I18" totalsRowShown="0">
  <autoFilter ref="A14:I18" xr:uid="{00B63BEF-60D8-4C27-9A83-E7128BB37C98}"/>
  <tableColumns count="9">
    <tableColumn id="1" xr3:uid="{1F7FD72E-89C0-4FCE-AC86-AC0A0CCACA81}" name="Wingspan (m)"/>
    <tableColumn id="2" xr3:uid="{08FD67AC-332B-4BF6-8AB5-E2DB62074191}" name="Wing Aspect Ratio"/>
    <tableColumn id="3" xr3:uid="{B99B21EB-C310-4913-B07B-0E898044F6B0}" name="Cruising Speed (m/s)"/>
    <tableColumn id="4" xr3:uid="{9DEDD54E-B06F-4CFE-B324-A28A52586CE2}" name="Average Wing Chord (m)">
      <calculatedColumnFormula>Table13152739[[#This Row],[Wingspan (m)]]/Table13152739[[#This Row],[Wing Aspect Ratio]]</calculatedColumnFormula>
    </tableColumn>
    <tableColumn id="5" xr3:uid="{345F7243-5A47-4DF0-B81B-EED3C008FEEC}" name="Wing Area (m^2)">
      <calculatedColumnFormula>Table13152739[[#This Row],[Average Wing Chord (m)]]*Table13152739[[#This Row],[Wingspan (m)]]</calculatedColumnFormula>
    </tableColumn>
    <tableColumn id="6" xr3:uid="{5CF327D7-779E-4796-A70B-47C6E400F960}" name="Reynolds Number">
      <calculatedColumnFormula>($B$2/$B$1)*D15*C15</calculatedColumnFormula>
    </tableColumn>
    <tableColumn id="8" xr3:uid="{29C1CCAB-DA3B-4ED0-9861-BF5FA60270ED}" name="Drag (N) @ Alpha = 0" dataDxfId="17">
      <calculatedColumnFormula>(0.5)*$B$2*Table13152739[[#This Row],[Wing Area (m^2)]]*$B$6*Table13152739[[#This Row],[Cruising Speed (m/s)]]*Table13152739[[#This Row],[Cruising Speed (m/s)]]</calculatedColumnFormula>
    </tableColumn>
    <tableColumn id="9" xr3:uid="{CC73E81A-0A02-4FFA-99A6-96DD45F2B1BD}" name="Drag(N) @ Alpha = 5" dataDxfId="16">
      <calculatedColumnFormula>(0.5)*$B$2*Table13152739[[#This Row],[Wing Area (m^2)]]*$C$6*Table13152739[[#This Row],[Cruising Speed (m/s)]]*Table13152739[[#This Row],[Cruising Speed (m/s)]]</calculatedColumnFormula>
    </tableColumn>
    <tableColumn id="10" xr3:uid="{F6E26037-3D1C-41A6-BD1C-7E1EA1B6D578}" name="Drag(N) @ Alpha = 10" dataDxfId="15">
      <calculatedColumnFormula>(0.5)*$B$2*Table13152739[[#This Row],[Wing Area (m^2)]]*$D$6*Table13152739[[#This Row],[Cruising Speed (m/s)]]*Table13152739[[#This Row],[Cruising Speed (m/s)]]</calculatedColumnFormula>
    </tableColumn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72CD3B5A-4513-4CE3-8D2C-1BBFC6F56EFF}" name="Table1315162840" displayName="Table1315162840" ref="A22:I26" totalsRowShown="0">
  <autoFilter ref="A22:I26" xr:uid="{72CD3B5A-4513-4CE3-8D2C-1BBFC6F56EFF}"/>
  <tableColumns count="9">
    <tableColumn id="1" xr3:uid="{EF737E80-B0F5-49B8-BD51-4FF2608FCC2A}" name="Wingspan (m)"/>
    <tableColumn id="2" xr3:uid="{04164767-E4D5-43C0-9753-024DD1820DBC}" name="Wing Aspect Ratio"/>
    <tableColumn id="3" xr3:uid="{D2C873AE-6191-4D54-B18E-E6D0DBE84A79}" name="Cruising Speed (m/s)"/>
    <tableColumn id="4" xr3:uid="{53F511C7-2504-414E-B219-5606FEBBDE2C}" name="Average Wing Chord (m)">
      <calculatedColumnFormula>Table1315162840[[#This Row],[Wingspan (m)]]/Table1315162840[[#This Row],[Wing Aspect Ratio]]</calculatedColumnFormula>
    </tableColumn>
    <tableColumn id="5" xr3:uid="{AA0DAC3A-D604-4DBA-B197-66B9292D70E1}" name="Wing Area (m^2)">
      <calculatedColumnFormula>Table1315162840[[#This Row],[Average Wing Chord (m)]]*Table1315162840[[#This Row],[Wingspan (m)]]</calculatedColumnFormula>
    </tableColumn>
    <tableColumn id="6" xr3:uid="{AF1B1C24-1257-4C87-AF18-DF20BA389119}" name="Reynolds Number">
      <calculatedColumnFormula>($B$2/$B$1)*D23*C23</calculatedColumnFormula>
    </tableColumn>
    <tableColumn id="8" xr3:uid="{F75245A7-CB76-41FC-A8CA-53B1AC7D27FB}" name="Drag (N) @ Alpha = 0" dataDxfId="14">
      <calculatedColumnFormula>(0.5)*$B$2*$E23*IF($F23&lt;75000,B$6,IF($F23&lt;150000,B$7,B$8))*$C23*$C23</calculatedColumnFormula>
    </tableColumn>
    <tableColumn id="9" xr3:uid="{78A1E58C-15D7-466C-966D-7467776C6FCC}" name="Drag(N) @ Alpha = 5" dataDxfId="13">
      <calculatedColumnFormula>(0.5)*$B$2*$E23*IF($F23&lt;75000,C$6,IF($F23&lt;150000,C$7,C$8))*$C23*$C23</calculatedColumnFormula>
    </tableColumn>
    <tableColumn id="10" xr3:uid="{33D8A32B-CF4E-47D7-84C2-839793A7759C}" name="Drag(N) @ Alpha = 10" dataDxfId="12">
      <calculatedColumnFormula>(0.5)*$B$2*$E23*IF($F23&lt;75000,D$6,IF($F23&lt;150000,D$7,D$8))*$C23*$C23</calculatedColumnFormula>
    </tableColumn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43A59C5A-2F34-495D-B13B-0FE3FE996DE9}" name="Table131516212941" displayName="Table131516212941" ref="A30:I34" totalsRowShown="0">
  <autoFilter ref="A30:I34" xr:uid="{43A59C5A-2F34-495D-B13B-0FE3FE996DE9}"/>
  <tableColumns count="9">
    <tableColumn id="1" xr3:uid="{64626006-A285-49CE-A31A-C1E7232A7BA7}" name="Wingspan (m)"/>
    <tableColumn id="2" xr3:uid="{F1E92DAD-9003-4622-AC90-9B49D3D21606}" name="Wing Aspect Ratio"/>
    <tableColumn id="3" xr3:uid="{91B388EC-5127-40F6-B0B2-EB4F402476CB}" name="Cruising Speed (m/s)"/>
    <tableColumn id="4" xr3:uid="{7FC7D5BC-E0EB-409B-B2AF-A4FF078CDAD1}" name="Average Wing Chord (m)">
      <calculatedColumnFormula>Table131516212941[[#This Row],[Wingspan (m)]]/Table131516212941[[#This Row],[Wing Aspect Ratio]]</calculatedColumnFormula>
    </tableColumn>
    <tableColumn id="5" xr3:uid="{3E5C5DAB-39CD-4777-836F-C7CA42A2546D}" name="Wing Area (m^2)">
      <calculatedColumnFormula>Table131516212941[[#This Row],[Average Wing Chord (m)]]*Table131516212941[[#This Row],[Wingspan (m)]]</calculatedColumnFormula>
    </tableColumn>
    <tableColumn id="6" xr3:uid="{D7D827CE-8237-4C5F-878E-DCDEF757D8DB}" name="Reynolds Number">
      <calculatedColumnFormula>($B$2/$B$1)*D31*C31</calculatedColumnFormula>
    </tableColumn>
    <tableColumn id="8" xr3:uid="{ED0D5DED-0DED-4685-BC63-59B1C6843F6D}" name="Drag (N) @ Alpha = 0" dataDxfId="11">
      <calculatedColumnFormula>(0.5)*$B$2*$E31*IF($F31&lt;75000,B$6,IF($F31&lt;150000,B$7,B$8))*$C31*$C31</calculatedColumnFormula>
    </tableColumn>
    <tableColumn id="9" xr3:uid="{9BA0CB14-37A3-4BA4-85E3-5F3440D67E54}" name="Drag(N) @ Alpha = 5" dataDxfId="10">
      <calculatedColumnFormula>(0.5)*$B$2*$E31*IF($F31&lt;75000,C$6,IF($F31&lt;150000,C$7,C$8))*$C31*$C31</calculatedColumnFormula>
    </tableColumn>
    <tableColumn id="10" xr3:uid="{88D23607-A7ED-454C-89D6-E4D6A0FD1D02}" name="Drag(N) @ Alpha = 10" dataDxfId="9">
      <calculatedColumnFormula>(0.5)*$B$2*$E31*IF($F31&lt;75000,D$6,IF($F31&lt;150000,D$7,D$8))*$C31*$C31</calculatedColumnFormula>
    </tableColumn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FC284A6-65BD-4D5F-B985-C7CD418E3B1D}" name="Table131516223042" displayName="Table131516223042" ref="A38:I42" totalsRowShown="0">
  <autoFilter ref="A38:I42" xr:uid="{6FC284A6-65BD-4D5F-B985-C7CD418E3B1D}"/>
  <tableColumns count="9">
    <tableColumn id="1" xr3:uid="{5CFCC329-CCB8-4EEF-A3C2-C38C75849ABF}" name="Wingspan (m)"/>
    <tableColumn id="2" xr3:uid="{E71D43EF-89ED-41B3-984C-1E6A3727F695}" name="Wing Aspect Ratio"/>
    <tableColumn id="3" xr3:uid="{DF78D161-B705-4F0E-A2D9-368797319B5D}" name="Cruising Speed (m/s)"/>
    <tableColumn id="4" xr3:uid="{84C78407-9245-4DC7-A282-5C4E9288E174}" name="Average Wing Chord (m)">
      <calculatedColumnFormula>Table131516223042[[#This Row],[Wingspan (m)]]/Table131516223042[[#This Row],[Wing Aspect Ratio]]</calculatedColumnFormula>
    </tableColumn>
    <tableColumn id="5" xr3:uid="{3CDA2EA4-E651-49BF-994D-2A7A50DB6BA3}" name="Wing Area (m^2)">
      <calculatedColumnFormula>Table131516223042[[#This Row],[Average Wing Chord (m)]]*Table131516223042[[#This Row],[Wingspan (m)]]</calculatedColumnFormula>
    </tableColumn>
    <tableColumn id="6" xr3:uid="{12CEA453-6913-491D-B5D1-DB85E1DDDB7E}" name="Reynolds Number">
      <calculatedColumnFormula>($B$2/$B$1)*D39*C39</calculatedColumnFormula>
    </tableColumn>
    <tableColumn id="8" xr3:uid="{10623185-97AA-4E1A-85DF-6C4323F0E89A}" name="Drag (N) @ Alpha = 0" dataDxfId="8">
      <calculatedColumnFormula>(0.5)*$B$2*$E39*IF($F39&lt;75000,B$6,IF($F39&lt;150000,B$7,B$8))*$C39*$C39</calculatedColumnFormula>
    </tableColumn>
    <tableColumn id="9" xr3:uid="{94CFE4A3-1373-40FC-BBC4-9B5A7821CD3D}" name="Drag(N) @ Alpha = 5" dataDxfId="7">
      <calculatedColumnFormula>(0.5)*$B$2*$E39*IF($F39&lt;75000,C$6,IF($F39&lt;150000,C$7,C$8))*$C39*$C39</calculatedColumnFormula>
    </tableColumn>
    <tableColumn id="10" xr3:uid="{0E2C50D9-B400-4CCB-939F-6A442A977C22}" name="Drag(N) @ Alpha = 10" dataDxfId="6">
      <calculatedColumnFormula>(0.5)*$B$2*$E39*IF($F39&lt;75000,D$6,IF($F39&lt;150000,D$7,D$8))*$C39*$C39</calculatedColumnFormula>
    </tableColumn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2DA833AB-C19D-4E26-A64C-A126905A5500}" name="Table131516233143" displayName="Table131516233143" ref="A46:I50" totalsRowShown="0">
  <autoFilter ref="A46:I50" xr:uid="{2DA833AB-C19D-4E26-A64C-A126905A5500}"/>
  <tableColumns count="9">
    <tableColumn id="1" xr3:uid="{FC9DCF05-1900-4629-B399-23AC105B92BD}" name="Wingspan (m)"/>
    <tableColumn id="2" xr3:uid="{C53261F4-F5D7-43E6-949A-C0EFC0493A7F}" name="Wing Aspect Ratio"/>
    <tableColumn id="3" xr3:uid="{F73B6F7D-F291-48E1-80A2-BAB0E7FC2ADD}" name="Cruising Speed (m/s)"/>
    <tableColumn id="4" xr3:uid="{644BEE4C-1BB4-41ED-81D0-7A7010F94791}" name="Average Wing Chord (m)">
      <calculatedColumnFormula>Table131516233143[[#This Row],[Wingspan (m)]]/Table131516233143[[#This Row],[Wing Aspect Ratio]]</calculatedColumnFormula>
    </tableColumn>
    <tableColumn id="5" xr3:uid="{4321F146-DD67-44C1-87F6-3A655631685F}" name="Wing Area (m^2)">
      <calculatedColumnFormula>Table131516233143[[#This Row],[Average Wing Chord (m)]]*Table131516233143[[#This Row],[Wingspan (m)]]</calculatedColumnFormula>
    </tableColumn>
    <tableColumn id="6" xr3:uid="{67729E08-9806-4D60-91F8-0AD6EEB1CD36}" name="Reynolds Number">
      <calculatedColumnFormula>($B$2/$B$1)*D47*C47</calculatedColumnFormula>
    </tableColumn>
    <tableColumn id="8" xr3:uid="{73AB84A6-EA2D-4647-ADC1-A95856222163}" name="Drag (N) @ Alpha = 0" dataDxfId="5">
      <calculatedColumnFormula>(0.5)*$B$2*$E47*IF($F47&lt;75000,B$6,IF($F47&lt;150000,B$7,B$8))*$C47*$C47</calculatedColumnFormula>
    </tableColumn>
    <tableColumn id="9" xr3:uid="{65C4DEF2-C613-4AAF-8C4A-34B7F284F15C}" name="Drag(N) @ Alpha = 5" dataDxfId="4">
      <calculatedColumnFormula>(0.5)*$B$2*$E47*IF($F47&lt;75000,C$6,IF($F47&lt;150000,C$7,C$8))*$C47*$C47</calculatedColumnFormula>
    </tableColumn>
    <tableColumn id="10" xr3:uid="{F5824F39-1620-468D-94AF-4D6F3D89013E}" name="Drag(N) @ Alpha = 10" dataDxfId="3">
      <calculatedColumnFormula>(0.5)*$B$2*$E47*IF($F47&lt;75000,D$6,IF($F47&lt;150000,D$7,D$8))*$C47*$C47</calculatedColumnFormula>
    </tableColumn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4DBAE2AF-8EC8-442B-AF62-7B4E78A05DF3}" name="Table131516243244" displayName="Table131516243244" ref="A54:I58" totalsRowShown="0">
  <autoFilter ref="A54:I58" xr:uid="{4DBAE2AF-8EC8-442B-AF62-7B4E78A05DF3}"/>
  <tableColumns count="9">
    <tableColumn id="1" xr3:uid="{F25DF041-6E52-47BE-94BE-C3141431E1EC}" name="Wingspan (m)"/>
    <tableColumn id="2" xr3:uid="{9182E608-FC29-462A-ADD9-E0DD720D5178}" name="Wing Aspect Ratio"/>
    <tableColumn id="3" xr3:uid="{E8623208-0F43-4185-91C1-E2AF349EDD8E}" name="Cruising Speed (m/s)"/>
    <tableColumn id="4" xr3:uid="{9BC78C1F-A3A6-4B03-833C-918B934CF1B1}" name="Average Wing Chord (m)">
      <calculatedColumnFormula>Table131516243244[[#This Row],[Wingspan (m)]]/Table131516243244[[#This Row],[Wing Aspect Ratio]]</calculatedColumnFormula>
    </tableColumn>
    <tableColumn id="5" xr3:uid="{729CBD93-E81A-402A-8B1D-36F100F739FE}" name="Wing Area (m^2)">
      <calculatedColumnFormula>Table131516243244[[#This Row],[Average Wing Chord (m)]]*Table131516243244[[#This Row],[Wingspan (m)]]</calculatedColumnFormula>
    </tableColumn>
    <tableColumn id="6" xr3:uid="{F163900B-FC09-40B6-8F94-C74F3C56AB52}" name="Reynolds Number">
      <calculatedColumnFormula>($B$2/$B$1)*D55*C55</calculatedColumnFormula>
    </tableColumn>
    <tableColumn id="8" xr3:uid="{10D9F849-A0A4-4A9B-A023-FEF74B6CE220}" name="Drag (N) @ Alpha = 0" dataDxfId="2">
      <calculatedColumnFormula>(0.5)*$B$2*$E55*IF($F55&lt;75000,B$6,IF($F55&lt;150000,B$7,B$8))*$C55*$C55</calculatedColumnFormula>
    </tableColumn>
    <tableColumn id="9" xr3:uid="{C20E0FFB-248A-4F66-A181-6F6F5166936C}" name="Drag(N) @ Alpha = 5" dataDxfId="1">
      <calculatedColumnFormula>(0.5)*$B$2*$E55*IF($F55&lt;75000,C$6,IF($F55&lt;150000,C$7,C$8))*$C55*$C55</calculatedColumnFormula>
    </tableColumn>
    <tableColumn id="10" xr3:uid="{7EDD8CB3-739A-45CA-91CB-A8363E08601C}" name="Drag(N) @ Alpha = 10" dataDxfId="0">
      <calculatedColumnFormula>(0.5)*$B$2*$E55*IF($F55&lt;75000,D$6,IF($F55&lt;150000,D$7,D$8))*$C55*$C55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workbookViewId="0">
      <selection activeCell="E16" sqref="E16"/>
    </sheetView>
  </sheetViews>
  <sheetFormatPr defaultRowHeight="15" x14ac:dyDescent="0.25"/>
  <cols>
    <col min="1" max="1" width="22.42578125" customWidth="1"/>
    <col min="2" max="2" width="26.28515625" bestFit="1" customWidth="1"/>
    <col min="3" max="3" width="26.85546875" bestFit="1" customWidth="1"/>
    <col min="4" max="4" width="24.7109375" customWidth="1"/>
    <col min="5" max="5" width="17.85546875" customWidth="1"/>
    <col min="6" max="6" width="19" customWidth="1"/>
    <col min="7" max="8" width="17" bestFit="1" customWidth="1"/>
    <col min="9" max="9" width="18" bestFit="1" customWidth="1"/>
    <col min="12" max="12" width="16.42578125" customWidth="1"/>
    <col min="13" max="13" width="25.85546875" bestFit="1" customWidth="1"/>
    <col min="14" max="14" width="25.28515625" bestFit="1" customWidth="1"/>
    <col min="15" max="15" width="26.42578125" bestFit="1" customWidth="1"/>
    <col min="17" max="17" width="9.140625" customWidth="1"/>
  </cols>
  <sheetData>
    <row r="1" spans="1:15" x14ac:dyDescent="0.25">
      <c r="A1" t="s">
        <v>1</v>
      </c>
      <c r="B1">
        <v>1.7900000000000001E-5</v>
      </c>
    </row>
    <row r="2" spans="1:15" x14ac:dyDescent="0.25">
      <c r="A2" t="s">
        <v>2</v>
      </c>
      <c r="B2">
        <v>1.2250000000000001</v>
      </c>
    </row>
    <row r="4" spans="1:15" x14ac:dyDescent="0.25">
      <c r="A4" t="s">
        <v>17</v>
      </c>
      <c r="B4" t="s">
        <v>18</v>
      </c>
    </row>
    <row r="5" spans="1:15" x14ac:dyDescent="0.25">
      <c r="A5" t="s">
        <v>6</v>
      </c>
      <c r="B5" t="s">
        <v>19</v>
      </c>
      <c r="C5" t="s">
        <v>20</v>
      </c>
      <c r="D5" t="s">
        <v>21</v>
      </c>
    </row>
    <row r="6" spans="1:15" x14ac:dyDescent="0.25">
      <c r="A6" s="3">
        <v>50000</v>
      </c>
      <c r="B6">
        <v>8.1199999999999994E-2</v>
      </c>
      <c r="C6">
        <v>0.66190000000000004</v>
      </c>
      <c r="D6">
        <v>1.2661</v>
      </c>
      <c r="E6" s="3"/>
    </row>
    <row r="7" spans="1:15" x14ac:dyDescent="0.25">
      <c r="A7" s="3">
        <v>100000</v>
      </c>
      <c r="B7">
        <v>0.3952</v>
      </c>
      <c r="C7">
        <v>0.8992</v>
      </c>
      <c r="D7">
        <v>1.2615000000000001</v>
      </c>
      <c r="E7" s="3"/>
      <c r="L7" t="s">
        <v>36</v>
      </c>
    </row>
    <row r="8" spans="1:15" x14ac:dyDescent="0.25">
      <c r="A8" s="3">
        <v>200000</v>
      </c>
      <c r="B8">
        <v>0.4304</v>
      </c>
      <c r="C8">
        <v>0.91180000000000005</v>
      </c>
      <c r="D8">
        <v>1.2591000000000001</v>
      </c>
      <c r="E8" s="3"/>
      <c r="L8" t="s">
        <v>37</v>
      </c>
    </row>
    <row r="11" spans="1:15" x14ac:dyDescent="0.25">
      <c r="L11" s="7" t="s">
        <v>26</v>
      </c>
      <c r="M11" s="7"/>
      <c r="N11" s="7"/>
      <c r="O11" s="7"/>
    </row>
    <row r="12" spans="1:15" x14ac:dyDescent="0.25">
      <c r="A12" s="4" t="s">
        <v>16</v>
      </c>
      <c r="B12" s="4"/>
      <c r="C12" s="4"/>
      <c r="D12" s="4"/>
      <c r="E12" s="4"/>
      <c r="F12" s="4"/>
      <c r="G12" s="4"/>
      <c r="H12" s="4"/>
      <c r="I12" s="4"/>
      <c r="L12" s="2" t="s">
        <v>0</v>
      </c>
      <c r="M12" s="2" t="s">
        <v>33</v>
      </c>
      <c r="N12" s="2" t="s">
        <v>34</v>
      </c>
      <c r="O12" s="2" t="s">
        <v>35</v>
      </c>
    </row>
    <row r="13" spans="1:15" x14ac:dyDescent="0.25">
      <c r="A13" s="1" t="s">
        <v>5</v>
      </c>
      <c r="B13" s="1"/>
      <c r="C13" s="1"/>
      <c r="D13" s="1" t="s">
        <v>8</v>
      </c>
      <c r="E13" s="1"/>
      <c r="F13" s="1"/>
      <c r="G13" s="1"/>
      <c r="H13" s="1"/>
      <c r="I13" s="1"/>
      <c r="L13" s="6">
        <f>A15</f>
        <v>0.25</v>
      </c>
      <c r="M13" s="5" cm="1">
        <f t="array" ref="M13:O13">G15:I15</f>
        <v>5.0356687500000004E-2</v>
      </c>
      <c r="N13" s="5">
        <v>0.41048142187500003</v>
      </c>
      <c r="O13" s="5">
        <v>0.78517982812500009</v>
      </c>
    </row>
    <row r="14" spans="1:15" x14ac:dyDescent="0.25">
      <c r="A14" t="s">
        <v>3</v>
      </c>
      <c r="B14" t="s">
        <v>4</v>
      </c>
      <c r="C14" t="s">
        <v>7</v>
      </c>
      <c r="D14" t="s">
        <v>9</v>
      </c>
      <c r="E14" t="s">
        <v>10</v>
      </c>
      <c r="F14" t="s">
        <v>6</v>
      </c>
      <c r="G14" t="s">
        <v>23</v>
      </c>
      <c r="H14" t="s">
        <v>24</v>
      </c>
      <c r="I14" t="s">
        <v>25</v>
      </c>
      <c r="L14" s="6">
        <f>A23</f>
        <v>0.5</v>
      </c>
      <c r="M14" s="5" cm="1">
        <f t="array" ref="M14:O14">G23:I23</f>
        <v>0.20142675000000002</v>
      </c>
      <c r="N14" s="5">
        <v>1.6419256875000001</v>
      </c>
      <c r="O14" s="5">
        <v>3.1407193125000004</v>
      </c>
    </row>
    <row r="15" spans="1:15" x14ac:dyDescent="0.25">
      <c r="A15">
        <v>0.25</v>
      </c>
      <c r="B15">
        <v>5</v>
      </c>
      <c r="C15">
        <v>9</v>
      </c>
      <c r="D15">
        <f>Table1315[[#This Row],[Wingspan (m)]]/Table1315[[#This Row],[Wing Aspect Ratio]]</f>
        <v>0.05</v>
      </c>
      <c r="E15">
        <f>Table1315[[#This Row],[Average Wing Chord (m)]]*Table1315[[#This Row],[Wingspan (m)]]</f>
        <v>1.2500000000000001E-2</v>
      </c>
      <c r="F15">
        <f>($B$2/$B$1)*D15*C15</f>
        <v>30796.089385474857</v>
      </c>
      <c r="G15">
        <f>(0.5)*$B$2*Table1315[[#This Row],[Wing Area (m^2)]]*$B$6*Table1315[[#This Row],[Cruising Speed (m/s)]]*Table1315[[#This Row],[Cruising Speed (m/s)]]</f>
        <v>5.0356687500000004E-2</v>
      </c>
      <c r="H15">
        <f>(0.5)*$B$2*Table1315[[#This Row],[Wing Area (m^2)]]*$C$6*Table1315[[#This Row],[Cruising Speed (m/s)]]*Table1315[[#This Row],[Cruising Speed (m/s)]]</f>
        <v>0.41048142187500003</v>
      </c>
      <c r="I15">
        <f>(0.5)*$B$2*Table1315[[#This Row],[Wing Area (m^2)]]*$D$6*Table1315[[#This Row],[Cruising Speed (m/s)]]*Table1315[[#This Row],[Cruising Speed (m/s)]]</f>
        <v>0.78517982812500009</v>
      </c>
      <c r="L15" s="6">
        <f>A31</f>
        <v>0.75</v>
      </c>
      <c r="M15" s="5" cm="1">
        <f t="array" ref="M15:O15">G31:I31</f>
        <v>2.2057717499999998</v>
      </c>
      <c r="N15" s="5">
        <v>5.0188005000000002</v>
      </c>
      <c r="O15" s="5">
        <v>7.0409439843750006</v>
      </c>
    </row>
    <row r="16" spans="1:15" x14ac:dyDescent="0.25">
      <c r="A16">
        <f>A15</f>
        <v>0.25</v>
      </c>
      <c r="B16">
        <v>5</v>
      </c>
      <c r="C16">
        <v>13.5</v>
      </c>
      <c r="D16">
        <f>Table1315[[#This Row],[Wingspan (m)]]/Table1315[[#This Row],[Wing Aspect Ratio]]</f>
        <v>0.05</v>
      </c>
      <c r="E16">
        <f>Table1315[[#This Row],[Average Wing Chord (m)]]*Table1315[[#This Row],[Wingspan (m)]]</f>
        <v>1.2500000000000001E-2</v>
      </c>
      <c r="F16">
        <f>($B$2/$B$1)*D16*C16</f>
        <v>46194.134078212286</v>
      </c>
      <c r="G16">
        <f>(0.5)*$B$2*Table1315[[#This Row],[Wing Area (m^2)]]*$B$6*Table1315[[#This Row],[Cruising Speed (m/s)]]*Table1315[[#This Row],[Cruising Speed (m/s)]]</f>
        <v>0.11330254687500001</v>
      </c>
      <c r="H16">
        <f>(0.5)*$B$2*Table1315[[#This Row],[Wing Area (m^2)]]*$C$6*Table1315[[#This Row],[Cruising Speed (m/s)]]*Table1315[[#This Row],[Cruising Speed (m/s)]]</f>
        <v>0.92358319921875009</v>
      </c>
      <c r="I16">
        <f>(0.5)*$B$2*Table1315[[#This Row],[Wing Area (m^2)]]*$D$6*Table1315[[#This Row],[Cruising Speed (m/s)]]*Table1315[[#This Row],[Cruising Speed (m/s)]]</f>
        <v>1.7666546132812502</v>
      </c>
      <c r="L16" s="6">
        <f>A39</f>
        <v>1</v>
      </c>
      <c r="M16" s="5" cm="1">
        <f t="array" ref="M16:O16">G39:I39</f>
        <v>3.9213720000000003</v>
      </c>
      <c r="N16" s="5">
        <v>8.9223120000000016</v>
      </c>
      <c r="O16" s="5">
        <v>12.517233750000003</v>
      </c>
    </row>
    <row r="17" spans="1:15" x14ac:dyDescent="0.25">
      <c r="A17">
        <f>A16</f>
        <v>0.25</v>
      </c>
      <c r="B17">
        <v>6</v>
      </c>
      <c r="C17">
        <v>9</v>
      </c>
      <c r="D17">
        <f>Table1315[[#This Row],[Wingspan (m)]]/Table1315[[#This Row],[Wing Aspect Ratio]]</f>
        <v>4.1666666666666664E-2</v>
      </c>
      <c r="E17">
        <f>Table1315[[#This Row],[Average Wing Chord (m)]]*Table1315[[#This Row],[Wingspan (m)]]</f>
        <v>1.0416666666666666E-2</v>
      </c>
      <c r="F17">
        <f>($B$2/$B$1)*D17*C17</f>
        <v>25663.407821229048</v>
      </c>
      <c r="G17">
        <f>(0.5)*$B$2*Table1315[[#This Row],[Wing Area (m^2)]]*$B$6*Table1315[[#This Row],[Cruising Speed (m/s)]]*Table1315[[#This Row],[Cruising Speed (m/s)]]</f>
        <v>4.1963906249999995E-2</v>
      </c>
      <c r="H17">
        <f>(0.5)*$B$2*Table1315[[#This Row],[Wing Area (m^2)]]*$C$6*Table1315[[#This Row],[Cruising Speed (m/s)]]*Table1315[[#This Row],[Cruising Speed (m/s)]]</f>
        <v>0.34206785156249997</v>
      </c>
      <c r="I17">
        <f>(0.5)*$B$2*Table1315[[#This Row],[Wing Area (m^2)]]*$D$6*Table1315[[#This Row],[Cruising Speed (m/s)]]*Table1315[[#This Row],[Cruising Speed (m/s)]]</f>
        <v>0.65431652343749991</v>
      </c>
      <c r="L17" s="6">
        <f>A47</f>
        <v>1.25</v>
      </c>
      <c r="M17" s="5" cm="1">
        <f t="array" ref="M17:O17">G47:I47</f>
        <v>6.6728812499999997</v>
      </c>
      <c r="N17" s="5">
        <v>14.136461718750001</v>
      </c>
      <c r="O17" s="5">
        <v>19.520968359375004</v>
      </c>
    </row>
    <row r="18" spans="1:15" x14ac:dyDescent="0.25">
      <c r="A18">
        <f>A17</f>
        <v>0.25</v>
      </c>
      <c r="B18">
        <v>6</v>
      </c>
      <c r="C18">
        <v>13.5</v>
      </c>
      <c r="D18">
        <f>Table1315[[#This Row],[Wingspan (m)]]/Table1315[[#This Row],[Wing Aspect Ratio]]</f>
        <v>4.1666666666666664E-2</v>
      </c>
      <c r="E18">
        <f>Table1315[[#This Row],[Average Wing Chord (m)]]*Table1315[[#This Row],[Wingspan (m)]]</f>
        <v>1.0416666666666666E-2</v>
      </c>
      <c r="F18">
        <f>($B$2/$B$1)*D18*C18</f>
        <v>38495.111731843572</v>
      </c>
      <c r="G18">
        <f>(0.5)*$B$2*Table1315[[#This Row],[Wing Area (m^2)]]*$B$6*Table1315[[#This Row],[Cruising Speed (m/s)]]*Table1315[[#This Row],[Cruising Speed (m/s)]]</f>
        <v>9.441878906249998E-2</v>
      </c>
      <c r="H18">
        <f>(0.5)*$B$2*Table1315[[#This Row],[Wing Area (m^2)]]*$C$6*Table1315[[#This Row],[Cruising Speed (m/s)]]*Table1315[[#This Row],[Cruising Speed (m/s)]]</f>
        <v>0.76965266601562499</v>
      </c>
      <c r="I18">
        <f>(0.5)*$B$2*Table1315[[#This Row],[Wing Area (m^2)]]*$D$6*Table1315[[#This Row],[Cruising Speed (m/s)]]*Table1315[[#This Row],[Cruising Speed (m/s)]]</f>
        <v>1.4722121777343748</v>
      </c>
      <c r="L18" s="6">
        <f>A55</f>
        <v>1.5</v>
      </c>
      <c r="M18" s="5" cm="1">
        <f t="array" ref="M18:O18">G55:I55</f>
        <v>9.6089489999999991</v>
      </c>
      <c r="N18" s="5">
        <v>20.356504875000006</v>
      </c>
      <c r="O18" s="5">
        <v>28.110194437500002</v>
      </c>
    </row>
    <row r="20" spans="1:15" x14ac:dyDescent="0.25">
      <c r="A20" s="4" t="s">
        <v>11</v>
      </c>
      <c r="B20" s="4"/>
      <c r="C20" s="4"/>
      <c r="D20" s="4"/>
      <c r="E20" s="4"/>
      <c r="F20" s="4"/>
      <c r="G20" s="4"/>
      <c r="H20" s="4"/>
      <c r="I20" s="4"/>
      <c r="L20" s="7" t="s">
        <v>27</v>
      </c>
      <c r="M20" s="7"/>
      <c r="N20" s="7"/>
      <c r="O20" s="7"/>
    </row>
    <row r="21" spans="1:15" x14ac:dyDescent="0.25">
      <c r="A21" s="1" t="s">
        <v>5</v>
      </c>
      <c r="B21" s="1"/>
      <c r="C21" s="1"/>
      <c r="D21" s="1" t="s">
        <v>8</v>
      </c>
      <c r="E21" s="1"/>
      <c r="F21" s="1"/>
      <c r="G21" s="1"/>
      <c r="H21" s="1"/>
      <c r="I21" s="1"/>
      <c r="L21" s="2" t="s">
        <v>0</v>
      </c>
      <c r="M21" s="2" t="s">
        <v>32</v>
      </c>
      <c r="N21" s="2" t="s">
        <v>30</v>
      </c>
      <c r="O21" s="2" t="s">
        <v>31</v>
      </c>
    </row>
    <row r="22" spans="1:15" x14ac:dyDescent="0.25">
      <c r="A22" t="s">
        <v>3</v>
      </c>
      <c r="B22" t="s">
        <v>4</v>
      </c>
      <c r="C22" t="s">
        <v>7</v>
      </c>
      <c r="D22" t="s">
        <v>9</v>
      </c>
      <c r="E22" t="s">
        <v>10</v>
      </c>
      <c r="F22" t="s">
        <v>6</v>
      </c>
      <c r="G22" t="s">
        <v>23</v>
      </c>
      <c r="H22" t="s">
        <v>24</v>
      </c>
      <c r="I22" t="s">
        <v>25</v>
      </c>
      <c r="L22" s="6">
        <f>A16</f>
        <v>0.25</v>
      </c>
      <c r="M22" s="5" cm="1">
        <f t="array" ref="M22:O22">G16:I16</f>
        <v>0.11330254687500001</v>
      </c>
      <c r="N22" s="5">
        <v>0.92358319921875009</v>
      </c>
      <c r="O22" s="5">
        <v>1.7666546132812502</v>
      </c>
    </row>
    <row r="23" spans="1:15" x14ac:dyDescent="0.25">
      <c r="A23">
        <f>A15+0.25</f>
        <v>0.5</v>
      </c>
      <c r="B23">
        <v>5</v>
      </c>
      <c r="C23">
        <v>9</v>
      </c>
      <c r="D23">
        <f>Table131516[[#This Row],[Wingspan (m)]]/Table131516[[#This Row],[Wing Aspect Ratio]]</f>
        <v>0.1</v>
      </c>
      <c r="E23">
        <f>Table131516[[#This Row],[Average Wing Chord (m)]]*Table131516[[#This Row],[Wingspan (m)]]</f>
        <v>0.05</v>
      </c>
      <c r="F23">
        <f>($B$2/$B$1)*D23*C23</f>
        <v>61592.178770949715</v>
      </c>
      <c r="G23">
        <f t="shared" ref="G23:I23" si="0">(0.5)*$B$2*$E23*IF($F23&lt;75000,B$6,IF($F23&lt;150000,B$7,B$8))*$C23*$C23</f>
        <v>0.20142675000000002</v>
      </c>
      <c r="H23">
        <f t="shared" si="0"/>
        <v>1.6419256875000001</v>
      </c>
      <c r="I23">
        <f t="shared" si="0"/>
        <v>3.1407193125000004</v>
      </c>
      <c r="L23" s="6">
        <f>A24</f>
        <v>0.5</v>
      </c>
      <c r="M23" s="5" cm="1">
        <f t="array" ref="M23:O23">G24:I24</f>
        <v>2.2057717500000003</v>
      </c>
      <c r="N23" s="5">
        <v>5.0188005000000011</v>
      </c>
      <c r="O23" s="5">
        <v>7.0409439843750006</v>
      </c>
    </row>
    <row r="24" spans="1:15" x14ac:dyDescent="0.25">
      <c r="A24">
        <f>A23</f>
        <v>0.5</v>
      </c>
      <c r="B24">
        <v>5</v>
      </c>
      <c r="C24">
        <v>13.5</v>
      </c>
      <c r="D24">
        <f>Table131516[[#This Row],[Wingspan (m)]]/Table131516[[#This Row],[Wing Aspect Ratio]]</f>
        <v>0.1</v>
      </c>
      <c r="E24">
        <f>Table131516[[#This Row],[Average Wing Chord (m)]]*Table131516[[#This Row],[Wingspan (m)]]</f>
        <v>0.05</v>
      </c>
      <c r="F24">
        <f>($B$2/$B$1)*D24*C24</f>
        <v>92388.268156424572</v>
      </c>
      <c r="G24">
        <f t="shared" ref="G24:I26" si="1">(0.5)*$B$2*$E24*IF($F24&lt;75000,B$6,IF($F24&lt;150000,B$7,B$8))*$C24*$C24</f>
        <v>2.2057717500000003</v>
      </c>
      <c r="H24">
        <f t="shared" ref="H24:H26" si="2">(0.5)*$B$2*$E24*IF($F24&lt;75000,C$6,IF($F24&lt;150000,C$7,C$8))*$C24*$C24</f>
        <v>5.0188005000000011</v>
      </c>
      <c r="I24">
        <f t="shared" si="1"/>
        <v>7.0409439843750006</v>
      </c>
      <c r="L24" s="6">
        <f>A32</f>
        <v>0.75</v>
      </c>
      <c r="M24" s="5" cm="1">
        <f t="array" ref="M24:O24">G32:I32</f>
        <v>4.9629864374999997</v>
      </c>
      <c r="N24" s="5">
        <v>11.292301125</v>
      </c>
      <c r="O24" s="5">
        <v>15.842123964843751</v>
      </c>
    </row>
    <row r="25" spans="1:15" x14ac:dyDescent="0.25">
      <c r="A25">
        <f>A24</f>
        <v>0.5</v>
      </c>
      <c r="B25">
        <v>6</v>
      </c>
      <c r="C25">
        <v>9</v>
      </c>
      <c r="D25">
        <f>Table131516[[#This Row],[Wingspan (m)]]/Table131516[[#This Row],[Wing Aspect Ratio]]</f>
        <v>8.3333333333333329E-2</v>
      </c>
      <c r="E25">
        <f>Table131516[[#This Row],[Average Wing Chord (m)]]*Table131516[[#This Row],[Wingspan (m)]]</f>
        <v>4.1666666666666664E-2</v>
      </c>
      <c r="F25">
        <f>($B$2/$B$1)*D25*C25</f>
        <v>51326.815642458096</v>
      </c>
      <c r="G25">
        <f t="shared" si="1"/>
        <v>0.16785562499999998</v>
      </c>
      <c r="H25">
        <f t="shared" si="2"/>
        <v>1.3682714062499999</v>
      </c>
      <c r="I25">
        <f t="shared" si="1"/>
        <v>2.6172660937499996</v>
      </c>
      <c r="L25" s="6">
        <f>A40</f>
        <v>1</v>
      </c>
      <c r="M25" s="5" cm="1">
        <f t="array" ref="M25:O25">G40:I40</f>
        <v>9.6089490000000026</v>
      </c>
      <c r="N25" s="5">
        <v>20.356504875000002</v>
      </c>
      <c r="O25" s="5">
        <v>28.110194437500009</v>
      </c>
    </row>
    <row r="26" spans="1:15" x14ac:dyDescent="0.25">
      <c r="A26">
        <f>A25</f>
        <v>0.5</v>
      </c>
      <c r="B26">
        <v>6</v>
      </c>
      <c r="C26">
        <v>13.5</v>
      </c>
      <c r="D26">
        <f>Table131516[[#This Row],[Wingspan (m)]]/Table131516[[#This Row],[Wing Aspect Ratio]]</f>
        <v>8.3333333333333329E-2</v>
      </c>
      <c r="E26">
        <f>Table131516[[#This Row],[Average Wing Chord (m)]]*Table131516[[#This Row],[Wingspan (m)]]</f>
        <v>4.1666666666666664E-2</v>
      </c>
      <c r="F26">
        <f>($B$2/$B$1)*D26*C26</f>
        <v>76990.223463687144</v>
      </c>
      <c r="G26">
        <f t="shared" si="1"/>
        <v>1.838143125</v>
      </c>
      <c r="H26">
        <f t="shared" si="2"/>
        <v>4.1823337500000006</v>
      </c>
      <c r="I26">
        <f t="shared" si="1"/>
        <v>5.8674533203124994</v>
      </c>
      <c r="L26" s="6">
        <f>A48</f>
        <v>1.25</v>
      </c>
      <c r="M26" s="5" cm="1">
        <f t="array" ref="M26:O26">G48:I48</f>
        <v>15.013982812500002</v>
      </c>
      <c r="N26" s="5">
        <v>31.807038867187501</v>
      </c>
      <c r="O26" s="5">
        <v>43.922178808593756</v>
      </c>
    </row>
    <row r="27" spans="1:15" x14ac:dyDescent="0.25">
      <c r="L27" s="6">
        <f>A56</f>
        <v>1.5</v>
      </c>
      <c r="M27" s="5" cm="1">
        <f t="array" ref="M27:O27">G56:I56</f>
        <v>21.620135250000001</v>
      </c>
      <c r="N27" s="5">
        <v>45.802135968750008</v>
      </c>
      <c r="O27" s="5">
        <v>63.247937484375008</v>
      </c>
    </row>
    <row r="28" spans="1:15" x14ac:dyDescent="0.25">
      <c r="A28" s="4" t="s">
        <v>12</v>
      </c>
      <c r="B28" s="4"/>
      <c r="C28" s="4"/>
      <c r="D28" s="4"/>
      <c r="E28" s="4"/>
      <c r="F28" s="4"/>
      <c r="G28" s="4"/>
      <c r="H28" s="4"/>
      <c r="I28" s="4"/>
    </row>
    <row r="29" spans="1:15" x14ac:dyDescent="0.25">
      <c r="A29" s="1" t="s">
        <v>5</v>
      </c>
      <c r="B29" s="1"/>
      <c r="C29" s="1"/>
      <c r="D29" s="1" t="s">
        <v>8</v>
      </c>
      <c r="E29" s="1"/>
      <c r="F29" s="1"/>
      <c r="G29" s="1"/>
      <c r="H29" s="1"/>
      <c r="I29" s="1"/>
      <c r="L29" s="7" t="s">
        <v>28</v>
      </c>
      <c r="M29" s="7"/>
      <c r="N29" s="7"/>
      <c r="O29" s="7"/>
    </row>
    <row r="30" spans="1:15" x14ac:dyDescent="0.25">
      <c r="A30" t="s">
        <v>3</v>
      </c>
      <c r="B30" t="s">
        <v>4</v>
      </c>
      <c r="C30" t="s">
        <v>7</v>
      </c>
      <c r="D30" t="s">
        <v>9</v>
      </c>
      <c r="E30" t="s">
        <v>10</v>
      </c>
      <c r="F30" t="s">
        <v>6</v>
      </c>
      <c r="G30" t="s">
        <v>23</v>
      </c>
      <c r="H30" t="s">
        <v>24</v>
      </c>
      <c r="I30" t="s">
        <v>25</v>
      </c>
      <c r="L30" s="2" t="s">
        <v>0</v>
      </c>
      <c r="M30" s="2" t="s">
        <v>23</v>
      </c>
      <c r="N30" s="2" t="s">
        <v>24</v>
      </c>
      <c r="O30" s="2" t="s">
        <v>25</v>
      </c>
    </row>
    <row r="31" spans="1:15" x14ac:dyDescent="0.25">
      <c r="A31">
        <f>A23+0.25</f>
        <v>0.75</v>
      </c>
      <c r="B31">
        <v>5</v>
      </c>
      <c r="C31">
        <v>9</v>
      </c>
      <c r="D31">
        <f>Table13151621[[#This Row],[Wingspan (m)]]/Table13151621[[#This Row],[Wing Aspect Ratio]]</f>
        <v>0.15</v>
      </c>
      <c r="E31">
        <f>Table13151621[[#This Row],[Average Wing Chord (m)]]*Table13151621[[#This Row],[Wingspan (m)]]</f>
        <v>0.11249999999999999</v>
      </c>
      <c r="F31">
        <f>($B$2/$B$1)*D31*C31</f>
        <v>92388.268156424572</v>
      </c>
      <c r="G31">
        <f t="shared" ref="G31:G34" si="3">(0.5)*$B$2*$E31*IF($F31&lt;75000,B$6,IF($F31&lt;150000,B$7,B$8))*$C31*$C31</f>
        <v>2.2057717499999998</v>
      </c>
      <c r="H31">
        <f t="shared" ref="H31:H34" si="4">(0.5)*$B$2*$E31*IF($F31&lt;75000,C$6,IF($F31&lt;150000,C$7,C$8))*$C31*$C31</f>
        <v>5.0188005000000002</v>
      </c>
      <c r="I31">
        <f t="shared" ref="I31:I34" si="5">(0.5)*$B$2*$E31*IF($F31&lt;75000,D$6,IF($F31&lt;150000,D$7,D$8))*$C31*$C31</f>
        <v>7.0409439843750006</v>
      </c>
      <c r="L31" s="6">
        <f>A17</f>
        <v>0.25</v>
      </c>
      <c r="M31" s="5" cm="1">
        <f t="array" ref="M31:O31">G17:I17</f>
        <v>4.1963906249999995E-2</v>
      </c>
      <c r="N31" s="5">
        <v>0.34206785156249997</v>
      </c>
      <c r="O31" s="5">
        <v>0.65431652343749991</v>
      </c>
    </row>
    <row r="32" spans="1:15" x14ac:dyDescent="0.25">
      <c r="A32">
        <f>A31</f>
        <v>0.75</v>
      </c>
      <c r="B32">
        <v>5</v>
      </c>
      <c r="C32">
        <v>13.5</v>
      </c>
      <c r="D32">
        <f>Table13151621[[#This Row],[Wingspan (m)]]/Table13151621[[#This Row],[Wing Aspect Ratio]]</f>
        <v>0.15</v>
      </c>
      <c r="E32">
        <f>Table13151621[[#This Row],[Average Wing Chord (m)]]*Table13151621[[#This Row],[Wingspan (m)]]</f>
        <v>0.11249999999999999</v>
      </c>
      <c r="F32">
        <f>($B$2/$B$1)*D32*C32</f>
        <v>138582.40223463686</v>
      </c>
      <c r="G32">
        <f t="shared" si="3"/>
        <v>4.9629864374999997</v>
      </c>
      <c r="H32">
        <f t="shared" si="4"/>
        <v>11.292301125</v>
      </c>
      <c r="I32">
        <f t="shared" si="5"/>
        <v>15.842123964843751</v>
      </c>
      <c r="L32" s="6">
        <f>A25</f>
        <v>0.5</v>
      </c>
      <c r="M32" s="5" cm="1">
        <f t="array" ref="M32:O32">G25:I25</f>
        <v>0.16785562499999998</v>
      </c>
      <c r="N32" s="5">
        <v>1.3682714062499999</v>
      </c>
      <c r="O32" s="5">
        <v>2.6172660937499996</v>
      </c>
    </row>
    <row r="33" spans="1:15" x14ac:dyDescent="0.25">
      <c r="A33">
        <f>A32</f>
        <v>0.75</v>
      </c>
      <c r="B33">
        <v>6</v>
      </c>
      <c r="C33">
        <v>9</v>
      </c>
      <c r="D33">
        <f>Table13151621[[#This Row],[Wingspan (m)]]/Table13151621[[#This Row],[Wing Aspect Ratio]]</f>
        <v>0.125</v>
      </c>
      <c r="E33">
        <f>Table13151621[[#This Row],[Average Wing Chord (m)]]*Table13151621[[#This Row],[Wingspan (m)]]</f>
        <v>9.375E-2</v>
      </c>
      <c r="F33">
        <f>($B$2/$B$1)*D33*C33</f>
        <v>76990.223463687144</v>
      </c>
      <c r="G33">
        <f t="shared" si="3"/>
        <v>1.8381431250000002</v>
      </c>
      <c r="H33">
        <f t="shared" si="4"/>
        <v>4.1823337500000006</v>
      </c>
      <c r="I33">
        <f t="shared" si="5"/>
        <v>5.8674533203125003</v>
      </c>
      <c r="L33" s="6">
        <f>A33</f>
        <v>0.75</v>
      </c>
      <c r="M33" s="5" cm="1">
        <f t="array" ref="M33:O33">G33:I33</f>
        <v>1.8381431250000002</v>
      </c>
      <c r="N33" s="5">
        <v>4.1823337500000006</v>
      </c>
      <c r="O33" s="5">
        <v>5.8674533203125003</v>
      </c>
    </row>
    <row r="34" spans="1:15" x14ac:dyDescent="0.25">
      <c r="A34">
        <f>A33</f>
        <v>0.75</v>
      </c>
      <c r="B34">
        <v>6</v>
      </c>
      <c r="C34">
        <v>13.5</v>
      </c>
      <c r="D34">
        <f>Table13151621[[#This Row],[Wingspan (m)]]/Table13151621[[#This Row],[Wing Aspect Ratio]]</f>
        <v>0.125</v>
      </c>
      <c r="E34">
        <f>Table13151621[[#This Row],[Average Wing Chord (m)]]*Table13151621[[#This Row],[Wingspan (m)]]</f>
        <v>9.375E-2</v>
      </c>
      <c r="F34">
        <f>($B$2/$B$1)*D34*C34</f>
        <v>115485.33519553072</v>
      </c>
      <c r="G34">
        <f t="shared" si="3"/>
        <v>4.13582203125</v>
      </c>
      <c r="H34">
        <f t="shared" si="4"/>
        <v>9.4102509375000007</v>
      </c>
      <c r="I34">
        <f t="shared" si="5"/>
        <v>13.201769970703126</v>
      </c>
      <c r="L34" s="6">
        <f>A41</f>
        <v>1</v>
      </c>
      <c r="M34" s="5" cm="1">
        <f t="array" ref="M34:O34">G41:I41</f>
        <v>3.2678100000000003</v>
      </c>
      <c r="N34" s="5">
        <v>7.4352600000000013</v>
      </c>
      <c r="O34" s="5">
        <v>10.431028124999999</v>
      </c>
    </row>
    <row r="35" spans="1:15" x14ac:dyDescent="0.25">
      <c r="L35" s="6">
        <f>A49</f>
        <v>1.25</v>
      </c>
      <c r="M35" s="5" cm="1">
        <f t="array" ref="M35:O35">G49:I49</f>
        <v>5.105953125000001</v>
      </c>
      <c r="N35" s="5">
        <v>11.617593750000001</v>
      </c>
      <c r="O35" s="5">
        <v>16.2984814453125</v>
      </c>
    </row>
    <row r="36" spans="1:15" x14ac:dyDescent="0.25">
      <c r="A36" s="4" t="s">
        <v>13</v>
      </c>
      <c r="B36" s="4"/>
      <c r="C36" s="4"/>
      <c r="D36" s="4"/>
      <c r="E36" s="4"/>
      <c r="F36" s="4"/>
      <c r="G36" s="4"/>
      <c r="H36" s="4"/>
      <c r="I36" s="4"/>
      <c r="L36" s="6">
        <f>A57</f>
        <v>1.5</v>
      </c>
      <c r="M36" s="5" cm="1">
        <f t="array" ref="M36:O36">G57:I57</f>
        <v>8.007457500000001</v>
      </c>
      <c r="N36" s="5">
        <v>16.963754062500001</v>
      </c>
      <c r="O36" s="5">
        <v>23.425162031250004</v>
      </c>
    </row>
    <row r="37" spans="1:15" x14ac:dyDescent="0.25">
      <c r="A37" s="1" t="s">
        <v>5</v>
      </c>
      <c r="B37" s="1"/>
      <c r="C37" s="1"/>
      <c r="D37" s="1" t="s">
        <v>8</v>
      </c>
      <c r="E37" s="1"/>
      <c r="F37" s="1"/>
      <c r="G37" s="1"/>
      <c r="H37" s="1"/>
      <c r="I37" s="1"/>
    </row>
    <row r="38" spans="1:15" x14ac:dyDescent="0.25">
      <c r="A38" t="s">
        <v>3</v>
      </c>
      <c r="B38" t="s">
        <v>4</v>
      </c>
      <c r="C38" t="s">
        <v>7</v>
      </c>
      <c r="D38" t="s">
        <v>9</v>
      </c>
      <c r="E38" t="s">
        <v>10</v>
      </c>
      <c r="F38" t="s">
        <v>6</v>
      </c>
      <c r="G38" t="s">
        <v>23</v>
      </c>
      <c r="H38" t="s">
        <v>24</v>
      </c>
      <c r="I38" t="s">
        <v>25</v>
      </c>
      <c r="L38" s="7" t="s">
        <v>29</v>
      </c>
      <c r="M38" s="7"/>
      <c r="N38" s="7"/>
      <c r="O38" s="7"/>
    </row>
    <row r="39" spans="1:15" x14ac:dyDescent="0.25">
      <c r="A39">
        <f>A31+0.25</f>
        <v>1</v>
      </c>
      <c r="B39">
        <v>5</v>
      </c>
      <c r="C39">
        <v>9</v>
      </c>
      <c r="D39">
        <f>Table13151622[[#This Row],[Wingspan (m)]]/Table13151622[[#This Row],[Wing Aspect Ratio]]</f>
        <v>0.2</v>
      </c>
      <c r="E39">
        <f>Table13151622[[#This Row],[Average Wing Chord (m)]]*Table13151622[[#This Row],[Wingspan (m)]]</f>
        <v>0.2</v>
      </c>
      <c r="F39">
        <f>($B$2/$B$1)*D39*C39</f>
        <v>123184.35754189943</v>
      </c>
      <c r="G39">
        <f t="shared" ref="G39:G42" si="6">(0.5)*$B$2*$E39*IF($F39&lt;75000,B$6,IF($F39&lt;150000,B$7,B$8))*$C39*$C39</f>
        <v>3.9213720000000003</v>
      </c>
      <c r="H39">
        <f t="shared" ref="H39:H42" si="7">(0.5)*$B$2*$E39*IF($F39&lt;75000,C$6,IF($F39&lt;150000,C$7,C$8))*$C39*$C39</f>
        <v>8.9223120000000016</v>
      </c>
      <c r="I39">
        <f t="shared" ref="I39:I42" si="8">(0.5)*$B$2*$E39*IF($F39&lt;75000,D$6,IF($F39&lt;150000,D$7,D$8))*$C39*$C39</f>
        <v>12.517233750000003</v>
      </c>
      <c r="L39" s="2" t="s">
        <v>0</v>
      </c>
      <c r="M39" s="2" t="s">
        <v>23</v>
      </c>
      <c r="N39" s="2" t="s">
        <v>24</v>
      </c>
      <c r="O39" s="2" t="s">
        <v>25</v>
      </c>
    </row>
    <row r="40" spans="1:15" x14ac:dyDescent="0.25">
      <c r="A40">
        <f>A39</f>
        <v>1</v>
      </c>
      <c r="B40">
        <v>5</v>
      </c>
      <c r="C40">
        <v>13.5</v>
      </c>
      <c r="D40">
        <f>Table13151622[[#This Row],[Wingspan (m)]]/Table13151622[[#This Row],[Wing Aspect Ratio]]</f>
        <v>0.2</v>
      </c>
      <c r="E40">
        <f>Table13151622[[#This Row],[Average Wing Chord (m)]]*Table13151622[[#This Row],[Wingspan (m)]]</f>
        <v>0.2</v>
      </c>
      <c r="F40">
        <f>($B$2/$B$1)*D40*C40</f>
        <v>184776.53631284914</v>
      </c>
      <c r="G40">
        <f t="shared" si="6"/>
        <v>9.6089490000000026</v>
      </c>
      <c r="H40">
        <f t="shared" si="7"/>
        <v>20.356504875000002</v>
      </c>
      <c r="I40">
        <f t="shared" si="8"/>
        <v>28.110194437500009</v>
      </c>
      <c r="L40" s="6">
        <f>A18</f>
        <v>0.25</v>
      </c>
      <c r="M40" s="5" cm="1">
        <f t="array" ref="M40:O40">G18:I18</f>
        <v>9.441878906249998E-2</v>
      </c>
      <c r="N40" s="5">
        <v>0.76965266601562499</v>
      </c>
      <c r="O40" s="5">
        <v>1.4722121777343748</v>
      </c>
    </row>
    <row r="41" spans="1:15" x14ac:dyDescent="0.25">
      <c r="A41">
        <f>A40</f>
        <v>1</v>
      </c>
      <c r="B41">
        <v>6</v>
      </c>
      <c r="C41">
        <v>9</v>
      </c>
      <c r="D41">
        <f>Table13151622[[#This Row],[Wingspan (m)]]/Table13151622[[#This Row],[Wing Aspect Ratio]]</f>
        <v>0.16666666666666666</v>
      </c>
      <c r="E41">
        <f>Table13151622[[#This Row],[Average Wing Chord (m)]]*Table13151622[[#This Row],[Wingspan (m)]]</f>
        <v>0.16666666666666666</v>
      </c>
      <c r="F41">
        <f>($B$2/$B$1)*D41*C41</f>
        <v>102653.63128491619</v>
      </c>
      <c r="G41">
        <f t="shared" si="6"/>
        <v>3.2678100000000003</v>
      </c>
      <c r="H41">
        <f t="shared" si="7"/>
        <v>7.4352600000000013</v>
      </c>
      <c r="I41">
        <f t="shared" si="8"/>
        <v>10.431028124999999</v>
      </c>
      <c r="L41" s="6">
        <f>A26</f>
        <v>0.5</v>
      </c>
      <c r="M41" s="5" cm="1">
        <f t="array" ref="M41:O41">G26:I26</f>
        <v>1.838143125</v>
      </c>
      <c r="N41" s="5">
        <v>4.1823337500000006</v>
      </c>
      <c r="O41" s="5">
        <v>5.8674533203124994</v>
      </c>
    </row>
    <row r="42" spans="1:15" x14ac:dyDescent="0.25">
      <c r="A42">
        <f>A41</f>
        <v>1</v>
      </c>
      <c r="B42">
        <v>6</v>
      </c>
      <c r="C42">
        <v>13.5</v>
      </c>
      <c r="D42">
        <f>Table13151622[[#This Row],[Wingspan (m)]]/Table13151622[[#This Row],[Wing Aspect Ratio]]</f>
        <v>0.16666666666666666</v>
      </c>
      <c r="E42">
        <f>Table13151622[[#This Row],[Average Wing Chord (m)]]*Table13151622[[#This Row],[Wingspan (m)]]</f>
        <v>0.16666666666666666</v>
      </c>
      <c r="F42">
        <f>($B$2/$B$1)*D42*C42</f>
        <v>153980.44692737429</v>
      </c>
      <c r="G42">
        <f t="shared" si="6"/>
        <v>8.007457500000001</v>
      </c>
      <c r="H42">
        <f t="shared" si="7"/>
        <v>16.963754062500001</v>
      </c>
      <c r="I42">
        <f t="shared" si="8"/>
        <v>23.42516203125</v>
      </c>
      <c r="L42" s="6">
        <f>A34</f>
        <v>0.75</v>
      </c>
      <c r="M42" s="5" cm="1">
        <f t="array" ref="M42:O42">G34:I34</f>
        <v>4.13582203125</v>
      </c>
      <c r="N42" s="5">
        <v>9.4102509375000007</v>
      </c>
      <c r="O42" s="5">
        <v>13.201769970703126</v>
      </c>
    </row>
    <row r="43" spans="1:15" x14ac:dyDescent="0.25">
      <c r="L43" s="6">
        <f>A42</f>
        <v>1</v>
      </c>
      <c r="M43" s="5" cm="1">
        <f t="array" ref="M43:O43">G42:I42</f>
        <v>8.007457500000001</v>
      </c>
      <c r="N43" s="5">
        <v>16.963754062500001</v>
      </c>
      <c r="O43" s="5">
        <v>23.42516203125</v>
      </c>
    </row>
    <row r="44" spans="1:15" x14ac:dyDescent="0.25">
      <c r="A44" s="4" t="s">
        <v>14</v>
      </c>
      <c r="B44" s="4"/>
      <c r="C44" s="4"/>
      <c r="D44" s="4"/>
      <c r="E44" s="4"/>
      <c r="F44" s="4"/>
      <c r="G44" s="4"/>
      <c r="H44" s="4"/>
      <c r="I44" s="4"/>
      <c r="L44" s="6">
        <f>A50</f>
        <v>1.25</v>
      </c>
      <c r="M44" s="5" cm="1">
        <f t="array" ref="M44:O44">G50:I50</f>
        <v>12.511652343750002</v>
      </c>
      <c r="N44" s="5">
        <v>26.50586572265625</v>
      </c>
      <c r="O44" s="5">
        <v>36.601815673828128</v>
      </c>
    </row>
    <row r="45" spans="1:15" x14ac:dyDescent="0.25">
      <c r="A45" s="1" t="s">
        <v>5</v>
      </c>
      <c r="B45" s="1"/>
      <c r="C45" s="1"/>
      <c r="D45" s="1" t="s">
        <v>8</v>
      </c>
      <c r="E45" s="1"/>
      <c r="F45" s="1"/>
      <c r="G45" s="1"/>
      <c r="H45" s="1"/>
      <c r="I45" s="1"/>
      <c r="L45" s="6">
        <f>A58</f>
        <v>1.5</v>
      </c>
      <c r="M45" s="5" cm="1">
        <f t="array" ref="M45:O45">G58:I58</f>
        <v>18.016779375000002</v>
      </c>
      <c r="N45" s="5">
        <v>38.168446640625007</v>
      </c>
      <c r="O45" s="5">
        <v>52.706614570312503</v>
      </c>
    </row>
    <row r="46" spans="1:15" x14ac:dyDescent="0.25">
      <c r="A46" t="s">
        <v>3</v>
      </c>
      <c r="B46" t="s">
        <v>4</v>
      </c>
      <c r="C46" t="s">
        <v>7</v>
      </c>
      <c r="D46" t="s">
        <v>9</v>
      </c>
      <c r="E46" t="s">
        <v>10</v>
      </c>
      <c r="F46" t="s">
        <v>6</v>
      </c>
      <c r="G46" t="s">
        <v>23</v>
      </c>
      <c r="H46" t="s">
        <v>24</v>
      </c>
      <c r="I46" t="s">
        <v>25</v>
      </c>
    </row>
    <row r="47" spans="1:15" x14ac:dyDescent="0.25">
      <c r="A47">
        <f>A39+0.25</f>
        <v>1.25</v>
      </c>
      <c r="B47">
        <v>5</v>
      </c>
      <c r="C47">
        <v>9</v>
      </c>
      <c r="D47">
        <f>Table13151623[[#This Row],[Wingspan (m)]]/Table13151623[[#This Row],[Wing Aspect Ratio]]</f>
        <v>0.25</v>
      </c>
      <c r="E47">
        <f>Table13151623[[#This Row],[Average Wing Chord (m)]]*Table13151623[[#This Row],[Wingspan (m)]]</f>
        <v>0.3125</v>
      </c>
      <c r="F47">
        <f>($B$2/$B$1)*D47*C47</f>
        <v>153980.44692737429</v>
      </c>
      <c r="G47">
        <f t="shared" ref="G47:G50" si="9">(0.5)*$B$2*$E47*IF($F47&lt;75000,B$6,IF($F47&lt;150000,B$7,B$8))*$C47*$C47</f>
        <v>6.6728812499999997</v>
      </c>
      <c r="H47">
        <f t="shared" ref="H47:H50" si="10">(0.5)*$B$2*$E47*IF($F47&lt;75000,C$6,IF($F47&lt;150000,C$7,C$8))*$C47*$C47</f>
        <v>14.136461718750001</v>
      </c>
      <c r="I47">
        <f t="shared" ref="I47:I50" si="11">(0.5)*$B$2*$E47*IF($F47&lt;75000,D$6,IF($F47&lt;150000,D$7,D$8))*$C47*$C47</f>
        <v>19.520968359375004</v>
      </c>
    </row>
    <row r="48" spans="1:15" x14ac:dyDescent="0.25">
      <c r="A48">
        <f>A47</f>
        <v>1.25</v>
      </c>
      <c r="B48">
        <v>5</v>
      </c>
      <c r="C48">
        <v>13.5</v>
      </c>
      <c r="D48">
        <f>Table13151623[[#This Row],[Wingspan (m)]]/Table13151623[[#This Row],[Wing Aspect Ratio]]</f>
        <v>0.25</v>
      </c>
      <c r="E48">
        <f>Table13151623[[#This Row],[Average Wing Chord (m)]]*Table13151623[[#This Row],[Wingspan (m)]]</f>
        <v>0.3125</v>
      </c>
      <c r="F48">
        <f>($B$2/$B$1)*D48*C48</f>
        <v>230970.67039106143</v>
      </c>
      <c r="G48">
        <f t="shared" si="9"/>
        <v>15.013982812500002</v>
      </c>
      <c r="H48">
        <f t="shared" si="10"/>
        <v>31.807038867187501</v>
      </c>
      <c r="I48">
        <f t="shared" si="11"/>
        <v>43.922178808593756</v>
      </c>
    </row>
    <row r="49" spans="1:9" x14ac:dyDescent="0.25">
      <c r="A49">
        <f>A48</f>
        <v>1.25</v>
      </c>
      <c r="B49">
        <v>6</v>
      </c>
      <c r="C49">
        <v>9</v>
      </c>
      <c r="D49">
        <f>Table13151623[[#This Row],[Wingspan (m)]]/Table13151623[[#This Row],[Wing Aspect Ratio]]</f>
        <v>0.20833333333333334</v>
      </c>
      <c r="E49">
        <f>Table13151623[[#This Row],[Average Wing Chord (m)]]*Table13151623[[#This Row],[Wingspan (m)]]</f>
        <v>0.26041666666666669</v>
      </c>
      <c r="F49">
        <f>($B$2/$B$1)*D49*C49</f>
        <v>128317.03910614524</v>
      </c>
      <c r="G49">
        <f t="shared" si="9"/>
        <v>5.105953125000001</v>
      </c>
      <c r="H49">
        <f t="shared" si="10"/>
        <v>11.617593750000001</v>
      </c>
      <c r="I49">
        <f t="shared" si="11"/>
        <v>16.2984814453125</v>
      </c>
    </row>
    <row r="50" spans="1:9" x14ac:dyDescent="0.25">
      <c r="A50">
        <f>A49</f>
        <v>1.25</v>
      </c>
      <c r="B50">
        <v>6</v>
      </c>
      <c r="C50">
        <v>13.5</v>
      </c>
      <c r="D50">
        <f>Table13151623[[#This Row],[Wingspan (m)]]/Table13151623[[#This Row],[Wing Aspect Ratio]]</f>
        <v>0.20833333333333334</v>
      </c>
      <c r="E50">
        <f>Table13151623[[#This Row],[Average Wing Chord (m)]]*Table13151623[[#This Row],[Wingspan (m)]]</f>
        <v>0.26041666666666669</v>
      </c>
      <c r="F50">
        <f>($B$2/$B$1)*D50*C50</f>
        <v>192475.55865921787</v>
      </c>
      <c r="G50">
        <f t="shared" si="9"/>
        <v>12.511652343750002</v>
      </c>
      <c r="H50">
        <f t="shared" si="10"/>
        <v>26.50586572265625</v>
      </c>
      <c r="I50">
        <f t="shared" si="11"/>
        <v>36.601815673828128</v>
      </c>
    </row>
    <row r="52" spans="1:9" x14ac:dyDescent="0.25">
      <c r="A52" s="4" t="s">
        <v>15</v>
      </c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1" t="s">
        <v>5</v>
      </c>
      <c r="B53" s="1"/>
      <c r="C53" s="1"/>
      <c r="D53" s="1" t="s">
        <v>8</v>
      </c>
      <c r="E53" s="1"/>
      <c r="F53" s="1"/>
      <c r="G53" s="1"/>
      <c r="H53" s="1"/>
      <c r="I53" s="1"/>
    </row>
    <row r="54" spans="1:9" x14ac:dyDescent="0.25">
      <c r="A54" t="s">
        <v>3</v>
      </c>
      <c r="B54" t="s">
        <v>4</v>
      </c>
      <c r="C54" t="s">
        <v>7</v>
      </c>
      <c r="D54" t="s">
        <v>9</v>
      </c>
      <c r="E54" t="s">
        <v>10</v>
      </c>
      <c r="F54" t="s">
        <v>6</v>
      </c>
      <c r="G54" t="s">
        <v>23</v>
      </c>
      <c r="H54" t="s">
        <v>24</v>
      </c>
      <c r="I54" t="s">
        <v>25</v>
      </c>
    </row>
    <row r="55" spans="1:9" x14ac:dyDescent="0.25">
      <c r="A55">
        <f>A47+0.25</f>
        <v>1.5</v>
      </c>
      <c r="B55">
        <v>5</v>
      </c>
      <c r="C55">
        <v>9</v>
      </c>
      <c r="D55">
        <f>Table13151624[[#This Row],[Wingspan (m)]]/Table13151624[[#This Row],[Wing Aspect Ratio]]</f>
        <v>0.3</v>
      </c>
      <c r="E55">
        <f>Table13151624[[#This Row],[Average Wing Chord (m)]]*Table13151624[[#This Row],[Wingspan (m)]]</f>
        <v>0.44999999999999996</v>
      </c>
      <c r="F55">
        <f>($B$2/$B$1)*D55*C55</f>
        <v>184776.53631284914</v>
      </c>
      <c r="G55">
        <f t="shared" ref="G55:G58" si="12">(0.5)*$B$2*$E55*IF($F55&lt;75000,B$6,IF($F55&lt;150000,B$7,B$8))*$C55*$C55</f>
        <v>9.6089489999999991</v>
      </c>
      <c r="H55">
        <f t="shared" ref="H55:H58" si="13">(0.5)*$B$2*$E55*IF($F55&lt;75000,C$6,IF($F55&lt;150000,C$7,C$8))*$C55*$C55</f>
        <v>20.356504875000006</v>
      </c>
      <c r="I55">
        <f t="shared" ref="I55:I58" si="14">(0.5)*$B$2*$E55*IF($F55&lt;75000,D$6,IF($F55&lt;150000,D$7,D$8))*$C55*$C55</f>
        <v>28.110194437500002</v>
      </c>
    </row>
    <row r="56" spans="1:9" x14ac:dyDescent="0.25">
      <c r="A56">
        <f>A55</f>
        <v>1.5</v>
      </c>
      <c r="B56">
        <v>5</v>
      </c>
      <c r="C56">
        <v>13.5</v>
      </c>
      <c r="D56">
        <f>Table13151624[[#This Row],[Wingspan (m)]]/Table13151624[[#This Row],[Wing Aspect Ratio]]</f>
        <v>0.3</v>
      </c>
      <c r="E56">
        <f>Table13151624[[#This Row],[Average Wing Chord (m)]]*Table13151624[[#This Row],[Wingspan (m)]]</f>
        <v>0.44999999999999996</v>
      </c>
      <c r="F56">
        <f>($B$2/$B$1)*D56*C56</f>
        <v>277164.80446927372</v>
      </c>
      <c r="G56">
        <f t="shared" si="12"/>
        <v>21.620135250000001</v>
      </c>
      <c r="H56">
        <f t="shared" si="13"/>
        <v>45.802135968750008</v>
      </c>
      <c r="I56">
        <f t="shared" si="14"/>
        <v>63.247937484375008</v>
      </c>
    </row>
    <row r="57" spans="1:9" x14ac:dyDescent="0.25">
      <c r="A57">
        <f>A56</f>
        <v>1.5</v>
      </c>
      <c r="B57">
        <v>6</v>
      </c>
      <c r="C57">
        <v>9</v>
      </c>
      <c r="D57">
        <f>Table13151624[[#This Row],[Wingspan (m)]]/Table13151624[[#This Row],[Wing Aspect Ratio]]</f>
        <v>0.25</v>
      </c>
      <c r="E57">
        <f>Table13151624[[#This Row],[Average Wing Chord (m)]]*Table13151624[[#This Row],[Wingspan (m)]]</f>
        <v>0.375</v>
      </c>
      <c r="F57">
        <f>($B$2/$B$1)*D57*C57</f>
        <v>153980.44692737429</v>
      </c>
      <c r="G57">
        <f t="shared" si="12"/>
        <v>8.007457500000001</v>
      </c>
      <c r="H57">
        <f t="shared" si="13"/>
        <v>16.963754062500001</v>
      </c>
      <c r="I57">
        <f t="shared" si="14"/>
        <v>23.425162031250004</v>
      </c>
    </row>
    <row r="58" spans="1:9" x14ac:dyDescent="0.25">
      <c r="A58">
        <f>A57</f>
        <v>1.5</v>
      </c>
      <c r="B58">
        <v>6</v>
      </c>
      <c r="C58">
        <v>13.5</v>
      </c>
      <c r="D58">
        <f>Table13151624[[#This Row],[Wingspan (m)]]/Table13151624[[#This Row],[Wing Aspect Ratio]]</f>
        <v>0.25</v>
      </c>
      <c r="E58">
        <f>Table13151624[[#This Row],[Average Wing Chord (m)]]*Table13151624[[#This Row],[Wingspan (m)]]</f>
        <v>0.375</v>
      </c>
      <c r="F58">
        <f>($B$2/$B$1)*D58*C58</f>
        <v>230970.67039106143</v>
      </c>
      <c r="G58">
        <f t="shared" si="12"/>
        <v>18.016779375000002</v>
      </c>
      <c r="H58">
        <f t="shared" si="13"/>
        <v>38.168446640625007</v>
      </c>
      <c r="I58">
        <f t="shared" si="14"/>
        <v>52.706614570312503</v>
      </c>
    </row>
  </sheetData>
  <mergeCells count="22">
    <mergeCell ref="A53:C53"/>
    <mergeCell ref="D53:I53"/>
    <mergeCell ref="L11:O11"/>
    <mergeCell ref="L20:O20"/>
    <mergeCell ref="L29:O29"/>
    <mergeCell ref="L38:O38"/>
    <mergeCell ref="A37:C37"/>
    <mergeCell ref="D37:I37"/>
    <mergeCell ref="A44:I44"/>
    <mergeCell ref="A45:C45"/>
    <mergeCell ref="D45:I45"/>
    <mergeCell ref="A52:I52"/>
    <mergeCell ref="D13:I13"/>
    <mergeCell ref="A12:I12"/>
    <mergeCell ref="A13:C13"/>
    <mergeCell ref="A20:I20"/>
    <mergeCell ref="A21:C21"/>
    <mergeCell ref="D21:I21"/>
    <mergeCell ref="A28:I28"/>
    <mergeCell ref="A29:C29"/>
    <mergeCell ref="D29:I29"/>
    <mergeCell ref="A36:I36"/>
  </mergeCells>
  <conditionalFormatting sqref="M13:O18">
    <cfRule type="cellIs" dxfId="41" priority="19" operator="lessThan">
      <formula>9.81</formula>
    </cfRule>
    <cfRule type="cellIs" dxfId="40" priority="20" operator="greaterThan">
      <formula>13</formula>
    </cfRule>
    <cfRule type="cellIs" dxfId="39" priority="29" operator="between">
      <formula>9.81</formula>
      <formula>13</formula>
    </cfRule>
  </conditionalFormatting>
  <conditionalFormatting sqref="M22:O27">
    <cfRule type="cellIs" dxfId="38" priority="7" operator="lessThan">
      <formula>9.81</formula>
    </cfRule>
    <cfRule type="cellIs" dxfId="37" priority="8" operator="greaterThan">
      <formula>13</formula>
    </cfRule>
    <cfRule type="cellIs" dxfId="36" priority="9" operator="between">
      <formula>9.81</formula>
      <formula>13</formula>
    </cfRule>
  </conditionalFormatting>
  <conditionalFormatting sqref="M31:O36">
    <cfRule type="cellIs" dxfId="35" priority="4" operator="lessThan">
      <formula>9.81</formula>
    </cfRule>
    <cfRule type="cellIs" dxfId="34" priority="5" operator="greaterThan">
      <formula>13</formula>
    </cfRule>
    <cfRule type="cellIs" dxfId="33" priority="6" operator="between">
      <formula>9.81</formula>
      <formula>13</formula>
    </cfRule>
  </conditionalFormatting>
  <conditionalFormatting sqref="M40:O45">
    <cfRule type="cellIs" dxfId="32" priority="1" operator="lessThan">
      <formula>9.81</formula>
    </cfRule>
    <cfRule type="cellIs" dxfId="31" priority="2" operator="greaterThan">
      <formula>13</formula>
    </cfRule>
    <cfRule type="cellIs" dxfId="30" priority="3" operator="between">
      <formula>9.81</formula>
      <formula>13</formula>
    </cfRule>
  </conditionalFormatting>
  <pageMargins left="0.7" right="0.7" top="0.75" bottom="0.75" header="0.3" footer="0.3"/>
  <pageSetup orientation="portrait" horizontalDpi="0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D9E8-C363-4043-8E5E-BB9E4B59A8BE}">
  <dimension ref="A1:O58"/>
  <sheetViews>
    <sheetView topLeftCell="A22" workbookViewId="0">
      <selection activeCell="A12" sqref="A12:I58"/>
    </sheetView>
  </sheetViews>
  <sheetFormatPr defaultRowHeight="15" x14ac:dyDescent="0.25"/>
  <cols>
    <col min="1" max="1" width="22.7109375" bestFit="1" customWidth="1"/>
    <col min="2" max="2" width="19.7109375" bestFit="1" customWidth="1"/>
    <col min="3" max="3" width="22" bestFit="1" customWidth="1"/>
    <col min="4" max="4" width="25.42578125" bestFit="1" customWidth="1"/>
    <col min="5" max="5" width="18.28515625" bestFit="1" customWidth="1"/>
    <col min="7" max="7" width="20.42578125" bestFit="1" customWidth="1"/>
    <col min="8" max="8" width="20" bestFit="1" customWidth="1"/>
    <col min="9" max="9" width="21" bestFit="1" customWidth="1"/>
    <col min="12" max="12" width="16.140625" customWidth="1"/>
    <col min="13" max="13" width="25.85546875" bestFit="1" customWidth="1"/>
    <col min="14" max="14" width="25.28515625" bestFit="1" customWidth="1"/>
    <col min="15" max="15" width="26.42578125" bestFit="1" customWidth="1"/>
  </cols>
  <sheetData>
    <row r="1" spans="1:15" x14ac:dyDescent="0.25">
      <c r="A1" t="s">
        <v>1</v>
      </c>
      <c r="B1">
        <v>1.7900000000000001E-5</v>
      </c>
    </row>
    <row r="2" spans="1:15" x14ac:dyDescent="0.25">
      <c r="A2" t="s">
        <v>2</v>
      </c>
      <c r="B2">
        <v>1.2250000000000001</v>
      </c>
    </row>
    <row r="4" spans="1:15" x14ac:dyDescent="0.25">
      <c r="A4" t="s">
        <v>17</v>
      </c>
      <c r="B4" t="s">
        <v>18</v>
      </c>
    </row>
    <row r="5" spans="1:15" x14ac:dyDescent="0.25">
      <c r="A5" t="s">
        <v>6</v>
      </c>
      <c r="B5" t="s">
        <v>19</v>
      </c>
      <c r="C5" t="s">
        <v>20</v>
      </c>
      <c r="D5" t="s">
        <v>21</v>
      </c>
    </row>
    <row r="6" spans="1:15" x14ac:dyDescent="0.25">
      <c r="A6" s="3">
        <v>50000</v>
      </c>
      <c r="B6">
        <v>8.1199999999999994E-2</v>
      </c>
      <c r="C6">
        <v>0.66190000000000004</v>
      </c>
      <c r="D6">
        <v>1.2661</v>
      </c>
      <c r="E6" s="3"/>
    </row>
    <row r="7" spans="1:15" x14ac:dyDescent="0.25">
      <c r="A7" s="3">
        <v>100000</v>
      </c>
      <c r="B7">
        <v>0.3952</v>
      </c>
      <c r="C7">
        <v>0.8992</v>
      </c>
      <c r="D7">
        <v>1.2615000000000001</v>
      </c>
      <c r="E7" s="3"/>
      <c r="L7" t="s">
        <v>36</v>
      </c>
    </row>
    <row r="8" spans="1:15" x14ac:dyDescent="0.25">
      <c r="A8" s="3">
        <v>200000</v>
      </c>
      <c r="B8">
        <v>0.4304</v>
      </c>
      <c r="C8">
        <v>0.91180000000000005</v>
      </c>
      <c r="D8">
        <v>1.2591000000000001</v>
      </c>
      <c r="E8" s="3"/>
      <c r="L8" t="s">
        <v>37</v>
      </c>
    </row>
    <row r="11" spans="1:15" x14ac:dyDescent="0.25">
      <c r="L11" s="7" t="s">
        <v>38</v>
      </c>
      <c r="M11" s="7"/>
      <c r="N11" s="7"/>
      <c r="O11" s="7"/>
    </row>
    <row r="12" spans="1:15" x14ac:dyDescent="0.25">
      <c r="A12" s="4" t="s">
        <v>16</v>
      </c>
      <c r="B12" s="4"/>
      <c r="C12" s="4"/>
      <c r="D12" s="4"/>
      <c r="E12" s="4"/>
      <c r="F12" s="4"/>
      <c r="G12" s="4"/>
      <c r="H12" s="4"/>
      <c r="I12" s="4"/>
      <c r="L12" s="2" t="s">
        <v>0</v>
      </c>
      <c r="M12" s="2" t="s">
        <v>33</v>
      </c>
      <c r="N12" s="2" t="s">
        <v>34</v>
      </c>
      <c r="O12" s="2" t="s">
        <v>35</v>
      </c>
    </row>
    <row r="13" spans="1:15" x14ac:dyDescent="0.25">
      <c r="A13" s="1" t="s">
        <v>5</v>
      </c>
      <c r="B13" s="1"/>
      <c r="C13" s="1"/>
      <c r="D13" s="1" t="s">
        <v>8</v>
      </c>
      <c r="E13" s="1"/>
      <c r="F13" s="1"/>
      <c r="G13" s="1"/>
      <c r="H13" s="1"/>
      <c r="I13" s="1"/>
      <c r="L13" s="6">
        <f>A15</f>
        <v>0.25</v>
      </c>
      <c r="M13" s="5" cm="1">
        <f t="array" ref="M13:O13">G15:I15</f>
        <v>0.13987968750000002</v>
      </c>
      <c r="N13" s="5">
        <v>1.1402261718750002</v>
      </c>
      <c r="O13" s="5">
        <v>2.1810550781250004</v>
      </c>
    </row>
    <row r="14" spans="1:15" x14ac:dyDescent="0.25">
      <c r="A14" t="s">
        <v>3</v>
      </c>
      <c r="B14" t="s">
        <v>4</v>
      </c>
      <c r="C14" t="s">
        <v>7</v>
      </c>
      <c r="D14" t="s">
        <v>9</v>
      </c>
      <c r="E14" t="s">
        <v>10</v>
      </c>
      <c r="F14" t="s">
        <v>6</v>
      </c>
      <c r="G14" t="s">
        <v>23</v>
      </c>
      <c r="H14" t="s">
        <v>24</v>
      </c>
      <c r="I14" t="s">
        <v>25</v>
      </c>
      <c r="L14" s="6">
        <f>A23</f>
        <v>0.5</v>
      </c>
      <c r="M14" s="5" cm="1">
        <f t="array" ref="M14:O14">G23:I23</f>
        <v>2.7231750000000003</v>
      </c>
      <c r="N14" s="5">
        <v>6.1960500000000005</v>
      </c>
      <c r="O14" s="5">
        <v>8.6925234375000002</v>
      </c>
    </row>
    <row r="15" spans="1:15" x14ac:dyDescent="0.25">
      <c r="A15">
        <v>0.25</v>
      </c>
      <c r="B15">
        <v>5</v>
      </c>
      <c r="C15">
        <v>15</v>
      </c>
      <c r="D15">
        <f>Table131527[[#This Row],[Wingspan (m)]]/Table131527[[#This Row],[Wing Aspect Ratio]]</f>
        <v>0.05</v>
      </c>
      <c r="E15">
        <f>Table131527[[#This Row],[Average Wing Chord (m)]]*Table131527[[#This Row],[Wingspan (m)]]</f>
        <v>1.2500000000000001E-2</v>
      </c>
      <c r="F15">
        <f>($B$2/$B$1)*D15*C15</f>
        <v>51326.815642458096</v>
      </c>
      <c r="G15">
        <f>(0.5)*$B$2*Table131527[[#This Row],[Wing Area (m^2)]]*$B$6*Table131527[[#This Row],[Cruising Speed (m/s)]]*Table131527[[#This Row],[Cruising Speed (m/s)]]</f>
        <v>0.13987968750000002</v>
      </c>
      <c r="H15">
        <f>(0.5)*$B$2*Table131527[[#This Row],[Wing Area (m^2)]]*$C$6*Table131527[[#This Row],[Cruising Speed (m/s)]]*Table131527[[#This Row],[Cruising Speed (m/s)]]</f>
        <v>1.1402261718750002</v>
      </c>
      <c r="I15">
        <f>(0.5)*$B$2*Table131527[[#This Row],[Wing Area (m^2)]]*$D$6*Table131527[[#This Row],[Cruising Speed (m/s)]]*Table131527[[#This Row],[Cruising Speed (m/s)]]</f>
        <v>2.1810550781250004</v>
      </c>
      <c r="L15" s="6">
        <f>A31</f>
        <v>0.75</v>
      </c>
      <c r="M15" s="5" cm="1">
        <f t="array" ref="M15:O15">G31:I31</f>
        <v>6.6728812499999997</v>
      </c>
      <c r="N15" s="5">
        <v>14.136461718750002</v>
      </c>
      <c r="O15" s="5">
        <v>19.520968359375001</v>
      </c>
    </row>
    <row r="16" spans="1:15" x14ac:dyDescent="0.25">
      <c r="A16">
        <f>A15</f>
        <v>0.25</v>
      </c>
      <c r="B16">
        <v>5</v>
      </c>
      <c r="C16">
        <v>17</v>
      </c>
      <c r="D16">
        <f>Table131527[[#This Row],[Wingspan (m)]]/Table131527[[#This Row],[Wing Aspect Ratio]]</f>
        <v>0.05</v>
      </c>
      <c r="E16">
        <f>Table131527[[#This Row],[Average Wing Chord (m)]]*Table131527[[#This Row],[Wingspan (m)]]</f>
        <v>1.2500000000000001E-2</v>
      </c>
      <c r="F16">
        <f>($B$2/$B$1)*D16*C16</f>
        <v>58170.391061452508</v>
      </c>
      <c r="G16">
        <f>(0.5)*$B$2*Table131527[[#This Row],[Wing Area (m^2)]]*$B$6*Table131527[[#This Row],[Cruising Speed (m/s)]]*Table131527[[#This Row],[Cruising Speed (m/s)]]</f>
        <v>0.17966768750000003</v>
      </c>
      <c r="H16">
        <f>(0.5)*$B$2*Table131527[[#This Row],[Wing Area (m^2)]]*$C$6*Table131527[[#This Row],[Cruising Speed (m/s)]]*Table131527[[#This Row],[Cruising Speed (m/s)]]</f>
        <v>1.4645571718750001</v>
      </c>
      <c r="I16">
        <f>(0.5)*$B$2*Table131527[[#This Row],[Wing Area (m^2)]]*$D$6*Table131527[[#This Row],[Cruising Speed (m/s)]]*Table131527[[#This Row],[Cruising Speed (m/s)]]</f>
        <v>2.8014440781250003</v>
      </c>
      <c r="L16" s="6">
        <f>A39</f>
        <v>1</v>
      </c>
      <c r="M16" s="5" cm="1">
        <f t="array" ref="M16:O16">G39:I39</f>
        <v>11.862900000000002</v>
      </c>
      <c r="N16" s="5">
        <v>25.131487500000006</v>
      </c>
      <c r="O16" s="5">
        <v>34.703943750000008</v>
      </c>
    </row>
    <row r="17" spans="1:15" x14ac:dyDescent="0.25">
      <c r="A17">
        <f>A16</f>
        <v>0.25</v>
      </c>
      <c r="B17">
        <v>6</v>
      </c>
      <c r="C17">
        <v>15</v>
      </c>
      <c r="D17">
        <f>Table131527[[#This Row],[Wingspan (m)]]/Table131527[[#This Row],[Wing Aspect Ratio]]</f>
        <v>4.1666666666666664E-2</v>
      </c>
      <c r="E17">
        <f>Table131527[[#This Row],[Average Wing Chord (m)]]*Table131527[[#This Row],[Wingspan (m)]]</f>
        <v>1.0416666666666666E-2</v>
      </c>
      <c r="F17">
        <f>($B$2/$B$1)*D17*C17</f>
        <v>42772.34636871508</v>
      </c>
      <c r="G17">
        <f>(0.5)*$B$2*Table131527[[#This Row],[Wing Area (m^2)]]*$B$6*Table131527[[#This Row],[Cruising Speed (m/s)]]*Table131527[[#This Row],[Cruising Speed (m/s)]]</f>
        <v>0.11656640624999998</v>
      </c>
      <c r="H17">
        <f>(0.5)*$B$2*Table131527[[#This Row],[Wing Area (m^2)]]*$C$6*Table131527[[#This Row],[Cruising Speed (m/s)]]*Table131527[[#This Row],[Cruising Speed (m/s)]]</f>
        <v>0.95018847656249994</v>
      </c>
      <c r="I17">
        <f>(0.5)*$B$2*Table131527[[#This Row],[Wing Area (m^2)]]*$D$6*Table131527[[#This Row],[Cruising Speed (m/s)]]*Table131527[[#This Row],[Cruising Speed (m/s)]]</f>
        <v>1.8175458984374999</v>
      </c>
      <c r="L17" s="6">
        <f>A47</f>
        <v>1.2</v>
      </c>
      <c r="M17" s="5" cm="1">
        <f t="array" ref="M17:O17">G47:I47</f>
        <v>17.082576</v>
      </c>
      <c r="N17" s="5">
        <v>36.189342000000003</v>
      </c>
      <c r="O17" s="5">
        <v>49.973679000000004</v>
      </c>
    </row>
    <row r="18" spans="1:15" x14ac:dyDescent="0.25">
      <c r="A18">
        <f>A17</f>
        <v>0.25</v>
      </c>
      <c r="B18">
        <v>6</v>
      </c>
      <c r="C18">
        <v>17</v>
      </c>
      <c r="D18">
        <f>Table131527[[#This Row],[Wingspan (m)]]/Table131527[[#This Row],[Wing Aspect Ratio]]</f>
        <v>4.1666666666666664E-2</v>
      </c>
      <c r="E18">
        <f>Table131527[[#This Row],[Average Wing Chord (m)]]*Table131527[[#This Row],[Wingspan (m)]]</f>
        <v>1.0416666666666666E-2</v>
      </c>
      <c r="F18">
        <f>($B$2/$B$1)*D18*C18</f>
        <v>48475.325884543752</v>
      </c>
      <c r="G18">
        <f>(0.5)*$B$2*Table131527[[#This Row],[Wing Area (m^2)]]*$B$6*Table131527[[#This Row],[Cruising Speed (m/s)]]*Table131527[[#This Row],[Cruising Speed (m/s)]]</f>
        <v>0.14972307291666662</v>
      </c>
      <c r="H18">
        <f>(0.5)*$B$2*Table131527[[#This Row],[Wing Area (m^2)]]*$C$6*Table131527[[#This Row],[Cruising Speed (m/s)]]*Table131527[[#This Row],[Cruising Speed (m/s)]]</f>
        <v>1.2204643098958334</v>
      </c>
      <c r="I18">
        <f>(0.5)*$B$2*Table131527[[#This Row],[Wing Area (m^2)]]*$D$6*Table131527[[#This Row],[Cruising Speed (m/s)]]*Table131527[[#This Row],[Cruising Speed (m/s)]]</f>
        <v>2.3345367317708332</v>
      </c>
      <c r="L18" s="6">
        <f>A55</f>
        <v>1.5</v>
      </c>
      <c r="M18" s="5" cm="1">
        <f t="array" ref="M18:O18">G55:I55</f>
        <v>26.691524999999999</v>
      </c>
      <c r="N18" s="5">
        <v>56.545846875000009</v>
      </c>
      <c r="O18" s="5">
        <v>78.083873437500003</v>
      </c>
    </row>
    <row r="20" spans="1:15" x14ac:dyDescent="0.25">
      <c r="A20" s="4" t="s">
        <v>11</v>
      </c>
      <c r="B20" s="4"/>
      <c r="C20" s="4"/>
      <c r="D20" s="4"/>
      <c r="E20" s="4"/>
      <c r="F20" s="4"/>
      <c r="G20" s="4"/>
      <c r="H20" s="4"/>
      <c r="I20" s="4"/>
      <c r="L20" s="7" t="s">
        <v>40</v>
      </c>
      <c r="M20" s="7"/>
      <c r="N20" s="7"/>
      <c r="O20" s="7"/>
    </row>
    <row r="21" spans="1:15" x14ac:dyDescent="0.25">
      <c r="A21" s="1" t="s">
        <v>5</v>
      </c>
      <c r="B21" s="1"/>
      <c r="C21" s="1"/>
      <c r="D21" s="1" t="s">
        <v>8</v>
      </c>
      <c r="E21" s="1"/>
      <c r="F21" s="1"/>
      <c r="G21" s="1"/>
      <c r="H21" s="1"/>
      <c r="I21" s="1"/>
      <c r="L21" s="2" t="s">
        <v>0</v>
      </c>
      <c r="M21" s="2" t="s">
        <v>32</v>
      </c>
      <c r="N21" s="2" t="s">
        <v>30</v>
      </c>
      <c r="O21" s="2" t="s">
        <v>31</v>
      </c>
    </row>
    <row r="22" spans="1:15" x14ac:dyDescent="0.25">
      <c r="A22" t="s">
        <v>3</v>
      </c>
      <c r="B22" t="s">
        <v>4</v>
      </c>
      <c r="C22" t="s">
        <v>7</v>
      </c>
      <c r="D22" t="s">
        <v>9</v>
      </c>
      <c r="E22" t="s">
        <v>10</v>
      </c>
      <c r="F22" t="s">
        <v>6</v>
      </c>
      <c r="G22" t="s">
        <v>23</v>
      </c>
      <c r="H22" t="s">
        <v>24</v>
      </c>
      <c r="I22" t="s">
        <v>25</v>
      </c>
      <c r="L22" s="6">
        <f>A16</f>
        <v>0.25</v>
      </c>
      <c r="M22" s="5" cm="1">
        <f t="array" ref="M22:O22">G16:I16</f>
        <v>0.17966768750000003</v>
      </c>
      <c r="N22" s="5">
        <v>1.4645571718750001</v>
      </c>
      <c r="O22" s="5">
        <v>2.8014440781250003</v>
      </c>
    </row>
    <row r="23" spans="1:15" x14ac:dyDescent="0.25">
      <c r="A23">
        <f>A15+0.25</f>
        <v>0.5</v>
      </c>
      <c r="B23">
        <v>5</v>
      </c>
      <c r="C23">
        <v>15</v>
      </c>
      <c r="D23">
        <f>Table13151628[[#This Row],[Wingspan (m)]]/Table13151628[[#This Row],[Wing Aspect Ratio]]</f>
        <v>0.1</v>
      </c>
      <c r="E23">
        <f>Table13151628[[#This Row],[Average Wing Chord (m)]]*Table13151628[[#This Row],[Wingspan (m)]]</f>
        <v>0.05</v>
      </c>
      <c r="F23">
        <f>($B$2/$B$1)*D23*C23</f>
        <v>102653.63128491619</v>
      </c>
      <c r="G23">
        <f t="shared" ref="G23:I26" si="0">(0.5)*$B$2*$E23*IF($F23&lt;75000,B$6,IF($F23&lt;150000,B$7,B$8))*$C23*$C23</f>
        <v>2.7231750000000003</v>
      </c>
      <c r="H23">
        <f t="shared" si="0"/>
        <v>6.1960500000000005</v>
      </c>
      <c r="I23">
        <f t="shared" si="0"/>
        <v>8.6925234375000002</v>
      </c>
      <c r="L23" s="6">
        <f>A24</f>
        <v>0.5</v>
      </c>
      <c r="M23" s="5" cm="1">
        <f t="array" ref="M23:O23">G24:I24</f>
        <v>3.4977670000000005</v>
      </c>
      <c r="N23" s="5">
        <v>7.9584820000000009</v>
      </c>
      <c r="O23" s="5">
        <v>11.165063437500002</v>
      </c>
    </row>
    <row r="24" spans="1:15" x14ac:dyDescent="0.25">
      <c r="A24">
        <f>A23</f>
        <v>0.5</v>
      </c>
      <c r="B24">
        <v>5</v>
      </c>
      <c r="C24">
        <v>17</v>
      </c>
      <c r="D24">
        <f>Table13151628[[#This Row],[Wingspan (m)]]/Table13151628[[#This Row],[Wing Aspect Ratio]]</f>
        <v>0.1</v>
      </c>
      <c r="E24">
        <f>Table13151628[[#This Row],[Average Wing Chord (m)]]*Table13151628[[#This Row],[Wingspan (m)]]</f>
        <v>0.05</v>
      </c>
      <c r="F24">
        <f>($B$2/$B$1)*D24*C24</f>
        <v>116340.78212290502</v>
      </c>
      <c r="G24">
        <f t="shared" si="0"/>
        <v>3.4977670000000005</v>
      </c>
      <c r="H24">
        <f t="shared" si="0"/>
        <v>7.9584820000000009</v>
      </c>
      <c r="I24">
        <f t="shared" si="0"/>
        <v>11.165063437500002</v>
      </c>
      <c r="L24" s="6">
        <f>A32</f>
        <v>0.75</v>
      </c>
      <c r="M24" s="5" cm="1">
        <f t="array" ref="M24:O24">G32:I32</f>
        <v>8.5709452500000012</v>
      </c>
      <c r="N24" s="5">
        <v>18.157499718750003</v>
      </c>
      <c r="O24" s="5">
        <v>25.073599359375006</v>
      </c>
    </row>
    <row r="25" spans="1:15" x14ac:dyDescent="0.25">
      <c r="A25">
        <f>A24</f>
        <v>0.5</v>
      </c>
      <c r="B25">
        <v>6</v>
      </c>
      <c r="C25">
        <v>15</v>
      </c>
      <c r="D25">
        <f>Table13151628[[#This Row],[Wingspan (m)]]/Table13151628[[#This Row],[Wing Aspect Ratio]]</f>
        <v>8.3333333333333329E-2</v>
      </c>
      <c r="E25">
        <f>Table13151628[[#This Row],[Average Wing Chord (m)]]*Table13151628[[#This Row],[Wingspan (m)]]</f>
        <v>4.1666666666666664E-2</v>
      </c>
      <c r="F25">
        <f>($B$2/$B$1)*D25*C25</f>
        <v>85544.692737430159</v>
      </c>
      <c r="G25">
        <f t="shared" si="0"/>
        <v>2.2693125000000003</v>
      </c>
      <c r="H25">
        <f t="shared" si="0"/>
        <v>5.1633750000000003</v>
      </c>
      <c r="I25">
        <f t="shared" si="0"/>
        <v>7.2437695312499999</v>
      </c>
      <c r="L25" s="6">
        <f>A40</f>
        <v>1</v>
      </c>
      <c r="M25" s="5" cm="1">
        <f t="array" ref="M25:O25">G40:I40</f>
        <v>15.237236000000001</v>
      </c>
      <c r="N25" s="5">
        <v>32.279999500000002</v>
      </c>
      <c r="O25" s="5">
        <v>44.575287750000008</v>
      </c>
    </row>
    <row r="26" spans="1:15" x14ac:dyDescent="0.25">
      <c r="A26">
        <f>A25</f>
        <v>0.5</v>
      </c>
      <c r="B26">
        <v>6</v>
      </c>
      <c r="C26">
        <v>17</v>
      </c>
      <c r="D26">
        <f>Table13151628[[#This Row],[Wingspan (m)]]/Table13151628[[#This Row],[Wing Aspect Ratio]]</f>
        <v>8.3333333333333329E-2</v>
      </c>
      <c r="E26">
        <f>Table13151628[[#This Row],[Average Wing Chord (m)]]*Table13151628[[#This Row],[Wingspan (m)]]</f>
        <v>4.1666666666666664E-2</v>
      </c>
      <c r="F26">
        <f>($B$2/$B$1)*D26*C26</f>
        <v>96950.651769087504</v>
      </c>
      <c r="G26">
        <f t="shared" si="0"/>
        <v>2.9148058333333333</v>
      </c>
      <c r="H26">
        <f t="shared" si="0"/>
        <v>6.6320683333333337</v>
      </c>
      <c r="I26">
        <f t="shared" si="0"/>
        <v>9.3042195312500002</v>
      </c>
      <c r="L26" s="6">
        <f>A48</f>
        <v>1.2</v>
      </c>
      <c r="M26" s="5" cm="1">
        <f t="array" ref="M26:O26">G48:I48</f>
        <v>21.941619840000001</v>
      </c>
      <c r="N26" s="5">
        <v>46.483199280000001</v>
      </c>
      <c r="O26" s="5">
        <v>64.188414359999996</v>
      </c>
    </row>
    <row r="27" spans="1:15" x14ac:dyDescent="0.25">
      <c r="L27" s="6">
        <f>A56</f>
        <v>1.5</v>
      </c>
      <c r="M27" s="5" cm="1">
        <f t="array" ref="M27:O27">G56:I56</f>
        <v>34.283781000000005</v>
      </c>
      <c r="N27" s="5">
        <v>72.629998875000013</v>
      </c>
      <c r="O27" s="5">
        <v>100.29439743750002</v>
      </c>
    </row>
    <row r="28" spans="1:15" x14ac:dyDescent="0.25">
      <c r="A28" s="4" t="s">
        <v>12</v>
      </c>
      <c r="B28" s="4"/>
      <c r="C28" s="4"/>
      <c r="D28" s="4"/>
      <c r="E28" s="4"/>
      <c r="F28" s="4"/>
      <c r="G28" s="4"/>
      <c r="H28" s="4"/>
      <c r="I28" s="4"/>
    </row>
    <row r="29" spans="1:15" x14ac:dyDescent="0.25">
      <c r="A29" s="1" t="s">
        <v>5</v>
      </c>
      <c r="B29" s="1"/>
      <c r="C29" s="1"/>
      <c r="D29" s="1" t="s">
        <v>8</v>
      </c>
      <c r="E29" s="1"/>
      <c r="F29" s="1"/>
      <c r="G29" s="1"/>
      <c r="H29" s="1"/>
      <c r="I29" s="1"/>
      <c r="L29" s="7" t="s">
        <v>39</v>
      </c>
      <c r="M29" s="7"/>
      <c r="N29" s="7"/>
      <c r="O29" s="7"/>
    </row>
    <row r="30" spans="1:15" x14ac:dyDescent="0.25">
      <c r="A30" t="s">
        <v>3</v>
      </c>
      <c r="B30" t="s">
        <v>4</v>
      </c>
      <c r="C30" t="s">
        <v>7</v>
      </c>
      <c r="D30" t="s">
        <v>9</v>
      </c>
      <c r="E30" t="s">
        <v>10</v>
      </c>
      <c r="F30" t="s">
        <v>6</v>
      </c>
      <c r="G30" t="s">
        <v>23</v>
      </c>
      <c r="H30" t="s">
        <v>24</v>
      </c>
      <c r="I30" t="s">
        <v>25</v>
      </c>
      <c r="L30" s="2" t="s">
        <v>0</v>
      </c>
      <c r="M30" s="2" t="s">
        <v>23</v>
      </c>
      <c r="N30" s="2" t="s">
        <v>24</v>
      </c>
      <c r="O30" s="2" t="s">
        <v>25</v>
      </c>
    </row>
    <row r="31" spans="1:15" x14ac:dyDescent="0.25">
      <c r="A31">
        <f>A23+0.25</f>
        <v>0.75</v>
      </c>
      <c r="B31">
        <v>5</v>
      </c>
      <c r="C31">
        <v>15</v>
      </c>
      <c r="D31">
        <f>Table1315162129[[#This Row],[Wingspan (m)]]/Table1315162129[[#This Row],[Wing Aspect Ratio]]</f>
        <v>0.15</v>
      </c>
      <c r="E31">
        <f>Table1315162129[[#This Row],[Average Wing Chord (m)]]*Table1315162129[[#This Row],[Wingspan (m)]]</f>
        <v>0.11249999999999999</v>
      </c>
      <c r="F31">
        <f>($B$2/$B$1)*D31*C31</f>
        <v>153980.44692737429</v>
      </c>
      <c r="G31">
        <f t="shared" ref="G31:I34" si="1">(0.5)*$B$2*$E31*IF($F31&lt;75000,B$6,IF($F31&lt;150000,B$7,B$8))*$C31*$C31</f>
        <v>6.6728812499999997</v>
      </c>
      <c r="H31">
        <f t="shared" si="1"/>
        <v>14.136461718750002</v>
      </c>
      <c r="I31">
        <f t="shared" si="1"/>
        <v>19.520968359375001</v>
      </c>
      <c r="L31" s="6">
        <f>A17</f>
        <v>0.25</v>
      </c>
      <c r="M31" s="5" cm="1">
        <f t="array" ref="M31:O31">G17:I17</f>
        <v>0.11656640624999998</v>
      </c>
      <c r="N31" s="5">
        <v>0.95018847656249994</v>
      </c>
      <c r="O31" s="5">
        <v>1.8175458984374999</v>
      </c>
    </row>
    <row r="32" spans="1:15" x14ac:dyDescent="0.25">
      <c r="A32">
        <f>A31</f>
        <v>0.75</v>
      </c>
      <c r="B32">
        <v>5</v>
      </c>
      <c r="C32">
        <v>17</v>
      </c>
      <c r="D32">
        <f>Table1315162129[[#This Row],[Wingspan (m)]]/Table1315162129[[#This Row],[Wing Aspect Ratio]]</f>
        <v>0.15</v>
      </c>
      <c r="E32">
        <f>Table1315162129[[#This Row],[Average Wing Chord (m)]]*Table1315162129[[#This Row],[Wingspan (m)]]</f>
        <v>0.11249999999999999</v>
      </c>
      <c r="F32">
        <f>($B$2/$B$1)*D32*C32</f>
        <v>174511.17318435753</v>
      </c>
      <c r="G32">
        <f t="shared" si="1"/>
        <v>8.5709452500000012</v>
      </c>
      <c r="H32">
        <f t="shared" si="1"/>
        <v>18.157499718750003</v>
      </c>
      <c r="I32">
        <f t="shared" si="1"/>
        <v>25.073599359375006</v>
      </c>
      <c r="L32" s="6">
        <f>A25</f>
        <v>0.5</v>
      </c>
      <c r="M32" s="5" cm="1">
        <f t="array" ref="M32:O32">G25:I25</f>
        <v>2.2693125000000003</v>
      </c>
      <c r="N32" s="5">
        <v>5.1633750000000003</v>
      </c>
      <c r="O32" s="5">
        <v>7.2437695312499999</v>
      </c>
    </row>
    <row r="33" spans="1:15" x14ac:dyDescent="0.25">
      <c r="A33">
        <f>A32</f>
        <v>0.75</v>
      </c>
      <c r="B33">
        <v>6</v>
      </c>
      <c r="C33">
        <v>15</v>
      </c>
      <c r="D33">
        <f>Table1315162129[[#This Row],[Wingspan (m)]]/Table1315162129[[#This Row],[Wing Aspect Ratio]]</f>
        <v>0.125</v>
      </c>
      <c r="E33">
        <f>Table1315162129[[#This Row],[Average Wing Chord (m)]]*Table1315162129[[#This Row],[Wingspan (m)]]</f>
        <v>9.375E-2</v>
      </c>
      <c r="F33">
        <f>($B$2/$B$1)*D33*C33</f>
        <v>128317.03910614524</v>
      </c>
      <c r="G33">
        <f t="shared" si="1"/>
        <v>5.105953125000001</v>
      </c>
      <c r="H33">
        <f t="shared" si="1"/>
        <v>11.617593750000001</v>
      </c>
      <c r="I33">
        <f t="shared" si="1"/>
        <v>16.2984814453125</v>
      </c>
      <c r="L33" s="6">
        <f>A33</f>
        <v>0.75</v>
      </c>
      <c r="M33" s="5" cm="1">
        <f t="array" ref="M33:O33">G33:I33</f>
        <v>5.105953125000001</v>
      </c>
      <c r="N33" s="5">
        <v>11.617593750000001</v>
      </c>
      <c r="O33" s="5">
        <v>16.2984814453125</v>
      </c>
    </row>
    <row r="34" spans="1:15" x14ac:dyDescent="0.25">
      <c r="A34">
        <f>A33</f>
        <v>0.75</v>
      </c>
      <c r="B34">
        <v>6</v>
      </c>
      <c r="C34">
        <v>17</v>
      </c>
      <c r="D34">
        <f>Table1315162129[[#This Row],[Wingspan (m)]]/Table1315162129[[#This Row],[Wing Aspect Ratio]]</f>
        <v>0.125</v>
      </c>
      <c r="E34">
        <f>Table1315162129[[#This Row],[Average Wing Chord (m)]]*Table1315162129[[#This Row],[Wingspan (m)]]</f>
        <v>9.375E-2</v>
      </c>
      <c r="F34">
        <f>($B$2/$B$1)*D34*C34</f>
        <v>145425.97765363127</v>
      </c>
      <c r="G34">
        <f t="shared" si="1"/>
        <v>6.5583131249999997</v>
      </c>
      <c r="H34">
        <f t="shared" si="1"/>
        <v>14.922153750000001</v>
      </c>
      <c r="I34">
        <f t="shared" si="1"/>
        <v>20.934493945312504</v>
      </c>
      <c r="L34" s="6">
        <f>A41</f>
        <v>1</v>
      </c>
      <c r="M34" s="5" cm="1">
        <f t="array" ref="M34:O34">G41:I41</f>
        <v>9.8857499999999998</v>
      </c>
      <c r="N34" s="5">
        <v>20.94290625</v>
      </c>
      <c r="O34" s="5">
        <v>28.919953124999999</v>
      </c>
    </row>
    <row r="35" spans="1:15" x14ac:dyDescent="0.25">
      <c r="L35" s="6">
        <f>A49</f>
        <v>1.2</v>
      </c>
      <c r="M35" s="5" cm="1">
        <f t="array" ref="M35:O35">G49:I49</f>
        <v>14.235479999999999</v>
      </c>
      <c r="N35" s="5">
        <v>30.157785000000001</v>
      </c>
      <c r="O35" s="5">
        <v>41.644732499999996</v>
      </c>
    </row>
    <row r="36" spans="1:15" x14ac:dyDescent="0.25">
      <c r="A36" s="4" t="s">
        <v>13</v>
      </c>
      <c r="B36" s="4"/>
      <c r="C36" s="4"/>
      <c r="D36" s="4"/>
      <c r="E36" s="4"/>
      <c r="F36" s="4"/>
      <c r="G36" s="4"/>
      <c r="H36" s="4"/>
      <c r="I36" s="4"/>
      <c r="L36" s="6">
        <f>A57</f>
        <v>1.5</v>
      </c>
      <c r="M36" s="5" cm="1">
        <f t="array" ref="M36:O36">G57:I57</f>
        <v>22.242937500000004</v>
      </c>
      <c r="N36" s="5">
        <v>47.121539062500013</v>
      </c>
      <c r="O36" s="5">
        <v>65.06989453125</v>
      </c>
    </row>
    <row r="37" spans="1:15" x14ac:dyDescent="0.25">
      <c r="A37" s="1" t="s">
        <v>5</v>
      </c>
      <c r="B37" s="1"/>
      <c r="C37" s="1"/>
      <c r="D37" s="1" t="s">
        <v>8</v>
      </c>
      <c r="E37" s="1"/>
      <c r="F37" s="1"/>
      <c r="G37" s="1"/>
      <c r="H37" s="1"/>
      <c r="I37" s="1"/>
    </row>
    <row r="38" spans="1:15" x14ac:dyDescent="0.25">
      <c r="A38" t="s">
        <v>3</v>
      </c>
      <c r="B38" t="s">
        <v>4</v>
      </c>
      <c r="C38" t="s">
        <v>7</v>
      </c>
      <c r="D38" t="s">
        <v>9</v>
      </c>
      <c r="E38" t="s">
        <v>10</v>
      </c>
      <c r="F38" t="s">
        <v>6</v>
      </c>
      <c r="G38" t="s">
        <v>23</v>
      </c>
      <c r="H38" t="s">
        <v>24</v>
      </c>
      <c r="I38" t="s">
        <v>25</v>
      </c>
      <c r="L38" s="7" t="s">
        <v>41</v>
      </c>
      <c r="M38" s="7"/>
      <c r="N38" s="7"/>
      <c r="O38" s="7"/>
    </row>
    <row r="39" spans="1:15" x14ac:dyDescent="0.25">
      <c r="A39">
        <f>A31+0.25</f>
        <v>1</v>
      </c>
      <c r="B39">
        <v>5</v>
      </c>
      <c r="C39">
        <v>15</v>
      </c>
      <c r="D39">
        <f>Table1315162230[[#This Row],[Wingspan (m)]]/Table1315162230[[#This Row],[Wing Aspect Ratio]]</f>
        <v>0.2</v>
      </c>
      <c r="E39">
        <f>Table1315162230[[#This Row],[Average Wing Chord (m)]]*Table1315162230[[#This Row],[Wingspan (m)]]</f>
        <v>0.2</v>
      </c>
      <c r="F39">
        <f>($B$2/$B$1)*D39*C39</f>
        <v>205307.26256983238</v>
      </c>
      <c r="G39">
        <f t="shared" ref="G39:I42" si="2">(0.5)*$B$2*$E39*IF($F39&lt;75000,B$6,IF($F39&lt;150000,B$7,B$8))*$C39*$C39</f>
        <v>11.862900000000002</v>
      </c>
      <c r="H39">
        <f t="shared" si="2"/>
        <v>25.131487500000006</v>
      </c>
      <c r="I39">
        <f t="shared" si="2"/>
        <v>34.703943750000008</v>
      </c>
      <c r="L39" s="2" t="s">
        <v>0</v>
      </c>
      <c r="M39" s="2" t="s">
        <v>23</v>
      </c>
      <c r="N39" s="2" t="s">
        <v>24</v>
      </c>
      <c r="O39" s="2" t="s">
        <v>25</v>
      </c>
    </row>
    <row r="40" spans="1:15" x14ac:dyDescent="0.25">
      <c r="A40">
        <f>A39</f>
        <v>1</v>
      </c>
      <c r="B40">
        <v>5</v>
      </c>
      <c r="C40">
        <v>17</v>
      </c>
      <c r="D40">
        <f>Table1315162230[[#This Row],[Wingspan (m)]]/Table1315162230[[#This Row],[Wing Aspect Ratio]]</f>
        <v>0.2</v>
      </c>
      <c r="E40">
        <f>Table1315162230[[#This Row],[Average Wing Chord (m)]]*Table1315162230[[#This Row],[Wingspan (m)]]</f>
        <v>0.2</v>
      </c>
      <c r="F40">
        <f>($B$2/$B$1)*D40*C40</f>
        <v>232681.56424581003</v>
      </c>
      <c r="G40">
        <f t="shared" si="2"/>
        <v>15.237236000000001</v>
      </c>
      <c r="H40">
        <f t="shared" si="2"/>
        <v>32.279999500000002</v>
      </c>
      <c r="I40">
        <f t="shared" si="2"/>
        <v>44.575287750000008</v>
      </c>
      <c r="L40" s="6">
        <f>A18</f>
        <v>0.25</v>
      </c>
      <c r="M40" s="5" cm="1">
        <f t="array" ref="M40:O40">G18:I18</f>
        <v>0.14972307291666662</v>
      </c>
      <c r="N40" s="5">
        <v>1.2204643098958334</v>
      </c>
      <c r="O40" s="5">
        <v>2.3345367317708332</v>
      </c>
    </row>
    <row r="41" spans="1:15" x14ac:dyDescent="0.25">
      <c r="A41">
        <f>A40</f>
        <v>1</v>
      </c>
      <c r="B41">
        <v>6</v>
      </c>
      <c r="C41">
        <v>15</v>
      </c>
      <c r="D41">
        <f>Table1315162230[[#This Row],[Wingspan (m)]]/Table1315162230[[#This Row],[Wing Aspect Ratio]]</f>
        <v>0.16666666666666666</v>
      </c>
      <c r="E41">
        <f>Table1315162230[[#This Row],[Average Wing Chord (m)]]*Table1315162230[[#This Row],[Wingspan (m)]]</f>
        <v>0.16666666666666666</v>
      </c>
      <c r="F41">
        <f>($B$2/$B$1)*D41*C41</f>
        <v>171089.38547486032</v>
      </c>
      <c r="G41">
        <f t="shared" si="2"/>
        <v>9.8857499999999998</v>
      </c>
      <c r="H41">
        <f t="shared" si="2"/>
        <v>20.94290625</v>
      </c>
      <c r="I41">
        <f t="shared" si="2"/>
        <v>28.919953124999999</v>
      </c>
      <c r="L41" s="6">
        <f>A26</f>
        <v>0.5</v>
      </c>
      <c r="M41" s="5" cm="1">
        <f t="array" ref="M41:O41">G26:I26</f>
        <v>2.9148058333333333</v>
      </c>
      <c r="N41" s="5">
        <v>6.6320683333333337</v>
      </c>
      <c r="O41" s="5">
        <v>9.3042195312500002</v>
      </c>
    </row>
    <row r="42" spans="1:15" x14ac:dyDescent="0.25">
      <c r="A42">
        <f>A41</f>
        <v>1</v>
      </c>
      <c r="B42">
        <v>6</v>
      </c>
      <c r="C42">
        <v>17</v>
      </c>
      <c r="D42">
        <f>Table1315162230[[#This Row],[Wingspan (m)]]/Table1315162230[[#This Row],[Wing Aspect Ratio]]</f>
        <v>0.16666666666666666</v>
      </c>
      <c r="E42">
        <f>Table1315162230[[#This Row],[Average Wing Chord (m)]]*Table1315162230[[#This Row],[Wingspan (m)]]</f>
        <v>0.16666666666666666</v>
      </c>
      <c r="F42">
        <f>($B$2/$B$1)*D42*C42</f>
        <v>193901.30353817501</v>
      </c>
      <c r="G42">
        <f t="shared" si="2"/>
        <v>12.697696666666666</v>
      </c>
      <c r="H42">
        <f t="shared" si="2"/>
        <v>26.899999583333337</v>
      </c>
      <c r="I42">
        <f t="shared" si="2"/>
        <v>37.146073125000001</v>
      </c>
      <c r="L42" s="6">
        <f>A34</f>
        <v>0.75</v>
      </c>
      <c r="M42" s="5" cm="1">
        <f t="array" ref="M42:O42">G34:I34</f>
        <v>6.5583131249999997</v>
      </c>
      <c r="N42" s="5">
        <v>14.922153750000001</v>
      </c>
      <c r="O42" s="5">
        <v>20.934493945312504</v>
      </c>
    </row>
    <row r="43" spans="1:15" x14ac:dyDescent="0.25">
      <c r="L43" s="6">
        <f>A42</f>
        <v>1</v>
      </c>
      <c r="M43" s="5" cm="1">
        <f t="array" ref="M43:O43">G42:I42</f>
        <v>12.697696666666666</v>
      </c>
      <c r="N43" s="5">
        <v>26.899999583333337</v>
      </c>
      <c r="O43" s="5">
        <v>37.146073125000001</v>
      </c>
    </row>
    <row r="44" spans="1:15" x14ac:dyDescent="0.25">
      <c r="A44" s="4" t="s">
        <v>14</v>
      </c>
      <c r="B44" s="4"/>
      <c r="C44" s="4"/>
      <c r="D44" s="4"/>
      <c r="E44" s="4"/>
      <c r="F44" s="4"/>
      <c r="G44" s="4"/>
      <c r="H44" s="4"/>
      <c r="I44" s="4"/>
      <c r="L44" s="6">
        <f>A50</f>
        <v>1.2</v>
      </c>
      <c r="M44" s="5" cm="1">
        <f t="array" ref="M44:O44">G50:I50</f>
        <v>18.2846832</v>
      </c>
      <c r="N44" s="5">
        <v>38.735999400000004</v>
      </c>
      <c r="O44" s="5">
        <v>53.490345300000001</v>
      </c>
    </row>
    <row r="45" spans="1:15" x14ac:dyDescent="0.25">
      <c r="A45" s="1" t="s">
        <v>5</v>
      </c>
      <c r="B45" s="1"/>
      <c r="C45" s="1"/>
      <c r="D45" s="1" t="s">
        <v>8</v>
      </c>
      <c r="E45" s="1"/>
      <c r="F45" s="1"/>
      <c r="G45" s="1"/>
      <c r="H45" s="1"/>
      <c r="I45" s="1"/>
      <c r="L45" s="6">
        <f>A58</f>
        <v>1.5</v>
      </c>
      <c r="M45" s="5" cm="1">
        <f t="array" ref="M45:O45">G58:I58</f>
        <v>28.569817500000006</v>
      </c>
      <c r="N45" s="5">
        <v>60.524999062500008</v>
      </c>
      <c r="O45" s="5">
        <v>83.578664531250013</v>
      </c>
    </row>
    <row r="46" spans="1:15" x14ac:dyDescent="0.25">
      <c r="A46" t="s">
        <v>3</v>
      </c>
      <c r="B46" t="s">
        <v>4</v>
      </c>
      <c r="C46" t="s">
        <v>7</v>
      </c>
      <c r="D46" t="s">
        <v>9</v>
      </c>
      <c r="E46" t="s">
        <v>10</v>
      </c>
      <c r="F46" t="s">
        <v>6</v>
      </c>
      <c r="G46" t="s">
        <v>23</v>
      </c>
      <c r="H46" t="s">
        <v>24</v>
      </c>
      <c r="I46" t="s">
        <v>25</v>
      </c>
    </row>
    <row r="47" spans="1:15" x14ac:dyDescent="0.25">
      <c r="A47">
        <f>A39+0.2</f>
        <v>1.2</v>
      </c>
      <c r="B47">
        <v>5</v>
      </c>
      <c r="C47">
        <v>15</v>
      </c>
      <c r="D47">
        <f>Table1315162331[[#This Row],[Wingspan (m)]]/Table1315162331[[#This Row],[Wing Aspect Ratio]]</f>
        <v>0.24</v>
      </c>
      <c r="E47">
        <f>Table1315162331[[#This Row],[Average Wing Chord (m)]]*Table1315162331[[#This Row],[Wingspan (m)]]</f>
        <v>0.28799999999999998</v>
      </c>
      <c r="F47">
        <f>($B$2/$B$1)*D47*C47</f>
        <v>246368.71508379886</v>
      </c>
      <c r="G47">
        <f t="shared" ref="G47:I50" si="3">(0.5)*$B$2*$E47*IF($F47&lt;75000,B$6,IF($F47&lt;150000,B$7,B$8))*$C47*$C47</f>
        <v>17.082576</v>
      </c>
      <c r="H47">
        <f t="shared" si="3"/>
        <v>36.189342000000003</v>
      </c>
      <c r="I47">
        <f t="shared" si="3"/>
        <v>49.973679000000004</v>
      </c>
    </row>
    <row r="48" spans="1:15" x14ac:dyDescent="0.25">
      <c r="A48">
        <f>A47</f>
        <v>1.2</v>
      </c>
      <c r="B48">
        <v>5</v>
      </c>
      <c r="C48">
        <v>17</v>
      </c>
      <c r="D48">
        <f>Table1315162331[[#This Row],[Wingspan (m)]]/Table1315162331[[#This Row],[Wing Aspect Ratio]]</f>
        <v>0.24</v>
      </c>
      <c r="E48">
        <f>Table1315162331[[#This Row],[Average Wing Chord (m)]]*Table1315162331[[#This Row],[Wingspan (m)]]</f>
        <v>0.28799999999999998</v>
      </c>
      <c r="F48">
        <f>($B$2/$B$1)*D48*C48</f>
        <v>279217.87709497206</v>
      </c>
      <c r="G48">
        <f t="shared" si="3"/>
        <v>21.941619840000001</v>
      </c>
      <c r="H48">
        <f t="shared" si="3"/>
        <v>46.483199280000001</v>
      </c>
      <c r="I48">
        <f t="shared" si="3"/>
        <v>64.188414359999996</v>
      </c>
    </row>
    <row r="49" spans="1:9" x14ac:dyDescent="0.25">
      <c r="A49">
        <f>A48</f>
        <v>1.2</v>
      </c>
      <c r="B49">
        <v>6</v>
      </c>
      <c r="C49">
        <v>15</v>
      </c>
      <c r="D49">
        <f>Table1315162331[[#This Row],[Wingspan (m)]]/Table1315162331[[#This Row],[Wing Aspect Ratio]]</f>
        <v>0.19999999999999998</v>
      </c>
      <c r="E49">
        <f>Table1315162331[[#This Row],[Average Wing Chord (m)]]*Table1315162331[[#This Row],[Wingspan (m)]]</f>
        <v>0.23999999999999996</v>
      </c>
      <c r="F49">
        <f>($B$2/$B$1)*D49*C49</f>
        <v>205307.26256983235</v>
      </c>
      <c r="G49">
        <f t="shared" si="3"/>
        <v>14.235479999999999</v>
      </c>
      <c r="H49">
        <f t="shared" si="3"/>
        <v>30.157785000000001</v>
      </c>
      <c r="I49">
        <f t="shared" si="3"/>
        <v>41.644732499999996</v>
      </c>
    </row>
    <row r="50" spans="1:9" x14ac:dyDescent="0.25">
      <c r="A50">
        <f>A49</f>
        <v>1.2</v>
      </c>
      <c r="B50">
        <v>6</v>
      </c>
      <c r="C50">
        <v>17</v>
      </c>
      <c r="D50">
        <f>Table1315162331[[#This Row],[Wingspan (m)]]/Table1315162331[[#This Row],[Wing Aspect Ratio]]</f>
        <v>0.19999999999999998</v>
      </c>
      <c r="E50">
        <f>Table1315162331[[#This Row],[Average Wing Chord (m)]]*Table1315162331[[#This Row],[Wingspan (m)]]</f>
        <v>0.23999999999999996</v>
      </c>
      <c r="F50">
        <f>($B$2/$B$1)*D50*C50</f>
        <v>232681.56424581</v>
      </c>
      <c r="G50">
        <f t="shared" si="3"/>
        <v>18.2846832</v>
      </c>
      <c r="H50">
        <f t="shared" si="3"/>
        <v>38.735999400000004</v>
      </c>
      <c r="I50">
        <f t="shared" si="3"/>
        <v>53.490345300000001</v>
      </c>
    </row>
    <row r="52" spans="1:9" x14ac:dyDescent="0.25">
      <c r="A52" s="4" t="s">
        <v>15</v>
      </c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1" t="s">
        <v>5</v>
      </c>
      <c r="B53" s="1"/>
      <c r="C53" s="1"/>
      <c r="D53" s="1" t="s">
        <v>8</v>
      </c>
      <c r="E53" s="1"/>
      <c r="F53" s="1"/>
      <c r="G53" s="1"/>
      <c r="H53" s="1"/>
      <c r="I53" s="1"/>
    </row>
    <row r="54" spans="1:9" x14ac:dyDescent="0.25">
      <c r="A54" t="s">
        <v>3</v>
      </c>
      <c r="B54" t="s">
        <v>4</v>
      </c>
      <c r="C54" t="s">
        <v>7</v>
      </c>
      <c r="D54" t="s">
        <v>9</v>
      </c>
      <c r="E54" t="s">
        <v>10</v>
      </c>
      <c r="F54" t="s">
        <v>6</v>
      </c>
      <c r="G54" t="s">
        <v>23</v>
      </c>
      <c r="H54" t="s">
        <v>24</v>
      </c>
      <c r="I54" t="s">
        <v>25</v>
      </c>
    </row>
    <row r="55" spans="1:9" x14ac:dyDescent="0.25">
      <c r="A55">
        <f>A47+0.3</f>
        <v>1.5</v>
      </c>
      <c r="B55">
        <v>5</v>
      </c>
      <c r="C55">
        <v>15</v>
      </c>
      <c r="D55">
        <f>Table1315162432[[#This Row],[Wingspan (m)]]/Table1315162432[[#This Row],[Wing Aspect Ratio]]</f>
        <v>0.3</v>
      </c>
      <c r="E55">
        <f>Table1315162432[[#This Row],[Average Wing Chord (m)]]*Table1315162432[[#This Row],[Wingspan (m)]]</f>
        <v>0.44999999999999996</v>
      </c>
      <c r="F55">
        <f>($B$2/$B$1)*D55*C55</f>
        <v>307960.89385474857</v>
      </c>
      <c r="G55">
        <f t="shared" ref="G55:I58" si="4">(0.5)*$B$2*$E55*IF($F55&lt;75000,B$6,IF($F55&lt;150000,B$7,B$8))*$C55*$C55</f>
        <v>26.691524999999999</v>
      </c>
      <c r="H55">
        <f t="shared" si="4"/>
        <v>56.545846875000009</v>
      </c>
      <c r="I55">
        <f t="shared" si="4"/>
        <v>78.083873437500003</v>
      </c>
    </row>
    <row r="56" spans="1:9" x14ac:dyDescent="0.25">
      <c r="A56">
        <f>A55</f>
        <v>1.5</v>
      </c>
      <c r="B56">
        <v>5</v>
      </c>
      <c r="C56">
        <v>17</v>
      </c>
      <c r="D56">
        <f>Table1315162432[[#This Row],[Wingspan (m)]]/Table1315162432[[#This Row],[Wing Aspect Ratio]]</f>
        <v>0.3</v>
      </c>
      <c r="E56">
        <f>Table1315162432[[#This Row],[Average Wing Chord (m)]]*Table1315162432[[#This Row],[Wingspan (m)]]</f>
        <v>0.44999999999999996</v>
      </c>
      <c r="F56">
        <f>($B$2/$B$1)*D56*C56</f>
        <v>349022.34636871505</v>
      </c>
      <c r="G56">
        <f t="shared" si="4"/>
        <v>34.283781000000005</v>
      </c>
      <c r="H56">
        <f t="shared" si="4"/>
        <v>72.629998875000013</v>
      </c>
      <c r="I56">
        <f t="shared" si="4"/>
        <v>100.29439743750002</v>
      </c>
    </row>
    <row r="57" spans="1:9" x14ac:dyDescent="0.25">
      <c r="A57">
        <f>A56</f>
        <v>1.5</v>
      </c>
      <c r="B57">
        <v>6</v>
      </c>
      <c r="C57">
        <v>15</v>
      </c>
      <c r="D57">
        <f>Table1315162432[[#This Row],[Wingspan (m)]]/Table1315162432[[#This Row],[Wing Aspect Ratio]]</f>
        <v>0.25</v>
      </c>
      <c r="E57">
        <f>Table1315162432[[#This Row],[Average Wing Chord (m)]]*Table1315162432[[#This Row],[Wingspan (m)]]</f>
        <v>0.375</v>
      </c>
      <c r="F57">
        <f>($B$2/$B$1)*D57*C57</f>
        <v>256634.07821229048</v>
      </c>
      <c r="G57">
        <f t="shared" si="4"/>
        <v>22.242937500000004</v>
      </c>
      <c r="H57">
        <f t="shared" si="4"/>
        <v>47.121539062500013</v>
      </c>
      <c r="I57">
        <f t="shared" si="4"/>
        <v>65.06989453125</v>
      </c>
    </row>
    <row r="58" spans="1:9" x14ac:dyDescent="0.25">
      <c r="A58">
        <f>A57</f>
        <v>1.5</v>
      </c>
      <c r="B58">
        <v>6</v>
      </c>
      <c r="C58">
        <v>17</v>
      </c>
      <c r="D58">
        <f>Table1315162432[[#This Row],[Wingspan (m)]]/Table1315162432[[#This Row],[Wing Aspect Ratio]]</f>
        <v>0.25</v>
      </c>
      <c r="E58">
        <f>Table1315162432[[#This Row],[Average Wing Chord (m)]]*Table1315162432[[#This Row],[Wingspan (m)]]</f>
        <v>0.375</v>
      </c>
      <c r="F58">
        <f>($B$2/$B$1)*D58*C58</f>
        <v>290851.95530726254</v>
      </c>
      <c r="G58">
        <f t="shared" si="4"/>
        <v>28.569817500000006</v>
      </c>
      <c r="H58">
        <f t="shared" si="4"/>
        <v>60.524999062500008</v>
      </c>
      <c r="I58">
        <f t="shared" si="4"/>
        <v>83.578664531250013</v>
      </c>
    </row>
  </sheetData>
  <mergeCells count="22">
    <mergeCell ref="A52:I52"/>
    <mergeCell ref="A53:C53"/>
    <mergeCell ref="D53:I53"/>
    <mergeCell ref="A36:I36"/>
    <mergeCell ref="A37:C37"/>
    <mergeCell ref="D37:I37"/>
    <mergeCell ref="L38:O38"/>
    <mergeCell ref="A44:I44"/>
    <mergeCell ref="A45:C45"/>
    <mergeCell ref="D45:I45"/>
    <mergeCell ref="A21:C21"/>
    <mergeCell ref="D21:I21"/>
    <mergeCell ref="A28:I28"/>
    <mergeCell ref="A29:C29"/>
    <mergeCell ref="D29:I29"/>
    <mergeCell ref="L29:O29"/>
    <mergeCell ref="L11:O11"/>
    <mergeCell ref="A12:I12"/>
    <mergeCell ref="A13:C13"/>
    <mergeCell ref="D13:I13"/>
    <mergeCell ref="A20:I20"/>
    <mergeCell ref="L20:O20"/>
  </mergeCells>
  <conditionalFormatting sqref="M13:O18">
    <cfRule type="cellIs" dxfId="29" priority="10" operator="lessThan">
      <formula>9.81</formula>
    </cfRule>
    <cfRule type="cellIs" dxfId="28" priority="11" operator="greaterThan">
      <formula>13</formula>
    </cfRule>
    <cfRule type="cellIs" dxfId="27" priority="12" operator="between">
      <formula>9.81</formula>
      <formula>13</formula>
    </cfRule>
  </conditionalFormatting>
  <conditionalFormatting sqref="M22:O27">
    <cfRule type="cellIs" dxfId="26" priority="7" operator="lessThan">
      <formula>9.81</formula>
    </cfRule>
    <cfRule type="cellIs" dxfId="25" priority="8" operator="greaterThan">
      <formula>13</formula>
    </cfRule>
    <cfRule type="cellIs" dxfId="24" priority="9" operator="between">
      <formula>9.81</formula>
      <formula>13</formula>
    </cfRule>
  </conditionalFormatting>
  <conditionalFormatting sqref="M31:O36">
    <cfRule type="cellIs" dxfId="23" priority="4" operator="lessThan">
      <formula>9.81</formula>
    </cfRule>
    <cfRule type="cellIs" dxfId="22" priority="5" operator="greaterThan">
      <formula>13</formula>
    </cfRule>
    <cfRule type="cellIs" dxfId="21" priority="6" operator="between">
      <formula>9.81</formula>
      <formula>13</formula>
    </cfRule>
  </conditionalFormatting>
  <conditionalFormatting sqref="M40:O45">
    <cfRule type="cellIs" dxfId="20" priority="1" operator="lessThan">
      <formula>9.81</formula>
    </cfRule>
    <cfRule type="cellIs" dxfId="19" priority="2" operator="greaterThan">
      <formula>13</formula>
    </cfRule>
    <cfRule type="cellIs" dxfId="18" priority="3" operator="between">
      <formula>9.81</formula>
      <formula>13</formula>
    </cfRule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5AB4-A923-4638-8652-1F76A9993C69}">
  <dimension ref="A1:I58"/>
  <sheetViews>
    <sheetView tabSelected="1" topLeftCell="A16" workbookViewId="0">
      <selection activeCell="F6" sqref="F6"/>
    </sheetView>
  </sheetViews>
  <sheetFormatPr defaultRowHeight="15" x14ac:dyDescent="0.25"/>
  <cols>
    <col min="1" max="1" width="22.7109375" bestFit="1" customWidth="1"/>
    <col min="2" max="2" width="19.7109375" bestFit="1" customWidth="1"/>
    <col min="3" max="3" width="22" bestFit="1" customWidth="1"/>
    <col min="4" max="4" width="25.42578125" bestFit="1" customWidth="1"/>
    <col min="5" max="5" width="18.28515625" bestFit="1" customWidth="1"/>
    <col min="6" max="6" width="19.28515625" bestFit="1" customWidth="1"/>
    <col min="7" max="7" width="21.5703125" bestFit="1" customWidth="1"/>
    <col min="8" max="8" width="21.140625" bestFit="1" customWidth="1"/>
    <col min="9" max="9" width="22.140625" bestFit="1" customWidth="1"/>
  </cols>
  <sheetData>
    <row r="1" spans="1:9" x14ac:dyDescent="0.25">
      <c r="A1" t="s">
        <v>1</v>
      </c>
      <c r="B1">
        <v>1.7900000000000001E-5</v>
      </c>
    </row>
    <row r="2" spans="1:9" x14ac:dyDescent="0.25">
      <c r="A2" t="s">
        <v>2</v>
      </c>
      <c r="B2">
        <v>1.2250000000000001</v>
      </c>
    </row>
    <row r="4" spans="1:9" x14ac:dyDescent="0.25">
      <c r="A4" t="s">
        <v>22</v>
      </c>
      <c r="B4" t="s">
        <v>18</v>
      </c>
    </row>
    <row r="5" spans="1:9" x14ac:dyDescent="0.25">
      <c r="A5" t="s">
        <v>6</v>
      </c>
      <c r="B5" t="s">
        <v>19</v>
      </c>
      <c r="C5" t="s">
        <v>20</v>
      </c>
      <c r="D5" t="s">
        <v>21</v>
      </c>
    </row>
    <row r="6" spans="1:9" x14ac:dyDescent="0.25">
      <c r="A6" s="3">
        <v>50000</v>
      </c>
      <c r="B6">
        <v>0.2893</v>
      </c>
      <c r="C6">
        <v>0.46739999999999998</v>
      </c>
      <c r="D6">
        <v>4.0719999999999999E-2</v>
      </c>
      <c r="E6" s="3"/>
    </row>
    <row r="7" spans="1:9" x14ac:dyDescent="0.25">
      <c r="A7" s="3">
        <v>100000</v>
      </c>
      <c r="B7">
        <v>1.8089999999999998E-2</v>
      </c>
      <c r="C7">
        <v>1.891E-2</v>
      </c>
      <c r="D7">
        <v>2.6919999999999999E-2</v>
      </c>
      <c r="E7" s="3"/>
    </row>
    <row r="8" spans="1:9" x14ac:dyDescent="0.25">
      <c r="A8" s="3">
        <v>200000</v>
      </c>
      <c r="B8">
        <v>1.004E-2</v>
      </c>
      <c r="C8">
        <v>1.213E-2</v>
      </c>
      <c r="D8">
        <v>2.1579999999999998E-2</v>
      </c>
      <c r="E8" s="3"/>
    </row>
    <row r="12" spans="1:9" x14ac:dyDescent="0.25">
      <c r="A12" s="4" t="s">
        <v>16</v>
      </c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1" t="s">
        <v>5</v>
      </c>
      <c r="B13" s="1"/>
      <c r="C13" s="1"/>
      <c r="D13" s="1" t="s">
        <v>8</v>
      </c>
      <c r="E13" s="1"/>
      <c r="F13" s="1"/>
      <c r="G13" s="1"/>
      <c r="H13" s="1"/>
      <c r="I13" s="1"/>
    </row>
    <row r="14" spans="1:9" x14ac:dyDescent="0.25">
      <c r="A14" t="s">
        <v>3</v>
      </c>
      <c r="B14" t="s">
        <v>4</v>
      </c>
      <c r="C14" t="s">
        <v>7</v>
      </c>
      <c r="D14" t="s">
        <v>9</v>
      </c>
      <c r="E14" t="s">
        <v>10</v>
      </c>
      <c r="F14" t="s">
        <v>6</v>
      </c>
      <c r="G14" t="s">
        <v>44</v>
      </c>
      <c r="H14" t="s">
        <v>42</v>
      </c>
      <c r="I14" t="s">
        <v>43</v>
      </c>
    </row>
    <row r="15" spans="1:9" x14ac:dyDescent="0.25">
      <c r="A15">
        <v>0.25</v>
      </c>
      <c r="B15">
        <v>5</v>
      </c>
      <c r="C15">
        <v>15</v>
      </c>
      <c r="D15">
        <f>Table13152739[[#This Row],[Wingspan (m)]]/Table13152739[[#This Row],[Wing Aspect Ratio]]</f>
        <v>0.05</v>
      </c>
      <c r="E15">
        <f>Table13152739[[#This Row],[Average Wing Chord (m)]]*Table13152739[[#This Row],[Wingspan (m)]]</f>
        <v>1.2500000000000001E-2</v>
      </c>
      <c r="F15">
        <f>($B$2/$B$1)*D15*C15</f>
        <v>51326.815642458096</v>
      </c>
      <c r="G15">
        <f>(0.5)*$B$2*Table13152739[[#This Row],[Wing Area (m^2)]]*$B$6*Table13152739[[#This Row],[Cruising Speed (m/s)]]*Table13152739[[#This Row],[Cruising Speed (m/s)]]</f>
        <v>0.49836445312500005</v>
      </c>
      <c r="H15">
        <f>(0.5)*$B$2*Table13152739[[#This Row],[Wing Area (m^2)]]*$C$6*Table13152739[[#This Row],[Cruising Speed (m/s)]]*Table13152739[[#This Row],[Cruising Speed (m/s)]]</f>
        <v>0.80516953125000001</v>
      </c>
      <c r="I15">
        <f>(0.5)*$B$2*Table13152739[[#This Row],[Wing Area (m^2)]]*$D$6*Table13152739[[#This Row],[Cruising Speed (m/s)]]*Table13152739[[#This Row],[Cruising Speed (m/s)]]</f>
        <v>7.0146562500000009E-2</v>
      </c>
    </row>
    <row r="16" spans="1:9" x14ac:dyDescent="0.25">
      <c r="A16">
        <f>A15</f>
        <v>0.25</v>
      </c>
      <c r="B16">
        <v>5</v>
      </c>
      <c r="C16">
        <v>17</v>
      </c>
      <c r="D16">
        <f>Table13152739[[#This Row],[Wingspan (m)]]/Table13152739[[#This Row],[Wing Aspect Ratio]]</f>
        <v>0.05</v>
      </c>
      <c r="E16">
        <f>Table13152739[[#This Row],[Average Wing Chord (m)]]*Table13152739[[#This Row],[Wingspan (m)]]</f>
        <v>1.2500000000000001E-2</v>
      </c>
      <c r="F16">
        <f>($B$2/$B$1)*D16*C16</f>
        <v>58170.391061452508</v>
      </c>
      <c r="G16">
        <f>(0.5)*$B$2*Table13152739[[#This Row],[Wing Area (m^2)]]*$B$6*Table13152739[[#This Row],[Cruising Speed (m/s)]]*Table13152739[[#This Row],[Cruising Speed (m/s)]]</f>
        <v>0.64012145312500013</v>
      </c>
      <c r="H16">
        <f>(0.5)*$B$2*Table13152739[[#This Row],[Wing Area (m^2)]]*$C$6*Table13152739[[#This Row],[Cruising Speed (m/s)]]*Table13152739[[#This Row],[Cruising Speed (m/s)]]</f>
        <v>1.03419553125</v>
      </c>
      <c r="I16">
        <f>(0.5)*$B$2*Table13152739[[#This Row],[Wing Area (m^2)]]*$D$6*Table13152739[[#This Row],[Cruising Speed (m/s)]]*Table13152739[[#This Row],[Cruising Speed (m/s)]]</f>
        <v>9.0099362500000016E-2</v>
      </c>
    </row>
    <row r="17" spans="1:9" x14ac:dyDescent="0.25">
      <c r="A17">
        <f>A16</f>
        <v>0.25</v>
      </c>
      <c r="B17">
        <v>6</v>
      </c>
      <c r="C17">
        <v>15</v>
      </c>
      <c r="D17">
        <f>Table13152739[[#This Row],[Wingspan (m)]]/Table13152739[[#This Row],[Wing Aspect Ratio]]</f>
        <v>4.1666666666666664E-2</v>
      </c>
      <c r="E17">
        <f>Table13152739[[#This Row],[Average Wing Chord (m)]]*Table13152739[[#This Row],[Wingspan (m)]]</f>
        <v>1.0416666666666666E-2</v>
      </c>
      <c r="F17">
        <f>($B$2/$B$1)*D17*C17</f>
        <v>42772.34636871508</v>
      </c>
      <c r="G17">
        <f>(0.5)*$B$2*Table13152739[[#This Row],[Wing Area (m^2)]]*$B$6*Table13152739[[#This Row],[Cruising Speed (m/s)]]*Table13152739[[#This Row],[Cruising Speed (m/s)]]</f>
        <v>0.41530371093750001</v>
      </c>
      <c r="H17">
        <f>(0.5)*$B$2*Table13152739[[#This Row],[Wing Area (m^2)]]*$C$6*Table13152739[[#This Row],[Cruising Speed (m/s)]]*Table13152739[[#This Row],[Cruising Speed (m/s)]]</f>
        <v>0.67097460937499998</v>
      </c>
      <c r="I17">
        <f>(0.5)*$B$2*Table13152739[[#This Row],[Wing Area (m^2)]]*$D$6*Table13152739[[#This Row],[Cruising Speed (m/s)]]*Table13152739[[#This Row],[Cruising Speed (m/s)]]</f>
        <v>5.8455468750000003E-2</v>
      </c>
    </row>
    <row r="18" spans="1:9" x14ac:dyDescent="0.25">
      <c r="A18">
        <f>A17</f>
        <v>0.25</v>
      </c>
      <c r="B18">
        <v>6</v>
      </c>
      <c r="C18">
        <v>17</v>
      </c>
      <c r="D18">
        <f>Table13152739[[#This Row],[Wingspan (m)]]/Table13152739[[#This Row],[Wing Aspect Ratio]]</f>
        <v>4.1666666666666664E-2</v>
      </c>
      <c r="E18">
        <f>Table13152739[[#This Row],[Average Wing Chord (m)]]*Table13152739[[#This Row],[Wingspan (m)]]</f>
        <v>1.0416666666666666E-2</v>
      </c>
      <c r="F18">
        <f>($B$2/$B$1)*D18*C18</f>
        <v>48475.325884543752</v>
      </c>
      <c r="G18">
        <f>(0.5)*$B$2*Table13152739[[#This Row],[Wing Area (m^2)]]*$B$6*Table13152739[[#This Row],[Cruising Speed (m/s)]]*Table13152739[[#This Row],[Cruising Speed (m/s)]]</f>
        <v>0.53343454427083337</v>
      </c>
      <c r="H18">
        <f>(0.5)*$B$2*Table13152739[[#This Row],[Wing Area (m^2)]]*$C$6*Table13152739[[#This Row],[Cruising Speed (m/s)]]*Table13152739[[#This Row],[Cruising Speed (m/s)]]</f>
        <v>0.86182960937499997</v>
      </c>
      <c r="I18">
        <f>(0.5)*$B$2*Table13152739[[#This Row],[Wing Area (m^2)]]*$D$6*Table13152739[[#This Row],[Cruising Speed (m/s)]]*Table13152739[[#This Row],[Cruising Speed (m/s)]]</f>
        <v>7.508280208333333E-2</v>
      </c>
    </row>
    <row r="20" spans="1:9" x14ac:dyDescent="0.25">
      <c r="A20" s="4" t="s">
        <v>11</v>
      </c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1" t="s">
        <v>5</v>
      </c>
      <c r="B21" s="1"/>
      <c r="C21" s="1"/>
      <c r="D21" s="1" t="s">
        <v>8</v>
      </c>
      <c r="E21" s="1"/>
      <c r="F21" s="1"/>
      <c r="G21" s="1"/>
      <c r="H21" s="1"/>
      <c r="I21" s="1"/>
    </row>
    <row r="22" spans="1:9" x14ac:dyDescent="0.25">
      <c r="A22" t="s">
        <v>3</v>
      </c>
      <c r="B22" t="s">
        <v>4</v>
      </c>
      <c r="C22" t="s">
        <v>7</v>
      </c>
      <c r="D22" t="s">
        <v>9</v>
      </c>
      <c r="E22" t="s">
        <v>10</v>
      </c>
      <c r="F22" t="s">
        <v>6</v>
      </c>
      <c r="G22" t="s">
        <v>44</v>
      </c>
      <c r="H22" t="s">
        <v>42</v>
      </c>
      <c r="I22" t="s">
        <v>43</v>
      </c>
    </row>
    <row r="23" spans="1:9" x14ac:dyDescent="0.25">
      <c r="A23">
        <f>A15+0.25</f>
        <v>0.5</v>
      </c>
      <c r="B23">
        <v>5</v>
      </c>
      <c r="C23">
        <v>15</v>
      </c>
      <c r="D23">
        <f>Table1315162840[[#This Row],[Wingspan (m)]]/Table1315162840[[#This Row],[Wing Aspect Ratio]]</f>
        <v>0.1</v>
      </c>
      <c r="E23">
        <f>Table1315162840[[#This Row],[Average Wing Chord (m)]]*Table1315162840[[#This Row],[Wingspan (m)]]</f>
        <v>0.05</v>
      </c>
      <c r="F23">
        <f>($B$2/$B$1)*D23*C23</f>
        <v>102653.63128491619</v>
      </c>
      <c r="G23">
        <f t="shared" ref="G23:I26" si="0">(0.5)*$B$2*$E23*IF($F23&lt;75000,B$6,IF($F23&lt;150000,B$7,B$8))*$C23*$C23</f>
        <v>0.12465140625000001</v>
      </c>
      <c r="H23">
        <f t="shared" si="0"/>
        <v>0.13030171875000002</v>
      </c>
      <c r="I23">
        <f t="shared" si="0"/>
        <v>0.185495625</v>
      </c>
    </row>
    <row r="24" spans="1:9" x14ac:dyDescent="0.25">
      <c r="A24">
        <f>A23</f>
        <v>0.5</v>
      </c>
      <c r="B24">
        <v>5</v>
      </c>
      <c r="C24">
        <v>17</v>
      </c>
      <c r="D24">
        <f>Table1315162840[[#This Row],[Wingspan (m)]]/Table1315162840[[#This Row],[Wing Aspect Ratio]]</f>
        <v>0.1</v>
      </c>
      <c r="E24">
        <f>Table1315162840[[#This Row],[Average Wing Chord (m)]]*Table1315162840[[#This Row],[Wingspan (m)]]</f>
        <v>0.05</v>
      </c>
      <c r="F24">
        <f>($B$2/$B$1)*D24*C24</f>
        <v>116340.78212290502</v>
      </c>
      <c r="G24">
        <f t="shared" si="0"/>
        <v>0.16010780624999998</v>
      </c>
      <c r="H24">
        <f t="shared" si="0"/>
        <v>0.16736531874999999</v>
      </c>
      <c r="I24">
        <f t="shared" si="0"/>
        <v>0.23825882500000001</v>
      </c>
    </row>
    <row r="25" spans="1:9" x14ac:dyDescent="0.25">
      <c r="A25">
        <f>A24</f>
        <v>0.5</v>
      </c>
      <c r="B25">
        <v>6</v>
      </c>
      <c r="C25">
        <v>15</v>
      </c>
      <c r="D25">
        <f>Table1315162840[[#This Row],[Wingspan (m)]]/Table1315162840[[#This Row],[Wing Aspect Ratio]]</f>
        <v>8.3333333333333329E-2</v>
      </c>
      <c r="E25">
        <f>Table1315162840[[#This Row],[Average Wing Chord (m)]]*Table1315162840[[#This Row],[Wingspan (m)]]</f>
        <v>4.1666666666666664E-2</v>
      </c>
      <c r="F25">
        <f>($B$2/$B$1)*D25*C25</f>
        <v>85544.692737430159</v>
      </c>
      <c r="G25">
        <f t="shared" si="0"/>
        <v>0.10387617187499999</v>
      </c>
      <c r="H25">
        <f t="shared" si="0"/>
        <v>0.108584765625</v>
      </c>
      <c r="I25">
        <f t="shared" si="0"/>
        <v>0.15457968750000001</v>
      </c>
    </row>
    <row r="26" spans="1:9" x14ac:dyDescent="0.25">
      <c r="A26">
        <f>A25</f>
        <v>0.5</v>
      </c>
      <c r="B26">
        <v>6</v>
      </c>
      <c r="C26">
        <v>17</v>
      </c>
      <c r="D26">
        <f>Table1315162840[[#This Row],[Wingspan (m)]]/Table1315162840[[#This Row],[Wing Aspect Ratio]]</f>
        <v>8.3333333333333329E-2</v>
      </c>
      <c r="E26">
        <f>Table1315162840[[#This Row],[Average Wing Chord (m)]]*Table1315162840[[#This Row],[Wingspan (m)]]</f>
        <v>4.1666666666666664E-2</v>
      </c>
      <c r="F26">
        <f>($B$2/$B$1)*D26*C26</f>
        <v>96950.651769087504</v>
      </c>
      <c r="G26">
        <f t="shared" si="0"/>
        <v>0.133423171875</v>
      </c>
      <c r="H26">
        <f t="shared" si="0"/>
        <v>0.13947109895833332</v>
      </c>
      <c r="I26">
        <f t="shared" si="0"/>
        <v>0.19854902083333331</v>
      </c>
    </row>
    <row r="28" spans="1:9" x14ac:dyDescent="0.25">
      <c r="A28" s="4" t="s">
        <v>12</v>
      </c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1" t="s">
        <v>5</v>
      </c>
      <c r="B29" s="1"/>
      <c r="C29" s="1"/>
      <c r="D29" s="1" t="s">
        <v>8</v>
      </c>
      <c r="E29" s="1"/>
      <c r="F29" s="1"/>
      <c r="G29" s="1"/>
      <c r="H29" s="1"/>
      <c r="I29" s="1"/>
    </row>
    <row r="30" spans="1:9" x14ac:dyDescent="0.25">
      <c r="A30" t="s">
        <v>3</v>
      </c>
      <c r="B30" t="s">
        <v>4</v>
      </c>
      <c r="C30" t="s">
        <v>7</v>
      </c>
      <c r="D30" t="s">
        <v>9</v>
      </c>
      <c r="E30" t="s">
        <v>10</v>
      </c>
      <c r="F30" t="s">
        <v>6</v>
      </c>
      <c r="G30" t="s">
        <v>44</v>
      </c>
      <c r="H30" t="s">
        <v>42</v>
      </c>
      <c r="I30" t="s">
        <v>43</v>
      </c>
    </row>
    <row r="31" spans="1:9" x14ac:dyDescent="0.25">
      <c r="A31">
        <f>A23+0.25</f>
        <v>0.75</v>
      </c>
      <c r="B31">
        <v>5</v>
      </c>
      <c r="C31">
        <v>15</v>
      </c>
      <c r="D31">
        <f>Table131516212941[[#This Row],[Wingspan (m)]]/Table131516212941[[#This Row],[Wing Aspect Ratio]]</f>
        <v>0.15</v>
      </c>
      <c r="E31">
        <f>Table131516212941[[#This Row],[Average Wing Chord (m)]]*Table131516212941[[#This Row],[Wingspan (m)]]</f>
        <v>0.11249999999999999</v>
      </c>
      <c r="F31">
        <f>($B$2/$B$1)*D31*C31</f>
        <v>153980.44692737429</v>
      </c>
      <c r="G31">
        <f t="shared" ref="G31:I34" si="1">(0.5)*$B$2*$E31*IF($F31&lt;75000,B$6,IF($F31&lt;150000,B$7,B$8))*$C31*$C31</f>
        <v>0.15565921874999999</v>
      </c>
      <c r="H31">
        <f t="shared" si="1"/>
        <v>0.18806238281250001</v>
      </c>
      <c r="I31">
        <f t="shared" si="1"/>
        <v>0.33457429687499995</v>
      </c>
    </row>
    <row r="32" spans="1:9" x14ac:dyDescent="0.25">
      <c r="A32">
        <f>A31</f>
        <v>0.75</v>
      </c>
      <c r="B32">
        <v>5</v>
      </c>
      <c r="C32">
        <v>17</v>
      </c>
      <c r="D32">
        <f>Table131516212941[[#This Row],[Wingspan (m)]]/Table131516212941[[#This Row],[Wing Aspect Ratio]]</f>
        <v>0.15</v>
      </c>
      <c r="E32">
        <f>Table131516212941[[#This Row],[Average Wing Chord (m)]]*Table131516212941[[#This Row],[Wingspan (m)]]</f>
        <v>0.11249999999999999</v>
      </c>
      <c r="F32">
        <f>($B$2/$B$1)*D32*C32</f>
        <v>174511.17318435753</v>
      </c>
      <c r="G32">
        <f t="shared" si="1"/>
        <v>0.19993561874999999</v>
      </c>
      <c r="H32">
        <f t="shared" si="1"/>
        <v>0.24155568281250001</v>
      </c>
      <c r="I32">
        <f t="shared" si="1"/>
        <v>0.42974209687499998</v>
      </c>
    </row>
    <row r="33" spans="1:9" x14ac:dyDescent="0.25">
      <c r="A33">
        <f>A32</f>
        <v>0.75</v>
      </c>
      <c r="B33">
        <v>6</v>
      </c>
      <c r="C33">
        <v>15</v>
      </c>
      <c r="D33">
        <f>Table131516212941[[#This Row],[Wingspan (m)]]/Table131516212941[[#This Row],[Wing Aspect Ratio]]</f>
        <v>0.125</v>
      </c>
      <c r="E33">
        <f>Table131516212941[[#This Row],[Average Wing Chord (m)]]*Table131516212941[[#This Row],[Wingspan (m)]]</f>
        <v>9.375E-2</v>
      </c>
      <c r="F33">
        <f>($B$2/$B$1)*D33*C33</f>
        <v>128317.03910614524</v>
      </c>
      <c r="G33">
        <f t="shared" si="1"/>
        <v>0.23372138671875003</v>
      </c>
      <c r="H33">
        <f t="shared" si="1"/>
        <v>0.24431572265625004</v>
      </c>
      <c r="I33">
        <f t="shared" si="1"/>
        <v>0.34780429687499997</v>
      </c>
    </row>
    <row r="34" spans="1:9" x14ac:dyDescent="0.25">
      <c r="A34">
        <f>A33</f>
        <v>0.75</v>
      </c>
      <c r="B34">
        <v>6</v>
      </c>
      <c r="C34">
        <v>17</v>
      </c>
      <c r="D34">
        <f>Table131516212941[[#This Row],[Wingspan (m)]]/Table131516212941[[#This Row],[Wing Aspect Ratio]]</f>
        <v>0.125</v>
      </c>
      <c r="E34">
        <f>Table131516212941[[#This Row],[Average Wing Chord (m)]]*Table131516212941[[#This Row],[Wingspan (m)]]</f>
        <v>9.375E-2</v>
      </c>
      <c r="F34">
        <f>($B$2/$B$1)*D34*C34</f>
        <v>145425.97765363127</v>
      </c>
      <c r="G34">
        <f t="shared" si="1"/>
        <v>0.30020213671875001</v>
      </c>
      <c r="H34">
        <f t="shared" si="1"/>
        <v>0.31380997265625005</v>
      </c>
      <c r="I34">
        <f t="shared" si="1"/>
        <v>0.44673529687500002</v>
      </c>
    </row>
    <row r="36" spans="1:9" x14ac:dyDescent="0.25">
      <c r="A36" s="4" t="s">
        <v>13</v>
      </c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1" t="s">
        <v>5</v>
      </c>
      <c r="B37" s="1"/>
      <c r="C37" s="1"/>
      <c r="D37" s="1" t="s">
        <v>8</v>
      </c>
      <c r="E37" s="1"/>
      <c r="F37" s="1"/>
      <c r="G37" s="1"/>
      <c r="H37" s="1"/>
      <c r="I37" s="1"/>
    </row>
    <row r="38" spans="1:9" x14ac:dyDescent="0.25">
      <c r="A38" t="s">
        <v>3</v>
      </c>
      <c r="B38" t="s">
        <v>4</v>
      </c>
      <c r="C38" t="s">
        <v>7</v>
      </c>
      <c r="D38" t="s">
        <v>9</v>
      </c>
      <c r="E38" t="s">
        <v>10</v>
      </c>
      <c r="F38" t="s">
        <v>6</v>
      </c>
      <c r="G38" t="s">
        <v>44</v>
      </c>
      <c r="H38" t="s">
        <v>42</v>
      </c>
      <c r="I38" t="s">
        <v>43</v>
      </c>
    </row>
    <row r="39" spans="1:9" x14ac:dyDescent="0.25">
      <c r="A39">
        <f>A31+0.25</f>
        <v>1</v>
      </c>
      <c r="B39">
        <v>5</v>
      </c>
      <c r="C39">
        <v>15</v>
      </c>
      <c r="D39">
        <f>Table131516223042[[#This Row],[Wingspan (m)]]/Table131516223042[[#This Row],[Wing Aspect Ratio]]</f>
        <v>0.2</v>
      </c>
      <c r="E39">
        <f>Table131516223042[[#This Row],[Average Wing Chord (m)]]*Table131516223042[[#This Row],[Wingspan (m)]]</f>
        <v>0.2</v>
      </c>
      <c r="F39">
        <f>($B$2/$B$1)*D39*C39</f>
        <v>205307.26256983238</v>
      </c>
      <c r="G39">
        <f t="shared" ref="G39:I42" si="2">(0.5)*$B$2*$E39*IF($F39&lt;75000,B$6,IF($F39&lt;150000,B$7,B$8))*$C39*$C39</f>
        <v>0.27672750000000007</v>
      </c>
      <c r="H39">
        <f t="shared" si="2"/>
        <v>0.33433312500000006</v>
      </c>
      <c r="I39">
        <f t="shared" si="2"/>
        <v>0.59479875000000004</v>
      </c>
    </row>
    <row r="40" spans="1:9" x14ac:dyDescent="0.25">
      <c r="A40">
        <f>A39</f>
        <v>1</v>
      </c>
      <c r="B40">
        <v>5</v>
      </c>
      <c r="C40">
        <v>17</v>
      </c>
      <c r="D40">
        <f>Table131516223042[[#This Row],[Wingspan (m)]]/Table131516223042[[#This Row],[Wing Aspect Ratio]]</f>
        <v>0.2</v>
      </c>
      <c r="E40">
        <f>Table131516223042[[#This Row],[Average Wing Chord (m)]]*Table131516223042[[#This Row],[Wingspan (m)]]</f>
        <v>0.2</v>
      </c>
      <c r="F40">
        <f>($B$2/$B$1)*D40*C40</f>
        <v>232681.56424581003</v>
      </c>
      <c r="G40">
        <f t="shared" si="2"/>
        <v>0.35544110000000001</v>
      </c>
      <c r="H40">
        <f t="shared" si="2"/>
        <v>0.429432325</v>
      </c>
      <c r="I40">
        <f t="shared" si="2"/>
        <v>0.76398595000000002</v>
      </c>
    </row>
    <row r="41" spans="1:9" x14ac:dyDescent="0.25">
      <c r="A41">
        <f>A40</f>
        <v>1</v>
      </c>
      <c r="B41">
        <v>6</v>
      </c>
      <c r="C41">
        <v>15</v>
      </c>
      <c r="D41">
        <f>Table131516223042[[#This Row],[Wingspan (m)]]/Table131516223042[[#This Row],[Wing Aspect Ratio]]</f>
        <v>0.16666666666666666</v>
      </c>
      <c r="E41">
        <f>Table131516223042[[#This Row],[Average Wing Chord (m)]]*Table131516223042[[#This Row],[Wingspan (m)]]</f>
        <v>0.16666666666666666</v>
      </c>
      <c r="F41">
        <f>($B$2/$B$1)*D41*C41</f>
        <v>171089.38547486032</v>
      </c>
      <c r="G41">
        <f t="shared" si="2"/>
        <v>0.23060624999999998</v>
      </c>
      <c r="H41">
        <f t="shared" si="2"/>
        <v>0.27861093750000004</v>
      </c>
      <c r="I41">
        <f t="shared" si="2"/>
        <v>0.495665625</v>
      </c>
    </row>
    <row r="42" spans="1:9" x14ac:dyDescent="0.25">
      <c r="A42">
        <f>A41</f>
        <v>1</v>
      </c>
      <c r="B42">
        <v>6</v>
      </c>
      <c r="C42">
        <v>17</v>
      </c>
      <c r="D42">
        <f>Table131516223042[[#This Row],[Wingspan (m)]]/Table131516223042[[#This Row],[Wing Aspect Ratio]]</f>
        <v>0.16666666666666666</v>
      </c>
      <c r="E42">
        <f>Table131516223042[[#This Row],[Average Wing Chord (m)]]*Table131516223042[[#This Row],[Wingspan (m)]]</f>
        <v>0.16666666666666666</v>
      </c>
      <c r="F42">
        <f>($B$2/$B$1)*D42*C42</f>
        <v>193901.30353817501</v>
      </c>
      <c r="G42">
        <f t="shared" si="2"/>
        <v>0.29620091666666665</v>
      </c>
      <c r="H42">
        <f t="shared" si="2"/>
        <v>0.35786027083333333</v>
      </c>
      <c r="I42">
        <f t="shared" si="2"/>
        <v>0.6366549583333333</v>
      </c>
    </row>
    <row r="44" spans="1:9" x14ac:dyDescent="0.25">
      <c r="A44" s="4" t="s">
        <v>14</v>
      </c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1" t="s">
        <v>5</v>
      </c>
      <c r="B45" s="1"/>
      <c r="C45" s="1"/>
      <c r="D45" s="1" t="s">
        <v>8</v>
      </c>
      <c r="E45" s="1"/>
      <c r="F45" s="1"/>
      <c r="G45" s="1"/>
      <c r="H45" s="1"/>
      <c r="I45" s="1"/>
    </row>
    <row r="46" spans="1:9" x14ac:dyDescent="0.25">
      <c r="A46" t="s">
        <v>3</v>
      </c>
      <c r="B46" t="s">
        <v>4</v>
      </c>
      <c r="C46" t="s">
        <v>7</v>
      </c>
      <c r="D46" t="s">
        <v>9</v>
      </c>
      <c r="E46" t="s">
        <v>10</v>
      </c>
      <c r="F46" t="s">
        <v>6</v>
      </c>
      <c r="G46" t="s">
        <v>44</v>
      </c>
      <c r="H46" t="s">
        <v>42</v>
      </c>
      <c r="I46" t="s">
        <v>43</v>
      </c>
    </row>
    <row r="47" spans="1:9" x14ac:dyDescent="0.25">
      <c r="A47">
        <f>A39+0.2</f>
        <v>1.2</v>
      </c>
      <c r="B47">
        <v>5</v>
      </c>
      <c r="C47">
        <v>15</v>
      </c>
      <c r="D47">
        <f>Table131516233143[[#This Row],[Wingspan (m)]]/Table131516233143[[#This Row],[Wing Aspect Ratio]]</f>
        <v>0.24</v>
      </c>
      <c r="E47">
        <f>Table131516233143[[#This Row],[Average Wing Chord (m)]]*Table131516233143[[#This Row],[Wingspan (m)]]</f>
        <v>0.28799999999999998</v>
      </c>
      <c r="F47">
        <f>($B$2/$B$1)*D47*C47</f>
        <v>246368.71508379886</v>
      </c>
      <c r="G47">
        <f t="shared" ref="G47:I50" si="3">(0.5)*$B$2*$E47*IF($F47&lt;75000,B$6,IF($F47&lt;150000,B$7,B$8))*$C47*$C47</f>
        <v>0.3984876</v>
      </c>
      <c r="H47">
        <f t="shared" si="3"/>
        <v>0.48143970000000003</v>
      </c>
      <c r="I47">
        <f t="shared" si="3"/>
        <v>0.8565102</v>
      </c>
    </row>
    <row r="48" spans="1:9" x14ac:dyDescent="0.25">
      <c r="A48">
        <f>A47</f>
        <v>1.2</v>
      </c>
      <c r="B48">
        <v>5</v>
      </c>
      <c r="C48">
        <v>17</v>
      </c>
      <c r="D48">
        <f>Table131516233143[[#This Row],[Wingspan (m)]]/Table131516233143[[#This Row],[Wing Aspect Ratio]]</f>
        <v>0.24</v>
      </c>
      <c r="E48">
        <f>Table131516233143[[#This Row],[Average Wing Chord (m)]]*Table131516233143[[#This Row],[Wingspan (m)]]</f>
        <v>0.28799999999999998</v>
      </c>
      <c r="F48">
        <f>($B$2/$B$1)*D48*C48</f>
        <v>279217.87709497206</v>
      </c>
      <c r="G48">
        <f t="shared" si="3"/>
        <v>0.51183518400000005</v>
      </c>
      <c r="H48">
        <f t="shared" si="3"/>
        <v>0.61838254800000003</v>
      </c>
      <c r="I48">
        <f t="shared" si="3"/>
        <v>1.100139768</v>
      </c>
    </row>
    <row r="49" spans="1:9" x14ac:dyDescent="0.25">
      <c r="A49">
        <f>A48</f>
        <v>1.2</v>
      </c>
      <c r="B49">
        <v>6</v>
      </c>
      <c r="C49">
        <v>15</v>
      </c>
      <c r="D49">
        <f>Table131516233143[[#This Row],[Wingspan (m)]]/Table131516233143[[#This Row],[Wing Aspect Ratio]]</f>
        <v>0.19999999999999998</v>
      </c>
      <c r="E49">
        <f>Table131516233143[[#This Row],[Average Wing Chord (m)]]*Table131516233143[[#This Row],[Wingspan (m)]]</f>
        <v>0.23999999999999996</v>
      </c>
      <c r="F49">
        <f>($B$2/$B$1)*D49*C49</f>
        <v>205307.26256983235</v>
      </c>
      <c r="G49">
        <f t="shared" si="3"/>
        <v>0.33207300000000001</v>
      </c>
      <c r="H49">
        <f t="shared" si="3"/>
        <v>0.40119974999999997</v>
      </c>
      <c r="I49">
        <f t="shared" si="3"/>
        <v>0.71375849999999996</v>
      </c>
    </row>
    <row r="50" spans="1:9" x14ac:dyDescent="0.25">
      <c r="A50">
        <f>A49</f>
        <v>1.2</v>
      </c>
      <c r="B50">
        <v>6</v>
      </c>
      <c r="C50">
        <v>17</v>
      </c>
      <c r="D50">
        <f>Table131516233143[[#This Row],[Wingspan (m)]]/Table131516233143[[#This Row],[Wing Aspect Ratio]]</f>
        <v>0.19999999999999998</v>
      </c>
      <c r="E50">
        <f>Table131516233143[[#This Row],[Average Wing Chord (m)]]*Table131516233143[[#This Row],[Wingspan (m)]]</f>
        <v>0.23999999999999996</v>
      </c>
      <c r="F50">
        <f>($B$2/$B$1)*D50*C50</f>
        <v>232681.56424581</v>
      </c>
      <c r="G50">
        <f t="shared" si="3"/>
        <v>0.42652931999999999</v>
      </c>
      <c r="H50">
        <f t="shared" si="3"/>
        <v>0.51531879000000003</v>
      </c>
      <c r="I50">
        <f t="shared" si="3"/>
        <v>0.91678313999999983</v>
      </c>
    </row>
    <row r="52" spans="1:9" x14ac:dyDescent="0.25">
      <c r="A52" s="4" t="s">
        <v>15</v>
      </c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1" t="s">
        <v>5</v>
      </c>
      <c r="B53" s="1"/>
      <c r="C53" s="1"/>
      <c r="D53" s="1" t="s">
        <v>8</v>
      </c>
      <c r="E53" s="1"/>
      <c r="F53" s="1"/>
      <c r="G53" s="1"/>
      <c r="H53" s="1"/>
      <c r="I53" s="1"/>
    </row>
    <row r="54" spans="1:9" x14ac:dyDescent="0.25">
      <c r="A54" t="s">
        <v>3</v>
      </c>
      <c r="B54" t="s">
        <v>4</v>
      </c>
      <c r="C54" t="s">
        <v>7</v>
      </c>
      <c r="D54" t="s">
        <v>9</v>
      </c>
      <c r="E54" t="s">
        <v>10</v>
      </c>
      <c r="F54" t="s">
        <v>6</v>
      </c>
      <c r="G54" t="s">
        <v>44</v>
      </c>
      <c r="H54" t="s">
        <v>42</v>
      </c>
      <c r="I54" t="s">
        <v>43</v>
      </c>
    </row>
    <row r="55" spans="1:9" x14ac:dyDescent="0.25">
      <c r="A55">
        <f>A47+0.3</f>
        <v>1.5</v>
      </c>
      <c r="B55">
        <v>5</v>
      </c>
      <c r="C55">
        <v>15</v>
      </c>
      <c r="D55">
        <f>Table131516243244[[#This Row],[Wingspan (m)]]/Table131516243244[[#This Row],[Wing Aspect Ratio]]</f>
        <v>0.3</v>
      </c>
      <c r="E55">
        <f>Table131516243244[[#This Row],[Average Wing Chord (m)]]*Table131516243244[[#This Row],[Wingspan (m)]]</f>
        <v>0.44999999999999996</v>
      </c>
      <c r="F55">
        <f>($B$2/$B$1)*D55*C55</f>
        <v>307960.89385474857</v>
      </c>
      <c r="G55">
        <f t="shared" ref="G55:I58" si="4">(0.5)*$B$2*$E55*IF($F55&lt;75000,B$6,IF($F55&lt;150000,B$7,B$8))*$C55*$C55</f>
        <v>0.62263687499999998</v>
      </c>
      <c r="H55">
        <f t="shared" si="4"/>
        <v>0.75224953125000005</v>
      </c>
      <c r="I55">
        <f t="shared" si="4"/>
        <v>1.3382971874999998</v>
      </c>
    </row>
    <row r="56" spans="1:9" x14ac:dyDescent="0.25">
      <c r="A56">
        <f>A55</f>
        <v>1.5</v>
      </c>
      <c r="B56">
        <v>5</v>
      </c>
      <c r="C56">
        <v>17</v>
      </c>
      <c r="D56">
        <f>Table131516243244[[#This Row],[Wingspan (m)]]/Table131516243244[[#This Row],[Wing Aspect Ratio]]</f>
        <v>0.3</v>
      </c>
      <c r="E56">
        <f>Table131516243244[[#This Row],[Average Wing Chord (m)]]*Table131516243244[[#This Row],[Wingspan (m)]]</f>
        <v>0.44999999999999996</v>
      </c>
      <c r="F56">
        <f>($B$2/$B$1)*D56*C56</f>
        <v>349022.34636871505</v>
      </c>
      <c r="G56">
        <f t="shared" si="4"/>
        <v>0.79974247499999995</v>
      </c>
      <c r="H56">
        <f t="shared" si="4"/>
        <v>0.96622273125000002</v>
      </c>
      <c r="I56">
        <f t="shared" si="4"/>
        <v>1.7189683874999999</v>
      </c>
    </row>
    <row r="57" spans="1:9" x14ac:dyDescent="0.25">
      <c r="A57">
        <f>A56</f>
        <v>1.5</v>
      </c>
      <c r="B57">
        <v>6</v>
      </c>
      <c r="C57">
        <v>15</v>
      </c>
      <c r="D57">
        <f>Table131516243244[[#This Row],[Wingspan (m)]]/Table131516243244[[#This Row],[Wing Aspect Ratio]]</f>
        <v>0.25</v>
      </c>
      <c r="E57">
        <f>Table131516243244[[#This Row],[Average Wing Chord (m)]]*Table131516243244[[#This Row],[Wingspan (m)]]</f>
        <v>0.375</v>
      </c>
      <c r="F57">
        <f>($B$2/$B$1)*D57*C57</f>
        <v>256634.07821229048</v>
      </c>
      <c r="G57">
        <f t="shared" si="4"/>
        <v>0.51886406250000017</v>
      </c>
      <c r="H57">
        <f t="shared" si="4"/>
        <v>0.62687460937500017</v>
      </c>
      <c r="I57">
        <f t="shared" si="4"/>
        <v>1.11524765625</v>
      </c>
    </row>
    <row r="58" spans="1:9" x14ac:dyDescent="0.25">
      <c r="A58">
        <f>A57</f>
        <v>1.5</v>
      </c>
      <c r="B58">
        <v>6</v>
      </c>
      <c r="C58">
        <v>17</v>
      </c>
      <c r="D58">
        <f>Table131516243244[[#This Row],[Wingspan (m)]]/Table131516243244[[#This Row],[Wing Aspect Ratio]]</f>
        <v>0.25</v>
      </c>
      <c r="E58">
        <f>Table131516243244[[#This Row],[Average Wing Chord (m)]]*Table131516243244[[#This Row],[Wingspan (m)]]</f>
        <v>0.375</v>
      </c>
      <c r="F58">
        <f>($B$2/$B$1)*D58*C58</f>
        <v>290851.95530726254</v>
      </c>
      <c r="G58">
        <f t="shared" si="4"/>
        <v>0.66645206250000011</v>
      </c>
      <c r="H58">
        <f t="shared" si="4"/>
        <v>0.80518560937500006</v>
      </c>
      <c r="I58">
        <f t="shared" si="4"/>
        <v>1.43247365625</v>
      </c>
    </row>
  </sheetData>
  <mergeCells count="18">
    <mergeCell ref="A52:I52"/>
    <mergeCell ref="A53:C53"/>
    <mergeCell ref="D53:I53"/>
    <mergeCell ref="A36:I36"/>
    <mergeCell ref="A37:C37"/>
    <mergeCell ref="D37:I37"/>
    <mergeCell ref="A44:I44"/>
    <mergeCell ref="A45:C45"/>
    <mergeCell ref="D45:I45"/>
    <mergeCell ref="A21:C21"/>
    <mergeCell ref="D21:I21"/>
    <mergeCell ref="A28:I28"/>
    <mergeCell ref="A29:C29"/>
    <mergeCell ref="D29:I29"/>
    <mergeCell ref="A12:I12"/>
    <mergeCell ref="A13:C13"/>
    <mergeCell ref="D13:I13"/>
    <mergeCell ref="A20:I20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 Lift Study V1</vt:lpstr>
      <vt:lpstr>Plane Lift Study V2</vt:lpstr>
      <vt:lpstr>Plane Drag Study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Hickey</dc:creator>
  <cp:lastModifiedBy>Hickey, Brandon</cp:lastModifiedBy>
  <dcterms:created xsi:type="dcterms:W3CDTF">2015-06-05T18:17:20Z</dcterms:created>
  <dcterms:modified xsi:type="dcterms:W3CDTF">2023-09-24T06:29:54Z</dcterms:modified>
</cp:coreProperties>
</file>