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4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5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6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7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drawings/drawing8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9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drawings/drawing10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drawings/drawing11.xml" ContentType="application/vnd.openxmlformats-officedocument.drawing+xml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drawings/drawing12.xml" ContentType="application/vnd.openxmlformats-officedocument.drawing+xml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13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drawings/drawing14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drawings/drawing15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drawings/drawing16.xml" ContentType="application/vnd.openxmlformats-officedocument.drawing+xml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drawings/drawing17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drawings/drawing18.xml" ContentType="application/vnd.openxmlformats-officedocument.drawing+xml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drawings/drawing19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drawings/drawing20.xml" ContentType="application/vnd.openxmlformats-officedocument.drawing+xml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drawings/drawing21.xml" ContentType="application/vnd.openxmlformats-officedocument.drawing+xml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drawings/drawing22.xml" ContentType="application/vnd.openxmlformats-officedocument.drawing+xml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drawings/drawing23.xml" ContentType="application/vnd.openxmlformats-officedocument.drawing+xml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drawings/drawing24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drawings/drawing25.xml" ContentType="application/vnd.openxmlformats-officedocument.drawing+xml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drawings/drawing26.xml" ContentType="application/vnd.openxmlformats-officedocument.drawing+xml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drawings/drawing27.xml" ContentType="application/vnd.openxmlformats-officedocument.drawing+xml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drawings/drawing28.xml" ContentType="application/vnd.openxmlformats-officedocument.drawing+xml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drawings/drawing29.xml" ContentType="application/vnd.openxmlformats-officedocument.drawing+xml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30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drawings/drawing31.xml" ContentType="application/vnd.openxmlformats-officedocument.drawing+xml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drawings/drawing32.xml" ContentType="application/vnd.openxmlformats-officedocument.drawing+xml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drawings/drawing33.xml" ContentType="application/vnd.openxmlformats-officedocument.drawing+xml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drawings/drawing34.xml" ContentType="application/vnd.openxmlformats-officedocument.drawing+xml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35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drawings/drawing36.xml" ContentType="application/vnd.openxmlformats-officedocument.drawing+xml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drawings/drawing37.xml" ContentType="application/vnd.openxmlformats-officedocument.drawing+xml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drawings/drawing38.xml" ContentType="application/vnd.openxmlformats-officedocument.drawing+xml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drawings/drawing39.xml" ContentType="application/vnd.openxmlformats-officedocument.drawing+xml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drawings/drawing40.xml" ContentType="application/vnd.openxmlformats-officedocument.drawing+xml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omb\PycharmProjects\LeasingAutomationGUI\"/>
    </mc:Choice>
  </mc:AlternateContent>
  <xr:revisionPtr revIDLastSave="0" documentId="13_ncr:1_{657AC9EF-22F5-4781-B214-34894444495C}" xr6:coauthVersionLast="47" xr6:coauthVersionMax="47" xr10:uidLastSave="{00000000-0000-0000-0000-000000000000}"/>
  <bookViews>
    <workbookView xWindow="5028" yWindow="1920" windowWidth="17280" windowHeight="8964" tabRatio="650" firstSheet="2" activeTab="7" xr2:uid="{00000000-000D-0000-FFFF-FFFF00000000}"/>
  </bookViews>
  <sheets>
    <sheet name="Analysis" sheetId="11" r:id="rId1"/>
    <sheet name="Analysis - LL TI Amort Sch" sheetId="12" r:id="rId2"/>
    <sheet name="Analysis - TI Amort Sch" sheetId="14" r:id="rId3"/>
    <sheet name="Proposal" sheetId="8" r:id="rId4"/>
    <sheet name="New Lease" sheetId="5" r:id="rId5"/>
    <sheet name="Renewal" sheetId="6" r:id="rId6"/>
    <sheet name="Expansion" sheetId="7" r:id="rId7"/>
    <sheet name="Data Grid" sheetId="56" r:id="rId8"/>
    <sheet name="Debt Schedule" sheetId="13" r:id="rId9"/>
    <sheet name="Newton Amort Sch" sheetId="62" r:id="rId10"/>
    <sheet name="21Webb Amort Sch" sheetId="57" r:id="rId11"/>
    <sheet name="Tyler Amort Sch" sheetId="61" r:id="rId12"/>
    <sheet name="Union Amort Sch" sheetId="60" r:id="rId13"/>
    <sheet name="OPX Amort Sch" sheetId="58" r:id="rId14"/>
    <sheet name="NDV Amort Sch (3)" sheetId="59" r:id="rId15"/>
    <sheet name="ABP-BS-13" sheetId="15" r:id="rId16"/>
    <sheet name="ABP-PL-13" sheetId="16" r:id="rId17"/>
    <sheet name="BPT-BS-13" sheetId="17" r:id="rId18"/>
    <sheet name="BPT-PL-13" sheetId="18" r:id="rId19"/>
    <sheet name="CP-BS-13" sheetId="19" r:id="rId20"/>
    <sheet name="CP-PL-13" sheetId="20" r:id="rId21"/>
    <sheet name="DGS-BS-13" sheetId="21" r:id="rId22"/>
    <sheet name="DGS-PL-13" sheetId="22" r:id="rId23"/>
    <sheet name="NDV-BS-13" sheetId="23" r:id="rId24"/>
    <sheet name="NDV-PL-13" sheetId="24" r:id="rId25"/>
    <sheet name="NR6-BS-13" sheetId="25" r:id="rId26"/>
    <sheet name="NR6-TotalPL-13" sheetId="26" r:id="rId27"/>
    <sheet name="NR6-OfficePL-13" sheetId="27" r:id="rId28"/>
    <sheet name="NR6-RetailPL-13" sheetId="28" r:id="rId29"/>
    <sheet name="NR14-BS-13" sheetId="29" r:id="rId30"/>
    <sheet name="NR14-PL-13" sheetId="30" r:id="rId31"/>
    <sheet name="NWC-BS-13" sheetId="31" r:id="rId32"/>
    <sheet name="NWC-PL-13" sheetId="32" r:id="rId33"/>
    <sheet name="OCP-BS-13" sheetId="33" r:id="rId34"/>
    <sheet name="OCP-PL-13" sheetId="34" r:id="rId35"/>
    <sheet name="OMI-BS-13" sheetId="35" r:id="rId36"/>
    <sheet name="OMI-PL-13" sheetId="36" r:id="rId37"/>
    <sheet name="ROY-BS-13" sheetId="37" r:id="rId38"/>
    <sheet name="ROY-PL-13" sheetId="38" r:id="rId39"/>
    <sheet name="SPC-BS-13" sheetId="39" r:id="rId40"/>
    <sheet name="SPC-PL-13" sheetId="40" r:id="rId41"/>
    <sheet name="TYP-BS-13" sheetId="41" r:id="rId42"/>
    <sheet name="TYP-PL-13" sheetId="42" r:id="rId43"/>
    <sheet name="UST-BS-13" sheetId="43" r:id="rId44"/>
    <sheet name="UST-PL-13" sheetId="44" r:id="rId45"/>
    <sheet name="21Webb-BS-13" sheetId="45" r:id="rId46"/>
    <sheet name="21Webb-PL-13" sheetId="46" r:id="rId47"/>
    <sheet name="127PAW-BS-13" sheetId="47" r:id="rId48"/>
    <sheet name="127PAW-PL-13" sheetId="48" r:id="rId49"/>
    <sheet name="RP21-BS-13" sheetId="49" r:id="rId50"/>
    <sheet name="RP21-PL-13" sheetId="50" r:id="rId51"/>
    <sheet name="BSQ-BS-13" sheetId="51" r:id="rId52"/>
    <sheet name="BSQ-PL-13" sheetId="52" r:id="rId53"/>
    <sheet name="Wood96-BS-13" sheetId="53" r:id="rId54"/>
    <sheet name="Wood96-PL-13" sheetId="54" r:id="rId55"/>
    <sheet name="Sheet2" sheetId="2" r:id="rId56"/>
    <sheet name="Sheet3" sheetId="3" r:id="rId57"/>
  </sheets>
  <externalReferences>
    <externalReference r:id="rId58"/>
  </externalReferences>
  <definedNames>
    <definedName name="_xlnm.Print_Area" localSheetId="10">'21Webb Amort Sch'!$A$19:$H$138</definedName>
    <definedName name="_xlnm.Print_Area" localSheetId="0">Analysis!$A$1:$F$62</definedName>
    <definedName name="_xlnm.Print_Area" localSheetId="1">'Analysis - LL TI Amort Sch'!$A$19:$H$138</definedName>
    <definedName name="_xlnm.Print_Area" localSheetId="2">'Analysis - TI Amort Sch'!$A$19:$H$138</definedName>
    <definedName name="_xlnm.Print_Area" localSheetId="7">'Data Grid'!$B$7:$S$27</definedName>
    <definedName name="_xlnm.Print_Area" localSheetId="8">'Debt Schedule'!$A$1:$J$27</definedName>
    <definedName name="_xlnm.Print_Area" localSheetId="6">Expansion!$A$1:$L$35</definedName>
    <definedName name="_xlnm.Print_Area" localSheetId="14">'NDV Amort Sch (3)'!$A$19:$H$138</definedName>
    <definedName name="_xlnm.Print_Area" localSheetId="4">'New Lease'!$A$1:$L$35</definedName>
    <definedName name="_xlnm.Print_Area" localSheetId="9">'Newton Amort Sch'!$A$19:$H$138</definedName>
    <definedName name="_xlnm.Print_Area" localSheetId="13">'OPX Amort Sch'!$A$19:$H$138</definedName>
    <definedName name="_xlnm.Print_Area" localSheetId="3">Proposal!$A$1:$P$37</definedName>
    <definedName name="_xlnm.Print_Area" localSheetId="5">Renewal!$A$1:$L$35</definedName>
    <definedName name="_xlnm.Print_Area" localSheetId="11">'Tyler Amort Sch'!$A$19:$H$138</definedName>
    <definedName name="_xlnm.Print_Area" localSheetId="12">'Union Amort Sch'!$A$19:$H$138</definedName>
    <definedName name="_xlnm.Print_Titles" localSheetId="47">'127PAW-BS-13'!$A:$E,'127PAW-BS-13'!$1:$1</definedName>
    <definedName name="_xlnm.Print_Titles" localSheetId="48">'127PAW-PL-13'!$A:$G,'127PAW-PL-13'!$1:$1</definedName>
    <definedName name="_xlnm.Print_Titles" localSheetId="10">'21Webb Amort Sch'!$1:$18</definedName>
    <definedName name="_xlnm.Print_Titles" localSheetId="45">'21Webb-BS-13'!$A:$E,'21Webb-BS-13'!$1:$1</definedName>
    <definedName name="_xlnm.Print_Titles" localSheetId="46">'21Webb-PL-13'!$A:$G,'21Webb-PL-13'!$1:$1</definedName>
    <definedName name="_xlnm.Print_Titles" localSheetId="15">'ABP-BS-13'!$A:$E,'ABP-BS-13'!$1:$1</definedName>
    <definedName name="_xlnm.Print_Titles" localSheetId="16">'ABP-PL-13'!$A:$G,'ABP-PL-13'!$1:$1</definedName>
    <definedName name="_xlnm.Print_Titles" localSheetId="1">'Analysis - LL TI Amort Sch'!$1:$18</definedName>
    <definedName name="_xlnm.Print_Titles" localSheetId="2">'Analysis - TI Amort Sch'!$1:$18</definedName>
    <definedName name="_xlnm.Print_Titles" localSheetId="17">'BPT-BS-13'!$A:$E,'BPT-BS-13'!$1:$1</definedName>
    <definedName name="_xlnm.Print_Titles" localSheetId="18">'BPT-PL-13'!$A:$G,'BPT-PL-13'!$1:$1</definedName>
    <definedName name="_xlnm.Print_Titles" localSheetId="51">'BSQ-BS-13'!$A:$E,'BSQ-BS-13'!$1:$1</definedName>
    <definedName name="_xlnm.Print_Titles" localSheetId="52">'BSQ-PL-13'!$A:$D,'BSQ-PL-13'!$1:$1</definedName>
    <definedName name="_xlnm.Print_Titles" localSheetId="19">'CP-BS-13'!$A:$E,'CP-BS-13'!$1:$1</definedName>
    <definedName name="_xlnm.Print_Titles" localSheetId="20">'CP-PL-13'!$A:$G,'CP-PL-13'!$1:$1</definedName>
    <definedName name="_xlnm.Print_Titles" localSheetId="7">'Data Grid'!$A:$A,'Data Grid'!$1:$6</definedName>
    <definedName name="_xlnm.Print_Titles" localSheetId="21">'DGS-BS-13'!$A:$E,'DGS-BS-13'!$1:$1</definedName>
    <definedName name="_xlnm.Print_Titles" localSheetId="22">'DGS-PL-13'!$A:$G,'DGS-PL-13'!$1:$1</definedName>
    <definedName name="_xlnm.Print_Titles" localSheetId="14">'NDV Amort Sch (3)'!$1:$18</definedName>
    <definedName name="_xlnm.Print_Titles" localSheetId="23">'NDV-BS-13'!$A:$E,'NDV-BS-13'!$1:$1</definedName>
    <definedName name="_xlnm.Print_Titles" localSheetId="24">'NDV-PL-13'!$A:$E,'NDV-PL-13'!$1:$1</definedName>
    <definedName name="_xlnm.Print_Titles" localSheetId="9">'Newton Amort Sch'!$1:$18</definedName>
    <definedName name="_xlnm.Print_Titles" localSheetId="29">'NR14-BS-13'!$A:$E,'NR14-BS-13'!$1:$1</definedName>
    <definedName name="_xlnm.Print_Titles" localSheetId="30">'NR14-PL-13'!$A:$F,'NR14-PL-13'!$1:$1</definedName>
    <definedName name="_xlnm.Print_Titles" localSheetId="25">'NR6-BS-13'!$A:$E,'NR6-BS-13'!$1:$1</definedName>
    <definedName name="_xlnm.Print_Titles" localSheetId="27">'NR6-OfficePL-13'!$A:$G,'NR6-OfficePL-13'!$1:$1</definedName>
    <definedName name="_xlnm.Print_Titles" localSheetId="28">'NR6-RetailPL-13'!$A:$G,'NR6-RetailPL-13'!$1:$1</definedName>
    <definedName name="_xlnm.Print_Titles" localSheetId="26">'NR6-TotalPL-13'!$A:$G,'NR6-TotalPL-13'!$1:$1</definedName>
    <definedName name="_xlnm.Print_Titles" localSheetId="31">'NWC-BS-13'!$A:$E,'NWC-BS-13'!$1:$1</definedName>
    <definedName name="_xlnm.Print_Titles" localSheetId="32">'NWC-PL-13'!$A:$H,'NWC-PL-13'!$1:$1</definedName>
    <definedName name="_xlnm.Print_Titles" localSheetId="33">'OCP-BS-13'!$A:$E,'OCP-BS-13'!$1:$1</definedName>
    <definedName name="_xlnm.Print_Titles" localSheetId="34">'OCP-PL-13'!$A:$G,'OCP-PL-13'!$1:$1</definedName>
    <definedName name="_xlnm.Print_Titles" localSheetId="35">'OMI-BS-13'!$A:$E,'OMI-BS-13'!$1:$1</definedName>
    <definedName name="_xlnm.Print_Titles" localSheetId="36">'OMI-PL-13'!$A:$E,'OMI-PL-13'!$1:$1</definedName>
    <definedName name="_xlnm.Print_Titles" localSheetId="13">'OPX Amort Sch'!$1:$18</definedName>
    <definedName name="_xlnm.Print_Titles" localSheetId="37">'ROY-BS-13'!$A:$E,'ROY-BS-13'!$1:$1</definedName>
    <definedName name="_xlnm.Print_Titles" localSheetId="38">'ROY-PL-13'!$A:$F,'ROY-PL-13'!$1:$1</definedName>
    <definedName name="_xlnm.Print_Titles" localSheetId="49">'RP21-BS-13'!$A:$E,'RP21-BS-13'!$1:$1</definedName>
    <definedName name="_xlnm.Print_Titles" localSheetId="50">'RP21-PL-13'!$A:$F,'RP21-PL-13'!$1:$1</definedName>
    <definedName name="_xlnm.Print_Titles" localSheetId="39">'SPC-BS-13'!$A:$E,'SPC-BS-13'!$1:$1</definedName>
    <definedName name="_xlnm.Print_Titles" localSheetId="40">'SPC-PL-13'!$A:$F,'SPC-PL-13'!$1:$1</definedName>
    <definedName name="_xlnm.Print_Titles" localSheetId="11">'Tyler Amort Sch'!$1:$18</definedName>
    <definedName name="_xlnm.Print_Titles" localSheetId="41">'TYP-BS-13'!$A:$E,'TYP-BS-13'!$1:$1</definedName>
    <definedName name="_xlnm.Print_Titles" localSheetId="42">'TYP-PL-13'!$A:$F,'TYP-PL-13'!$1:$1</definedName>
    <definedName name="_xlnm.Print_Titles" localSheetId="12">'Union Amort Sch'!$1:$18</definedName>
    <definedName name="_xlnm.Print_Titles" localSheetId="43">'UST-BS-13'!$A:$E,'UST-BS-13'!$1:$1</definedName>
    <definedName name="_xlnm.Print_Titles" localSheetId="44">'UST-PL-13'!$A:$G,'UST-PL-13'!$1:$1</definedName>
    <definedName name="_xlnm.Print_Titles" localSheetId="53">'Wood96-BS-13'!$A:$E,'Wood96-BS-13'!$1:$1</definedName>
    <definedName name="_xlnm.Print_Titles" localSheetId="54">'Wood96-PL-13'!$A:$F,'Wood96-PL-13'!$1:$1</definedName>
    <definedName name="Property">'Data Grid'!$A$7:$A$25</definedName>
    <definedName name="QB_COLUMN_2920" localSheetId="47" hidden="1">'127PAW-BS-13'!$F$1</definedName>
    <definedName name="QB_COLUMN_2920" localSheetId="45" hidden="1">'21Webb-BS-13'!$F$1</definedName>
    <definedName name="QB_COLUMN_2920" localSheetId="15" hidden="1">'ABP-BS-13'!$F$1</definedName>
    <definedName name="QB_COLUMN_2920" localSheetId="17" hidden="1">'BPT-BS-13'!$F$1</definedName>
    <definedName name="QB_COLUMN_2920" localSheetId="51" hidden="1">'BSQ-BS-13'!$F$1</definedName>
    <definedName name="QB_COLUMN_2920" localSheetId="19" hidden="1">'CP-BS-13'!$F$1</definedName>
    <definedName name="QB_COLUMN_2920" localSheetId="21" hidden="1">'DGS-BS-13'!$F$1</definedName>
    <definedName name="QB_COLUMN_2920" localSheetId="23" hidden="1">'NDV-BS-13'!$F$1</definedName>
    <definedName name="QB_COLUMN_2920" localSheetId="29" hidden="1">'NR14-BS-13'!$F$1</definedName>
    <definedName name="QB_COLUMN_2920" localSheetId="25" hidden="1">'NR6-BS-13'!$F$1</definedName>
    <definedName name="QB_COLUMN_2920" localSheetId="31" hidden="1">'NWC-BS-13'!$F$1</definedName>
    <definedName name="QB_COLUMN_2920" localSheetId="33" hidden="1">'OCP-BS-13'!$F$1</definedName>
    <definedName name="QB_COLUMN_2920" localSheetId="35" hidden="1">'OMI-BS-13'!$F$1</definedName>
    <definedName name="QB_COLUMN_2920" localSheetId="37" hidden="1">'ROY-BS-13'!$F$1</definedName>
    <definedName name="QB_COLUMN_2920" localSheetId="49" hidden="1">'RP21-BS-13'!$F$1</definedName>
    <definedName name="QB_COLUMN_2920" localSheetId="39" hidden="1">'SPC-BS-13'!$F$1</definedName>
    <definedName name="QB_COLUMN_2920" localSheetId="41" hidden="1">'TYP-BS-13'!$F$1</definedName>
    <definedName name="QB_COLUMN_2920" localSheetId="43" hidden="1">'UST-BS-13'!$F$1</definedName>
    <definedName name="QB_COLUMN_2920" localSheetId="53" hidden="1">'Wood96-BS-13'!$F$1</definedName>
    <definedName name="QB_COLUMN_2921" localSheetId="47" hidden="1">'127PAW-BS-13'!$H$1</definedName>
    <definedName name="QB_COLUMN_2921" localSheetId="48" hidden="1">'127PAW-PL-13'!$H$1</definedName>
    <definedName name="QB_COLUMN_2921" localSheetId="45" hidden="1">'21Webb-BS-13'!$H$1</definedName>
    <definedName name="QB_COLUMN_2921" localSheetId="46" hidden="1">'21Webb-PL-13'!$H$1</definedName>
    <definedName name="QB_COLUMN_2921" localSheetId="15" hidden="1">'ABP-BS-13'!$H$1</definedName>
    <definedName name="QB_COLUMN_2921" localSheetId="16" hidden="1">'ABP-PL-13'!$H$1</definedName>
    <definedName name="QB_COLUMN_2921" localSheetId="17" hidden="1">'BPT-BS-13'!$H$1</definedName>
    <definedName name="QB_COLUMN_2921" localSheetId="18" hidden="1">'BPT-PL-13'!$H$1</definedName>
    <definedName name="QB_COLUMN_2921" localSheetId="51" hidden="1">'BSQ-BS-13'!$H$1</definedName>
    <definedName name="QB_COLUMN_2921" localSheetId="52" hidden="1">'BSQ-PL-13'!$E$1</definedName>
    <definedName name="QB_COLUMN_2921" localSheetId="19" hidden="1">'CP-BS-13'!$H$1</definedName>
    <definedName name="QB_COLUMN_2921" localSheetId="20" hidden="1">'CP-PL-13'!$H$1</definedName>
    <definedName name="QB_COLUMN_2921" localSheetId="21" hidden="1">'DGS-BS-13'!$H$1</definedName>
    <definedName name="QB_COLUMN_2921" localSheetId="22" hidden="1">'DGS-PL-13'!$H$1</definedName>
    <definedName name="QB_COLUMN_2921" localSheetId="23" hidden="1">'NDV-BS-13'!$H$1</definedName>
    <definedName name="QB_COLUMN_2921" localSheetId="24" hidden="1">'NDV-PL-13'!$F$1</definedName>
    <definedName name="QB_COLUMN_2921" localSheetId="29" hidden="1">'NR14-BS-13'!$H$1</definedName>
    <definedName name="QB_COLUMN_2921" localSheetId="30" hidden="1">'NR14-PL-13'!$G$1</definedName>
    <definedName name="QB_COLUMN_2921" localSheetId="25" hidden="1">'NR6-BS-13'!$H$1</definedName>
    <definedName name="QB_COLUMN_2921" localSheetId="27" hidden="1">'NR6-OfficePL-13'!$H$1</definedName>
    <definedName name="QB_COLUMN_2921" localSheetId="28" hidden="1">'NR6-RetailPL-13'!$H$1</definedName>
    <definedName name="QB_COLUMN_2921" localSheetId="26" hidden="1">'NR6-TotalPL-13'!$H$1</definedName>
    <definedName name="QB_COLUMN_2921" localSheetId="31" hidden="1">'NWC-BS-13'!$H$1</definedName>
    <definedName name="QB_COLUMN_2921" localSheetId="32" hidden="1">'NWC-PL-13'!$I$1</definedName>
    <definedName name="QB_COLUMN_2921" localSheetId="33" hidden="1">'OCP-BS-13'!$H$1</definedName>
    <definedName name="QB_COLUMN_2921" localSheetId="34" hidden="1">'OCP-PL-13'!$H$1</definedName>
    <definedName name="QB_COLUMN_2921" localSheetId="35" hidden="1">'OMI-BS-13'!$H$1</definedName>
    <definedName name="QB_COLUMN_2921" localSheetId="36" hidden="1">'OMI-PL-13'!$F$1</definedName>
    <definedName name="QB_COLUMN_2921" localSheetId="37" hidden="1">'ROY-BS-13'!$H$1</definedName>
    <definedName name="QB_COLUMN_2921" localSheetId="38" hidden="1">'ROY-PL-13'!$G$1</definedName>
    <definedName name="QB_COLUMN_2921" localSheetId="49" hidden="1">'RP21-BS-13'!$H$1</definedName>
    <definedName name="QB_COLUMN_2921" localSheetId="50" hidden="1">'RP21-PL-13'!$G$1</definedName>
    <definedName name="QB_COLUMN_2921" localSheetId="39" hidden="1">'SPC-BS-13'!$H$1</definedName>
    <definedName name="QB_COLUMN_2921" localSheetId="40" hidden="1">'SPC-PL-13'!$G$1</definedName>
    <definedName name="QB_COLUMN_2921" localSheetId="41" hidden="1">'TYP-BS-13'!$H$1</definedName>
    <definedName name="QB_COLUMN_2921" localSheetId="42" hidden="1">'TYP-PL-13'!$G$1</definedName>
    <definedName name="QB_COLUMN_2921" localSheetId="43" hidden="1">'UST-BS-13'!$H$1</definedName>
    <definedName name="QB_COLUMN_2921" localSheetId="44" hidden="1">'UST-PL-13'!$H$1</definedName>
    <definedName name="QB_COLUMN_2921" localSheetId="53" hidden="1">'Wood96-BS-13'!$H$1</definedName>
    <definedName name="QB_COLUMN_2921" localSheetId="54" hidden="1">'Wood96-PL-13'!$G$1</definedName>
    <definedName name="QB_COLUMN_2922" localSheetId="47" hidden="1">'127PAW-BS-13'!$J$1</definedName>
    <definedName name="QB_COLUMN_2922" localSheetId="48" hidden="1">'127PAW-PL-13'!$J$1</definedName>
    <definedName name="QB_COLUMN_2922" localSheetId="45" hidden="1">'21Webb-BS-13'!$J$1</definedName>
    <definedName name="QB_COLUMN_2922" localSheetId="46" hidden="1">'21Webb-PL-13'!$J$1</definedName>
    <definedName name="QB_COLUMN_2922" localSheetId="15" hidden="1">'ABP-BS-13'!$J$1</definedName>
    <definedName name="QB_COLUMN_2922" localSheetId="16" hidden="1">'ABP-PL-13'!$J$1</definedName>
    <definedName name="QB_COLUMN_2922" localSheetId="17" hidden="1">'BPT-BS-13'!$J$1</definedName>
    <definedName name="QB_COLUMN_2922" localSheetId="18" hidden="1">'BPT-PL-13'!$J$1</definedName>
    <definedName name="QB_COLUMN_2922" localSheetId="51" hidden="1">'BSQ-BS-13'!$J$1</definedName>
    <definedName name="QB_COLUMN_2922" localSheetId="52" hidden="1">'BSQ-PL-13'!$G$1</definedName>
    <definedName name="QB_COLUMN_2922" localSheetId="19" hidden="1">'CP-BS-13'!$J$1</definedName>
    <definedName name="QB_COLUMN_2922" localSheetId="20" hidden="1">'CP-PL-13'!$J$1</definedName>
    <definedName name="QB_COLUMN_2922" localSheetId="21" hidden="1">'DGS-BS-13'!$J$1</definedName>
    <definedName name="QB_COLUMN_2922" localSheetId="22" hidden="1">'DGS-PL-13'!$J$1</definedName>
    <definedName name="QB_COLUMN_2922" localSheetId="23" hidden="1">'NDV-BS-13'!$J$1</definedName>
    <definedName name="QB_COLUMN_2922" localSheetId="24" hidden="1">'NDV-PL-13'!$H$1</definedName>
    <definedName name="QB_COLUMN_2922" localSheetId="29" hidden="1">'NR14-BS-13'!$J$1</definedName>
    <definedName name="QB_COLUMN_2922" localSheetId="30" hidden="1">'NR14-PL-13'!$I$1</definedName>
    <definedName name="QB_COLUMN_2922" localSheetId="25" hidden="1">'NR6-BS-13'!$J$1</definedName>
    <definedName name="QB_COLUMN_2922" localSheetId="27" hidden="1">'NR6-OfficePL-13'!$J$1</definedName>
    <definedName name="QB_COLUMN_2922" localSheetId="28" hidden="1">'NR6-RetailPL-13'!$J$1</definedName>
    <definedName name="QB_COLUMN_2922" localSheetId="26" hidden="1">'NR6-TotalPL-13'!$J$1</definedName>
    <definedName name="QB_COLUMN_2922" localSheetId="31" hidden="1">'NWC-BS-13'!$J$1</definedName>
    <definedName name="QB_COLUMN_2922" localSheetId="32" hidden="1">'NWC-PL-13'!$K$1</definedName>
    <definedName name="QB_COLUMN_2922" localSheetId="33" hidden="1">'OCP-BS-13'!$J$1</definedName>
    <definedName name="QB_COLUMN_2922" localSheetId="34" hidden="1">'OCP-PL-13'!$J$1</definedName>
    <definedName name="QB_COLUMN_2922" localSheetId="35" hidden="1">'OMI-BS-13'!$J$1</definedName>
    <definedName name="QB_COLUMN_2922" localSheetId="36" hidden="1">'OMI-PL-13'!$H$1</definedName>
    <definedName name="QB_COLUMN_2922" localSheetId="37" hidden="1">'ROY-BS-13'!$J$1</definedName>
    <definedName name="QB_COLUMN_2922" localSheetId="38" hidden="1">'ROY-PL-13'!$I$1</definedName>
    <definedName name="QB_COLUMN_2922" localSheetId="49" hidden="1">'RP21-BS-13'!$J$1</definedName>
    <definedName name="QB_COLUMN_2922" localSheetId="50" hidden="1">'RP21-PL-13'!$I$1</definedName>
    <definedName name="QB_COLUMN_2922" localSheetId="39" hidden="1">'SPC-BS-13'!$J$1</definedName>
    <definedName name="QB_COLUMN_2922" localSheetId="40" hidden="1">'SPC-PL-13'!$I$1</definedName>
    <definedName name="QB_COLUMN_2922" localSheetId="41" hidden="1">'TYP-BS-13'!$J$1</definedName>
    <definedName name="QB_COLUMN_2922" localSheetId="42" hidden="1">'TYP-PL-13'!$I$1</definedName>
    <definedName name="QB_COLUMN_2922" localSheetId="43" hidden="1">'UST-BS-13'!$J$1</definedName>
    <definedName name="QB_COLUMN_2922" localSheetId="44" hidden="1">'UST-PL-13'!$J$1</definedName>
    <definedName name="QB_COLUMN_2922" localSheetId="53" hidden="1">'Wood96-BS-13'!$J$1</definedName>
    <definedName name="QB_COLUMN_2922" localSheetId="54" hidden="1">'Wood96-PL-13'!$I$1</definedName>
    <definedName name="QB_COLUMN_2923" localSheetId="48" hidden="1">'127PAW-PL-13'!$L$1</definedName>
    <definedName name="QB_COLUMN_2923" localSheetId="46" hidden="1">'21Webb-PL-13'!$L$1</definedName>
    <definedName name="QB_COLUMN_2923" localSheetId="16" hidden="1">'ABP-PL-13'!$L$1</definedName>
    <definedName name="QB_COLUMN_2923" localSheetId="18" hidden="1">'BPT-PL-13'!$L$1</definedName>
    <definedName name="QB_COLUMN_2923" localSheetId="52" hidden="1">'BSQ-PL-13'!$I$1</definedName>
    <definedName name="QB_COLUMN_2923" localSheetId="20" hidden="1">'CP-PL-13'!$L$1</definedName>
    <definedName name="QB_COLUMN_2923" localSheetId="22" hidden="1">'DGS-PL-13'!$L$1</definedName>
    <definedName name="QB_COLUMN_2923" localSheetId="24" hidden="1">'NDV-PL-13'!$J$1</definedName>
    <definedName name="QB_COLUMN_2923" localSheetId="30" hidden="1">'NR14-PL-13'!$K$1</definedName>
    <definedName name="QB_COLUMN_2923" localSheetId="27" hidden="1">'NR6-OfficePL-13'!$L$1</definedName>
    <definedName name="QB_COLUMN_2923" localSheetId="28" hidden="1">'NR6-RetailPL-13'!$L$1</definedName>
    <definedName name="QB_COLUMN_2923" localSheetId="26" hidden="1">'NR6-TotalPL-13'!$L$1</definedName>
    <definedName name="QB_COLUMN_2923" localSheetId="32" hidden="1">'NWC-PL-13'!$M$1</definedName>
    <definedName name="QB_COLUMN_2923" localSheetId="34" hidden="1">'OCP-PL-13'!$L$1</definedName>
    <definedName name="QB_COLUMN_2923" localSheetId="36" hidden="1">'OMI-PL-13'!$J$1</definedName>
    <definedName name="QB_COLUMN_2923" localSheetId="38" hidden="1">'ROY-PL-13'!$K$1</definedName>
    <definedName name="QB_COLUMN_2923" localSheetId="50" hidden="1">'RP21-PL-13'!$K$1</definedName>
    <definedName name="QB_COLUMN_2923" localSheetId="40" hidden="1">'SPC-PL-13'!$K$1</definedName>
    <definedName name="QB_COLUMN_2923" localSheetId="42" hidden="1">'TYP-PL-13'!$K$1</definedName>
    <definedName name="QB_COLUMN_2923" localSheetId="44" hidden="1">'UST-PL-13'!$L$1</definedName>
    <definedName name="QB_COLUMN_2923" localSheetId="54" hidden="1">'Wood96-PL-13'!$K$1</definedName>
    <definedName name="QB_COLUMN_2930" localSheetId="48" hidden="1">'127PAW-PL-13'!$N$1</definedName>
    <definedName name="QB_COLUMN_2930" localSheetId="46" hidden="1">'21Webb-PL-13'!$N$1</definedName>
    <definedName name="QB_COLUMN_2930" localSheetId="16" hidden="1">'ABP-PL-13'!$N$1</definedName>
    <definedName name="QB_COLUMN_2930" localSheetId="18" hidden="1">'BPT-PL-13'!$N$1</definedName>
    <definedName name="QB_COLUMN_2930" localSheetId="52" hidden="1">'BSQ-PL-13'!$K$1</definedName>
    <definedName name="QB_COLUMN_2930" localSheetId="20" hidden="1">'CP-PL-13'!$N$1</definedName>
    <definedName name="QB_COLUMN_2930" localSheetId="22" hidden="1">'DGS-PL-13'!$N$1</definedName>
    <definedName name="QB_COLUMN_2930" localSheetId="24" hidden="1">'NDV-PL-13'!$L$1</definedName>
    <definedName name="QB_COLUMN_2930" localSheetId="30" hidden="1">'NR14-PL-13'!$M$1</definedName>
    <definedName name="QB_COLUMN_2930" localSheetId="27" hidden="1">'NR6-OfficePL-13'!$N$1</definedName>
    <definedName name="QB_COLUMN_2930" localSheetId="28" hidden="1">'NR6-RetailPL-13'!$N$1</definedName>
    <definedName name="QB_COLUMN_2930" localSheetId="26" hidden="1">'NR6-TotalPL-13'!$N$1</definedName>
    <definedName name="QB_COLUMN_2930" localSheetId="32" hidden="1">'NWC-PL-13'!$O$1</definedName>
    <definedName name="QB_COLUMN_2930" localSheetId="34" hidden="1">'OCP-PL-13'!$N$1</definedName>
    <definedName name="QB_COLUMN_2930" localSheetId="36" hidden="1">'OMI-PL-13'!$L$1</definedName>
    <definedName name="QB_COLUMN_2930" localSheetId="38" hidden="1">'ROY-PL-13'!$M$1</definedName>
    <definedName name="QB_COLUMN_2930" localSheetId="50" hidden="1">'RP21-PL-13'!$M$1</definedName>
    <definedName name="QB_COLUMN_2930" localSheetId="40" hidden="1">'SPC-PL-13'!$M$1</definedName>
    <definedName name="QB_COLUMN_2930" localSheetId="42" hidden="1">'TYP-PL-13'!$M$1</definedName>
    <definedName name="QB_COLUMN_2930" localSheetId="44" hidden="1">'UST-PL-13'!$N$1</definedName>
    <definedName name="QB_COLUMN_2930" localSheetId="54" hidden="1">'Wood96-PL-13'!$M$1</definedName>
    <definedName name="QB_DATA_0" localSheetId="47" hidden="1">'127PAW-BS-13'!$5:$5,'127PAW-BS-13'!$8:$8,'127PAW-BS-13'!$12:$12,'127PAW-BS-13'!$13:$13,'127PAW-BS-13'!$20:$20,'127PAW-BS-13'!$25:$25,'127PAW-BS-13'!$26:$26,'127PAW-BS-13'!$27:$27,'127PAW-BS-13'!$28:$28,'127PAW-BS-13'!$29:$29</definedName>
    <definedName name="QB_DATA_0" localSheetId="48" hidden="1">'127PAW-PL-13'!$5:$5,'127PAW-PL-13'!$7:$7,'127PAW-PL-13'!$9:$9,'127PAW-PL-13'!$10:$10,'127PAW-PL-13'!$11:$11,'127PAW-PL-13'!$13:$13,'127PAW-PL-13'!$14:$14,'127PAW-PL-13'!$19:$19,'127PAW-PL-13'!$22:$22,'127PAW-PL-13'!$24:$24,'127PAW-PL-13'!$25:$25,'127PAW-PL-13'!$26:$26,'127PAW-PL-13'!$33:$33,'127PAW-PL-13'!$34:$34,'127PAW-PL-13'!$35:$35</definedName>
    <definedName name="QB_DATA_0" localSheetId="45" hidden="1">'21Webb-BS-13'!$5:$5,'21Webb-BS-13'!$6:$6,'21Webb-BS-13'!$7:$7,'21Webb-BS-13'!$8:$8,'21Webb-BS-13'!$11:$11,'21Webb-BS-13'!$12:$12,'21Webb-BS-13'!$15:$15,'21Webb-BS-13'!$16:$16,'21Webb-BS-13'!$20:$20,'21Webb-BS-13'!$22:$22,'21Webb-BS-13'!$23:$23,'21Webb-BS-13'!$25:$25,'21Webb-BS-13'!$27:$27,'21Webb-BS-13'!$28:$28,'21Webb-BS-13'!$32:$32,'21Webb-BS-13'!$33:$33</definedName>
    <definedName name="QB_DATA_0" localSheetId="46" hidden="1">'21Webb-PL-13'!$4:$4,'21Webb-PL-13'!$5:$5,'21Webb-PL-13'!$6:$6,'21Webb-PL-13'!$7:$7,'21Webb-PL-13'!$8:$8,'21Webb-PL-13'!$9:$9,'21Webb-PL-13'!$14:$14,'21Webb-PL-13'!$15:$15,'21Webb-PL-13'!$16:$16,'21Webb-PL-13'!$18:$18,'21Webb-PL-13'!$20:$20,'21Webb-PL-13'!$22:$22,'21Webb-PL-13'!$23:$23,'21Webb-PL-13'!$25:$25,'21Webb-PL-13'!$26:$26,'21Webb-PL-13'!$30:$30</definedName>
    <definedName name="QB_DATA_0" localSheetId="15" hidden="1">'ABP-BS-13'!$5:$5,'ABP-BS-13'!$6:$6,'ABP-BS-13'!$7:$7,'ABP-BS-13'!$10:$10,'ABP-BS-13'!$13:$13,'ABP-BS-13'!$14:$14,'ABP-BS-13'!$15:$15,'ABP-BS-13'!$19:$19,'ABP-BS-13'!$20:$20,'ABP-BS-13'!$21:$21,'ABP-BS-13'!$22:$22,'ABP-BS-13'!$23:$23,'ABP-BS-13'!$24:$24,'ABP-BS-13'!$25:$25,'ABP-BS-13'!$26:$26,'ABP-BS-13'!$27:$27</definedName>
    <definedName name="QB_DATA_0" localSheetId="16" hidden="1">'ABP-PL-13'!$4:$4,'ABP-PL-13'!$5:$5,'ABP-PL-13'!$6:$6,'ABP-PL-13'!$7:$7,'ABP-PL-13'!$8:$8,'ABP-PL-13'!$9:$9,'ABP-PL-13'!$14:$14,'ABP-PL-13'!$15:$15,'ABP-PL-13'!$17:$17,'ABP-PL-13'!$18:$18,'ABP-PL-13'!$20:$20,'ABP-PL-13'!$21:$21,'ABP-PL-13'!$22:$22,'ABP-PL-13'!$23:$23,'ABP-PL-13'!$24:$24,'ABP-PL-13'!$26:$26</definedName>
    <definedName name="QB_DATA_0" localSheetId="17" hidden="1">'BPT-BS-13'!$5:$5,'BPT-BS-13'!$8:$8,'BPT-BS-13'!$11:$11,'BPT-BS-13'!$12:$12,'BPT-BS-13'!$16:$16,'BPT-BS-13'!$17:$17,'BPT-BS-13'!$19:$19,'BPT-BS-13'!$20:$20,'BPT-BS-13'!$23:$23,'BPT-BS-13'!$24:$24,'BPT-BS-13'!$25:$25,'BPT-BS-13'!$27:$27,'BPT-BS-13'!$28:$28,'BPT-BS-13'!$31:$31,'BPT-BS-13'!$32:$32,'BPT-BS-13'!$33:$33</definedName>
    <definedName name="QB_DATA_0" localSheetId="18" hidden="1">'BPT-PL-13'!$4:$4,'BPT-PL-13'!$5:$5,'BPT-PL-13'!$6:$6,'BPT-PL-13'!$7:$7,'BPT-PL-13'!$8:$8,'BPT-PL-13'!$9:$9,'BPT-PL-13'!$10:$10,'BPT-PL-13'!$11:$11,'BPT-PL-13'!$17:$17,'BPT-PL-13'!$18:$18,'BPT-PL-13'!$20:$20,'BPT-PL-13'!$21:$21,'BPT-PL-13'!$22:$22,'BPT-PL-13'!$23:$23,'BPT-PL-13'!$24:$24,'BPT-PL-13'!$26:$26</definedName>
    <definedName name="QB_DATA_0" localSheetId="51" hidden="1">'BSQ-BS-13'!$5:$5,'BSQ-BS-13'!$6:$6,'BSQ-BS-13'!$9:$9,'BSQ-BS-13'!$15:$15,'BSQ-BS-13'!$16:$16,'BSQ-BS-13'!$21:$21,'BSQ-BS-13'!$22:$22,'BSQ-BS-13'!$23:$23,'BSQ-BS-13'!$30:$30,'BSQ-BS-13'!$33:$33,'BSQ-BS-13'!$34:$34,'BSQ-BS-13'!$35:$35,'BSQ-BS-13'!$36:$36,'BSQ-BS-13'!$37:$37,'BSQ-BS-13'!$42:$42,'BSQ-BS-13'!$43:$43</definedName>
    <definedName name="QB_DATA_0" localSheetId="52" hidden="1">'BSQ-PL-13'!$4:$4,'BSQ-PL-13'!$5:$5,'BSQ-PL-13'!$6:$6,'BSQ-PL-13'!$7:$7,'BSQ-PL-13'!$8:$8,'BSQ-PL-13'!$9:$9,'BSQ-PL-13'!$10:$10,'BSQ-PL-13'!$11:$11,'BSQ-PL-13'!$16:$16,'BSQ-PL-13'!$17:$17,'BSQ-PL-13'!$18:$18</definedName>
    <definedName name="QB_DATA_0" localSheetId="19" hidden="1">'CP-BS-13'!$5:$5,'CP-BS-13'!$6:$6,'CP-BS-13'!$9:$9,'CP-BS-13'!$12:$12,'CP-BS-13'!$13:$13,'CP-BS-13'!$17:$17,'CP-BS-13'!$18:$18,'CP-BS-13'!$19:$19,'CP-BS-13'!$20:$20,'CP-BS-13'!$21:$21,'CP-BS-13'!$22:$22,'CP-BS-13'!$25:$25,'CP-BS-13'!$26:$26,'CP-BS-13'!$33:$33,'CP-BS-13'!$36:$36,'CP-BS-13'!$37:$37</definedName>
    <definedName name="QB_DATA_0" localSheetId="20" hidden="1">'CP-PL-13'!$4:$4,'CP-PL-13'!$5:$5,'CP-PL-13'!$6:$6,'CP-PL-13'!$7:$7,'CP-PL-13'!$8:$8,'CP-PL-13'!$9:$9,'CP-PL-13'!$15:$15,'CP-PL-13'!$16:$16,'CP-PL-13'!$18:$18,'CP-PL-13'!$19:$19,'CP-PL-13'!$20:$20,'CP-PL-13'!$21:$21,'CP-PL-13'!$22:$22,'CP-PL-13'!$24:$24,'CP-PL-13'!$25:$25,'CP-PL-13'!$26:$26</definedName>
    <definedName name="QB_DATA_0" localSheetId="21" hidden="1">'DGS-BS-13'!$5:$5,'DGS-BS-13'!$6:$6,'DGS-BS-13'!$9:$9,'DGS-BS-13'!$12:$12,'DGS-BS-13'!$16:$16,'DGS-BS-13'!$17:$17,'DGS-BS-13'!$18:$18,'DGS-BS-13'!$19:$19,'DGS-BS-13'!$20:$20,'DGS-BS-13'!$23:$23,'DGS-BS-13'!$30:$30,'DGS-BS-13'!$33:$33,'DGS-BS-13'!$34:$34,'DGS-BS-13'!$35:$35,'DGS-BS-13'!$39:$39,'DGS-BS-13'!$40:$40</definedName>
    <definedName name="QB_DATA_0" localSheetId="22" hidden="1">'DGS-PL-13'!$4:$4,'DGS-PL-13'!$5:$5,'DGS-PL-13'!$6:$6,'DGS-PL-13'!$7:$7,'DGS-PL-13'!$8:$8,'DGS-PL-13'!$12:$12,'DGS-PL-13'!$13:$13,'DGS-PL-13'!$16:$16,'DGS-PL-13'!$17:$17,'DGS-PL-13'!$19:$19,'DGS-PL-13'!$20:$20,'DGS-PL-13'!$21:$21,'DGS-PL-13'!$22:$22,'DGS-PL-13'!$23:$23,'DGS-PL-13'!$25:$25,'DGS-PL-13'!$26:$26</definedName>
    <definedName name="QB_DATA_0" localSheetId="23" hidden="1">'NDV-BS-13'!$5:$5,'NDV-BS-13'!$8:$8,'NDV-BS-13'!$9:$9,'NDV-BS-13'!$11:$11,'NDV-BS-13'!$12:$12,'NDV-BS-13'!$17:$17,'NDV-BS-13'!$24:$24,'NDV-BS-13'!$29:$29,'NDV-BS-13'!$30:$30</definedName>
    <definedName name="QB_DATA_0" localSheetId="24" hidden="1">'NDV-PL-13'!$4:$4,'NDV-PL-13'!$5:$5,'NDV-PL-13'!$6:$6,'NDV-PL-13'!$7:$7,'NDV-PL-13'!$8:$8,'NDV-PL-13'!$9:$9,'NDV-PL-13'!$10:$10,'NDV-PL-13'!$15:$15</definedName>
    <definedName name="QB_DATA_0" localSheetId="29" hidden="1">'NR14-BS-13'!$5:$5,'NR14-BS-13'!$8:$8,'NR14-BS-13'!$9:$9,'NR14-BS-13'!$13:$13,'NR14-BS-13'!$14:$14,'NR14-BS-13'!$15:$15,'NR14-BS-13'!$16:$16,'NR14-BS-13'!$19:$19,'NR14-BS-13'!$20:$20,'NR14-BS-13'!$21:$21,'NR14-BS-13'!$28:$28,'NR14-BS-13'!$31:$31,'NR14-BS-13'!$32:$32,'NR14-BS-13'!$36:$36,'NR14-BS-13'!$40:$40,'NR14-BS-13'!$41:$41</definedName>
    <definedName name="QB_DATA_0" localSheetId="30" hidden="1">'NR14-PL-13'!$4:$4,'NR14-PL-13'!$5:$5,'NR14-PL-13'!$6:$6,'NR14-PL-13'!$7:$7,'NR14-PL-13'!$10:$10,'NR14-PL-13'!$11:$11,'NR14-PL-13'!$14:$14,'NR14-PL-13'!$15:$15,'NR14-PL-13'!$16:$16,'NR14-PL-13'!$17:$17,'NR14-PL-13'!$19:$19,'NR14-PL-13'!$20:$20,'NR14-PL-13'!$21:$21,'NR14-PL-13'!$22:$22,'NR14-PL-13'!$23:$23,'NR14-PL-13'!$24:$24</definedName>
    <definedName name="QB_DATA_0" localSheetId="25" hidden="1">'NR6-BS-13'!$5:$5,'NR6-BS-13'!$6:$6,'NR6-BS-13'!$7:$7,'NR6-BS-13'!$8:$8,'NR6-BS-13'!$11:$11,'NR6-BS-13'!$14:$14,'NR6-BS-13'!$15:$15,'NR6-BS-13'!$16:$16,'NR6-BS-13'!$20:$20,'NR6-BS-13'!$21:$21,'NR6-BS-13'!$22:$22,'NR6-BS-13'!$23:$23,'NR6-BS-13'!$24:$24,'NR6-BS-13'!$25:$25,'NR6-BS-13'!$26:$26,'NR6-BS-13'!$27:$27</definedName>
    <definedName name="QB_DATA_0" localSheetId="27" hidden="1">'NR6-OfficePL-13'!$4:$4,'NR6-OfficePL-13'!$5:$5,'NR6-OfficePL-13'!$11:$11,'NR6-OfficePL-13'!$13:$13,'NR6-OfficePL-13'!$14:$14,'NR6-OfficePL-13'!$15:$15,'NR6-OfficePL-13'!$17:$17,'NR6-OfficePL-13'!$18:$18,'NR6-OfficePL-13'!$19:$19,'NR6-OfficePL-13'!$21:$21,'NR6-OfficePL-13'!$22:$22,'NR6-OfficePL-13'!$26:$26,'NR6-OfficePL-13'!$27:$27,'NR6-OfficePL-13'!$30:$30,'NR6-OfficePL-13'!$31:$31,'NR6-OfficePL-13'!$34:$34</definedName>
    <definedName name="QB_DATA_0" localSheetId="28" hidden="1">'NR6-RetailPL-13'!$4:$4,'NR6-RetailPL-13'!$5:$5,'NR6-RetailPL-13'!$6:$6,'NR6-RetailPL-13'!$7:$7,'NR6-RetailPL-13'!$8:$8,'NR6-RetailPL-13'!$9:$9,'NR6-RetailPL-13'!$10:$10,'NR6-RetailPL-13'!$11:$11,'NR6-RetailPL-13'!$17:$17,'NR6-RetailPL-13'!$19:$19,'NR6-RetailPL-13'!$20:$20,'NR6-RetailPL-13'!$21:$21,'NR6-RetailPL-13'!$22:$22,'NR6-RetailPL-13'!$24:$24,'NR6-RetailPL-13'!$25:$25,'NR6-RetailPL-13'!$26:$26</definedName>
    <definedName name="QB_DATA_0" localSheetId="26" hidden="1">'NR6-TotalPL-13'!$4:$4,'NR6-TotalPL-13'!$5:$5,'NR6-TotalPL-13'!$6:$6,'NR6-TotalPL-13'!$7:$7,'NR6-TotalPL-13'!$8:$8,'NR6-TotalPL-13'!$9:$9,'NR6-TotalPL-13'!$10:$10,'NR6-TotalPL-13'!$11:$11,'NR6-TotalPL-13'!$15:$15,'NR6-TotalPL-13'!$18:$18,'NR6-TotalPL-13'!$19:$19,'NR6-TotalPL-13'!$21:$21,'NR6-TotalPL-13'!$22:$22,'NR6-TotalPL-13'!$23:$23,'NR6-TotalPL-13'!$24:$24,'NR6-TotalPL-13'!$25:$25</definedName>
    <definedName name="QB_DATA_0" localSheetId="31" hidden="1">'NWC-BS-13'!$5:$5,'NWC-BS-13'!$6:$6,'NWC-BS-13'!$9:$9,'NWC-BS-13'!$12:$12,'NWC-BS-13'!$13:$13,'NWC-BS-13'!$17:$17,'NWC-BS-13'!$18:$18,'NWC-BS-13'!$19:$19,'NWC-BS-13'!$20:$20,'NWC-BS-13'!$21:$21,'NWC-BS-13'!$22:$22,'NWC-BS-13'!$23:$23,'NWC-BS-13'!$24:$24,'NWC-BS-13'!$25:$25,'NWC-BS-13'!$28:$28,'NWC-BS-13'!$29:$29</definedName>
    <definedName name="QB_DATA_0" localSheetId="32" hidden="1">'NWC-PL-13'!$4:$4,'NWC-PL-13'!$5:$5,'NWC-PL-13'!$6:$6,'NWC-PL-13'!$7:$7,'NWC-PL-13'!$8:$8,'NWC-PL-13'!$9:$9,'NWC-PL-13'!$10:$10,'NWC-PL-13'!$13:$13,'NWC-PL-13'!$16:$16,'NWC-PL-13'!$17:$17,'NWC-PL-13'!$19:$19,'NWC-PL-13'!$20:$20,'NWC-PL-13'!$21:$21,'NWC-PL-13'!$22:$22,'NWC-PL-13'!$23:$23,'NWC-PL-13'!$25:$25</definedName>
    <definedName name="QB_DATA_0" localSheetId="33" hidden="1">'OCP-BS-13'!$5:$5,'OCP-BS-13'!$6:$6,'OCP-BS-13'!$9:$9,'OCP-BS-13'!$12:$12,'OCP-BS-13'!$13:$13,'OCP-BS-13'!$17:$17,'OCP-BS-13'!$18:$18,'OCP-BS-13'!$19:$19,'OCP-BS-13'!$20:$20,'OCP-BS-13'!$27:$27,'OCP-BS-13'!$30:$30,'OCP-BS-13'!$31:$31,'OCP-BS-13'!$35:$35,'OCP-BS-13'!$39:$39,'OCP-BS-13'!$40:$40,'OCP-BS-13'!$41:$41</definedName>
    <definedName name="QB_DATA_0" localSheetId="34" hidden="1">'OCP-PL-13'!$5:$5,'OCP-PL-13'!$6:$6,'OCP-PL-13'!$9:$9,'OCP-PL-13'!$10:$10,'OCP-PL-13'!$12:$12,'OCP-PL-13'!$14:$14,'OCP-PL-13'!$21:$21,'OCP-PL-13'!$22:$22,'OCP-PL-13'!$24:$24,'OCP-PL-13'!$25:$25,'OCP-PL-13'!$26:$26,'OCP-PL-13'!$27:$27,'OCP-PL-13'!$28:$28,'OCP-PL-13'!$30:$30,'OCP-PL-13'!$31:$31,'OCP-PL-13'!$32:$32</definedName>
    <definedName name="QB_DATA_0" localSheetId="35" hidden="1">'OMI-BS-13'!$5:$5,'OMI-BS-13'!$6:$6,'OMI-BS-13'!$7:$7,'OMI-BS-13'!$10:$10,'OMI-BS-13'!$13:$13,'OMI-BS-13'!$14:$14,'OMI-BS-13'!$15:$15,'OMI-BS-13'!$16:$16,'OMI-BS-13'!$17:$17,'OMI-BS-13'!$21:$21,'OMI-BS-13'!$22:$22,'OMI-BS-13'!$23:$23,'OMI-BS-13'!$24:$24,'OMI-BS-13'!$25:$25,'OMI-BS-13'!$26:$26,'OMI-BS-13'!$27:$27</definedName>
    <definedName name="QB_DATA_0" localSheetId="36" hidden="1">'OMI-PL-13'!$4:$4,'OMI-PL-13'!$5:$5,'OMI-PL-13'!$6:$6,'OMI-PL-13'!$7:$7,'OMI-PL-13'!$8:$8,'OMI-PL-13'!$9:$9,'OMI-PL-13'!$10:$10,'OMI-PL-13'!$11:$11,'OMI-PL-13'!$12:$12,'OMI-PL-13'!$16:$16,'OMI-PL-13'!$17:$17,'OMI-PL-13'!$18:$18,'OMI-PL-13'!$19:$19,'OMI-PL-13'!$20:$20,'OMI-PL-13'!$21:$21,'OMI-PL-13'!$22:$22</definedName>
    <definedName name="QB_DATA_0" localSheetId="37" hidden="1">'ROY-BS-13'!$5:$5,'ROY-BS-13'!$8:$8,'ROY-BS-13'!$11:$11,'ROY-BS-13'!$12:$12,'ROY-BS-13'!$16:$16,'ROY-BS-13'!$17:$17,'ROY-BS-13'!$18:$18,'ROY-BS-13'!$19:$19,'ROY-BS-13'!$20:$20,'ROY-BS-13'!$21:$21,'ROY-BS-13'!$22:$22,'ROY-BS-13'!$23:$23,'ROY-BS-13'!$24:$24,'ROY-BS-13'!$31:$31,'ROY-BS-13'!$34:$34,'ROY-BS-13'!$35:$35</definedName>
    <definedName name="QB_DATA_0" localSheetId="38" hidden="1">'ROY-PL-13'!$4:$4,'ROY-PL-13'!$5:$5,'ROY-PL-13'!$6:$6,'ROY-PL-13'!$7:$7,'ROY-PL-13'!$8:$8,'ROY-PL-13'!$11:$11,'ROY-PL-13'!$14:$14,'ROY-PL-13'!$16:$16,'ROY-PL-13'!$17:$17,'ROY-PL-13'!$18:$18,'ROY-PL-13'!$19:$19,'ROY-PL-13'!$21:$21,'ROY-PL-13'!$22:$22,'ROY-PL-13'!$23:$23,'ROY-PL-13'!$24:$24,'ROY-PL-13'!$26:$26</definedName>
    <definedName name="QB_DATA_0" localSheetId="49" hidden="1">'RP21-BS-13'!$5:$5,'RP21-BS-13'!$8:$8,'RP21-BS-13'!$12:$12,'RP21-BS-13'!$13:$13,'RP21-BS-13'!$16:$16,'RP21-BS-13'!$17:$17,'RP21-BS-13'!$24:$24,'RP21-BS-13'!$27:$27,'RP21-BS-13'!$28:$28,'RP21-BS-13'!$29:$29,'RP21-BS-13'!$30:$30,'RP21-BS-13'!$31:$31,'RP21-BS-13'!$32:$32,'RP21-BS-13'!$37:$37,'RP21-BS-13'!$38:$38,'RP21-BS-13'!$39:$39</definedName>
    <definedName name="QB_DATA_0" localSheetId="50" hidden="1">'RP21-PL-13'!$4:$4,'RP21-PL-13'!$5:$5,'RP21-PL-13'!$7:$7,'RP21-PL-13'!$9:$9,'RP21-PL-13'!$10:$10,'RP21-PL-13'!$12:$12,'RP21-PL-13'!$13:$13,'RP21-PL-13'!$15:$15,'RP21-PL-13'!$19:$19,'RP21-PL-13'!$23:$23,'RP21-PL-13'!$26:$26,'RP21-PL-13'!$27:$27,'RP21-PL-13'!$28:$28,'RP21-PL-13'!$30:$30,'RP21-PL-13'!$32:$32,'RP21-PL-13'!$33:$33</definedName>
    <definedName name="QB_DATA_0" localSheetId="39" hidden="1">'SPC-BS-13'!$5:$5,'SPC-BS-13'!$8:$8,'SPC-BS-13'!$11:$11,'SPC-BS-13'!$15:$15,'SPC-BS-13'!$16:$16,'SPC-BS-13'!$17:$17,'SPC-BS-13'!$18:$18,'SPC-BS-13'!$19:$19,'SPC-BS-13'!$20:$20,'SPC-BS-13'!$21:$21,'SPC-BS-13'!$22:$22,'SPC-BS-13'!$29:$29,'SPC-BS-13'!$32:$32,'SPC-BS-13'!$33:$33,'SPC-BS-13'!$37:$37,'SPC-BS-13'!$38:$38</definedName>
    <definedName name="QB_DATA_0" localSheetId="40" hidden="1">'SPC-PL-13'!$4:$4,'SPC-PL-13'!$5:$5,'SPC-PL-13'!$6:$6,'SPC-PL-13'!$7:$7,'SPC-PL-13'!$8:$8,'SPC-PL-13'!$9:$9,'SPC-PL-13'!$10:$10,'SPC-PL-13'!$13:$13,'SPC-PL-13'!$16:$16,'SPC-PL-13'!$17:$17,'SPC-PL-13'!$19:$19,'SPC-PL-13'!$20:$20,'SPC-PL-13'!$21:$21,'SPC-PL-13'!$22:$22,'SPC-PL-13'!$23:$23,'SPC-PL-13'!$25:$25</definedName>
    <definedName name="QB_DATA_0" localSheetId="41" hidden="1">'TYP-BS-13'!$5:$5,'TYP-BS-13'!$10:$10,'TYP-BS-13'!$11:$11,'TYP-BS-13'!$15:$15,'TYP-BS-13'!$22:$22,'TYP-BS-13'!$25:$25,'TYP-BS-13'!$30:$30,'TYP-BS-13'!$31:$31</definedName>
    <definedName name="QB_DATA_0" localSheetId="42" hidden="1">'TYP-PL-13'!$4:$4,'TYP-PL-13'!$6:$6,'TYP-PL-13'!$7:$7,'TYP-PL-13'!$9:$9,'TYP-PL-13'!$11:$11,'TYP-PL-13'!$13:$13,'TYP-PL-13'!$15:$15,'TYP-PL-13'!$21:$21</definedName>
    <definedName name="QB_DATA_0" localSheetId="43" hidden="1">'UST-BS-13'!$5:$5,'UST-BS-13'!$8:$8,'UST-BS-13'!$11:$11,'UST-BS-13'!$12:$12,'UST-BS-13'!$13:$13,'UST-BS-13'!$14:$14,'UST-BS-13'!$16:$16,'UST-BS-13'!$17:$17,'UST-BS-13'!$19:$19,'UST-BS-13'!$23:$23,'UST-BS-13'!$24:$24,'UST-BS-13'!$28:$28,'UST-BS-13'!$29:$29,'UST-BS-13'!$37:$37,'UST-BS-13'!$40:$40,'UST-BS-13'!$41:$41</definedName>
    <definedName name="QB_DATA_0" localSheetId="44" hidden="1">'UST-PL-13'!$4:$4,'UST-PL-13'!$6:$6,'UST-PL-13'!$7:$7,'UST-PL-13'!$9:$9,'UST-PL-13'!$13:$13,'UST-PL-13'!$14:$14,'UST-PL-13'!$15:$15,'UST-PL-13'!$16:$16,'UST-PL-13'!$17:$17,'UST-PL-13'!$19:$19,'UST-PL-13'!$21:$21,'UST-PL-13'!$24:$24,'UST-PL-13'!$28:$28,'UST-PL-13'!$29:$29,'UST-PL-13'!$30:$30,'UST-PL-13'!$32:$32</definedName>
    <definedName name="QB_DATA_0" localSheetId="53" hidden="1">'Wood96-BS-13'!$5:$5,'Wood96-BS-13'!$9:$9,'Wood96-BS-13'!$16:$16,'Wood96-BS-13'!$19:$19,'Wood96-BS-13'!$24:$24,'Wood96-BS-13'!$25:$25,'Wood96-BS-13'!$26:$26</definedName>
    <definedName name="QB_DATA_0" localSheetId="54" hidden="1">'Wood96-PL-13'!$4:$4,'Wood96-PL-13'!$5:$5,'Wood96-PL-13'!$7:$7,'Wood96-PL-13'!$10:$10,'Wood96-PL-13'!$12:$12,'Wood96-PL-13'!$13:$13,'Wood96-PL-13'!$14:$14,'Wood96-PL-13'!$16:$16,'Wood96-PL-13'!$17:$17,'Wood96-PL-13'!$19:$19,'Wood96-PL-13'!$21:$21,'Wood96-PL-13'!$22:$22,'Wood96-PL-13'!$23:$23</definedName>
    <definedName name="QB_DATA_1" localSheetId="45" hidden="1">'21Webb-BS-13'!$34:$34,'21Webb-BS-13'!$35:$35,'21Webb-BS-13'!$42:$42,'21Webb-BS-13'!$43:$43,'21Webb-BS-13'!$46:$46,'21Webb-BS-13'!$50:$50,'21Webb-BS-13'!$54:$54,'21Webb-BS-13'!$55:$55,'21Webb-BS-13'!$56:$56,'21Webb-BS-13'!$57:$57,'21Webb-BS-13'!$58:$58,'21Webb-BS-13'!$59:$59,'21Webb-BS-13'!$60:$60,'21Webb-BS-13'!$61:$61,'21Webb-BS-13'!$62:$62</definedName>
    <definedName name="QB_DATA_1" localSheetId="46" hidden="1">'21Webb-PL-13'!$32:$32,'21Webb-PL-13'!$34:$34,'21Webb-PL-13'!$35:$35,'21Webb-PL-13'!$36:$36,'21Webb-PL-13'!$40:$40,'21Webb-PL-13'!$41:$41,'21Webb-PL-13'!$42:$42,'21Webb-PL-13'!$44:$44,'21Webb-PL-13'!$45:$45,'21Webb-PL-13'!$48:$48,'21Webb-PL-13'!$49:$49,'21Webb-PL-13'!$50:$50,'21Webb-PL-13'!$52:$52,'21Webb-PL-13'!$53:$53,'21Webb-PL-13'!$55:$55,'21Webb-PL-13'!$58:$58</definedName>
    <definedName name="QB_DATA_1" localSheetId="15" hidden="1">'ABP-BS-13'!$30:$30,'ABP-BS-13'!$31:$31,'ABP-BS-13'!$32:$32,'ABP-BS-13'!$39:$39,'ABP-BS-13'!$42:$42,'ABP-BS-13'!$43:$43,'ABP-BS-13'!$44:$44,'ABP-BS-13'!$48:$48,'ABP-BS-13'!$49:$49,'ABP-BS-13'!$53:$53,'ABP-BS-13'!$54:$54,'ABP-BS-13'!$55:$55,'ABP-BS-13'!$56:$56,'ABP-BS-13'!$57:$57,'ABP-BS-13'!$58:$58</definedName>
    <definedName name="QB_DATA_1" localSheetId="16" hidden="1">'ABP-PL-13'!$27:$27,'ABP-PL-13'!$28:$28,'ABP-PL-13'!$29:$29,'ABP-PL-13'!$31:$31,'ABP-PL-13'!$34:$34,'ABP-PL-13'!$36:$36,'ABP-PL-13'!$37:$37,'ABP-PL-13'!$38:$38,'ABP-PL-13'!$39:$39,'ABP-PL-13'!$41:$41,'ABP-PL-13'!$42:$42,'ABP-PL-13'!$46:$46,'ABP-PL-13'!$47:$47,'ABP-PL-13'!$48:$48,'ABP-PL-13'!$49:$49,'ABP-PL-13'!$50:$50</definedName>
    <definedName name="QB_DATA_1" localSheetId="17" hidden="1">'BPT-BS-13'!$40:$40,'BPT-BS-13'!$43:$43,'BPT-BS-13'!$44:$44,'BPT-BS-13'!$48:$48,'BPT-BS-13'!$52:$52,'BPT-BS-13'!$53:$53,'BPT-BS-13'!$54:$54,'BPT-BS-13'!$55:$55</definedName>
    <definedName name="QB_DATA_1" localSheetId="18" hidden="1">'BPT-PL-13'!$27:$27,'BPT-PL-13'!$28:$28,'BPT-PL-13'!$30:$30,'BPT-PL-13'!$31:$31,'BPT-PL-13'!$34:$34,'BPT-PL-13'!$36:$36,'BPT-PL-13'!$37:$37,'BPT-PL-13'!$40:$40,'BPT-PL-13'!$43:$43,'BPT-PL-13'!$44:$44,'BPT-PL-13'!$45:$45,'BPT-PL-13'!$50:$50,'BPT-PL-13'!$51:$51,'BPT-PL-13'!$52:$52,'BPT-PL-13'!$53:$53,'BPT-PL-13'!$54:$54</definedName>
    <definedName name="QB_DATA_1" localSheetId="51" hidden="1">'BSQ-BS-13'!$44:$44</definedName>
    <definedName name="QB_DATA_1" localSheetId="19" hidden="1">'CP-BS-13'!$41:$41,'CP-BS-13'!$42:$42,'CP-BS-13'!$46:$46,'CP-BS-13'!$47:$47,'CP-BS-13'!$48:$48,'CP-BS-13'!$49:$49,'CP-BS-13'!$50:$50,'CP-BS-13'!$51:$51</definedName>
    <definedName name="QB_DATA_1" localSheetId="20" hidden="1">'CP-PL-13'!$27:$27,'CP-PL-13'!$29:$29,'CP-PL-13'!$30:$30,'CP-PL-13'!$33:$33,'CP-PL-13'!$35:$35,'CP-PL-13'!$36:$36,'CP-PL-13'!$39:$39,'CP-PL-13'!$41:$41,'CP-PL-13'!$45:$45,'CP-PL-13'!$46:$46,'CP-PL-13'!$47:$47,'CP-PL-13'!$48:$48,'CP-PL-13'!$49:$49,'CP-PL-13'!$51:$51,'CP-PL-13'!$53:$53,'CP-PL-13'!$54:$54</definedName>
    <definedName name="QB_DATA_1" localSheetId="21" hidden="1">'DGS-BS-13'!$41:$41,'DGS-BS-13'!$45:$45,'DGS-BS-13'!$46:$46,'DGS-BS-13'!$47:$47</definedName>
    <definedName name="QB_DATA_1" localSheetId="22" hidden="1">'DGS-PL-13'!$27:$27,'DGS-PL-13'!$28:$28,'DGS-PL-13'!$30:$30,'DGS-PL-13'!$31:$31,'DGS-PL-13'!$34:$34,'DGS-PL-13'!$36:$36,'DGS-PL-13'!$37:$37,'DGS-PL-13'!$38:$38,'DGS-PL-13'!$41:$41,'DGS-PL-13'!$42:$42,'DGS-PL-13'!$43:$43,'DGS-PL-13'!$44:$44,'DGS-PL-13'!$46:$46,'DGS-PL-13'!$47:$47,'DGS-PL-13'!$51:$51,'DGS-PL-13'!$52:$52</definedName>
    <definedName name="QB_DATA_1" localSheetId="29" hidden="1">'NR14-BS-13'!$42:$42,'NR14-BS-13'!$43:$43,'NR14-BS-13'!$44:$44,'NR14-BS-13'!$45:$45,'NR14-BS-13'!$46:$46,'NR14-BS-13'!$47:$47</definedName>
    <definedName name="QB_DATA_1" localSheetId="30" hidden="1">'NR14-PL-13'!$26:$26,'NR14-PL-13'!$27:$27,'NR14-PL-13'!$30:$30,'NR14-PL-13'!$33:$33,'NR14-PL-13'!$35:$35,'NR14-PL-13'!$36:$36,'NR14-PL-13'!$37:$37,'NR14-PL-13'!$38:$38,'NR14-PL-13'!$39:$39,'NR14-PL-13'!$40:$40,'NR14-PL-13'!$42:$42,'NR14-PL-13'!$43:$43,'NR14-PL-13'!$44:$44,'NR14-PL-13'!$45:$45,'NR14-PL-13'!$49:$49,'NR14-PL-13'!$50:$50</definedName>
    <definedName name="QB_DATA_1" localSheetId="25" hidden="1">'NR6-BS-13'!$28:$28,'NR6-BS-13'!$29:$29,'NR6-BS-13'!$30:$30,'NR6-BS-13'!$33:$33,'NR6-BS-13'!$34:$34,'NR6-BS-13'!$35:$35,'NR6-BS-13'!$36:$36,'NR6-BS-13'!$43:$43,'NR6-BS-13'!$46:$46,'NR6-BS-13'!$47:$47,'NR6-BS-13'!$51:$51,'NR6-BS-13'!$52:$52,'NR6-BS-13'!$56:$56,'NR6-BS-13'!$57:$57,'NR6-BS-13'!$58:$58,'NR6-BS-13'!$59:$59</definedName>
    <definedName name="QB_DATA_1" localSheetId="27" hidden="1">'NR6-OfficePL-13'!$35:$35,'NR6-OfficePL-13'!$38:$38,'NR6-OfficePL-13'!$39:$39,'NR6-OfficePL-13'!$41:$41,'NR6-OfficePL-13'!$45:$45,'NR6-OfficePL-13'!$46:$46,'NR6-OfficePL-13'!$47:$47,'NR6-OfficePL-13'!$48:$48,'NR6-OfficePL-13'!$49:$49,'NR6-OfficePL-13'!$50:$50,'NR6-OfficePL-13'!$51:$51,'NR6-OfficePL-13'!$54:$54,'NR6-OfficePL-13'!$55:$55,'NR6-OfficePL-13'!$56:$56,'NR6-OfficePL-13'!$59:$59,'NR6-OfficePL-13'!$60:$60</definedName>
    <definedName name="QB_DATA_1" localSheetId="28" hidden="1">'NR6-RetailPL-13'!$28:$28,'NR6-RetailPL-13'!$29:$29,'NR6-RetailPL-13'!$32:$32,'NR6-RetailPL-13'!$34:$34,'NR6-RetailPL-13'!$35:$35,'NR6-RetailPL-13'!$38:$38,'NR6-RetailPL-13'!$39:$39,'NR6-RetailPL-13'!$42:$42,'NR6-RetailPL-13'!$43:$43,'NR6-RetailPL-13'!$44:$44,'NR6-RetailPL-13'!$49:$49,'NR6-RetailPL-13'!$50:$50,'NR6-RetailPL-13'!$51:$51,'NR6-RetailPL-13'!$52:$52,'NR6-RetailPL-13'!$53:$53,'NR6-RetailPL-13'!$54:$54</definedName>
    <definedName name="QB_DATA_1" localSheetId="26" hidden="1">'NR6-TotalPL-13'!$27:$27,'NR6-TotalPL-13'!$28:$28,'NR6-TotalPL-13'!$29:$29,'NR6-TotalPL-13'!$30:$30,'NR6-TotalPL-13'!$31:$31,'NR6-TotalPL-13'!$33:$33,'NR6-TotalPL-13'!$34:$34,'NR6-TotalPL-13'!$38:$38,'NR6-TotalPL-13'!$39:$39,'NR6-TotalPL-13'!$42:$42,'NR6-TotalPL-13'!$43:$43,'NR6-TotalPL-13'!$44:$44,'NR6-TotalPL-13'!$45:$45,'NR6-TotalPL-13'!$48:$48,'NR6-TotalPL-13'!$49:$49,'NR6-TotalPL-13'!$52:$52</definedName>
    <definedName name="QB_DATA_1" localSheetId="31" hidden="1">'NWC-BS-13'!$36:$36,'NWC-BS-13'!$39:$39,'NWC-BS-13'!$40:$40,'NWC-BS-13'!$44:$44,'NWC-BS-13'!$48:$48,'NWC-BS-13'!$49:$49,'NWC-BS-13'!$50:$50,'NWC-BS-13'!$51:$51,'NWC-BS-13'!$52:$52,'NWC-BS-13'!$53:$53,'NWC-BS-13'!$54:$54,'NWC-BS-13'!$55:$55,'NWC-BS-13'!$56:$56,'NWC-BS-13'!$57:$57</definedName>
    <definedName name="QB_DATA_1" localSheetId="32" hidden="1">'NWC-PL-13'!$26:$26,'NWC-PL-13'!$27:$27,'NWC-PL-13'!$28:$28,'NWC-PL-13'!$30:$30,'NWC-PL-13'!$31:$31,'NWC-PL-13'!$35:$35,'NWC-PL-13'!$36:$36,'NWC-PL-13'!$41:$41,'NWC-PL-13'!$44:$44,'NWC-PL-13'!$45:$45,'NWC-PL-13'!$46:$46,'NWC-PL-13'!$49:$49,'NWC-PL-13'!$50:$50,'NWC-PL-13'!$51:$51,'NWC-PL-13'!$52:$52,'NWC-PL-13'!$53:$53</definedName>
    <definedName name="QB_DATA_1" localSheetId="33" hidden="1">'OCP-BS-13'!$42:$42</definedName>
    <definedName name="QB_DATA_1" localSheetId="34" hidden="1">'OCP-PL-13'!$33:$33,'OCP-PL-13'!$35:$35,'OCP-PL-13'!$36:$36,'OCP-PL-13'!$40:$40,'OCP-PL-13'!$41:$41,'OCP-PL-13'!$42:$42,'OCP-PL-13'!$45:$45,'OCP-PL-13'!$46:$46,'OCP-PL-13'!$49:$49,'OCP-PL-13'!$50:$50,'OCP-PL-13'!$51:$51,'OCP-PL-13'!$52:$52,'OCP-PL-13'!$53:$53,'OCP-PL-13'!$58:$58,'OCP-PL-13'!$59:$59,'OCP-PL-13'!$60:$60</definedName>
    <definedName name="QB_DATA_1" localSheetId="35" hidden="1">'OMI-BS-13'!$28:$28,'OMI-BS-13'!$35:$35,'OMI-BS-13'!$38:$38,'OMI-BS-13'!$39:$39,'OMI-BS-13'!$40:$40,'OMI-BS-13'!$43:$43,'OMI-BS-13'!$44:$44,'OMI-BS-13'!$45:$45,'OMI-BS-13'!$46:$46,'OMI-BS-13'!$47:$47,'OMI-BS-13'!$51:$51,'OMI-BS-13'!$52:$52,'OMI-BS-13'!$53:$53,'OMI-BS-13'!$57:$57,'OMI-BS-13'!$58:$58,'OMI-BS-13'!$59:$59</definedName>
    <definedName name="QB_DATA_1" localSheetId="36" hidden="1">'OMI-PL-13'!$23:$23,'OMI-PL-13'!$24:$24,'OMI-PL-13'!$25:$25,'OMI-PL-13'!$26:$26,'OMI-PL-13'!$27:$27,'OMI-PL-13'!$28:$28,'OMI-PL-13'!$29:$29,'OMI-PL-13'!$30:$30,'OMI-PL-13'!$31:$31,'OMI-PL-13'!$32:$32,'OMI-PL-13'!$33:$33,'OMI-PL-13'!$34:$34,'OMI-PL-13'!$35:$35,'OMI-PL-13'!$36:$36,'OMI-PL-13'!$37:$37,'OMI-PL-13'!$38:$38</definedName>
    <definedName name="QB_DATA_1" localSheetId="37" hidden="1">'ROY-BS-13'!$39:$39,'ROY-BS-13'!$43:$43,'ROY-BS-13'!$44:$44,'ROY-BS-13'!$45:$45,'ROY-BS-13'!$46:$46</definedName>
    <definedName name="QB_DATA_1" localSheetId="38" hidden="1">'ROY-PL-13'!$29:$29,'ROY-PL-13'!$31:$31,'ROY-PL-13'!$36:$36,'ROY-PL-13'!$37:$37,'ROY-PL-13'!$38:$38,'ROY-PL-13'!$39:$39,'ROY-PL-13'!$40:$40,'ROY-PL-13'!$43:$43,'ROY-PL-13'!$44:$44,'ROY-PL-13'!$47:$47,'ROY-PL-13'!$48:$48,'ROY-PL-13'!$49:$49,'ROY-PL-13'!$52:$52,'ROY-PL-13'!$53:$53,'ROY-PL-13'!$56:$56,'ROY-PL-13'!$57:$57</definedName>
    <definedName name="QB_DATA_1" localSheetId="50" hidden="1">'RP21-PL-13'!$34:$34</definedName>
    <definedName name="QB_DATA_1" localSheetId="39" hidden="1">'SPC-BS-13'!$42:$42,'SPC-BS-13'!$43:$43,'SPC-BS-13'!$44:$44</definedName>
    <definedName name="QB_DATA_1" localSheetId="40" hidden="1">'SPC-PL-13'!$26:$26,'SPC-PL-13'!$27:$27,'SPC-PL-13'!$28:$28,'SPC-PL-13'!$30:$30,'SPC-PL-13'!$31:$31,'SPC-PL-13'!$34:$34,'SPC-PL-13'!$36:$36,'SPC-PL-13'!$37:$37,'SPC-PL-13'!$40:$40,'SPC-PL-13'!$41:$41,'SPC-PL-13'!$42:$42,'SPC-PL-13'!$43:$43,'SPC-PL-13'!$44:$44,'SPC-PL-13'!$47:$47,'SPC-PL-13'!$48:$48,'SPC-PL-13'!$49:$49</definedName>
    <definedName name="QB_DATA_1" localSheetId="43" hidden="1">'UST-BS-13'!$45:$45,'UST-BS-13'!$46:$46,'UST-BS-13'!$50:$50,'UST-BS-13'!$51:$51</definedName>
    <definedName name="QB_DATA_1" localSheetId="44" hidden="1">'UST-PL-13'!$33:$33,'UST-PL-13'!$36:$36,'UST-PL-13'!$38:$38,'UST-PL-13'!$40:$40,'UST-PL-13'!$41:$41,'UST-PL-13'!$42:$42,'UST-PL-13'!$43:$43,'UST-PL-13'!$45:$45,'UST-PL-13'!$46:$46,'UST-PL-13'!$47:$47,'UST-PL-13'!$49:$49,'UST-PL-13'!$50:$50,'UST-PL-13'!$52:$52,'UST-PL-13'!$53:$53,'UST-PL-13'!$54:$54,'UST-PL-13'!$56:$56</definedName>
    <definedName name="QB_DATA_2" localSheetId="46" hidden="1">'21Webb-PL-13'!$59:$59,'21Webb-PL-13'!$62:$62,'21Webb-PL-13'!$63:$63,'21Webb-PL-13'!$64:$64,'21Webb-PL-13'!$66:$66,'21Webb-PL-13'!$67:$67,'21Webb-PL-13'!$68:$68,'21Webb-PL-13'!$69:$69,'21Webb-PL-13'!$70:$70,'21Webb-PL-13'!$71:$71,'21Webb-PL-13'!$73:$73,'21Webb-PL-13'!$74:$74,'21Webb-PL-13'!$75:$75,'21Webb-PL-13'!$76:$76,'21Webb-PL-13'!$79:$79,'21Webb-PL-13'!$87:$87</definedName>
    <definedName name="QB_DATA_2" localSheetId="16" hidden="1">'ABP-PL-13'!$51:$51,'ABP-PL-13'!$52:$52,'ABP-PL-13'!$55:$55,'ABP-PL-13'!$56:$56,'ABP-PL-13'!$59:$59,'ABP-PL-13'!$60:$60,'ABP-PL-13'!$61:$61,'ABP-PL-13'!$64:$64,'ABP-PL-13'!$65:$65,'ABP-PL-13'!$66:$66,'ABP-PL-13'!$69:$69,'ABP-PL-13'!$70:$70,'ABP-PL-13'!$73:$73,'ABP-PL-13'!$75:$75,'ABP-PL-13'!$77:$77,'ABP-PL-13'!$78:$78</definedName>
    <definedName name="QB_DATA_2" localSheetId="18" hidden="1">'BPT-PL-13'!$55:$55,'BPT-PL-13'!$58:$58,'BPT-PL-13'!$59:$59,'BPT-PL-13'!$60:$60,'BPT-PL-13'!$61:$61,'BPT-PL-13'!$64:$64,'BPT-PL-13'!$65:$65,'BPT-PL-13'!$68:$68,'BPT-PL-13'!$69:$69,'BPT-PL-13'!$70:$70,'BPT-PL-13'!$71:$71,'BPT-PL-13'!$74:$74,'BPT-PL-13'!$75:$75,'BPT-PL-13'!$78:$78,'BPT-PL-13'!$79:$79,'BPT-PL-13'!$81:$81</definedName>
    <definedName name="QB_DATA_2" localSheetId="20" hidden="1">'CP-PL-13'!$57:$57,'CP-PL-13'!$58:$58,'CP-PL-13'!$59:$59,'CP-PL-13'!$62:$62,'CP-PL-13'!$63:$63,'CP-PL-13'!$66:$66,'CP-PL-13'!$67:$67,'CP-PL-13'!$69:$69,'CP-PL-13'!$71:$71,'CP-PL-13'!$72:$72,'CP-PL-13'!$75:$75,'CP-PL-13'!$76:$76,'CP-PL-13'!$79:$79,'CP-PL-13'!$80:$80,'CP-PL-13'!$83:$83,'CP-PL-13'!$84:$84</definedName>
    <definedName name="QB_DATA_2" localSheetId="22" hidden="1">'DGS-PL-13'!$53:$53,'DGS-PL-13'!$56:$56,'DGS-PL-13'!$59:$59,'DGS-PL-13'!$60:$60,'DGS-PL-13'!$61:$61,'DGS-PL-13'!$62:$62,'DGS-PL-13'!$65:$65,'DGS-PL-13'!$66:$66,'DGS-PL-13'!$69:$69,'DGS-PL-13'!$70:$70,'DGS-PL-13'!$72:$72,'DGS-PL-13'!$74:$74,'DGS-PL-13'!$75:$75,'DGS-PL-13'!$78:$78,'DGS-PL-13'!$79:$79,'DGS-PL-13'!$80:$80</definedName>
    <definedName name="QB_DATA_2" localSheetId="30" hidden="1">'NR14-PL-13'!$51:$51,'NR14-PL-13'!$52:$52,'NR14-PL-13'!$54:$54,'NR14-PL-13'!$56:$56,'NR14-PL-13'!$57:$57,'NR14-PL-13'!$58:$58,'NR14-PL-13'!$59:$59,'NR14-PL-13'!$61:$61,'NR14-PL-13'!$62:$62,'NR14-PL-13'!$64:$64,'NR14-PL-13'!$65:$65,'NR14-PL-13'!$72:$72</definedName>
    <definedName name="QB_DATA_2" localSheetId="25" hidden="1">'NR6-BS-13'!$60:$60,'NR6-BS-13'!$61:$61,'NR6-BS-13'!$62:$62,'NR6-BS-13'!$63:$63</definedName>
    <definedName name="QB_DATA_2" localSheetId="27" hidden="1">'NR6-OfficePL-13'!$63:$63,'NR6-OfficePL-13'!$64:$64,'NR6-OfficePL-13'!$65:$65,'NR6-OfficePL-13'!$68:$68,'NR6-OfficePL-13'!$69:$69,'NR6-OfficePL-13'!$70:$70,'NR6-OfficePL-13'!$73:$73,'NR6-OfficePL-13'!$74:$74,'NR6-OfficePL-13'!$76:$76,'NR6-OfficePL-13'!$78:$78,'NR6-OfficePL-13'!$79:$79,'NR6-OfficePL-13'!$80:$80,'NR6-OfficePL-13'!$83:$83,'NR6-OfficePL-13'!$84:$84,'NR6-OfficePL-13'!$85:$85,'NR6-OfficePL-13'!$88:$88</definedName>
    <definedName name="QB_DATA_2" localSheetId="28" hidden="1">'NR6-RetailPL-13'!$55:$55,'NR6-RetailPL-13'!$58:$58,'NR6-RetailPL-13'!$59:$59,'NR6-RetailPL-13'!$62:$62,'NR6-RetailPL-13'!$63:$63,'NR6-RetailPL-13'!$66:$66,'NR6-RetailPL-13'!$67:$67,'NR6-RetailPL-13'!$68:$68,'NR6-RetailPL-13'!$70:$70,'NR6-RetailPL-13'!$72:$72,'NR6-RetailPL-13'!$74:$74,'NR6-RetailPL-13'!$76:$76,'NR6-RetailPL-13'!$77:$77,'NR6-RetailPL-13'!$80:$80,'NR6-RetailPL-13'!$81:$81,'NR6-RetailPL-13'!$82:$82</definedName>
    <definedName name="QB_DATA_2" localSheetId="26" hidden="1">'NR6-TotalPL-13'!$53:$53,'NR6-TotalPL-13'!$56:$56,'NR6-TotalPL-13'!$57:$57,'NR6-TotalPL-13'!$58:$58,'NR6-TotalPL-13'!$59:$59,'NR6-TotalPL-13'!$60:$60,'NR6-TotalPL-13'!$62:$62,'NR6-TotalPL-13'!$66:$66,'NR6-TotalPL-13'!$67:$67,'NR6-TotalPL-13'!$68:$68,'NR6-TotalPL-13'!$69:$69,'NR6-TotalPL-13'!$70:$70,'NR6-TotalPL-13'!$71:$71,'NR6-TotalPL-13'!$72:$72,'NR6-TotalPL-13'!$75:$75,'NR6-TotalPL-13'!$76:$76</definedName>
    <definedName name="QB_DATA_2" localSheetId="32" hidden="1">'NWC-PL-13'!$54:$54,'NWC-PL-13'!$55:$55,'NWC-PL-13'!$56:$56,'NWC-PL-13'!$59:$59,'NWC-PL-13'!$60:$60,'NWC-PL-13'!$61:$61,'NWC-PL-13'!$62:$62,'NWC-PL-13'!$65:$65,'NWC-PL-13'!$68:$68,'NWC-PL-13'!$69:$69,'NWC-PL-13'!$70:$70,'NWC-PL-13'!$71:$71,'NWC-PL-13'!$74:$74,'NWC-PL-13'!$77:$77,'NWC-PL-13'!$78:$78,'NWC-PL-13'!$79:$79</definedName>
    <definedName name="QB_DATA_2" localSheetId="34" hidden="1">'OCP-PL-13'!$61:$61,'OCP-PL-13'!$64:$64,'OCP-PL-13'!$65:$65,'OCP-PL-13'!$66:$66,'OCP-PL-13'!$69:$69,'OCP-PL-13'!$70:$70,'OCP-PL-13'!$71:$71,'OCP-PL-13'!$74:$74,'OCP-PL-13'!$76:$76,'OCP-PL-13'!$78:$78,'OCP-PL-13'!$79:$79,'OCP-PL-13'!$80:$80,'OCP-PL-13'!$81:$81,'OCP-PL-13'!$84:$84,'OCP-PL-13'!$85:$85,'OCP-PL-13'!$86:$86</definedName>
    <definedName name="QB_DATA_2" localSheetId="35" hidden="1">'OMI-BS-13'!$60:$60</definedName>
    <definedName name="QB_DATA_2" localSheetId="36" hidden="1">'OMI-PL-13'!$39:$39,'OMI-PL-13'!$40:$40,'OMI-PL-13'!$41:$41,'OMI-PL-13'!$42:$42,'OMI-PL-13'!$43:$43,'OMI-PL-13'!$44:$44,'OMI-PL-13'!$45:$45,'OMI-PL-13'!$50:$50,'OMI-PL-13'!$51:$51,'OMI-PL-13'!$52:$52,'OMI-PL-13'!$55:$55</definedName>
    <definedName name="QB_DATA_2" localSheetId="38" hidden="1">'ROY-PL-13'!$59:$59,'ROY-PL-13'!$61:$61,'ROY-PL-13'!$62:$62,'ROY-PL-13'!$65:$65,'ROY-PL-13'!$66:$66,'ROY-PL-13'!$67:$67,'ROY-PL-13'!$70:$70,'ROY-PL-13'!$71:$71,'ROY-PL-13'!$72:$72,'ROY-PL-13'!$73:$73,'ROY-PL-13'!$74:$74,'ROY-PL-13'!$76:$76,'ROY-PL-13'!$77:$77,'ROY-PL-13'!$79:$79,'ROY-PL-13'!$81:$81,'ROY-PL-13'!$82:$82</definedName>
    <definedName name="QB_DATA_2" localSheetId="40" hidden="1">'SPC-PL-13'!$50:$50,'SPC-PL-13'!$53:$53,'SPC-PL-13'!$54:$54,'SPC-PL-13'!$55:$55,'SPC-PL-13'!$56:$56,'SPC-PL-13'!$57:$57,'SPC-PL-13'!$62:$62,'SPC-PL-13'!$63:$63,'SPC-PL-13'!$64:$64,'SPC-PL-13'!$65:$65,'SPC-PL-13'!$66:$66,'SPC-PL-13'!$67:$67,'SPC-PL-13'!$68:$68,'SPC-PL-13'!$71:$71,'SPC-PL-13'!$72:$72,'SPC-PL-13'!$75:$75</definedName>
    <definedName name="QB_DATA_2" localSheetId="44" hidden="1">'UST-PL-13'!$57:$57,'UST-PL-13'!$58:$58,'UST-PL-13'!$59:$59,'UST-PL-13'!$61:$61,'UST-PL-13'!$62:$62,'UST-PL-13'!$63:$63,'UST-PL-13'!$64:$64,'UST-PL-13'!$65:$65,'UST-PL-13'!$66:$66,'UST-PL-13'!$68:$68,'UST-PL-13'!$69:$69,'UST-PL-13'!$70:$70,'UST-PL-13'!$71:$71,'UST-PL-13'!$72:$72,'UST-PL-13'!$73:$73,'UST-PL-13'!$74:$74</definedName>
    <definedName name="QB_DATA_3" localSheetId="46" hidden="1">'21Webb-PL-13'!$89:$89,'21Webb-PL-13'!$91:$91,'21Webb-PL-13'!$95:$95</definedName>
    <definedName name="QB_DATA_3" localSheetId="16" hidden="1">'ABP-PL-13'!$81:$81,'ABP-PL-13'!$82:$82,'ABP-PL-13'!$85:$85,'ABP-PL-13'!$86:$86,'ABP-PL-13'!$87:$87,'ABP-PL-13'!$88:$88,'ABP-PL-13'!$89:$89,'ABP-PL-13'!$90:$90,'ABP-PL-13'!$93:$93,'ABP-PL-13'!$94:$94,'ABP-PL-13'!$97:$97,'ABP-PL-13'!$98:$98,'ABP-PL-13'!$101:$101,'ABP-PL-13'!$103:$103,'ABP-PL-13'!$104:$104,'ABP-PL-13'!$105:$105</definedName>
    <definedName name="QB_DATA_3" localSheetId="18" hidden="1">'BPT-PL-13'!$83:$83,'BPT-PL-13'!$84:$84,'BPT-PL-13'!$87:$87,'BPT-PL-13'!$88:$88,'BPT-PL-13'!$89:$89,'BPT-PL-13'!$92:$92,'BPT-PL-13'!$95:$95,'BPT-PL-13'!$96:$96,'BPT-PL-13'!$97:$97,'BPT-PL-13'!$98:$98,'BPT-PL-13'!$99:$99,'BPT-PL-13'!$102:$102,'BPT-PL-13'!$103:$103,'BPT-PL-13'!$106:$106,'BPT-PL-13'!$108:$108,'BPT-PL-13'!$109:$109</definedName>
    <definedName name="QB_DATA_3" localSheetId="20" hidden="1">'CP-PL-13'!$85:$85,'CP-PL-13'!$86:$86,'CP-PL-13'!$87:$87,'CP-PL-13'!$88:$88,'CP-PL-13'!$90:$90,'CP-PL-13'!$91:$91,'CP-PL-13'!$93:$93,'CP-PL-13'!$95:$95,'CP-PL-13'!$96:$96,'CP-PL-13'!$97:$97,'CP-PL-13'!$99:$99,'CP-PL-13'!$100:$100,'CP-PL-13'!$101:$101,'CP-PL-13'!$106:$106</definedName>
    <definedName name="QB_DATA_3" localSheetId="22" hidden="1">'DGS-PL-13'!$83:$83,'DGS-PL-13'!$84:$84,'DGS-PL-13'!$85:$85,'DGS-PL-13'!$88:$88,'DGS-PL-13'!$89:$89,'DGS-PL-13'!$90:$90,'DGS-PL-13'!$91:$91,'DGS-PL-13'!$92:$92,'DGS-PL-13'!$93:$93,'DGS-PL-13'!$95:$95,'DGS-PL-13'!$96:$96,'DGS-PL-13'!$99:$99,'DGS-PL-13'!$102:$102,'DGS-PL-13'!$103:$103,'DGS-PL-13'!$104:$104,'DGS-PL-13'!$105:$105</definedName>
    <definedName name="QB_DATA_3" localSheetId="27" hidden="1">'NR6-OfficePL-13'!$89:$89,'NR6-OfficePL-13'!$90:$90,'NR6-OfficePL-13'!$93:$93,'NR6-OfficePL-13'!$94:$94,'NR6-OfficePL-13'!$95:$95,'NR6-OfficePL-13'!$96:$96,'NR6-OfficePL-13'!$97:$97,'NR6-OfficePL-13'!$98:$98,'NR6-OfficePL-13'!$100:$100,'NR6-OfficePL-13'!$101:$101,'NR6-OfficePL-13'!$103:$103,'NR6-OfficePL-13'!$104:$104,'NR6-OfficePL-13'!$106:$106,'NR6-OfficePL-13'!$107:$107,'NR6-OfficePL-13'!$108:$108,'NR6-OfficePL-13'!$109:$109</definedName>
    <definedName name="QB_DATA_3" localSheetId="28" hidden="1">'NR6-RetailPL-13'!$85:$85,'NR6-RetailPL-13'!$86:$86,'NR6-RetailPL-13'!$87:$87,'NR6-RetailPL-13'!$88:$88,'NR6-RetailPL-13'!$89:$89,'NR6-RetailPL-13'!$90:$90,'NR6-RetailPL-13'!$92:$92,'NR6-RetailPL-13'!$95:$95,'NR6-RetailPL-13'!$98:$98,'NR6-RetailPL-13'!$99:$99,'NR6-RetailPL-13'!$101:$101,'NR6-RetailPL-13'!$102:$102,'NR6-RetailPL-13'!$103:$103,'NR6-RetailPL-13'!$108:$108</definedName>
    <definedName name="QB_DATA_3" localSheetId="26" hidden="1">'NR6-TotalPL-13'!$77:$77,'NR6-TotalPL-13'!$80:$80,'NR6-TotalPL-13'!$81:$81,'NR6-TotalPL-13'!$84:$84,'NR6-TotalPL-13'!$85:$85,'NR6-TotalPL-13'!$86:$86,'NR6-TotalPL-13'!$89:$89,'NR6-TotalPL-13'!$90:$90,'NR6-TotalPL-13'!$91:$91,'NR6-TotalPL-13'!$94:$94,'NR6-TotalPL-13'!$95:$95,'NR6-TotalPL-13'!$97:$97,'NR6-TotalPL-13'!$99:$99,'NR6-TotalPL-13'!$100:$100,'NR6-TotalPL-13'!$101:$101,'NR6-TotalPL-13'!$104:$104</definedName>
    <definedName name="QB_DATA_3" localSheetId="32" hidden="1">'NWC-PL-13'!$80:$80,'NWC-PL-13'!$83:$83,'NWC-PL-13'!$84:$84,'NWC-PL-13'!$85:$85,'NWC-PL-13'!$86:$86,'NWC-PL-13'!$87:$87,'NWC-PL-13'!$90:$90,'NWC-PL-13'!$91:$91,'NWC-PL-13'!$92:$92,'NWC-PL-13'!$93:$93,'NWC-PL-13'!$96:$96,'NWC-PL-13'!$101:$101,'NWC-PL-13'!$102:$102,'NWC-PL-13'!$103:$103,'NWC-PL-13'!$104:$104,'NWC-PL-13'!$105:$105</definedName>
    <definedName name="QB_DATA_3" localSheetId="34" hidden="1">'OCP-PL-13'!$87:$87,'OCP-PL-13'!$90:$90,'OCP-PL-13'!$91:$91,'OCP-PL-13'!$92:$92,'OCP-PL-13'!$93:$93,'OCP-PL-13'!$96:$96,'OCP-PL-13'!$97:$97,'OCP-PL-13'!$98:$98,'OCP-PL-13'!$99:$99,'OCP-PL-13'!$100:$100,'OCP-PL-13'!$101:$101,'OCP-PL-13'!$102:$102,'OCP-PL-13'!$104:$104,'OCP-PL-13'!$106:$106,'OCP-PL-13'!$107:$107,'OCP-PL-13'!$109:$109</definedName>
    <definedName name="QB_DATA_3" localSheetId="38" hidden="1">'ROY-PL-13'!$83:$83,'ROY-PL-13'!$85:$85,'ROY-PL-13'!$86:$86,'ROY-PL-13'!$92:$92</definedName>
    <definedName name="QB_DATA_3" localSheetId="40" hidden="1">'SPC-PL-13'!$76:$76,'SPC-PL-13'!$79:$79,'SPC-PL-13'!$80:$80,'SPC-PL-13'!$81:$81,'SPC-PL-13'!$82:$82,'SPC-PL-13'!$85:$85,'SPC-PL-13'!$86:$86,'SPC-PL-13'!$87:$87,'SPC-PL-13'!$90:$90,'SPC-PL-13'!$91:$91,'SPC-PL-13'!$92:$92,'SPC-PL-13'!$94:$94,'SPC-PL-13'!$96:$96,'SPC-PL-13'!$97:$97,'SPC-PL-13'!$98:$98,'SPC-PL-13'!$101:$101</definedName>
    <definedName name="QB_DATA_3" localSheetId="44" hidden="1">'UST-PL-13'!$75:$75,'UST-PL-13'!$78:$78,'UST-PL-13'!$79:$79,'UST-PL-13'!$80:$80,'UST-PL-13'!$81:$81,'UST-PL-13'!$84:$84,'UST-PL-13'!$85:$85,'UST-PL-13'!$86:$86,'UST-PL-13'!$87:$87,'UST-PL-13'!$90:$90,'UST-PL-13'!$91:$91,'UST-PL-13'!$98:$98</definedName>
    <definedName name="QB_DATA_4" localSheetId="16" hidden="1">'ABP-PL-13'!$106:$106,'ABP-PL-13'!$109:$109,'ABP-PL-13'!$110:$110,'ABP-PL-13'!$111:$111,'ABP-PL-13'!$112:$112,'ABP-PL-13'!$114:$114,'ABP-PL-13'!$115:$115,'ABP-PL-13'!$116:$116,'ABP-PL-13'!$121:$121,'ABP-PL-13'!$122:$122,'ABP-PL-13'!$125:$125</definedName>
    <definedName name="QB_DATA_4" localSheetId="18" hidden="1">'BPT-PL-13'!$111:$111,'BPT-PL-13'!$112:$112,'BPT-PL-13'!$113:$113</definedName>
    <definedName name="QB_DATA_4" localSheetId="22" hidden="1">'DGS-PL-13'!$106:$106,'DGS-PL-13'!$109:$109,'DGS-PL-13'!$110:$110,'DGS-PL-13'!$112:$112,'DGS-PL-13'!$113:$113,'DGS-PL-13'!$118:$118,'DGS-PL-13'!$119:$119,'DGS-PL-13'!$122:$122</definedName>
    <definedName name="QB_DATA_4" localSheetId="27" hidden="1">'NR6-OfficePL-13'!$112:$112,'NR6-OfficePL-13'!$115:$115,'NR6-OfficePL-13'!$117:$117,'NR6-OfficePL-13'!$118:$118,'NR6-OfficePL-13'!$119:$119,'NR6-OfficePL-13'!$125:$125,'NR6-OfficePL-13'!$128:$128</definedName>
    <definedName name="QB_DATA_4" localSheetId="26" hidden="1">'NR6-TotalPL-13'!$105:$105,'NR6-TotalPL-13'!$106:$106,'NR6-TotalPL-13'!$109:$109,'NR6-TotalPL-13'!$110:$110,'NR6-TotalPL-13'!$111:$111,'NR6-TotalPL-13'!$114:$114,'NR6-TotalPL-13'!$115:$115,'NR6-TotalPL-13'!$116:$116,'NR6-TotalPL-13'!$117:$117,'NR6-TotalPL-13'!$118:$118,'NR6-TotalPL-13'!$119:$119,'NR6-TotalPL-13'!$121:$121,'NR6-TotalPL-13'!$122:$122,'NR6-TotalPL-13'!$123:$123,'NR6-TotalPL-13'!$125:$125,'NR6-TotalPL-13'!$126:$126</definedName>
    <definedName name="QB_DATA_4" localSheetId="32" hidden="1">'NWC-PL-13'!$106:$106,'NWC-PL-13'!$111:$111,'NWC-PL-13'!$112:$112,'NWC-PL-13'!$113:$113,'NWC-PL-13'!$114:$114,'NWC-PL-13'!$115:$115,'NWC-PL-13'!$116:$116,'NWC-PL-13'!$119:$119,'NWC-PL-13'!$120:$120,'NWC-PL-13'!$121:$121,'NWC-PL-13'!$124:$124,'NWC-PL-13'!$125:$125,'NWC-PL-13'!$126:$126,'NWC-PL-13'!$129:$129,'NWC-PL-13'!$130:$130,'NWC-PL-13'!$131:$131</definedName>
    <definedName name="QB_DATA_4" localSheetId="34" hidden="1">'OCP-PL-13'!$110:$110,'OCP-PL-13'!$112:$112,'OCP-PL-13'!$113:$113,'OCP-PL-13'!$114:$114,'OCP-PL-13'!$116:$116,'OCP-PL-13'!$117:$117,'OCP-PL-13'!$119:$119,'OCP-PL-13'!$121:$121,'OCP-PL-13'!$122:$122,'OCP-PL-13'!$124:$124,'OCP-PL-13'!$126:$126,'OCP-PL-13'!$127:$127,'OCP-PL-13'!$129:$129,'OCP-PL-13'!$134:$134,'OCP-PL-13'!$135:$135,'OCP-PL-13'!$138:$138</definedName>
    <definedName name="QB_DATA_4" localSheetId="40" hidden="1">'SPC-PL-13'!$102:$102,'SPC-PL-13'!$103:$103,'SPC-PL-13'!$106:$106,'SPC-PL-13'!$107:$107,'SPC-PL-13'!$110:$110,'SPC-PL-13'!$111:$111,'SPC-PL-13'!$112:$112,'SPC-PL-13'!$113:$113,'SPC-PL-13'!$114:$114,'SPC-PL-13'!$115:$115,'SPC-PL-13'!$118:$118,'SPC-PL-13'!$121:$121,'SPC-PL-13'!$122:$122,'SPC-PL-13'!$126:$126,'SPC-PL-13'!$129:$129,'SPC-PL-13'!$130:$130</definedName>
    <definedName name="QB_DATA_5" localSheetId="26" hidden="1">'NR6-TotalPL-13'!$128:$128,'NR6-TotalPL-13'!$129:$129,'NR6-TotalPL-13'!$130:$130,'NR6-TotalPL-13'!$131:$131,'NR6-TotalPL-13'!$132:$132,'NR6-TotalPL-13'!$135:$135,'NR6-TotalPL-13'!$138:$138,'NR6-TotalPL-13'!$139:$139,'NR6-TotalPL-13'!$140:$140,'NR6-TotalPL-13'!$141:$141,'NR6-TotalPL-13'!$142:$142,'NR6-TotalPL-13'!$145:$145,'NR6-TotalPL-13'!$146:$146,'NR6-TotalPL-13'!$148:$148,'NR6-TotalPL-13'!$149:$149,'NR6-TotalPL-13'!$155:$155</definedName>
    <definedName name="QB_DATA_5" localSheetId="32" hidden="1">'NWC-PL-13'!$134:$134,'NWC-PL-13'!$135:$135,'NWC-PL-13'!$136:$136,'NWC-PL-13'!$139:$139,'NWC-PL-13'!$140:$140,'NWC-PL-13'!$141:$141,'NWC-PL-13'!$143:$143,'NWC-PL-13'!$145:$145,'NWC-PL-13'!$146:$146,'NWC-PL-13'!$147:$147,'NWC-PL-13'!$150:$150,'NWC-PL-13'!$151:$151,'NWC-PL-13'!$152:$152,'NWC-PL-13'!$155:$155,'NWC-PL-13'!$156:$156,'NWC-PL-13'!$157:$157</definedName>
    <definedName name="QB_DATA_5" localSheetId="40" hidden="1">'SPC-PL-13'!$131:$131,'SPC-PL-13'!$132:$132,'SPC-PL-13'!$134:$134,'SPC-PL-13'!$136:$136,'SPC-PL-13'!$137:$137,'SPC-PL-13'!$138:$138,'SPC-PL-13'!$140:$140,'SPC-PL-13'!$145:$145</definedName>
    <definedName name="QB_DATA_6" localSheetId="26" hidden="1">'NR6-TotalPL-13'!$156:$156,'NR6-TotalPL-13'!$159:$159,'NR6-TotalPL-13'!$163:$163</definedName>
    <definedName name="QB_DATA_6" localSheetId="32" hidden="1">'NWC-PL-13'!$160:$160,'NWC-PL-13'!$161:$161,'NWC-PL-13'!$162:$162,'NWC-PL-13'!$163:$163,'NWC-PL-13'!$164:$164,'NWC-PL-13'!$165:$165,'NWC-PL-13'!$168:$168,'NWC-PL-13'!$169:$169,'NWC-PL-13'!$170:$170,'NWC-PL-13'!$172:$172,'NWC-PL-13'!$174:$174,'NWC-PL-13'!$175:$175,'NWC-PL-13'!$176:$176,'NWC-PL-13'!$178:$178,'NWC-PL-13'!$180:$180,'NWC-PL-13'!$182:$182</definedName>
    <definedName name="QB_DATA_7" localSheetId="32" hidden="1">'NWC-PL-13'!$183:$183,'NWC-PL-13'!$185:$185,'NWC-PL-13'!$186:$186,'NWC-PL-13'!$188:$188,'NWC-PL-13'!$191:$191,'NWC-PL-13'!$198:$198,'NWC-PL-13'!$199:$199,'NWC-PL-13'!$201:$201</definedName>
    <definedName name="QB_FORMULA_0" localSheetId="47" hidden="1">'127PAW-BS-13'!$F$6,'127PAW-BS-13'!$H$6,'127PAW-BS-13'!$J$6,'127PAW-BS-13'!$F$9,'127PAW-BS-13'!$H$9,'127PAW-BS-13'!$J$9,'127PAW-BS-13'!$F$10,'127PAW-BS-13'!$H$10,'127PAW-BS-13'!$J$10,'127PAW-BS-13'!$F$14,'127PAW-BS-13'!$H$14,'127PAW-BS-13'!$J$14,'127PAW-BS-13'!$F$15,'127PAW-BS-13'!$H$15,'127PAW-BS-13'!$J$15,'127PAW-BS-13'!$F$21</definedName>
    <definedName name="QB_FORMULA_0" localSheetId="48" hidden="1">'127PAW-PL-13'!$N$5,'127PAW-PL-13'!$H$6,'127PAW-PL-13'!$J$6,'127PAW-PL-13'!$L$6,'127PAW-PL-13'!$N$6,'127PAW-PL-13'!$N$7,'127PAW-PL-13'!$N$9,'127PAW-PL-13'!$N$10,'127PAW-PL-13'!$N$11,'127PAW-PL-13'!$N$13,'127PAW-PL-13'!$N$14,'127PAW-PL-13'!$H$15,'127PAW-PL-13'!$J$15,'127PAW-PL-13'!$L$15,'127PAW-PL-13'!$N$15,'127PAW-PL-13'!$H$16</definedName>
    <definedName name="QB_FORMULA_0" localSheetId="45" hidden="1">'21Webb-BS-13'!$F$9,'21Webb-BS-13'!$H$9,'21Webb-BS-13'!$J$9,'21Webb-BS-13'!$F$13,'21Webb-BS-13'!$H$13,'21Webb-BS-13'!$J$13,'21Webb-BS-13'!$F$17,'21Webb-BS-13'!$H$17,'21Webb-BS-13'!$J$17,'21Webb-BS-13'!$F$18,'21Webb-BS-13'!$H$18,'21Webb-BS-13'!$J$18,'21Webb-BS-13'!$F$24,'21Webb-BS-13'!$H$24,'21Webb-BS-13'!$J$24,'21Webb-BS-13'!$F$29</definedName>
    <definedName name="QB_FORMULA_0" localSheetId="46" hidden="1">'21Webb-PL-13'!$N$4,'21Webb-PL-13'!$N$5,'21Webb-PL-13'!$N$6,'21Webb-PL-13'!$N$7,'21Webb-PL-13'!$N$8,'21Webb-PL-13'!$N$9,'21Webb-PL-13'!$H$10,'21Webb-PL-13'!$J$10,'21Webb-PL-13'!$L$10,'21Webb-PL-13'!$N$10,'21Webb-PL-13'!$H$11,'21Webb-PL-13'!$J$11,'21Webb-PL-13'!$L$11,'21Webb-PL-13'!$N$11,'21Webb-PL-13'!$N$14,'21Webb-PL-13'!$N$15</definedName>
    <definedName name="QB_FORMULA_0" localSheetId="15" hidden="1">'ABP-BS-13'!$F$8,'ABP-BS-13'!$H$8,'ABP-BS-13'!$J$8,'ABP-BS-13'!$F$11,'ABP-BS-13'!$H$11,'ABP-BS-13'!$J$11,'ABP-BS-13'!$F$16,'ABP-BS-13'!$H$16,'ABP-BS-13'!$J$16,'ABP-BS-13'!$F$17,'ABP-BS-13'!$H$17,'ABP-BS-13'!$J$17,'ABP-BS-13'!$F$28,'ABP-BS-13'!$H$28,'ABP-BS-13'!$J$28,'ABP-BS-13'!$F$33</definedName>
    <definedName name="QB_FORMULA_0" localSheetId="16" hidden="1">'ABP-PL-13'!$N$4,'ABP-PL-13'!$N$5,'ABP-PL-13'!$N$6,'ABP-PL-13'!$N$7,'ABP-PL-13'!$N$8,'ABP-PL-13'!$N$9,'ABP-PL-13'!$H$10,'ABP-PL-13'!$J$10,'ABP-PL-13'!$L$10,'ABP-PL-13'!$N$10,'ABP-PL-13'!$H$11,'ABP-PL-13'!$J$11,'ABP-PL-13'!$L$11,'ABP-PL-13'!$N$11,'ABP-PL-13'!$N$14,'ABP-PL-13'!$N$15</definedName>
    <definedName name="QB_FORMULA_0" localSheetId="17" hidden="1">'BPT-BS-13'!$F$6,'BPT-BS-13'!$H$6,'BPT-BS-13'!$J$6,'BPT-BS-13'!$F$9,'BPT-BS-13'!$H$9,'BPT-BS-13'!$J$9,'BPT-BS-13'!$F$13,'BPT-BS-13'!$H$13,'BPT-BS-13'!$J$13,'BPT-BS-13'!$F$14,'BPT-BS-13'!$H$14,'BPT-BS-13'!$J$14,'BPT-BS-13'!$F$21,'BPT-BS-13'!$H$21,'BPT-BS-13'!$J$21,'BPT-BS-13'!$F$26</definedName>
    <definedName name="QB_FORMULA_0" localSheetId="18" hidden="1">'BPT-PL-13'!$N$4,'BPT-PL-13'!$N$5,'BPT-PL-13'!$N$6,'BPT-PL-13'!$N$7,'BPT-PL-13'!$N$8,'BPT-PL-13'!$N$9,'BPT-PL-13'!$N$10,'BPT-PL-13'!$N$11,'BPT-PL-13'!$H$12,'BPT-PL-13'!$J$12,'BPT-PL-13'!$L$12,'BPT-PL-13'!$N$12,'BPT-PL-13'!$H$13,'BPT-PL-13'!$J$13,'BPT-PL-13'!$L$13,'BPT-PL-13'!$N$13</definedName>
    <definedName name="QB_FORMULA_0" localSheetId="51" hidden="1">'BSQ-BS-13'!$F$7,'BSQ-BS-13'!$H$7,'BSQ-BS-13'!$J$7,'BSQ-BS-13'!$F$10,'BSQ-BS-13'!$H$10,'BSQ-BS-13'!$J$10,'BSQ-BS-13'!$F$11,'BSQ-BS-13'!$H$11,'BSQ-BS-13'!$J$11,'BSQ-BS-13'!$F$17,'BSQ-BS-13'!$H$17,'BSQ-BS-13'!$J$17,'BSQ-BS-13'!$F$18,'BSQ-BS-13'!$H$18,'BSQ-BS-13'!$J$18,'BSQ-BS-13'!$F$19</definedName>
    <definedName name="QB_FORMULA_0" localSheetId="52" hidden="1">'BSQ-PL-13'!$K$4,'BSQ-PL-13'!$K$5,'BSQ-PL-13'!$K$6,'BSQ-PL-13'!$K$7,'BSQ-PL-13'!$K$8,'BSQ-PL-13'!$K$9,'BSQ-PL-13'!$K$10,'BSQ-PL-13'!$K$11,'BSQ-PL-13'!$E$12,'BSQ-PL-13'!$G$12,'BSQ-PL-13'!$I$12,'BSQ-PL-13'!$K$12,'BSQ-PL-13'!$E$13,'BSQ-PL-13'!$G$13,'BSQ-PL-13'!$I$13,'BSQ-PL-13'!$K$13</definedName>
    <definedName name="QB_FORMULA_0" localSheetId="19" hidden="1">'CP-BS-13'!$F$7,'CP-BS-13'!$H$7,'CP-BS-13'!$J$7,'CP-BS-13'!$F$10,'CP-BS-13'!$H$10,'CP-BS-13'!$J$10,'CP-BS-13'!$F$14,'CP-BS-13'!$H$14,'CP-BS-13'!$J$14,'CP-BS-13'!$F$15,'CP-BS-13'!$H$15,'CP-BS-13'!$J$15,'CP-BS-13'!$F$23,'CP-BS-13'!$H$23,'CP-BS-13'!$J$23,'CP-BS-13'!$F$27</definedName>
    <definedName name="QB_FORMULA_0" localSheetId="20" hidden="1">'CP-PL-13'!$N$4,'CP-PL-13'!$N$5,'CP-PL-13'!$N$6,'CP-PL-13'!$N$7,'CP-PL-13'!$N$8,'CP-PL-13'!$N$9,'CP-PL-13'!$H$10,'CP-PL-13'!$J$10,'CP-PL-13'!$L$10,'CP-PL-13'!$N$10,'CP-PL-13'!$H$11,'CP-PL-13'!$J$11,'CP-PL-13'!$L$11,'CP-PL-13'!$N$11,'CP-PL-13'!$N$15,'CP-PL-13'!$N$16</definedName>
    <definedName name="QB_FORMULA_0" localSheetId="21" hidden="1">'DGS-BS-13'!$F$7,'DGS-BS-13'!$H$7,'DGS-BS-13'!$J$7,'DGS-BS-13'!$F$10,'DGS-BS-13'!$H$10,'DGS-BS-13'!$J$10,'DGS-BS-13'!$F$13,'DGS-BS-13'!$H$13,'DGS-BS-13'!$J$13,'DGS-BS-13'!$F$14,'DGS-BS-13'!$H$14,'DGS-BS-13'!$J$14,'DGS-BS-13'!$F$21,'DGS-BS-13'!$H$21,'DGS-BS-13'!$J$21,'DGS-BS-13'!$F$24</definedName>
    <definedName name="QB_FORMULA_0" localSheetId="22" hidden="1">'DGS-PL-13'!$N$4,'DGS-PL-13'!$N$5,'DGS-PL-13'!$N$6,'DGS-PL-13'!$N$7,'DGS-PL-13'!$N$8,'DGS-PL-13'!$H$9,'DGS-PL-13'!$J$9,'DGS-PL-13'!$L$9,'DGS-PL-13'!$N$9,'DGS-PL-13'!$H$10,'DGS-PL-13'!$J$10,'DGS-PL-13'!$L$10,'DGS-PL-13'!$N$10,'DGS-PL-13'!$N$12,'DGS-PL-13'!$N$13,'DGS-PL-13'!$N$16</definedName>
    <definedName name="QB_FORMULA_0" localSheetId="23" hidden="1">'NDV-BS-13'!$F$6,'NDV-BS-13'!$H$6,'NDV-BS-13'!$J$6,'NDV-BS-13'!$F$13,'NDV-BS-13'!$H$13,'NDV-BS-13'!$J$13,'NDV-BS-13'!$F$14,'NDV-BS-13'!$H$14,'NDV-BS-13'!$J$14,'NDV-BS-13'!$F$15,'NDV-BS-13'!$H$15,'NDV-BS-13'!$J$15,'NDV-BS-13'!$F$18,'NDV-BS-13'!$H$18,'NDV-BS-13'!$J$18,'NDV-BS-13'!$F$19</definedName>
    <definedName name="QB_FORMULA_0" localSheetId="24" hidden="1">'NDV-PL-13'!$L$4,'NDV-PL-13'!$L$5,'NDV-PL-13'!$L$6,'NDV-PL-13'!$L$7,'NDV-PL-13'!$L$8,'NDV-PL-13'!$L$9,'NDV-PL-13'!$L$10,'NDV-PL-13'!$F$11,'NDV-PL-13'!$H$11,'NDV-PL-13'!$J$11,'NDV-PL-13'!$L$11,'NDV-PL-13'!$F$12,'NDV-PL-13'!$H$12,'NDV-PL-13'!$J$12,'NDV-PL-13'!$L$12,'NDV-PL-13'!$L$15</definedName>
    <definedName name="QB_FORMULA_0" localSheetId="29" hidden="1">'NR14-BS-13'!$F$6,'NR14-BS-13'!$H$6,'NR14-BS-13'!$J$6,'NR14-BS-13'!$F$10,'NR14-BS-13'!$H$10,'NR14-BS-13'!$J$10,'NR14-BS-13'!$F$11,'NR14-BS-13'!$H$11,'NR14-BS-13'!$J$11,'NR14-BS-13'!$F$17,'NR14-BS-13'!$H$17,'NR14-BS-13'!$J$17,'NR14-BS-13'!$F$22,'NR14-BS-13'!$H$22,'NR14-BS-13'!$J$22,'NR14-BS-13'!$F$23</definedName>
    <definedName name="QB_FORMULA_0" localSheetId="30" hidden="1">'NR14-PL-13'!$M$4,'NR14-PL-13'!$M$5,'NR14-PL-13'!$M$6,'NR14-PL-13'!$M$7,'NR14-PL-13'!$G$8,'NR14-PL-13'!$I$8,'NR14-PL-13'!$K$8,'NR14-PL-13'!$M$8,'NR14-PL-13'!$M$10,'NR14-PL-13'!$M$11,'NR14-PL-13'!$M$14,'NR14-PL-13'!$M$15,'NR14-PL-13'!$M$16,'NR14-PL-13'!$M$17,'NR14-PL-13'!$G$18,'NR14-PL-13'!$I$18</definedName>
    <definedName name="QB_FORMULA_0" localSheetId="25" hidden="1">'NR6-BS-13'!$F$9,'NR6-BS-13'!$H$9,'NR6-BS-13'!$J$9,'NR6-BS-13'!$F$12,'NR6-BS-13'!$H$12,'NR6-BS-13'!$J$12,'NR6-BS-13'!$F$17,'NR6-BS-13'!$H$17,'NR6-BS-13'!$J$17,'NR6-BS-13'!$F$18,'NR6-BS-13'!$H$18,'NR6-BS-13'!$J$18,'NR6-BS-13'!$F$31,'NR6-BS-13'!$H$31,'NR6-BS-13'!$J$31,'NR6-BS-13'!$F$37</definedName>
    <definedName name="QB_FORMULA_0" localSheetId="27" hidden="1">'NR6-OfficePL-13'!$N$4,'NR6-OfficePL-13'!$N$5,'NR6-OfficePL-13'!$H$6,'NR6-OfficePL-13'!$J$6,'NR6-OfficePL-13'!$L$6,'NR6-OfficePL-13'!$N$6,'NR6-OfficePL-13'!$H$7,'NR6-OfficePL-13'!$J$7,'NR6-OfficePL-13'!$L$7,'NR6-OfficePL-13'!$N$7,'NR6-OfficePL-13'!$N$11,'NR6-OfficePL-13'!$H$12,'NR6-OfficePL-13'!$J$12,'NR6-OfficePL-13'!$L$12,'NR6-OfficePL-13'!$N$12,'NR6-OfficePL-13'!$N$13</definedName>
    <definedName name="QB_FORMULA_0" localSheetId="28" hidden="1">'NR6-RetailPL-13'!$N$4,'NR6-RetailPL-13'!$N$5,'NR6-RetailPL-13'!$N$6,'NR6-RetailPL-13'!$N$7,'NR6-RetailPL-13'!$N$8,'NR6-RetailPL-13'!$N$9,'NR6-RetailPL-13'!$N$10,'NR6-RetailPL-13'!$N$11,'NR6-RetailPL-13'!$H$12,'NR6-RetailPL-13'!$J$12,'NR6-RetailPL-13'!$L$12,'NR6-RetailPL-13'!$N$12,'NR6-RetailPL-13'!$H$13,'NR6-RetailPL-13'!$J$13,'NR6-RetailPL-13'!$L$13,'NR6-RetailPL-13'!$N$13</definedName>
    <definedName name="QB_FORMULA_0" localSheetId="26" hidden="1">'NR6-TotalPL-13'!$N$4,'NR6-TotalPL-13'!$N$5,'NR6-TotalPL-13'!$N$6,'NR6-TotalPL-13'!$N$7,'NR6-TotalPL-13'!$N$8,'NR6-TotalPL-13'!$N$9,'NR6-TotalPL-13'!$N$10,'NR6-TotalPL-13'!$N$11,'NR6-TotalPL-13'!$H$12,'NR6-TotalPL-13'!$J$12,'NR6-TotalPL-13'!$L$12,'NR6-TotalPL-13'!$N$12,'NR6-TotalPL-13'!$H$13,'NR6-TotalPL-13'!$J$13,'NR6-TotalPL-13'!$L$13,'NR6-TotalPL-13'!$N$13</definedName>
    <definedName name="QB_FORMULA_0" localSheetId="31" hidden="1">'NWC-BS-13'!$F$7,'NWC-BS-13'!$H$7,'NWC-BS-13'!$J$7,'NWC-BS-13'!$F$10,'NWC-BS-13'!$H$10,'NWC-BS-13'!$J$10,'NWC-BS-13'!$F$14,'NWC-BS-13'!$H$14,'NWC-BS-13'!$J$14,'NWC-BS-13'!$F$15,'NWC-BS-13'!$H$15,'NWC-BS-13'!$J$15,'NWC-BS-13'!$F$26,'NWC-BS-13'!$H$26,'NWC-BS-13'!$J$26,'NWC-BS-13'!$F$30</definedName>
    <definedName name="QB_FORMULA_0" localSheetId="32" hidden="1">'NWC-PL-13'!$O$4,'NWC-PL-13'!$O$5,'NWC-PL-13'!$O$6,'NWC-PL-13'!$O$7,'NWC-PL-13'!$O$8,'NWC-PL-13'!$O$9,'NWC-PL-13'!$O$10,'NWC-PL-13'!$I$11,'NWC-PL-13'!$K$11,'NWC-PL-13'!$M$11,'NWC-PL-13'!$O$11,'NWC-PL-13'!$O$13,'NWC-PL-13'!$O$16,'NWC-PL-13'!$O$17,'NWC-PL-13'!$I$18,'NWC-PL-13'!$K$18</definedName>
    <definedName name="QB_FORMULA_0" localSheetId="33" hidden="1">'OCP-BS-13'!$F$7,'OCP-BS-13'!$H$7,'OCP-BS-13'!$J$7,'OCP-BS-13'!$F$10,'OCP-BS-13'!$H$10,'OCP-BS-13'!$J$10,'OCP-BS-13'!$F$14,'OCP-BS-13'!$H$14,'OCP-BS-13'!$J$14,'OCP-BS-13'!$F$15,'OCP-BS-13'!$H$15,'OCP-BS-13'!$J$15,'OCP-BS-13'!$F$21,'OCP-BS-13'!$H$21,'OCP-BS-13'!$J$21,'OCP-BS-13'!$F$22</definedName>
    <definedName name="QB_FORMULA_0" localSheetId="34" hidden="1">'OCP-PL-13'!$N$5,'OCP-PL-13'!$N$6,'OCP-PL-13'!$H$7,'OCP-PL-13'!$J$7,'OCP-PL-13'!$L$7,'OCP-PL-13'!$N$7,'OCP-PL-13'!$N$9,'OCP-PL-13'!$N$10,'OCP-PL-13'!$H$11,'OCP-PL-13'!$J$11,'OCP-PL-13'!$L$11,'OCP-PL-13'!$N$11,'OCP-PL-13'!$N$12,'OCP-PL-13'!$N$14,'OCP-PL-13'!$H$15,'OCP-PL-13'!$J$15</definedName>
    <definedName name="QB_FORMULA_0" localSheetId="35" hidden="1">'OMI-BS-13'!$F$8,'OMI-BS-13'!$H$8,'OMI-BS-13'!$J$8,'OMI-BS-13'!$F$11,'OMI-BS-13'!$H$11,'OMI-BS-13'!$J$11,'OMI-BS-13'!$F$18,'OMI-BS-13'!$H$18,'OMI-BS-13'!$J$18,'OMI-BS-13'!$F$19,'OMI-BS-13'!$H$19,'OMI-BS-13'!$J$19,'OMI-BS-13'!$F$29,'OMI-BS-13'!$H$29,'OMI-BS-13'!$J$29,'OMI-BS-13'!$F$30</definedName>
    <definedName name="QB_FORMULA_0" localSheetId="36" hidden="1">'OMI-PL-13'!$L$4,'OMI-PL-13'!$L$5,'OMI-PL-13'!$L$6,'OMI-PL-13'!$L$7,'OMI-PL-13'!$L$8,'OMI-PL-13'!$L$9,'OMI-PL-13'!$L$10,'OMI-PL-13'!$L$11,'OMI-PL-13'!$L$12,'OMI-PL-13'!$F$13,'OMI-PL-13'!$H$13,'OMI-PL-13'!$J$13,'OMI-PL-13'!$L$13,'OMI-PL-13'!$F$14,'OMI-PL-13'!$H$14,'OMI-PL-13'!$J$14</definedName>
    <definedName name="QB_FORMULA_0" localSheetId="37" hidden="1">'ROY-BS-13'!$F$6,'ROY-BS-13'!$H$6,'ROY-BS-13'!$J$6,'ROY-BS-13'!$F$9,'ROY-BS-13'!$H$9,'ROY-BS-13'!$J$9,'ROY-BS-13'!$F$13,'ROY-BS-13'!$H$13,'ROY-BS-13'!$J$13,'ROY-BS-13'!$F$14,'ROY-BS-13'!$H$14,'ROY-BS-13'!$J$14,'ROY-BS-13'!$F$25,'ROY-BS-13'!$H$25,'ROY-BS-13'!$J$25,'ROY-BS-13'!$F$26</definedName>
    <definedName name="QB_FORMULA_0" localSheetId="38" hidden="1">'ROY-PL-13'!$M$4,'ROY-PL-13'!$M$5,'ROY-PL-13'!$M$6,'ROY-PL-13'!$M$7,'ROY-PL-13'!$M$8,'ROY-PL-13'!$G$9,'ROY-PL-13'!$I$9,'ROY-PL-13'!$K$9,'ROY-PL-13'!$M$9,'ROY-PL-13'!$M$11,'ROY-PL-13'!$M$14,'ROY-PL-13'!$G$15,'ROY-PL-13'!$I$15,'ROY-PL-13'!$K$15,'ROY-PL-13'!$M$15,'ROY-PL-13'!$M$16</definedName>
    <definedName name="QB_FORMULA_0" localSheetId="49" hidden="1">'RP21-BS-13'!$F$6,'RP21-BS-13'!$H$6,'RP21-BS-13'!$J$6,'RP21-BS-13'!$F$9,'RP21-BS-13'!$H$9,'RP21-BS-13'!$J$9,'RP21-BS-13'!$F$10,'RP21-BS-13'!$H$10,'RP21-BS-13'!$J$10,'RP21-BS-13'!$F$14,'RP21-BS-13'!$H$14,'RP21-BS-13'!$J$14,'RP21-BS-13'!$F$18,'RP21-BS-13'!$H$18,'RP21-BS-13'!$J$18,'RP21-BS-13'!$F$19</definedName>
    <definedName name="QB_FORMULA_0" localSheetId="50" hidden="1">'RP21-PL-13'!$M$4,'RP21-PL-13'!$M$5,'RP21-PL-13'!$M$7,'RP21-PL-13'!$M$9,'RP21-PL-13'!$M$10,'RP21-PL-13'!$M$12,'RP21-PL-13'!$M$13,'RP21-PL-13'!$G$14,'RP21-PL-13'!$I$14,'RP21-PL-13'!$K$14,'RP21-PL-13'!$M$14,'RP21-PL-13'!$M$15,'RP21-PL-13'!$G$16,'RP21-PL-13'!$I$16,'RP21-PL-13'!$K$16,'RP21-PL-13'!$M$16</definedName>
    <definedName name="QB_FORMULA_0" localSheetId="39" hidden="1">'SPC-BS-13'!$F$6,'SPC-BS-13'!$H$6,'SPC-BS-13'!$J$6,'SPC-BS-13'!$F$9,'SPC-BS-13'!$H$9,'SPC-BS-13'!$J$9,'SPC-BS-13'!$F$12,'SPC-BS-13'!$H$12,'SPC-BS-13'!$J$12,'SPC-BS-13'!$F$13,'SPC-BS-13'!$H$13,'SPC-BS-13'!$J$13,'SPC-BS-13'!$F$23,'SPC-BS-13'!$H$23,'SPC-BS-13'!$J$23,'SPC-BS-13'!$F$24</definedName>
    <definedName name="QB_FORMULA_0" localSheetId="40" hidden="1">'SPC-PL-13'!$M$4,'SPC-PL-13'!$M$5,'SPC-PL-13'!$M$6,'SPC-PL-13'!$M$7,'SPC-PL-13'!$M$8,'SPC-PL-13'!$M$9,'SPC-PL-13'!$M$10,'SPC-PL-13'!$G$11,'SPC-PL-13'!$I$11,'SPC-PL-13'!$K$11,'SPC-PL-13'!$M$11,'SPC-PL-13'!$M$13,'SPC-PL-13'!$M$16,'SPC-PL-13'!$M$17,'SPC-PL-13'!$G$18,'SPC-PL-13'!$I$18</definedName>
    <definedName name="QB_FORMULA_0" localSheetId="41" hidden="1">'TYP-BS-13'!$F$6,'TYP-BS-13'!$H$6,'TYP-BS-13'!$J$6,'TYP-BS-13'!$F$7,'TYP-BS-13'!$H$7,'TYP-BS-13'!$J$7,'TYP-BS-13'!$F$12,'TYP-BS-13'!$H$12,'TYP-BS-13'!$J$12,'TYP-BS-13'!$F$13,'TYP-BS-13'!$H$13,'TYP-BS-13'!$J$13,'TYP-BS-13'!$F$16,'TYP-BS-13'!$H$16,'TYP-BS-13'!$J$16,'TYP-BS-13'!$F$17</definedName>
    <definedName name="QB_FORMULA_0" localSheetId="42" hidden="1">'TYP-PL-13'!$M$4,'TYP-PL-13'!$M$6,'TYP-PL-13'!$M$7,'TYP-PL-13'!$G$8,'TYP-PL-13'!$I$8,'TYP-PL-13'!$K$8,'TYP-PL-13'!$M$8,'TYP-PL-13'!$M$9,'TYP-PL-13'!$M$11,'TYP-PL-13'!$G$12,'TYP-PL-13'!$I$12,'TYP-PL-13'!$K$12,'TYP-PL-13'!$M$12,'TYP-PL-13'!$M$13,'TYP-PL-13'!$M$15,'TYP-PL-13'!$G$16</definedName>
    <definedName name="QB_FORMULA_0" localSheetId="43" hidden="1">'UST-BS-13'!$F$6,'UST-BS-13'!$H$6,'UST-BS-13'!$J$6,'UST-BS-13'!$F$9,'UST-BS-13'!$H$9,'UST-BS-13'!$J$9,'UST-BS-13'!$F$18,'UST-BS-13'!$H$18,'UST-BS-13'!$J$18,'UST-BS-13'!$F$20,'UST-BS-13'!$H$20,'UST-BS-13'!$J$20,'UST-BS-13'!$F$21,'UST-BS-13'!$H$21,'UST-BS-13'!$J$21,'UST-BS-13'!$F$25</definedName>
    <definedName name="QB_FORMULA_0" localSheetId="44" hidden="1">'UST-PL-13'!$N$4,'UST-PL-13'!$N$6,'UST-PL-13'!$N$7,'UST-PL-13'!$H$8,'UST-PL-13'!$J$8,'UST-PL-13'!$L$8,'UST-PL-13'!$N$8,'UST-PL-13'!$N$9,'UST-PL-13'!$H$10,'UST-PL-13'!$J$10,'UST-PL-13'!$L$10,'UST-PL-13'!$N$10,'UST-PL-13'!$H$11,'UST-PL-13'!$J$11,'UST-PL-13'!$L$11,'UST-PL-13'!$N$11</definedName>
    <definedName name="QB_FORMULA_0" localSheetId="53" hidden="1">'Wood96-BS-13'!$F$6,'Wood96-BS-13'!$H$6,'Wood96-BS-13'!$J$6,'Wood96-BS-13'!$F$7,'Wood96-BS-13'!$H$7,'Wood96-BS-13'!$J$7,'Wood96-BS-13'!$F$10,'Wood96-BS-13'!$H$10,'Wood96-BS-13'!$J$10,'Wood96-BS-13'!$F$11,'Wood96-BS-13'!$H$11,'Wood96-BS-13'!$J$11,'Wood96-BS-13'!$F$17,'Wood96-BS-13'!$H$17,'Wood96-BS-13'!$J$17,'Wood96-BS-13'!$F$20</definedName>
    <definedName name="QB_FORMULA_0" localSheetId="54" hidden="1">'Wood96-PL-13'!$M$4,'Wood96-PL-13'!$M$5,'Wood96-PL-13'!$M$7,'Wood96-PL-13'!$G$8,'Wood96-PL-13'!$I$8,'Wood96-PL-13'!$K$8,'Wood96-PL-13'!$M$8,'Wood96-PL-13'!$M$10,'Wood96-PL-13'!$G$11,'Wood96-PL-13'!$I$11,'Wood96-PL-13'!$K$11,'Wood96-PL-13'!$M$11,'Wood96-PL-13'!$M$12,'Wood96-PL-13'!$M$13,'Wood96-PL-13'!$M$14,'Wood96-PL-13'!$M$16</definedName>
    <definedName name="QB_FORMULA_1" localSheetId="47" hidden="1">'127PAW-BS-13'!$H$21,'127PAW-BS-13'!$J$21,'127PAW-BS-13'!$F$22,'127PAW-BS-13'!$H$22,'127PAW-BS-13'!$J$22,'127PAW-BS-13'!$F$23,'127PAW-BS-13'!$H$23,'127PAW-BS-13'!$J$23,'127PAW-BS-13'!$F$30,'127PAW-BS-13'!$H$30,'127PAW-BS-13'!$J$30,'127PAW-BS-13'!$F$31,'127PAW-BS-13'!$H$31,'127PAW-BS-13'!$J$31</definedName>
    <definedName name="QB_FORMULA_1" localSheetId="48" hidden="1">'127PAW-PL-13'!$J$16,'127PAW-PL-13'!$L$16,'127PAW-PL-13'!$N$16,'127PAW-PL-13'!$N$19,'127PAW-PL-13'!$H$20,'127PAW-PL-13'!$J$20,'127PAW-PL-13'!$L$20,'127PAW-PL-13'!$N$20,'127PAW-PL-13'!$H$21,'127PAW-PL-13'!$J$21,'127PAW-PL-13'!$L$21,'127PAW-PL-13'!$N$21,'127PAW-PL-13'!$N$22,'127PAW-PL-13'!$N$24,'127PAW-PL-13'!$N$25,'127PAW-PL-13'!$N$26</definedName>
    <definedName name="QB_FORMULA_1" localSheetId="45" hidden="1">'21Webb-BS-13'!$H$29,'21Webb-BS-13'!$J$29,'21Webb-BS-13'!$F$30,'21Webb-BS-13'!$H$30,'21Webb-BS-13'!$J$30,'21Webb-BS-13'!$F$36,'21Webb-BS-13'!$H$36,'21Webb-BS-13'!$J$36,'21Webb-BS-13'!$F$37,'21Webb-BS-13'!$H$37,'21Webb-BS-13'!$J$37,'21Webb-BS-13'!$F$44,'21Webb-BS-13'!$H$44,'21Webb-BS-13'!$J$44,'21Webb-BS-13'!$F$47,'21Webb-BS-13'!$H$47</definedName>
    <definedName name="QB_FORMULA_1" localSheetId="46" hidden="1">'21Webb-PL-13'!$N$16,'21Webb-PL-13'!$H$17,'21Webb-PL-13'!$J$17,'21Webb-PL-13'!$L$17,'21Webb-PL-13'!$N$17,'21Webb-PL-13'!$N$18,'21Webb-PL-13'!$N$20,'21Webb-PL-13'!$H$21,'21Webb-PL-13'!$J$21,'21Webb-PL-13'!$L$21,'21Webb-PL-13'!$N$21,'21Webb-PL-13'!$N$22,'21Webb-PL-13'!$N$23,'21Webb-PL-13'!$N$25,'21Webb-PL-13'!$N$26,'21Webb-PL-13'!$H$27</definedName>
    <definedName name="QB_FORMULA_1" localSheetId="15" hidden="1">'ABP-BS-13'!$H$33,'ABP-BS-13'!$J$33,'ABP-BS-13'!$F$34,'ABP-BS-13'!$H$34,'ABP-BS-13'!$J$34,'ABP-BS-13'!$F$40,'ABP-BS-13'!$H$40,'ABP-BS-13'!$J$40,'ABP-BS-13'!$F$45,'ABP-BS-13'!$H$45,'ABP-BS-13'!$J$45,'ABP-BS-13'!$F$46,'ABP-BS-13'!$H$46,'ABP-BS-13'!$J$46,'ABP-BS-13'!$F$50,'ABP-BS-13'!$H$50</definedName>
    <definedName name="QB_FORMULA_1" localSheetId="16" hidden="1">'ABP-PL-13'!$N$17,'ABP-PL-13'!$N$18,'ABP-PL-13'!$H$19,'ABP-PL-13'!$J$19,'ABP-PL-13'!$L$19,'ABP-PL-13'!$N$19,'ABP-PL-13'!$N$20,'ABP-PL-13'!$N$21,'ABP-PL-13'!$N$22,'ABP-PL-13'!$N$23,'ABP-PL-13'!$N$24,'ABP-PL-13'!$N$26,'ABP-PL-13'!$N$27,'ABP-PL-13'!$N$28,'ABP-PL-13'!$N$29,'ABP-PL-13'!$H$30</definedName>
    <definedName name="QB_FORMULA_1" localSheetId="17" hidden="1">'BPT-BS-13'!$H$26,'BPT-BS-13'!$J$26,'BPT-BS-13'!$F$29,'BPT-BS-13'!$H$29,'BPT-BS-13'!$J$29,'BPT-BS-13'!$F$34,'BPT-BS-13'!$H$34,'BPT-BS-13'!$J$34,'BPT-BS-13'!$F$35,'BPT-BS-13'!$H$35,'BPT-BS-13'!$J$35,'BPT-BS-13'!$F$41,'BPT-BS-13'!$H$41,'BPT-BS-13'!$J$41,'BPT-BS-13'!$F$45,'BPT-BS-13'!$H$45</definedName>
    <definedName name="QB_FORMULA_1" localSheetId="18" hidden="1">'BPT-PL-13'!$N$17,'BPT-PL-13'!$N$18,'BPT-PL-13'!$H$19,'BPT-PL-13'!$J$19,'BPT-PL-13'!$L$19,'BPT-PL-13'!$N$19,'BPT-PL-13'!$N$20,'BPT-PL-13'!$N$21,'BPT-PL-13'!$N$22,'BPT-PL-13'!$N$23,'BPT-PL-13'!$N$24,'BPT-PL-13'!$N$26,'BPT-PL-13'!$N$27,'BPT-PL-13'!$N$28,'BPT-PL-13'!$H$29,'BPT-PL-13'!$J$29</definedName>
    <definedName name="QB_FORMULA_1" localSheetId="51" hidden="1">'BSQ-BS-13'!$H$19,'BSQ-BS-13'!$J$19,'BSQ-BS-13'!$F$24,'BSQ-BS-13'!$H$24,'BSQ-BS-13'!$J$24,'BSQ-BS-13'!$F$25,'BSQ-BS-13'!$H$25,'BSQ-BS-13'!$J$25,'BSQ-BS-13'!$F$31,'BSQ-BS-13'!$H$31,'BSQ-BS-13'!$J$31,'BSQ-BS-13'!$F$38,'BSQ-BS-13'!$H$38,'BSQ-BS-13'!$J$38,'BSQ-BS-13'!$F$39,'BSQ-BS-13'!$H$39</definedName>
    <definedName name="QB_FORMULA_1" localSheetId="52" hidden="1">'BSQ-PL-13'!$K$16,'BSQ-PL-13'!$K$17,'BSQ-PL-13'!$K$18,'BSQ-PL-13'!$E$19,'BSQ-PL-13'!$G$19,'BSQ-PL-13'!$I$19,'BSQ-PL-13'!$K$19,'BSQ-PL-13'!$E$20,'BSQ-PL-13'!$G$20,'BSQ-PL-13'!$I$20,'BSQ-PL-13'!$K$20,'BSQ-PL-13'!$E$21,'BSQ-PL-13'!$G$21,'BSQ-PL-13'!$I$21,'BSQ-PL-13'!$K$21</definedName>
    <definedName name="QB_FORMULA_1" localSheetId="19" hidden="1">'CP-BS-13'!$H$27,'CP-BS-13'!$J$27,'CP-BS-13'!$F$28,'CP-BS-13'!$H$28,'CP-BS-13'!$J$28,'CP-BS-13'!$F$34,'CP-BS-13'!$H$34,'CP-BS-13'!$J$34,'CP-BS-13'!$F$38,'CP-BS-13'!$H$38,'CP-BS-13'!$J$38,'CP-BS-13'!$F$39,'CP-BS-13'!$H$39,'CP-BS-13'!$J$39,'CP-BS-13'!$F$43,'CP-BS-13'!$H$43</definedName>
    <definedName name="QB_FORMULA_1" localSheetId="20" hidden="1">'CP-PL-13'!$H$17,'CP-PL-13'!$J$17,'CP-PL-13'!$L$17,'CP-PL-13'!$N$17,'CP-PL-13'!$N$18,'CP-PL-13'!$N$19,'CP-PL-13'!$N$20,'CP-PL-13'!$N$21,'CP-PL-13'!$N$22,'CP-PL-13'!$N$24,'CP-PL-13'!$N$25,'CP-PL-13'!$N$26,'CP-PL-13'!$N$27,'CP-PL-13'!$H$28,'CP-PL-13'!$J$28,'CP-PL-13'!$L$28</definedName>
    <definedName name="QB_FORMULA_1" localSheetId="21" hidden="1">'DGS-BS-13'!$H$24,'DGS-BS-13'!$J$24,'DGS-BS-13'!$F$25,'DGS-BS-13'!$H$25,'DGS-BS-13'!$J$25,'DGS-BS-13'!$F$31,'DGS-BS-13'!$H$31,'DGS-BS-13'!$J$31,'DGS-BS-13'!$F$36,'DGS-BS-13'!$H$36,'DGS-BS-13'!$J$36,'DGS-BS-13'!$F$37,'DGS-BS-13'!$H$37,'DGS-BS-13'!$J$37,'DGS-BS-13'!$F$42,'DGS-BS-13'!$H$42</definedName>
    <definedName name="QB_FORMULA_1" localSheetId="22" hidden="1">'DGS-PL-13'!$N$17,'DGS-PL-13'!$H$18,'DGS-PL-13'!$J$18,'DGS-PL-13'!$L$18,'DGS-PL-13'!$N$18,'DGS-PL-13'!$N$19,'DGS-PL-13'!$N$20,'DGS-PL-13'!$N$21,'DGS-PL-13'!$N$22,'DGS-PL-13'!$N$23,'DGS-PL-13'!$N$25,'DGS-PL-13'!$N$26,'DGS-PL-13'!$N$27,'DGS-PL-13'!$N$28,'DGS-PL-13'!$H$29,'DGS-PL-13'!$J$29</definedName>
    <definedName name="QB_FORMULA_1" localSheetId="23" hidden="1">'NDV-BS-13'!$H$19,'NDV-BS-13'!$J$19,'NDV-BS-13'!$F$25,'NDV-BS-13'!$H$25,'NDV-BS-13'!$J$25,'NDV-BS-13'!$F$26,'NDV-BS-13'!$H$26,'NDV-BS-13'!$J$26,'NDV-BS-13'!$F$27,'NDV-BS-13'!$H$27,'NDV-BS-13'!$J$27,'NDV-BS-13'!$F$31,'NDV-BS-13'!$H$31,'NDV-BS-13'!$J$31,'NDV-BS-13'!$F$32,'NDV-BS-13'!$H$32</definedName>
    <definedName name="QB_FORMULA_1" localSheetId="24" hidden="1">'NDV-PL-13'!$F$16,'NDV-PL-13'!$H$16,'NDV-PL-13'!$J$16,'NDV-PL-13'!$L$16,'NDV-PL-13'!$F$17,'NDV-PL-13'!$H$17,'NDV-PL-13'!$J$17,'NDV-PL-13'!$L$17,'NDV-PL-13'!$F$18,'NDV-PL-13'!$H$18,'NDV-PL-13'!$J$18,'NDV-PL-13'!$L$18</definedName>
    <definedName name="QB_FORMULA_1" localSheetId="29" hidden="1">'NR14-BS-13'!$H$23,'NR14-BS-13'!$J$23,'NR14-BS-13'!$F$29,'NR14-BS-13'!$H$29,'NR14-BS-13'!$J$29,'NR14-BS-13'!$F$33,'NR14-BS-13'!$H$33,'NR14-BS-13'!$J$33,'NR14-BS-13'!$F$34,'NR14-BS-13'!$H$34,'NR14-BS-13'!$J$34,'NR14-BS-13'!$F$37,'NR14-BS-13'!$H$37,'NR14-BS-13'!$J$37,'NR14-BS-13'!$F$38,'NR14-BS-13'!$H$38</definedName>
    <definedName name="QB_FORMULA_1" localSheetId="30" hidden="1">'NR14-PL-13'!$K$18,'NR14-PL-13'!$M$18,'NR14-PL-13'!$M$19,'NR14-PL-13'!$M$20,'NR14-PL-13'!$M$21,'NR14-PL-13'!$M$22,'NR14-PL-13'!$M$23,'NR14-PL-13'!$M$24,'NR14-PL-13'!$M$26,'NR14-PL-13'!$M$27,'NR14-PL-13'!$G$28,'NR14-PL-13'!$I$28,'NR14-PL-13'!$K$28,'NR14-PL-13'!$M$28,'NR14-PL-13'!$G$29,'NR14-PL-13'!$I$29</definedName>
    <definedName name="QB_FORMULA_1" localSheetId="25" hidden="1">'NR6-BS-13'!$H$37,'NR6-BS-13'!$J$37,'NR6-BS-13'!$F$38,'NR6-BS-13'!$H$38,'NR6-BS-13'!$J$38,'NR6-BS-13'!$F$44,'NR6-BS-13'!$H$44,'NR6-BS-13'!$J$44,'NR6-BS-13'!$F$48,'NR6-BS-13'!$H$48,'NR6-BS-13'!$J$48,'NR6-BS-13'!$F$49,'NR6-BS-13'!$H$49,'NR6-BS-13'!$J$49,'NR6-BS-13'!$F$53,'NR6-BS-13'!$H$53</definedName>
    <definedName name="QB_FORMULA_1" localSheetId="27" hidden="1">'NR6-OfficePL-13'!$N$14,'NR6-OfficePL-13'!$N$15,'NR6-OfficePL-13'!$N$17,'NR6-OfficePL-13'!$N$18,'NR6-OfficePL-13'!$N$19,'NR6-OfficePL-13'!$H$20,'NR6-OfficePL-13'!$J$20,'NR6-OfficePL-13'!$L$20,'NR6-OfficePL-13'!$N$20,'NR6-OfficePL-13'!$N$21,'NR6-OfficePL-13'!$N$22,'NR6-OfficePL-13'!$H$23,'NR6-OfficePL-13'!$J$23,'NR6-OfficePL-13'!$L$23,'NR6-OfficePL-13'!$N$23,'NR6-OfficePL-13'!$N$26</definedName>
    <definedName name="QB_FORMULA_1" localSheetId="28" hidden="1">'NR6-RetailPL-13'!$N$17,'NR6-RetailPL-13'!$H$18,'NR6-RetailPL-13'!$J$18,'NR6-RetailPL-13'!$L$18,'NR6-RetailPL-13'!$N$18,'NR6-RetailPL-13'!$N$19,'NR6-RetailPL-13'!$N$20,'NR6-RetailPL-13'!$N$21,'NR6-RetailPL-13'!$N$22,'NR6-RetailPL-13'!$N$24,'NR6-RetailPL-13'!$N$25,'NR6-RetailPL-13'!$N$26,'NR6-RetailPL-13'!$H$27,'NR6-RetailPL-13'!$J$27,'NR6-RetailPL-13'!$L$27,'NR6-RetailPL-13'!$N$27</definedName>
    <definedName name="QB_FORMULA_1" localSheetId="26" hidden="1">'NR6-TotalPL-13'!$N$15,'NR6-TotalPL-13'!$N$18,'NR6-TotalPL-13'!$N$19,'NR6-TotalPL-13'!$H$20,'NR6-TotalPL-13'!$J$20,'NR6-TotalPL-13'!$L$20,'NR6-TotalPL-13'!$N$20,'NR6-TotalPL-13'!$N$21,'NR6-TotalPL-13'!$N$22,'NR6-TotalPL-13'!$N$23,'NR6-TotalPL-13'!$N$24,'NR6-TotalPL-13'!$N$25,'NR6-TotalPL-13'!$N$27,'NR6-TotalPL-13'!$N$28,'NR6-TotalPL-13'!$N$29,'NR6-TotalPL-13'!$N$30</definedName>
    <definedName name="QB_FORMULA_1" localSheetId="31" hidden="1">'NWC-BS-13'!$H$30,'NWC-BS-13'!$J$30,'NWC-BS-13'!$F$31,'NWC-BS-13'!$H$31,'NWC-BS-13'!$J$31,'NWC-BS-13'!$F$37,'NWC-BS-13'!$H$37,'NWC-BS-13'!$J$37,'NWC-BS-13'!$F$41,'NWC-BS-13'!$H$41,'NWC-BS-13'!$J$41,'NWC-BS-13'!$F$42,'NWC-BS-13'!$H$42,'NWC-BS-13'!$J$42,'NWC-BS-13'!$F$45,'NWC-BS-13'!$H$45</definedName>
    <definedName name="QB_FORMULA_1" localSheetId="32" hidden="1">'NWC-PL-13'!$M$18,'NWC-PL-13'!$O$18,'NWC-PL-13'!$O$19,'NWC-PL-13'!$O$20,'NWC-PL-13'!$O$21,'NWC-PL-13'!$O$22,'NWC-PL-13'!$O$23,'NWC-PL-13'!$O$25,'NWC-PL-13'!$O$26,'NWC-PL-13'!$O$27,'NWC-PL-13'!$O$28,'NWC-PL-13'!$I$29,'NWC-PL-13'!$K$29,'NWC-PL-13'!$M$29,'NWC-PL-13'!$O$29,'NWC-PL-13'!$O$30</definedName>
    <definedName name="QB_FORMULA_1" localSheetId="33" hidden="1">'OCP-BS-13'!$H$22,'OCP-BS-13'!$J$22,'OCP-BS-13'!$F$28,'OCP-BS-13'!$H$28,'OCP-BS-13'!$J$28,'OCP-BS-13'!$F$32,'OCP-BS-13'!$H$32,'OCP-BS-13'!$J$32,'OCP-BS-13'!$F$33,'OCP-BS-13'!$H$33,'OCP-BS-13'!$J$33,'OCP-BS-13'!$F$36,'OCP-BS-13'!$H$36,'OCP-BS-13'!$J$36,'OCP-BS-13'!$F$37,'OCP-BS-13'!$H$37</definedName>
    <definedName name="QB_FORMULA_1" localSheetId="34" hidden="1">'OCP-PL-13'!$L$15,'OCP-PL-13'!$N$15,'OCP-PL-13'!$H$16,'OCP-PL-13'!$J$16,'OCP-PL-13'!$L$16,'OCP-PL-13'!$N$16,'OCP-PL-13'!$H$17,'OCP-PL-13'!$J$17,'OCP-PL-13'!$L$17,'OCP-PL-13'!$N$17,'OCP-PL-13'!$N$21,'OCP-PL-13'!$N$22,'OCP-PL-13'!$H$23,'OCP-PL-13'!$J$23,'OCP-PL-13'!$L$23,'OCP-PL-13'!$N$23</definedName>
    <definedName name="QB_FORMULA_1" localSheetId="35" hidden="1">'OMI-BS-13'!$H$30,'OMI-BS-13'!$J$30,'OMI-BS-13'!$F$36,'OMI-BS-13'!$H$36,'OMI-BS-13'!$J$36,'OMI-BS-13'!$F$41,'OMI-BS-13'!$H$41,'OMI-BS-13'!$J$41,'OMI-BS-13'!$F$48,'OMI-BS-13'!$H$48,'OMI-BS-13'!$J$48,'OMI-BS-13'!$F$49,'OMI-BS-13'!$H$49,'OMI-BS-13'!$J$49,'OMI-BS-13'!$F$54,'OMI-BS-13'!$H$54</definedName>
    <definedName name="QB_FORMULA_1" localSheetId="36" hidden="1">'OMI-PL-13'!$L$14,'OMI-PL-13'!$L$16,'OMI-PL-13'!$L$17,'OMI-PL-13'!$L$18,'OMI-PL-13'!$L$19,'OMI-PL-13'!$L$20,'OMI-PL-13'!$L$21,'OMI-PL-13'!$L$22,'OMI-PL-13'!$L$23,'OMI-PL-13'!$L$24,'OMI-PL-13'!$L$25,'OMI-PL-13'!$L$26,'OMI-PL-13'!$L$27,'OMI-PL-13'!$L$28,'OMI-PL-13'!$L$29,'OMI-PL-13'!$L$30</definedName>
    <definedName name="QB_FORMULA_1" localSheetId="37" hidden="1">'ROY-BS-13'!$H$26,'ROY-BS-13'!$J$26,'ROY-BS-13'!$F$32,'ROY-BS-13'!$H$32,'ROY-BS-13'!$J$32,'ROY-BS-13'!$F$36,'ROY-BS-13'!$H$36,'ROY-BS-13'!$J$36,'ROY-BS-13'!$F$37,'ROY-BS-13'!$H$37,'ROY-BS-13'!$J$37,'ROY-BS-13'!$F$40,'ROY-BS-13'!$H$40,'ROY-BS-13'!$J$40,'ROY-BS-13'!$F$41,'ROY-BS-13'!$H$41</definedName>
    <definedName name="QB_FORMULA_1" localSheetId="38" hidden="1">'ROY-PL-13'!$M$17,'ROY-PL-13'!$M$18,'ROY-PL-13'!$M$19,'ROY-PL-13'!$M$21,'ROY-PL-13'!$M$22,'ROY-PL-13'!$M$23,'ROY-PL-13'!$M$24,'ROY-PL-13'!$G$25,'ROY-PL-13'!$I$25,'ROY-PL-13'!$K$25,'ROY-PL-13'!$M$25,'ROY-PL-13'!$M$26,'ROY-PL-13'!$G$27,'ROY-PL-13'!$I$27,'ROY-PL-13'!$K$27,'ROY-PL-13'!$M$27</definedName>
    <definedName name="QB_FORMULA_1" localSheetId="49" hidden="1">'RP21-BS-13'!$H$19,'RP21-BS-13'!$J$19,'RP21-BS-13'!$F$25,'RP21-BS-13'!$H$25,'RP21-BS-13'!$J$25,'RP21-BS-13'!$F$33,'RP21-BS-13'!$H$33,'RP21-BS-13'!$J$33,'RP21-BS-13'!$F$34,'RP21-BS-13'!$H$34,'RP21-BS-13'!$J$34,'RP21-BS-13'!$F$35,'RP21-BS-13'!$H$35,'RP21-BS-13'!$J$35,'RP21-BS-13'!$F$40,'RP21-BS-13'!$H$40</definedName>
    <definedName name="QB_FORMULA_1" localSheetId="50" hidden="1">'RP21-PL-13'!$M$19,'RP21-PL-13'!$G$20,'RP21-PL-13'!$I$20,'RP21-PL-13'!$K$20,'RP21-PL-13'!$M$20,'RP21-PL-13'!$G$21,'RP21-PL-13'!$I$21,'RP21-PL-13'!$K$21,'RP21-PL-13'!$M$21,'RP21-PL-13'!$M$23,'RP21-PL-13'!$G$24,'RP21-PL-13'!$I$24,'RP21-PL-13'!$K$24,'RP21-PL-13'!$M$24,'RP21-PL-13'!$M$26,'RP21-PL-13'!$M$27</definedName>
    <definedName name="QB_FORMULA_1" localSheetId="39" hidden="1">'SPC-BS-13'!$H$24,'SPC-BS-13'!$J$24,'SPC-BS-13'!$F$30,'SPC-BS-13'!$H$30,'SPC-BS-13'!$J$30,'SPC-BS-13'!$F$34,'SPC-BS-13'!$H$34,'SPC-BS-13'!$J$34,'SPC-BS-13'!$F$35,'SPC-BS-13'!$H$35,'SPC-BS-13'!$J$35,'SPC-BS-13'!$F$39,'SPC-BS-13'!$H$39,'SPC-BS-13'!$J$39,'SPC-BS-13'!$F$40,'SPC-BS-13'!$H$40</definedName>
    <definedName name="QB_FORMULA_1" localSheetId="40" hidden="1">'SPC-PL-13'!$K$18,'SPC-PL-13'!$M$18,'SPC-PL-13'!$M$19,'SPC-PL-13'!$M$20,'SPC-PL-13'!$M$21,'SPC-PL-13'!$M$22,'SPC-PL-13'!$M$23,'SPC-PL-13'!$M$25,'SPC-PL-13'!$M$26,'SPC-PL-13'!$M$27,'SPC-PL-13'!$M$28,'SPC-PL-13'!$G$29,'SPC-PL-13'!$I$29,'SPC-PL-13'!$K$29,'SPC-PL-13'!$M$29,'SPC-PL-13'!$M$30</definedName>
    <definedName name="QB_FORMULA_1" localSheetId="41" hidden="1">'TYP-BS-13'!$H$17,'TYP-BS-13'!$J$17,'TYP-BS-13'!$F$23,'TYP-BS-13'!$H$23,'TYP-BS-13'!$J$23,'TYP-BS-13'!$F$26,'TYP-BS-13'!$H$26,'TYP-BS-13'!$J$26,'TYP-BS-13'!$F$27,'TYP-BS-13'!$H$27,'TYP-BS-13'!$J$27,'TYP-BS-13'!$F$28,'TYP-BS-13'!$H$28,'TYP-BS-13'!$J$28,'TYP-BS-13'!$F$32,'TYP-BS-13'!$H$32</definedName>
    <definedName name="QB_FORMULA_1" localSheetId="42" hidden="1">'TYP-PL-13'!$I$16,'TYP-PL-13'!$K$16,'TYP-PL-13'!$M$16,'TYP-PL-13'!$G$17,'TYP-PL-13'!$I$17,'TYP-PL-13'!$K$17,'TYP-PL-13'!$M$17,'TYP-PL-13'!$G$18,'TYP-PL-13'!$I$18,'TYP-PL-13'!$K$18,'TYP-PL-13'!$M$18,'TYP-PL-13'!$M$21,'TYP-PL-13'!$G$22,'TYP-PL-13'!$I$22,'TYP-PL-13'!$K$22,'TYP-PL-13'!$M$22</definedName>
    <definedName name="QB_FORMULA_1" localSheetId="43" hidden="1">'UST-BS-13'!$H$25,'UST-BS-13'!$J$25,'UST-BS-13'!$F$30,'UST-BS-13'!$H$30,'UST-BS-13'!$J$30,'UST-BS-13'!$F$31,'UST-BS-13'!$H$31,'UST-BS-13'!$J$31,'UST-BS-13'!$F$32,'UST-BS-13'!$H$32,'UST-BS-13'!$J$32,'UST-BS-13'!$F$38,'UST-BS-13'!$H$38,'UST-BS-13'!$J$38,'UST-BS-13'!$F$42,'UST-BS-13'!$H$42</definedName>
    <definedName name="QB_FORMULA_1" localSheetId="44" hidden="1">'UST-PL-13'!$N$13,'UST-PL-13'!$N$14,'UST-PL-13'!$N$15,'UST-PL-13'!$N$16,'UST-PL-13'!$N$17,'UST-PL-13'!$N$19,'UST-PL-13'!$H$20,'UST-PL-13'!$J$20,'UST-PL-13'!$L$20,'UST-PL-13'!$N$20,'UST-PL-13'!$N$21,'UST-PL-13'!$N$24,'UST-PL-13'!$H$25,'UST-PL-13'!$J$25,'UST-PL-13'!$L$25,'UST-PL-13'!$N$25</definedName>
    <definedName name="QB_FORMULA_1" localSheetId="53" hidden="1">'Wood96-BS-13'!$H$20,'Wood96-BS-13'!$J$20,'Wood96-BS-13'!$F$21,'Wood96-BS-13'!$H$21,'Wood96-BS-13'!$J$21,'Wood96-BS-13'!$F$22,'Wood96-BS-13'!$H$22,'Wood96-BS-13'!$J$22,'Wood96-BS-13'!$F$27,'Wood96-BS-13'!$H$27,'Wood96-BS-13'!$J$27,'Wood96-BS-13'!$F$28,'Wood96-BS-13'!$H$28,'Wood96-BS-13'!$J$28</definedName>
    <definedName name="QB_FORMULA_1" localSheetId="54" hidden="1">'Wood96-PL-13'!$M$17,'Wood96-PL-13'!$G$18,'Wood96-PL-13'!$I$18,'Wood96-PL-13'!$K$18,'Wood96-PL-13'!$M$18,'Wood96-PL-13'!$M$19,'Wood96-PL-13'!$M$21,'Wood96-PL-13'!$M$22,'Wood96-PL-13'!$M$23,'Wood96-PL-13'!$G$24,'Wood96-PL-13'!$I$24,'Wood96-PL-13'!$K$24,'Wood96-PL-13'!$M$24,'Wood96-PL-13'!$G$25,'Wood96-PL-13'!$I$25,'Wood96-PL-13'!$K$25</definedName>
    <definedName name="QB_FORMULA_10" localSheetId="16" hidden="1">'ABP-PL-13'!$H$118,'ABP-PL-13'!$J$118,'ABP-PL-13'!$L$118,'ABP-PL-13'!$N$118,'ABP-PL-13'!$N$121,'ABP-PL-13'!$N$122,'ABP-PL-13'!$H$123,'ABP-PL-13'!$J$123,'ABP-PL-13'!$L$123,'ABP-PL-13'!$N$123,'ABP-PL-13'!$N$125,'ABP-PL-13'!$H$126,'ABP-PL-13'!$J$126,'ABP-PL-13'!$L$126,'ABP-PL-13'!$N$126,'ABP-PL-13'!$H$127</definedName>
    <definedName name="QB_FORMULA_10" localSheetId="18" hidden="1">'BPT-PL-13'!$J$115,'BPT-PL-13'!$L$115,'BPT-PL-13'!$N$115,'BPT-PL-13'!$H$116,'BPT-PL-13'!$J$116,'BPT-PL-13'!$L$116,'BPT-PL-13'!$N$116</definedName>
    <definedName name="QB_FORMULA_10" localSheetId="22" hidden="1">'DGS-PL-13'!$N$115,'DGS-PL-13'!$N$118,'DGS-PL-13'!$N$119,'DGS-PL-13'!$H$120,'DGS-PL-13'!$J$120,'DGS-PL-13'!$L$120,'DGS-PL-13'!$N$120,'DGS-PL-13'!$N$122,'DGS-PL-13'!$H$123,'DGS-PL-13'!$J$123,'DGS-PL-13'!$L$123,'DGS-PL-13'!$N$123,'DGS-PL-13'!$H$124,'DGS-PL-13'!$J$124,'DGS-PL-13'!$L$124,'DGS-PL-13'!$N$124</definedName>
    <definedName name="QB_FORMULA_10" localSheetId="27" hidden="1">'NR6-OfficePL-13'!$L$116,'NR6-OfficePL-13'!$N$116,'NR6-OfficePL-13'!$N$117,'NR6-OfficePL-13'!$N$118,'NR6-OfficePL-13'!$N$119,'NR6-OfficePL-13'!$H$120,'NR6-OfficePL-13'!$J$120,'NR6-OfficePL-13'!$L$120,'NR6-OfficePL-13'!$N$120,'NR6-OfficePL-13'!$H$121,'NR6-OfficePL-13'!$J$121,'NR6-OfficePL-13'!$L$121,'NR6-OfficePL-13'!$N$121,'NR6-OfficePL-13'!$N$125,'NR6-OfficePL-13'!$H$126,'NR6-OfficePL-13'!$J$126</definedName>
    <definedName name="QB_FORMULA_10" localSheetId="28" hidden="1">'NR6-RetailPL-13'!$L$111,'NR6-RetailPL-13'!$N$111</definedName>
    <definedName name="QB_FORMULA_10" localSheetId="26" hidden="1">'NR6-TotalPL-13'!$N$122,'NR6-TotalPL-13'!$N$123,'NR6-TotalPL-13'!$N$125,'NR6-TotalPL-13'!$N$126,'NR6-TotalPL-13'!$H$127,'NR6-TotalPL-13'!$J$127,'NR6-TotalPL-13'!$L$127,'NR6-TotalPL-13'!$N$127,'NR6-TotalPL-13'!$N$128,'NR6-TotalPL-13'!$N$129,'NR6-TotalPL-13'!$N$130,'NR6-TotalPL-13'!$N$131,'NR6-TotalPL-13'!$N$132,'NR6-TotalPL-13'!$H$133,'NR6-TotalPL-13'!$J$133,'NR6-TotalPL-13'!$L$133</definedName>
    <definedName name="QB_FORMULA_10" localSheetId="32" hidden="1">'NWC-PL-13'!$M$122,'NWC-PL-13'!$O$122,'NWC-PL-13'!$O$124,'NWC-PL-13'!$O$125,'NWC-PL-13'!$O$126,'NWC-PL-13'!$I$127,'NWC-PL-13'!$K$127,'NWC-PL-13'!$M$127,'NWC-PL-13'!$O$127,'NWC-PL-13'!$O$129,'NWC-PL-13'!$O$130,'NWC-PL-13'!$O$131,'NWC-PL-13'!$I$132,'NWC-PL-13'!$K$132,'NWC-PL-13'!$M$132,'NWC-PL-13'!$O$132</definedName>
    <definedName name="QB_FORMULA_10" localSheetId="34" hidden="1">'OCP-PL-13'!$L$118,'OCP-PL-13'!$N$118,'OCP-PL-13'!$N$119,'OCP-PL-13'!$N$121,'OCP-PL-13'!$N$122,'OCP-PL-13'!$H$123,'OCP-PL-13'!$J$123,'OCP-PL-13'!$L$123,'OCP-PL-13'!$N$123,'OCP-PL-13'!$N$124,'OCP-PL-13'!$N$126,'OCP-PL-13'!$N$127,'OCP-PL-13'!$H$128,'OCP-PL-13'!$J$128,'OCP-PL-13'!$L$128,'OCP-PL-13'!$N$128</definedName>
    <definedName name="QB_FORMULA_10" localSheetId="40" hidden="1">'SPC-PL-13'!$M$123,'SPC-PL-13'!$G$124,'SPC-PL-13'!$I$124,'SPC-PL-13'!$K$124,'SPC-PL-13'!$M$124,'SPC-PL-13'!$M$126,'SPC-PL-13'!$G$127,'SPC-PL-13'!$I$127,'SPC-PL-13'!$K$127,'SPC-PL-13'!$M$127,'SPC-PL-13'!$M$129,'SPC-PL-13'!$M$130,'SPC-PL-13'!$M$131,'SPC-PL-13'!$M$132,'SPC-PL-13'!$G$133,'SPC-PL-13'!$I$133</definedName>
    <definedName name="QB_FORMULA_11" localSheetId="16" hidden="1">'ABP-PL-13'!$J$127,'ABP-PL-13'!$L$127,'ABP-PL-13'!$N$127,'ABP-PL-13'!$H$128,'ABP-PL-13'!$J$128,'ABP-PL-13'!$L$128,'ABP-PL-13'!$N$128</definedName>
    <definedName name="QB_FORMULA_11" localSheetId="22" hidden="1">'DGS-PL-13'!$H$125,'DGS-PL-13'!$J$125,'DGS-PL-13'!$L$125,'DGS-PL-13'!$N$125</definedName>
    <definedName name="QB_FORMULA_11" localSheetId="27" hidden="1">'NR6-OfficePL-13'!$L$126,'NR6-OfficePL-13'!$N$126,'NR6-OfficePL-13'!$N$128,'NR6-OfficePL-13'!$H$129,'NR6-OfficePL-13'!$J$129,'NR6-OfficePL-13'!$L$129,'NR6-OfficePL-13'!$N$129,'NR6-OfficePL-13'!$H$130,'NR6-OfficePL-13'!$J$130,'NR6-OfficePL-13'!$L$130,'NR6-OfficePL-13'!$N$130,'NR6-OfficePL-13'!$H$131,'NR6-OfficePL-13'!$J$131,'NR6-OfficePL-13'!$L$131,'NR6-OfficePL-13'!$N$131,'NR6-OfficePL-13'!$H$132</definedName>
    <definedName name="QB_FORMULA_11" localSheetId="26" hidden="1">'NR6-TotalPL-13'!$N$133,'NR6-TotalPL-13'!$N$135,'NR6-TotalPL-13'!$H$136,'NR6-TotalPL-13'!$J$136,'NR6-TotalPL-13'!$L$136,'NR6-TotalPL-13'!$N$136,'NR6-TotalPL-13'!$N$138,'NR6-TotalPL-13'!$N$139,'NR6-TotalPL-13'!$N$140,'NR6-TotalPL-13'!$N$141,'NR6-TotalPL-13'!$N$142,'NR6-TotalPL-13'!$H$143,'NR6-TotalPL-13'!$J$143,'NR6-TotalPL-13'!$L$143,'NR6-TotalPL-13'!$N$143,'NR6-TotalPL-13'!$N$145</definedName>
    <definedName name="QB_FORMULA_11" localSheetId="32" hidden="1">'NWC-PL-13'!$O$134,'NWC-PL-13'!$O$135,'NWC-PL-13'!$O$136,'NWC-PL-13'!$I$137,'NWC-PL-13'!$K$137,'NWC-PL-13'!$M$137,'NWC-PL-13'!$O$137,'NWC-PL-13'!$O$139,'NWC-PL-13'!$O$140,'NWC-PL-13'!$O$141,'NWC-PL-13'!$I$142,'NWC-PL-13'!$K$142,'NWC-PL-13'!$M$142,'NWC-PL-13'!$O$142,'NWC-PL-13'!$O$143,'NWC-PL-13'!$O$145</definedName>
    <definedName name="QB_FORMULA_11" localSheetId="34" hidden="1">'OCP-PL-13'!$N$129,'OCP-PL-13'!$H$130,'OCP-PL-13'!$J$130,'OCP-PL-13'!$L$130,'OCP-PL-13'!$N$130,'OCP-PL-13'!$H$131,'OCP-PL-13'!$J$131,'OCP-PL-13'!$L$131,'OCP-PL-13'!$N$131,'OCP-PL-13'!$N$134,'OCP-PL-13'!$N$135,'OCP-PL-13'!$H$136,'OCP-PL-13'!$J$136,'OCP-PL-13'!$L$136,'OCP-PL-13'!$N$136,'OCP-PL-13'!$N$138</definedName>
    <definedName name="QB_FORMULA_11" localSheetId="40" hidden="1">'SPC-PL-13'!$K$133,'SPC-PL-13'!$M$133,'SPC-PL-13'!$M$134,'SPC-PL-13'!$M$136,'SPC-PL-13'!$M$137,'SPC-PL-13'!$M$138,'SPC-PL-13'!$G$139,'SPC-PL-13'!$I$139,'SPC-PL-13'!$K$139,'SPC-PL-13'!$M$139,'SPC-PL-13'!$M$140,'SPC-PL-13'!$G$141,'SPC-PL-13'!$I$141,'SPC-PL-13'!$K$141,'SPC-PL-13'!$M$141,'SPC-PL-13'!$G$142</definedName>
    <definedName name="QB_FORMULA_12" localSheetId="27" hidden="1">'NR6-OfficePL-13'!$J$132,'NR6-OfficePL-13'!$L$132,'NR6-OfficePL-13'!$N$132</definedName>
    <definedName name="QB_FORMULA_12" localSheetId="26" hidden="1">'NR6-TotalPL-13'!$N$146,'NR6-TotalPL-13'!$H$147,'NR6-TotalPL-13'!$J$147,'NR6-TotalPL-13'!$L$147,'NR6-TotalPL-13'!$N$147,'NR6-TotalPL-13'!$N$148,'NR6-TotalPL-13'!$N$149,'NR6-TotalPL-13'!$H$150,'NR6-TotalPL-13'!$J$150,'NR6-TotalPL-13'!$L$150,'NR6-TotalPL-13'!$N$150,'NR6-TotalPL-13'!$H$151,'NR6-TotalPL-13'!$J$151,'NR6-TotalPL-13'!$L$151,'NR6-TotalPL-13'!$N$151,'NR6-TotalPL-13'!$N$155</definedName>
    <definedName name="QB_FORMULA_12" localSheetId="32" hidden="1">'NWC-PL-13'!$O$146,'NWC-PL-13'!$O$147,'NWC-PL-13'!$I$148,'NWC-PL-13'!$K$148,'NWC-PL-13'!$M$148,'NWC-PL-13'!$O$148,'NWC-PL-13'!$O$150,'NWC-PL-13'!$O$151,'NWC-PL-13'!$O$152,'NWC-PL-13'!$I$153,'NWC-PL-13'!$K$153,'NWC-PL-13'!$M$153,'NWC-PL-13'!$O$153,'NWC-PL-13'!$O$155,'NWC-PL-13'!$O$156,'NWC-PL-13'!$O$157</definedName>
    <definedName name="QB_FORMULA_12" localSheetId="34" hidden="1">'OCP-PL-13'!$H$139,'OCP-PL-13'!$J$139,'OCP-PL-13'!$L$139,'OCP-PL-13'!$N$139,'OCP-PL-13'!$H$140,'OCP-PL-13'!$J$140,'OCP-PL-13'!$L$140,'OCP-PL-13'!$N$140,'OCP-PL-13'!$H$141,'OCP-PL-13'!$J$141,'OCP-PL-13'!$L$141,'OCP-PL-13'!$N$141</definedName>
    <definedName name="QB_FORMULA_12" localSheetId="40" hidden="1">'SPC-PL-13'!$I$142,'SPC-PL-13'!$K$142,'SPC-PL-13'!$M$142,'SPC-PL-13'!$M$145,'SPC-PL-13'!$G$146,'SPC-PL-13'!$I$146,'SPC-PL-13'!$K$146,'SPC-PL-13'!$M$146,'SPC-PL-13'!$G$147,'SPC-PL-13'!$I$147,'SPC-PL-13'!$K$147,'SPC-PL-13'!$M$147,'SPC-PL-13'!$G$148,'SPC-PL-13'!$I$148,'SPC-PL-13'!$K$148,'SPC-PL-13'!$M$148</definedName>
    <definedName name="QB_FORMULA_13" localSheetId="26" hidden="1">'NR6-TotalPL-13'!$N$156,'NR6-TotalPL-13'!$H$157,'NR6-TotalPL-13'!$J$157,'NR6-TotalPL-13'!$L$157,'NR6-TotalPL-13'!$N$157,'NR6-TotalPL-13'!$N$159,'NR6-TotalPL-13'!$H$160,'NR6-TotalPL-13'!$J$160,'NR6-TotalPL-13'!$L$160,'NR6-TotalPL-13'!$N$160,'NR6-TotalPL-13'!$H$161,'NR6-TotalPL-13'!$J$161,'NR6-TotalPL-13'!$L$161,'NR6-TotalPL-13'!$N$161,'NR6-TotalPL-13'!$N$163,'NR6-TotalPL-13'!$H$164</definedName>
    <definedName name="QB_FORMULA_13" localSheetId="32" hidden="1">'NWC-PL-13'!$I$158,'NWC-PL-13'!$K$158,'NWC-PL-13'!$M$158,'NWC-PL-13'!$O$158,'NWC-PL-13'!$O$160,'NWC-PL-13'!$O$161,'NWC-PL-13'!$O$162,'NWC-PL-13'!$O$163,'NWC-PL-13'!$O$164,'NWC-PL-13'!$O$165,'NWC-PL-13'!$I$166,'NWC-PL-13'!$K$166,'NWC-PL-13'!$M$166,'NWC-PL-13'!$O$166,'NWC-PL-13'!$O$168,'NWC-PL-13'!$O$169</definedName>
    <definedName name="QB_FORMULA_14" localSheetId="26" hidden="1">'NR6-TotalPL-13'!$J$164,'NR6-TotalPL-13'!$L$164,'NR6-TotalPL-13'!$N$164,'NR6-TotalPL-13'!$H$165,'NR6-TotalPL-13'!$J$165,'NR6-TotalPL-13'!$L$165,'NR6-TotalPL-13'!$N$165,'NR6-TotalPL-13'!$H$166,'NR6-TotalPL-13'!$J$166,'NR6-TotalPL-13'!$L$166,'NR6-TotalPL-13'!$N$166</definedName>
    <definedName name="QB_FORMULA_14" localSheetId="32" hidden="1">'NWC-PL-13'!$O$170,'NWC-PL-13'!$I$171,'NWC-PL-13'!$K$171,'NWC-PL-13'!$M$171,'NWC-PL-13'!$O$171,'NWC-PL-13'!$O$172,'NWC-PL-13'!$O$174,'NWC-PL-13'!$O$175,'NWC-PL-13'!$O$176,'NWC-PL-13'!$I$177,'NWC-PL-13'!$K$177,'NWC-PL-13'!$M$177,'NWC-PL-13'!$O$177,'NWC-PL-13'!$O$178,'NWC-PL-13'!$I$179,'NWC-PL-13'!$K$179</definedName>
    <definedName name="QB_FORMULA_15" localSheetId="32" hidden="1">'NWC-PL-13'!$M$179,'NWC-PL-13'!$O$179,'NWC-PL-13'!$O$180,'NWC-PL-13'!$O$182,'NWC-PL-13'!$O$183,'NWC-PL-13'!$I$184,'NWC-PL-13'!$K$184,'NWC-PL-13'!$M$184,'NWC-PL-13'!$O$184,'NWC-PL-13'!$O$185,'NWC-PL-13'!$O$186,'NWC-PL-13'!$O$188,'NWC-PL-13'!$I$189,'NWC-PL-13'!$K$189,'NWC-PL-13'!$M$189,'NWC-PL-13'!$O$189</definedName>
    <definedName name="QB_FORMULA_16" localSheetId="32" hidden="1">'NWC-PL-13'!$O$191,'NWC-PL-13'!$I$192,'NWC-PL-13'!$K$192,'NWC-PL-13'!$M$192,'NWC-PL-13'!$O$192,'NWC-PL-13'!$I$193,'NWC-PL-13'!$K$193,'NWC-PL-13'!$M$193,'NWC-PL-13'!$O$193,'NWC-PL-13'!$I$194,'NWC-PL-13'!$K$194,'NWC-PL-13'!$M$194,'NWC-PL-13'!$O$194,'NWC-PL-13'!$O$198,'NWC-PL-13'!$O$199,'NWC-PL-13'!$I$200</definedName>
    <definedName name="QB_FORMULA_17" localSheetId="32" hidden="1">'NWC-PL-13'!$K$200,'NWC-PL-13'!$M$200,'NWC-PL-13'!$O$200,'NWC-PL-13'!$O$201,'NWC-PL-13'!$I$202,'NWC-PL-13'!$K$202,'NWC-PL-13'!$M$202,'NWC-PL-13'!$O$202,'NWC-PL-13'!$I$203,'NWC-PL-13'!$K$203,'NWC-PL-13'!$M$203,'NWC-PL-13'!$O$203,'NWC-PL-13'!$I$204,'NWC-PL-13'!$K$204,'NWC-PL-13'!$M$204,'NWC-PL-13'!$O$204</definedName>
    <definedName name="QB_FORMULA_2" localSheetId="48" hidden="1">'127PAW-PL-13'!$H$27,'127PAW-PL-13'!$J$27,'127PAW-PL-13'!$L$27,'127PAW-PL-13'!$N$27,'127PAW-PL-13'!$H$28,'127PAW-PL-13'!$J$28,'127PAW-PL-13'!$L$28,'127PAW-PL-13'!$N$28,'127PAW-PL-13'!$H$29,'127PAW-PL-13'!$J$29,'127PAW-PL-13'!$L$29,'127PAW-PL-13'!$N$29,'127PAW-PL-13'!$N$33,'127PAW-PL-13'!$N$34,'127PAW-PL-13'!$N$35,'127PAW-PL-13'!$H$36</definedName>
    <definedName name="QB_FORMULA_2" localSheetId="45" hidden="1">'21Webb-BS-13'!$J$47,'21Webb-BS-13'!$F$48,'21Webb-BS-13'!$H$48,'21Webb-BS-13'!$J$48,'21Webb-BS-13'!$F$51,'21Webb-BS-13'!$H$51,'21Webb-BS-13'!$J$51,'21Webb-BS-13'!$F$52,'21Webb-BS-13'!$H$52,'21Webb-BS-13'!$J$52,'21Webb-BS-13'!$F$63,'21Webb-BS-13'!$H$63,'21Webb-BS-13'!$J$63,'21Webb-BS-13'!$F$64,'21Webb-BS-13'!$H$64,'21Webb-BS-13'!$J$64</definedName>
    <definedName name="QB_FORMULA_2" localSheetId="46" hidden="1">'21Webb-PL-13'!$J$27,'21Webb-PL-13'!$L$27,'21Webb-PL-13'!$N$27,'21Webb-PL-13'!$N$30,'21Webb-PL-13'!$H$31,'21Webb-PL-13'!$J$31,'21Webb-PL-13'!$L$31,'21Webb-PL-13'!$N$31,'21Webb-PL-13'!$N$32,'21Webb-PL-13'!$N$34,'21Webb-PL-13'!$N$35,'21Webb-PL-13'!$N$36,'21Webb-PL-13'!$H$37,'21Webb-PL-13'!$J$37,'21Webb-PL-13'!$L$37,'21Webb-PL-13'!$N$37</definedName>
    <definedName name="QB_FORMULA_2" localSheetId="15" hidden="1">'ABP-BS-13'!$J$50,'ABP-BS-13'!$F$51,'ABP-BS-13'!$H$51,'ABP-BS-13'!$J$51,'ABP-BS-13'!$F$59,'ABP-BS-13'!$H$59,'ABP-BS-13'!$J$59,'ABP-BS-13'!$F$60,'ABP-BS-13'!$H$60,'ABP-BS-13'!$J$60</definedName>
    <definedName name="QB_FORMULA_2" localSheetId="16" hidden="1">'ABP-PL-13'!$J$30,'ABP-PL-13'!$L$30,'ABP-PL-13'!$N$30,'ABP-PL-13'!$N$31,'ABP-PL-13'!$H$32,'ABP-PL-13'!$J$32,'ABP-PL-13'!$L$32,'ABP-PL-13'!$N$32,'ABP-PL-13'!$N$34,'ABP-PL-13'!$N$36,'ABP-PL-13'!$N$37,'ABP-PL-13'!$N$38,'ABP-PL-13'!$N$39,'ABP-PL-13'!$H$40,'ABP-PL-13'!$J$40,'ABP-PL-13'!$L$40</definedName>
    <definedName name="QB_FORMULA_2" localSheetId="17" hidden="1">'BPT-BS-13'!$J$45,'BPT-BS-13'!$F$46,'BPT-BS-13'!$H$46,'BPT-BS-13'!$J$46,'BPT-BS-13'!$F$49,'BPT-BS-13'!$H$49,'BPT-BS-13'!$J$49,'BPT-BS-13'!$F$50,'BPT-BS-13'!$H$50,'BPT-BS-13'!$J$50,'BPT-BS-13'!$F$56,'BPT-BS-13'!$H$56,'BPT-BS-13'!$J$56,'BPT-BS-13'!$F$57,'BPT-BS-13'!$H$57,'BPT-BS-13'!$J$57</definedName>
    <definedName name="QB_FORMULA_2" localSheetId="18" hidden="1">'BPT-PL-13'!$L$29,'BPT-PL-13'!$N$29,'BPT-PL-13'!$N$30,'BPT-PL-13'!$N$31,'BPT-PL-13'!$H$32,'BPT-PL-13'!$J$32,'BPT-PL-13'!$L$32,'BPT-PL-13'!$N$32,'BPT-PL-13'!$N$34,'BPT-PL-13'!$N$36,'BPT-PL-13'!$N$37,'BPT-PL-13'!$H$38,'BPT-PL-13'!$J$38,'BPT-PL-13'!$L$38,'BPT-PL-13'!$N$38,'BPT-PL-13'!$N$40</definedName>
    <definedName name="QB_FORMULA_2" localSheetId="51" hidden="1">'BSQ-BS-13'!$J$39,'BSQ-BS-13'!$F$40,'BSQ-BS-13'!$H$40,'BSQ-BS-13'!$J$40,'BSQ-BS-13'!$F$45,'BSQ-BS-13'!$H$45,'BSQ-BS-13'!$J$45,'BSQ-BS-13'!$F$46,'BSQ-BS-13'!$H$46,'BSQ-BS-13'!$J$46</definedName>
    <definedName name="QB_FORMULA_2" localSheetId="19" hidden="1">'CP-BS-13'!$J$43,'CP-BS-13'!$F$44,'CP-BS-13'!$H$44,'CP-BS-13'!$J$44,'CP-BS-13'!$F$52,'CP-BS-13'!$H$52,'CP-BS-13'!$J$52,'CP-BS-13'!$F$53,'CP-BS-13'!$H$53,'CP-BS-13'!$J$53</definedName>
    <definedName name="QB_FORMULA_2" localSheetId="20" hidden="1">'CP-PL-13'!$N$28,'CP-PL-13'!$N$29,'CP-PL-13'!$N$30,'CP-PL-13'!$H$31,'CP-PL-13'!$J$31,'CP-PL-13'!$L$31,'CP-PL-13'!$N$31,'CP-PL-13'!$N$33,'CP-PL-13'!$N$35,'CP-PL-13'!$N$36,'CP-PL-13'!$H$37,'CP-PL-13'!$J$37,'CP-PL-13'!$L$37,'CP-PL-13'!$N$37,'CP-PL-13'!$N$39,'CP-PL-13'!$H$40</definedName>
    <definedName name="QB_FORMULA_2" localSheetId="21" hidden="1">'DGS-BS-13'!$J$42,'DGS-BS-13'!$F$43,'DGS-BS-13'!$H$43,'DGS-BS-13'!$J$43,'DGS-BS-13'!$F$48,'DGS-BS-13'!$H$48,'DGS-BS-13'!$J$48,'DGS-BS-13'!$F$49,'DGS-BS-13'!$H$49,'DGS-BS-13'!$J$49</definedName>
    <definedName name="QB_FORMULA_2" localSheetId="22" hidden="1">'DGS-PL-13'!$L$29,'DGS-PL-13'!$N$29,'DGS-PL-13'!$N$30,'DGS-PL-13'!$N$31,'DGS-PL-13'!$H$32,'DGS-PL-13'!$J$32,'DGS-PL-13'!$L$32,'DGS-PL-13'!$N$32,'DGS-PL-13'!$N$34,'DGS-PL-13'!$N$36,'DGS-PL-13'!$N$37,'DGS-PL-13'!$N$38,'DGS-PL-13'!$H$39,'DGS-PL-13'!$J$39,'DGS-PL-13'!$L$39,'DGS-PL-13'!$N$39</definedName>
    <definedName name="QB_FORMULA_2" localSheetId="23" hidden="1">'NDV-BS-13'!$J$32</definedName>
    <definedName name="QB_FORMULA_2" localSheetId="29" hidden="1">'NR14-BS-13'!$J$38,'NR14-BS-13'!$F$48,'NR14-BS-13'!$H$48,'NR14-BS-13'!$J$48,'NR14-BS-13'!$F$49,'NR14-BS-13'!$H$49,'NR14-BS-13'!$J$49</definedName>
    <definedName name="QB_FORMULA_2" localSheetId="30" hidden="1">'NR14-PL-13'!$K$29,'NR14-PL-13'!$M$29,'NR14-PL-13'!$M$30,'NR14-PL-13'!$M$33,'NR14-PL-13'!$G$34,'NR14-PL-13'!$I$34,'NR14-PL-13'!$K$34,'NR14-PL-13'!$M$34,'NR14-PL-13'!$M$35,'NR14-PL-13'!$M$36,'NR14-PL-13'!$M$37,'NR14-PL-13'!$M$38,'NR14-PL-13'!$M$39,'NR14-PL-13'!$M$40,'NR14-PL-13'!$M$42,'NR14-PL-13'!$M$43</definedName>
    <definedName name="QB_FORMULA_2" localSheetId="25" hidden="1">'NR6-BS-13'!$J$53,'NR6-BS-13'!$F$54,'NR6-BS-13'!$H$54,'NR6-BS-13'!$J$54,'NR6-BS-13'!$F$64,'NR6-BS-13'!$H$64,'NR6-BS-13'!$J$64,'NR6-BS-13'!$F$65,'NR6-BS-13'!$H$65,'NR6-BS-13'!$J$65</definedName>
    <definedName name="QB_FORMULA_2" localSheetId="27" hidden="1">'NR6-OfficePL-13'!$N$27,'NR6-OfficePL-13'!$H$28,'NR6-OfficePL-13'!$J$28,'NR6-OfficePL-13'!$L$28,'NR6-OfficePL-13'!$N$28,'NR6-OfficePL-13'!$N$30,'NR6-OfficePL-13'!$N$31,'NR6-OfficePL-13'!$H$32,'NR6-OfficePL-13'!$J$32,'NR6-OfficePL-13'!$L$32,'NR6-OfficePL-13'!$N$32,'NR6-OfficePL-13'!$N$34,'NR6-OfficePL-13'!$N$35,'NR6-OfficePL-13'!$H$36,'NR6-OfficePL-13'!$J$36,'NR6-OfficePL-13'!$L$36</definedName>
    <definedName name="QB_FORMULA_2" localSheetId="28" hidden="1">'NR6-RetailPL-13'!$N$28,'NR6-RetailPL-13'!$N$29,'NR6-RetailPL-13'!$H$30,'NR6-RetailPL-13'!$J$30,'NR6-RetailPL-13'!$L$30,'NR6-RetailPL-13'!$N$30,'NR6-RetailPL-13'!$N$32,'NR6-RetailPL-13'!$N$34,'NR6-RetailPL-13'!$N$35,'NR6-RetailPL-13'!$H$36,'NR6-RetailPL-13'!$J$36,'NR6-RetailPL-13'!$L$36,'NR6-RetailPL-13'!$N$36,'NR6-RetailPL-13'!$N$38,'NR6-RetailPL-13'!$N$39,'NR6-RetailPL-13'!$H$40</definedName>
    <definedName name="QB_FORMULA_2" localSheetId="26" hidden="1">'NR6-TotalPL-13'!$N$31,'NR6-TotalPL-13'!$H$32,'NR6-TotalPL-13'!$J$32,'NR6-TotalPL-13'!$L$32,'NR6-TotalPL-13'!$N$32,'NR6-TotalPL-13'!$N$33,'NR6-TotalPL-13'!$N$34,'NR6-TotalPL-13'!$H$35,'NR6-TotalPL-13'!$J$35,'NR6-TotalPL-13'!$L$35,'NR6-TotalPL-13'!$N$35,'NR6-TotalPL-13'!$N$38,'NR6-TotalPL-13'!$N$39,'NR6-TotalPL-13'!$H$40,'NR6-TotalPL-13'!$J$40,'NR6-TotalPL-13'!$L$40</definedName>
    <definedName name="QB_FORMULA_2" localSheetId="31" hidden="1">'NWC-BS-13'!$J$45,'NWC-BS-13'!$F$46,'NWC-BS-13'!$H$46,'NWC-BS-13'!$J$46,'NWC-BS-13'!$F$58,'NWC-BS-13'!$H$58,'NWC-BS-13'!$J$58,'NWC-BS-13'!$F$59,'NWC-BS-13'!$H$59,'NWC-BS-13'!$J$59</definedName>
    <definedName name="QB_FORMULA_2" localSheetId="32" hidden="1">'NWC-PL-13'!$O$31,'NWC-PL-13'!$I$32,'NWC-PL-13'!$K$32,'NWC-PL-13'!$M$32,'NWC-PL-13'!$O$32,'NWC-PL-13'!$O$35,'NWC-PL-13'!$O$36,'NWC-PL-13'!$I$37,'NWC-PL-13'!$K$37,'NWC-PL-13'!$M$37,'NWC-PL-13'!$O$37,'NWC-PL-13'!$O$41,'NWC-PL-13'!$I$42,'NWC-PL-13'!$K$42,'NWC-PL-13'!$M$42,'NWC-PL-13'!$O$42</definedName>
    <definedName name="QB_FORMULA_2" localSheetId="33" hidden="1">'OCP-BS-13'!$J$37,'OCP-BS-13'!$F$43,'OCP-BS-13'!$H$43,'OCP-BS-13'!$J$43,'OCP-BS-13'!$F$44,'OCP-BS-13'!$H$44,'OCP-BS-13'!$J$44</definedName>
    <definedName name="QB_FORMULA_2" localSheetId="34" hidden="1">'OCP-PL-13'!$N$24,'OCP-PL-13'!$N$25,'OCP-PL-13'!$N$26,'OCP-PL-13'!$N$27,'OCP-PL-13'!$N$28,'OCP-PL-13'!$N$30,'OCP-PL-13'!$N$31,'OCP-PL-13'!$N$32,'OCP-PL-13'!$N$33,'OCP-PL-13'!$H$34,'OCP-PL-13'!$J$34,'OCP-PL-13'!$L$34,'OCP-PL-13'!$N$34,'OCP-PL-13'!$N$35,'OCP-PL-13'!$N$36,'OCP-PL-13'!$H$37</definedName>
    <definedName name="QB_FORMULA_2" localSheetId="35" hidden="1">'OMI-BS-13'!$J$54,'OMI-BS-13'!$F$55,'OMI-BS-13'!$H$55,'OMI-BS-13'!$J$55,'OMI-BS-13'!$F$61,'OMI-BS-13'!$H$61,'OMI-BS-13'!$J$61,'OMI-BS-13'!$F$62,'OMI-BS-13'!$H$62,'OMI-BS-13'!$J$62</definedName>
    <definedName name="QB_FORMULA_2" localSheetId="36" hidden="1">'OMI-PL-13'!$L$31,'OMI-PL-13'!$L$32,'OMI-PL-13'!$L$33,'OMI-PL-13'!$L$34,'OMI-PL-13'!$L$35,'OMI-PL-13'!$L$36,'OMI-PL-13'!$L$37,'OMI-PL-13'!$L$38,'OMI-PL-13'!$L$39,'OMI-PL-13'!$L$40,'OMI-PL-13'!$L$41,'OMI-PL-13'!$L$42,'OMI-PL-13'!$L$43,'OMI-PL-13'!$L$44,'OMI-PL-13'!$L$45,'OMI-PL-13'!$F$46</definedName>
    <definedName name="QB_FORMULA_2" localSheetId="37" hidden="1">'ROY-BS-13'!$J$41,'ROY-BS-13'!$F$47,'ROY-BS-13'!$H$47,'ROY-BS-13'!$J$47,'ROY-BS-13'!$F$48,'ROY-BS-13'!$H$48,'ROY-BS-13'!$J$48</definedName>
    <definedName name="QB_FORMULA_2" localSheetId="38" hidden="1">'ROY-PL-13'!$M$29,'ROY-PL-13'!$M$31,'ROY-PL-13'!$G$32,'ROY-PL-13'!$I$32,'ROY-PL-13'!$K$32,'ROY-PL-13'!$M$32,'ROY-PL-13'!$G$33,'ROY-PL-13'!$I$33,'ROY-PL-13'!$K$33,'ROY-PL-13'!$M$33,'ROY-PL-13'!$M$36,'ROY-PL-13'!$M$37,'ROY-PL-13'!$M$38,'ROY-PL-13'!$M$39,'ROY-PL-13'!$M$40,'ROY-PL-13'!$G$41</definedName>
    <definedName name="QB_FORMULA_2" localSheetId="49" hidden="1">'RP21-BS-13'!$J$40,'RP21-BS-13'!$F$41,'RP21-BS-13'!$H$41,'RP21-BS-13'!$J$41</definedName>
    <definedName name="QB_FORMULA_2" localSheetId="50" hidden="1">'RP21-PL-13'!$M$28,'RP21-PL-13'!$G$29,'RP21-PL-13'!$I$29,'RP21-PL-13'!$K$29,'RP21-PL-13'!$M$29,'RP21-PL-13'!$M$30,'RP21-PL-13'!$M$32,'RP21-PL-13'!$M$33,'RP21-PL-13'!$M$34,'RP21-PL-13'!$G$35,'RP21-PL-13'!$I$35,'RP21-PL-13'!$K$35,'RP21-PL-13'!$M$35,'RP21-PL-13'!$G$36,'RP21-PL-13'!$I$36,'RP21-PL-13'!$K$36</definedName>
    <definedName name="QB_FORMULA_2" localSheetId="39" hidden="1">'SPC-BS-13'!$J$40,'SPC-BS-13'!$F$45,'SPC-BS-13'!$H$45,'SPC-BS-13'!$J$45,'SPC-BS-13'!$F$46,'SPC-BS-13'!$H$46,'SPC-BS-13'!$J$46</definedName>
    <definedName name="QB_FORMULA_2" localSheetId="40" hidden="1">'SPC-PL-13'!$M$31,'SPC-PL-13'!$G$32,'SPC-PL-13'!$I$32,'SPC-PL-13'!$K$32,'SPC-PL-13'!$M$32,'SPC-PL-13'!$M$34,'SPC-PL-13'!$M$36,'SPC-PL-13'!$M$37,'SPC-PL-13'!$G$38,'SPC-PL-13'!$I$38,'SPC-PL-13'!$K$38,'SPC-PL-13'!$M$38,'SPC-PL-13'!$M$40,'SPC-PL-13'!$M$41,'SPC-PL-13'!$M$42,'SPC-PL-13'!$M$43</definedName>
    <definedName name="QB_FORMULA_2" localSheetId="41" hidden="1">'TYP-BS-13'!$J$32,'TYP-BS-13'!$F$33,'TYP-BS-13'!$H$33,'TYP-BS-13'!$J$33</definedName>
    <definedName name="QB_FORMULA_2" localSheetId="42" hidden="1">'TYP-PL-13'!$G$23,'TYP-PL-13'!$I$23,'TYP-PL-13'!$K$23,'TYP-PL-13'!$M$23,'TYP-PL-13'!$G$24,'TYP-PL-13'!$I$24,'TYP-PL-13'!$K$24,'TYP-PL-13'!$M$24</definedName>
    <definedName name="QB_FORMULA_2" localSheetId="43" hidden="1">'UST-BS-13'!$J$42,'UST-BS-13'!$F$43,'UST-BS-13'!$H$43,'UST-BS-13'!$J$43,'UST-BS-13'!$F$47,'UST-BS-13'!$H$47,'UST-BS-13'!$J$47,'UST-BS-13'!$F$48,'UST-BS-13'!$H$48,'UST-BS-13'!$J$48,'UST-BS-13'!$F$52,'UST-BS-13'!$H$52,'UST-BS-13'!$J$52,'UST-BS-13'!$F$53,'UST-BS-13'!$H$53,'UST-BS-13'!$J$53</definedName>
    <definedName name="QB_FORMULA_2" localSheetId="44" hidden="1">'UST-PL-13'!$H$26,'UST-PL-13'!$J$26,'UST-PL-13'!$L$26,'UST-PL-13'!$N$26,'UST-PL-13'!$N$28,'UST-PL-13'!$N$29,'UST-PL-13'!$N$30,'UST-PL-13'!$N$32,'UST-PL-13'!$N$33,'UST-PL-13'!$H$34,'UST-PL-13'!$J$34,'UST-PL-13'!$L$34,'UST-PL-13'!$N$34,'UST-PL-13'!$N$36,'UST-PL-13'!$H$37,'UST-PL-13'!$J$37</definedName>
    <definedName name="QB_FORMULA_2" localSheetId="54" hidden="1">'Wood96-PL-13'!$M$25,'Wood96-PL-13'!$G$26,'Wood96-PL-13'!$I$26,'Wood96-PL-13'!$K$26,'Wood96-PL-13'!$M$26,'Wood96-PL-13'!$G$27,'Wood96-PL-13'!$I$27,'Wood96-PL-13'!$K$27,'Wood96-PL-13'!$M$27</definedName>
    <definedName name="QB_FORMULA_3" localSheetId="48" hidden="1">'127PAW-PL-13'!$J$36,'127PAW-PL-13'!$L$36,'127PAW-PL-13'!$N$36,'127PAW-PL-13'!$H$37,'127PAW-PL-13'!$J$37,'127PAW-PL-13'!$L$37,'127PAW-PL-13'!$N$37,'127PAW-PL-13'!$H$38,'127PAW-PL-13'!$J$38,'127PAW-PL-13'!$L$38,'127PAW-PL-13'!$N$38,'127PAW-PL-13'!$H$39,'127PAW-PL-13'!$J$39,'127PAW-PL-13'!$L$39,'127PAW-PL-13'!$N$39</definedName>
    <definedName name="QB_FORMULA_3" localSheetId="46" hidden="1">'21Webb-PL-13'!$H$38,'21Webb-PL-13'!$J$38,'21Webb-PL-13'!$L$38,'21Webb-PL-13'!$N$38,'21Webb-PL-13'!$N$40,'21Webb-PL-13'!$N$41,'21Webb-PL-13'!$N$42,'21Webb-PL-13'!$N$44,'21Webb-PL-13'!$N$45,'21Webb-PL-13'!$H$46,'21Webb-PL-13'!$J$46,'21Webb-PL-13'!$L$46,'21Webb-PL-13'!$N$46,'21Webb-PL-13'!$N$48,'21Webb-PL-13'!$N$49,'21Webb-PL-13'!$N$50</definedName>
    <definedName name="QB_FORMULA_3" localSheetId="16" hidden="1">'ABP-PL-13'!$N$40,'ABP-PL-13'!$N$41,'ABP-PL-13'!$N$42,'ABP-PL-13'!$H$43,'ABP-PL-13'!$J$43,'ABP-PL-13'!$L$43,'ABP-PL-13'!$N$43,'ABP-PL-13'!$N$46,'ABP-PL-13'!$N$47,'ABP-PL-13'!$N$48,'ABP-PL-13'!$N$49,'ABP-PL-13'!$N$50,'ABP-PL-13'!$N$51,'ABP-PL-13'!$N$52,'ABP-PL-13'!$H$53,'ABP-PL-13'!$J$53</definedName>
    <definedName name="QB_FORMULA_3" localSheetId="18" hidden="1">'BPT-PL-13'!$H$41,'BPT-PL-13'!$J$41,'BPT-PL-13'!$L$41,'BPT-PL-13'!$N$41,'BPT-PL-13'!$N$43,'BPT-PL-13'!$N$44,'BPT-PL-13'!$N$45,'BPT-PL-13'!$H$46,'BPT-PL-13'!$J$46,'BPT-PL-13'!$L$46,'BPT-PL-13'!$N$46,'BPT-PL-13'!$H$47,'BPT-PL-13'!$J$47,'BPT-PL-13'!$L$47,'BPT-PL-13'!$N$47,'BPT-PL-13'!$N$50</definedName>
    <definedName name="QB_FORMULA_3" localSheetId="20" hidden="1">'CP-PL-13'!$J$40,'CP-PL-13'!$L$40,'CP-PL-13'!$N$40,'CP-PL-13'!$N$41,'CP-PL-13'!$H$42,'CP-PL-13'!$J$42,'CP-PL-13'!$L$42,'CP-PL-13'!$N$42,'CP-PL-13'!$N$45,'CP-PL-13'!$N$46,'CP-PL-13'!$N$47,'CP-PL-13'!$N$48,'CP-PL-13'!$N$49,'CP-PL-13'!$H$50,'CP-PL-13'!$J$50,'CP-PL-13'!$L$50</definedName>
    <definedName name="QB_FORMULA_3" localSheetId="22" hidden="1">'DGS-PL-13'!$N$41,'DGS-PL-13'!$N$42,'DGS-PL-13'!$N$43,'DGS-PL-13'!$N$44,'DGS-PL-13'!$H$45,'DGS-PL-13'!$J$45,'DGS-PL-13'!$L$45,'DGS-PL-13'!$N$45,'DGS-PL-13'!$N$46,'DGS-PL-13'!$N$47,'DGS-PL-13'!$H$48,'DGS-PL-13'!$J$48,'DGS-PL-13'!$L$48,'DGS-PL-13'!$N$48,'DGS-PL-13'!$N$51,'DGS-PL-13'!$N$52</definedName>
    <definedName name="QB_FORMULA_3" localSheetId="30" hidden="1">'NR14-PL-13'!$M$44,'NR14-PL-13'!$M$45,'NR14-PL-13'!$G$46,'NR14-PL-13'!$I$46,'NR14-PL-13'!$K$46,'NR14-PL-13'!$M$46,'NR14-PL-13'!$G$47,'NR14-PL-13'!$I$47,'NR14-PL-13'!$K$47,'NR14-PL-13'!$M$47,'NR14-PL-13'!$M$49,'NR14-PL-13'!$M$50,'NR14-PL-13'!$M$51,'NR14-PL-13'!$M$52,'NR14-PL-13'!$G$53,'NR14-PL-13'!$I$53</definedName>
    <definedName name="QB_FORMULA_3" localSheetId="27" hidden="1">'NR6-OfficePL-13'!$N$36,'NR6-OfficePL-13'!$N$38,'NR6-OfficePL-13'!$N$39,'NR6-OfficePL-13'!$H$40,'NR6-OfficePL-13'!$J$40,'NR6-OfficePL-13'!$L$40,'NR6-OfficePL-13'!$N$40,'NR6-OfficePL-13'!$N$41,'NR6-OfficePL-13'!$H$42,'NR6-OfficePL-13'!$J$42,'NR6-OfficePL-13'!$L$42,'NR6-OfficePL-13'!$N$42,'NR6-OfficePL-13'!$N$45,'NR6-OfficePL-13'!$N$46,'NR6-OfficePL-13'!$N$47,'NR6-OfficePL-13'!$N$48</definedName>
    <definedName name="QB_FORMULA_3" localSheetId="28" hidden="1">'NR6-RetailPL-13'!$J$40,'NR6-RetailPL-13'!$L$40,'NR6-RetailPL-13'!$N$40,'NR6-RetailPL-13'!$N$42,'NR6-RetailPL-13'!$N$43,'NR6-RetailPL-13'!$N$44,'NR6-RetailPL-13'!$H$45,'NR6-RetailPL-13'!$J$45,'NR6-RetailPL-13'!$L$45,'NR6-RetailPL-13'!$N$45,'NR6-RetailPL-13'!$H$46,'NR6-RetailPL-13'!$J$46,'NR6-RetailPL-13'!$L$46,'NR6-RetailPL-13'!$N$46,'NR6-RetailPL-13'!$N$49,'NR6-RetailPL-13'!$N$50</definedName>
    <definedName name="QB_FORMULA_3" localSheetId="26" hidden="1">'NR6-TotalPL-13'!$N$40,'NR6-TotalPL-13'!$N$42,'NR6-TotalPL-13'!$N$43,'NR6-TotalPL-13'!$N$44,'NR6-TotalPL-13'!$N$45,'NR6-TotalPL-13'!$H$46,'NR6-TotalPL-13'!$J$46,'NR6-TotalPL-13'!$L$46,'NR6-TotalPL-13'!$N$46,'NR6-TotalPL-13'!$N$48,'NR6-TotalPL-13'!$N$49,'NR6-TotalPL-13'!$H$50,'NR6-TotalPL-13'!$J$50,'NR6-TotalPL-13'!$L$50,'NR6-TotalPL-13'!$N$50,'NR6-TotalPL-13'!$N$52</definedName>
    <definedName name="QB_FORMULA_3" localSheetId="32" hidden="1">'NWC-PL-13'!$O$44,'NWC-PL-13'!$O$45,'NWC-PL-13'!$O$46,'NWC-PL-13'!$I$47,'NWC-PL-13'!$K$47,'NWC-PL-13'!$M$47,'NWC-PL-13'!$O$47,'NWC-PL-13'!$O$49,'NWC-PL-13'!$O$50,'NWC-PL-13'!$O$51,'NWC-PL-13'!$O$52,'NWC-PL-13'!$O$53,'NWC-PL-13'!$O$54,'NWC-PL-13'!$O$55,'NWC-PL-13'!$O$56,'NWC-PL-13'!$I$57</definedName>
    <definedName name="QB_FORMULA_3" localSheetId="34" hidden="1">'OCP-PL-13'!$J$37,'OCP-PL-13'!$L$37,'OCP-PL-13'!$N$37,'OCP-PL-13'!$N$40,'OCP-PL-13'!$N$41,'OCP-PL-13'!$N$42,'OCP-PL-13'!$H$43,'OCP-PL-13'!$J$43,'OCP-PL-13'!$L$43,'OCP-PL-13'!$N$43,'OCP-PL-13'!$N$45,'OCP-PL-13'!$N$46,'OCP-PL-13'!$H$47,'OCP-PL-13'!$J$47,'OCP-PL-13'!$L$47,'OCP-PL-13'!$N$47</definedName>
    <definedName name="QB_FORMULA_3" localSheetId="36" hidden="1">'OMI-PL-13'!$H$46,'OMI-PL-13'!$J$46,'OMI-PL-13'!$L$46,'OMI-PL-13'!$F$47,'OMI-PL-13'!$H$47,'OMI-PL-13'!$J$47,'OMI-PL-13'!$L$47,'OMI-PL-13'!$L$50,'OMI-PL-13'!$L$51,'OMI-PL-13'!$L$52,'OMI-PL-13'!$F$53,'OMI-PL-13'!$H$53,'OMI-PL-13'!$J$53,'OMI-PL-13'!$L$53,'OMI-PL-13'!$L$55,'OMI-PL-13'!$F$56</definedName>
    <definedName name="QB_FORMULA_3" localSheetId="38" hidden="1">'ROY-PL-13'!$I$41,'ROY-PL-13'!$K$41,'ROY-PL-13'!$M$41,'ROY-PL-13'!$M$43,'ROY-PL-13'!$M$44,'ROY-PL-13'!$G$45,'ROY-PL-13'!$I$45,'ROY-PL-13'!$K$45,'ROY-PL-13'!$M$45,'ROY-PL-13'!$M$47,'ROY-PL-13'!$M$48,'ROY-PL-13'!$M$49,'ROY-PL-13'!$G$50,'ROY-PL-13'!$I$50,'ROY-PL-13'!$K$50,'ROY-PL-13'!$M$50</definedName>
    <definedName name="QB_FORMULA_3" localSheetId="50" hidden="1">'RP21-PL-13'!$M$36,'RP21-PL-13'!$G$37,'RP21-PL-13'!$I$37,'RP21-PL-13'!$K$37,'RP21-PL-13'!$M$37,'RP21-PL-13'!$G$38,'RP21-PL-13'!$I$38,'RP21-PL-13'!$K$38,'RP21-PL-13'!$M$38</definedName>
    <definedName name="QB_FORMULA_3" localSheetId="40" hidden="1">'SPC-PL-13'!$M$44,'SPC-PL-13'!$G$45,'SPC-PL-13'!$I$45,'SPC-PL-13'!$K$45,'SPC-PL-13'!$M$45,'SPC-PL-13'!$M$47,'SPC-PL-13'!$M$48,'SPC-PL-13'!$M$49,'SPC-PL-13'!$M$50,'SPC-PL-13'!$G$51,'SPC-PL-13'!$I$51,'SPC-PL-13'!$K$51,'SPC-PL-13'!$M$51,'SPC-PL-13'!$M$53,'SPC-PL-13'!$M$54,'SPC-PL-13'!$M$55</definedName>
    <definedName name="QB_FORMULA_3" localSheetId="44" hidden="1">'UST-PL-13'!$L$37,'UST-PL-13'!$N$37,'UST-PL-13'!$N$38,'UST-PL-13'!$N$40,'UST-PL-13'!$N$41,'UST-PL-13'!$N$42,'UST-PL-13'!$N$43,'UST-PL-13'!$H$44,'UST-PL-13'!$J$44,'UST-PL-13'!$L$44,'UST-PL-13'!$N$44,'UST-PL-13'!$N$45,'UST-PL-13'!$N$46,'UST-PL-13'!$N$47,'UST-PL-13'!$N$49,'UST-PL-13'!$N$50</definedName>
    <definedName name="QB_FORMULA_4" localSheetId="46" hidden="1">'21Webb-PL-13'!$H$51,'21Webb-PL-13'!$J$51,'21Webb-PL-13'!$L$51,'21Webb-PL-13'!$N$51,'21Webb-PL-13'!$N$52,'21Webb-PL-13'!$N$53,'21Webb-PL-13'!$N$55,'21Webb-PL-13'!$H$56,'21Webb-PL-13'!$J$56,'21Webb-PL-13'!$L$56,'21Webb-PL-13'!$N$56,'21Webb-PL-13'!$N$58,'21Webb-PL-13'!$N$59,'21Webb-PL-13'!$H$60,'21Webb-PL-13'!$J$60,'21Webb-PL-13'!$L$60</definedName>
    <definedName name="QB_FORMULA_4" localSheetId="16" hidden="1">'ABP-PL-13'!$L$53,'ABP-PL-13'!$N$53,'ABP-PL-13'!$N$55,'ABP-PL-13'!$N$56,'ABP-PL-13'!$H$57,'ABP-PL-13'!$J$57,'ABP-PL-13'!$L$57,'ABP-PL-13'!$N$57,'ABP-PL-13'!$N$59,'ABP-PL-13'!$N$60,'ABP-PL-13'!$N$61,'ABP-PL-13'!$H$62,'ABP-PL-13'!$J$62,'ABP-PL-13'!$L$62,'ABP-PL-13'!$N$62,'ABP-PL-13'!$N$64</definedName>
    <definedName name="QB_FORMULA_4" localSheetId="18" hidden="1">'BPT-PL-13'!$N$51,'BPT-PL-13'!$N$52,'BPT-PL-13'!$N$53,'BPT-PL-13'!$N$54,'BPT-PL-13'!$N$55,'BPT-PL-13'!$H$56,'BPT-PL-13'!$J$56,'BPT-PL-13'!$L$56,'BPT-PL-13'!$N$56,'BPT-PL-13'!$N$58,'BPT-PL-13'!$N$59,'BPT-PL-13'!$N$60,'BPT-PL-13'!$N$61,'BPT-PL-13'!$H$62,'BPT-PL-13'!$J$62,'BPT-PL-13'!$L$62</definedName>
    <definedName name="QB_FORMULA_4" localSheetId="20" hidden="1">'CP-PL-13'!$N$50,'CP-PL-13'!$N$51,'CP-PL-13'!$N$53,'CP-PL-13'!$N$54,'CP-PL-13'!$H$55,'CP-PL-13'!$J$55,'CP-PL-13'!$L$55,'CP-PL-13'!$N$55,'CP-PL-13'!$N$57,'CP-PL-13'!$N$58,'CP-PL-13'!$N$59,'CP-PL-13'!$H$60,'CP-PL-13'!$J$60,'CP-PL-13'!$L$60,'CP-PL-13'!$N$60,'CP-PL-13'!$N$62</definedName>
    <definedName name="QB_FORMULA_4" localSheetId="22" hidden="1">'DGS-PL-13'!$N$53,'DGS-PL-13'!$H$54,'DGS-PL-13'!$J$54,'DGS-PL-13'!$L$54,'DGS-PL-13'!$N$54,'DGS-PL-13'!$N$56,'DGS-PL-13'!$H$57,'DGS-PL-13'!$J$57,'DGS-PL-13'!$L$57,'DGS-PL-13'!$N$57,'DGS-PL-13'!$N$59,'DGS-PL-13'!$N$60,'DGS-PL-13'!$N$61,'DGS-PL-13'!$N$62,'DGS-PL-13'!$H$63,'DGS-PL-13'!$J$63</definedName>
    <definedName name="QB_FORMULA_4" localSheetId="30" hidden="1">'NR14-PL-13'!$K$53,'NR14-PL-13'!$M$53,'NR14-PL-13'!$M$54,'NR14-PL-13'!$M$56,'NR14-PL-13'!$M$57,'NR14-PL-13'!$M$58,'NR14-PL-13'!$M$59,'NR14-PL-13'!$G$60,'NR14-PL-13'!$I$60,'NR14-PL-13'!$K$60,'NR14-PL-13'!$M$60,'NR14-PL-13'!$M$61,'NR14-PL-13'!$M$62,'NR14-PL-13'!$M$64,'NR14-PL-13'!$M$65,'NR14-PL-13'!$G$66</definedName>
    <definedName name="QB_FORMULA_4" localSheetId="27" hidden="1">'NR6-OfficePL-13'!$N$49,'NR6-OfficePL-13'!$N$50,'NR6-OfficePL-13'!$N$51,'NR6-OfficePL-13'!$H$52,'NR6-OfficePL-13'!$J$52,'NR6-OfficePL-13'!$L$52,'NR6-OfficePL-13'!$N$52,'NR6-OfficePL-13'!$N$54,'NR6-OfficePL-13'!$N$55,'NR6-OfficePL-13'!$N$56,'NR6-OfficePL-13'!$H$57,'NR6-OfficePL-13'!$J$57,'NR6-OfficePL-13'!$L$57,'NR6-OfficePL-13'!$N$57,'NR6-OfficePL-13'!$N$59,'NR6-OfficePL-13'!$N$60</definedName>
    <definedName name="QB_FORMULA_4" localSheetId="28" hidden="1">'NR6-RetailPL-13'!$N$51,'NR6-RetailPL-13'!$N$52,'NR6-RetailPL-13'!$N$53,'NR6-RetailPL-13'!$N$54,'NR6-RetailPL-13'!$N$55,'NR6-RetailPL-13'!$H$56,'NR6-RetailPL-13'!$J$56,'NR6-RetailPL-13'!$L$56,'NR6-RetailPL-13'!$N$56,'NR6-RetailPL-13'!$N$58,'NR6-RetailPL-13'!$N$59,'NR6-RetailPL-13'!$H$60,'NR6-RetailPL-13'!$J$60,'NR6-RetailPL-13'!$L$60,'NR6-RetailPL-13'!$N$60,'NR6-RetailPL-13'!$N$62</definedName>
    <definedName name="QB_FORMULA_4" localSheetId="26" hidden="1">'NR6-TotalPL-13'!$N$53,'NR6-TotalPL-13'!$H$54,'NR6-TotalPL-13'!$J$54,'NR6-TotalPL-13'!$L$54,'NR6-TotalPL-13'!$N$54,'NR6-TotalPL-13'!$N$56,'NR6-TotalPL-13'!$N$57,'NR6-TotalPL-13'!$N$58,'NR6-TotalPL-13'!$N$59,'NR6-TotalPL-13'!$N$60,'NR6-TotalPL-13'!$H$61,'NR6-TotalPL-13'!$J$61,'NR6-TotalPL-13'!$L$61,'NR6-TotalPL-13'!$N$61,'NR6-TotalPL-13'!$N$62,'NR6-TotalPL-13'!$H$63</definedName>
    <definedName name="QB_FORMULA_4" localSheetId="32" hidden="1">'NWC-PL-13'!$K$57,'NWC-PL-13'!$M$57,'NWC-PL-13'!$O$57,'NWC-PL-13'!$O$59,'NWC-PL-13'!$O$60,'NWC-PL-13'!$O$61,'NWC-PL-13'!$O$62,'NWC-PL-13'!$I$63,'NWC-PL-13'!$K$63,'NWC-PL-13'!$M$63,'NWC-PL-13'!$O$63,'NWC-PL-13'!$O$65,'NWC-PL-13'!$I$66,'NWC-PL-13'!$K$66,'NWC-PL-13'!$M$66,'NWC-PL-13'!$O$66</definedName>
    <definedName name="QB_FORMULA_4" localSheetId="34" hidden="1">'OCP-PL-13'!$N$49,'OCP-PL-13'!$N$50,'OCP-PL-13'!$N$51,'OCP-PL-13'!$N$52,'OCP-PL-13'!$N$53,'OCP-PL-13'!$H$54,'OCP-PL-13'!$J$54,'OCP-PL-13'!$L$54,'OCP-PL-13'!$N$54,'OCP-PL-13'!$H$55,'OCP-PL-13'!$J$55,'OCP-PL-13'!$L$55,'OCP-PL-13'!$N$55,'OCP-PL-13'!$N$58,'OCP-PL-13'!$N$59,'OCP-PL-13'!$N$60</definedName>
    <definedName name="QB_FORMULA_4" localSheetId="36" hidden="1">'OMI-PL-13'!$H$56,'OMI-PL-13'!$J$56,'OMI-PL-13'!$L$56,'OMI-PL-13'!$F$57,'OMI-PL-13'!$H$57,'OMI-PL-13'!$J$57,'OMI-PL-13'!$L$57,'OMI-PL-13'!$F$58,'OMI-PL-13'!$H$58,'OMI-PL-13'!$J$58,'OMI-PL-13'!$L$58</definedName>
    <definedName name="QB_FORMULA_4" localSheetId="38" hidden="1">'ROY-PL-13'!$M$52,'ROY-PL-13'!$M$53,'ROY-PL-13'!$G$54,'ROY-PL-13'!$I$54,'ROY-PL-13'!$K$54,'ROY-PL-13'!$M$54,'ROY-PL-13'!$M$56,'ROY-PL-13'!$M$57,'ROY-PL-13'!$G$58,'ROY-PL-13'!$I$58,'ROY-PL-13'!$K$58,'ROY-PL-13'!$M$58,'ROY-PL-13'!$M$59,'ROY-PL-13'!$M$61,'ROY-PL-13'!$M$62,'ROY-PL-13'!$G$63</definedName>
    <definedName name="QB_FORMULA_4" localSheetId="40" hidden="1">'SPC-PL-13'!$M$56,'SPC-PL-13'!$M$57,'SPC-PL-13'!$G$58,'SPC-PL-13'!$I$58,'SPC-PL-13'!$K$58,'SPC-PL-13'!$M$58,'SPC-PL-13'!$G$59,'SPC-PL-13'!$I$59,'SPC-PL-13'!$K$59,'SPC-PL-13'!$M$59,'SPC-PL-13'!$M$62,'SPC-PL-13'!$M$63,'SPC-PL-13'!$M$64,'SPC-PL-13'!$M$65,'SPC-PL-13'!$M$66,'SPC-PL-13'!$M$67</definedName>
    <definedName name="QB_FORMULA_4" localSheetId="44" hidden="1">'UST-PL-13'!$H$51,'UST-PL-13'!$J$51,'UST-PL-13'!$L$51,'UST-PL-13'!$N$51,'UST-PL-13'!$N$52,'UST-PL-13'!$N$53,'UST-PL-13'!$N$54,'UST-PL-13'!$H$55,'UST-PL-13'!$J$55,'UST-PL-13'!$L$55,'UST-PL-13'!$N$55,'UST-PL-13'!$N$56,'UST-PL-13'!$N$57,'UST-PL-13'!$N$58,'UST-PL-13'!$N$59,'UST-PL-13'!$N$61</definedName>
    <definedName name="QB_FORMULA_5" localSheetId="46" hidden="1">'21Webb-PL-13'!$N$60,'21Webb-PL-13'!$H$61,'21Webb-PL-13'!$J$61,'21Webb-PL-13'!$L$61,'21Webb-PL-13'!$N$61,'21Webb-PL-13'!$N$62,'21Webb-PL-13'!$N$63,'21Webb-PL-13'!$N$64,'21Webb-PL-13'!$N$66,'21Webb-PL-13'!$N$67,'21Webb-PL-13'!$N$68,'21Webb-PL-13'!$N$69,'21Webb-PL-13'!$N$70,'21Webb-PL-13'!$N$71,'21Webb-PL-13'!$N$73,'21Webb-PL-13'!$N$74</definedName>
    <definedName name="QB_FORMULA_5" localSheetId="16" hidden="1">'ABP-PL-13'!$N$65,'ABP-PL-13'!$N$66,'ABP-PL-13'!$H$67,'ABP-PL-13'!$J$67,'ABP-PL-13'!$L$67,'ABP-PL-13'!$N$67,'ABP-PL-13'!$N$69,'ABP-PL-13'!$N$70,'ABP-PL-13'!$H$71,'ABP-PL-13'!$J$71,'ABP-PL-13'!$L$71,'ABP-PL-13'!$N$71,'ABP-PL-13'!$N$73,'ABP-PL-13'!$H$74,'ABP-PL-13'!$J$74,'ABP-PL-13'!$L$74</definedName>
    <definedName name="QB_FORMULA_5" localSheetId="18" hidden="1">'BPT-PL-13'!$N$62,'BPT-PL-13'!$N$64,'BPT-PL-13'!$N$65,'BPT-PL-13'!$H$66,'BPT-PL-13'!$J$66,'BPT-PL-13'!$L$66,'BPT-PL-13'!$N$66,'BPT-PL-13'!$N$68,'BPT-PL-13'!$N$69,'BPT-PL-13'!$N$70,'BPT-PL-13'!$N$71,'BPT-PL-13'!$H$72,'BPT-PL-13'!$J$72,'BPT-PL-13'!$L$72,'BPT-PL-13'!$N$72,'BPT-PL-13'!$N$74</definedName>
    <definedName name="QB_FORMULA_5" localSheetId="20" hidden="1">'CP-PL-13'!$N$63,'CP-PL-13'!$H$64,'CP-PL-13'!$J$64,'CP-PL-13'!$L$64,'CP-PL-13'!$N$64,'CP-PL-13'!$N$66,'CP-PL-13'!$N$67,'CP-PL-13'!$H$68,'CP-PL-13'!$J$68,'CP-PL-13'!$L$68,'CP-PL-13'!$N$68,'CP-PL-13'!$N$69,'CP-PL-13'!$N$71,'CP-PL-13'!$N$72,'CP-PL-13'!$H$73,'CP-PL-13'!$J$73</definedName>
    <definedName name="QB_FORMULA_5" localSheetId="22" hidden="1">'DGS-PL-13'!$L$63,'DGS-PL-13'!$N$63,'DGS-PL-13'!$N$65,'DGS-PL-13'!$N$66,'DGS-PL-13'!$H$67,'DGS-PL-13'!$J$67,'DGS-PL-13'!$L$67,'DGS-PL-13'!$N$67,'DGS-PL-13'!$N$69,'DGS-PL-13'!$N$70,'DGS-PL-13'!$H$71,'DGS-PL-13'!$J$71,'DGS-PL-13'!$L$71,'DGS-PL-13'!$N$71,'DGS-PL-13'!$N$72,'DGS-PL-13'!$N$74</definedName>
    <definedName name="QB_FORMULA_5" localSheetId="30" hidden="1">'NR14-PL-13'!$I$66,'NR14-PL-13'!$K$66,'NR14-PL-13'!$M$66,'NR14-PL-13'!$G$67,'NR14-PL-13'!$I$67,'NR14-PL-13'!$K$67,'NR14-PL-13'!$M$67,'NR14-PL-13'!$G$68,'NR14-PL-13'!$I$68,'NR14-PL-13'!$K$68,'NR14-PL-13'!$M$68,'NR14-PL-13'!$M$72,'NR14-PL-13'!$G$73,'NR14-PL-13'!$I$73,'NR14-PL-13'!$K$73,'NR14-PL-13'!$M$73</definedName>
    <definedName name="QB_FORMULA_5" localSheetId="27" hidden="1">'NR6-OfficePL-13'!$H$61,'NR6-OfficePL-13'!$J$61,'NR6-OfficePL-13'!$L$61,'NR6-OfficePL-13'!$N$61,'NR6-OfficePL-13'!$N$63,'NR6-OfficePL-13'!$N$64,'NR6-OfficePL-13'!$N$65,'NR6-OfficePL-13'!$H$66,'NR6-OfficePL-13'!$J$66,'NR6-OfficePL-13'!$L$66,'NR6-OfficePL-13'!$N$66,'NR6-OfficePL-13'!$N$68,'NR6-OfficePL-13'!$N$69,'NR6-OfficePL-13'!$N$70,'NR6-OfficePL-13'!$H$71,'NR6-OfficePL-13'!$J$71</definedName>
    <definedName name="QB_FORMULA_5" localSheetId="28" hidden="1">'NR6-RetailPL-13'!$N$63,'NR6-RetailPL-13'!$H$64,'NR6-RetailPL-13'!$J$64,'NR6-RetailPL-13'!$L$64,'NR6-RetailPL-13'!$N$64,'NR6-RetailPL-13'!$N$66,'NR6-RetailPL-13'!$N$67,'NR6-RetailPL-13'!$N$68,'NR6-RetailPL-13'!$H$69,'NR6-RetailPL-13'!$J$69,'NR6-RetailPL-13'!$L$69,'NR6-RetailPL-13'!$N$69,'NR6-RetailPL-13'!$N$70,'NR6-RetailPL-13'!$N$72,'NR6-RetailPL-13'!$H$73,'NR6-RetailPL-13'!$J$73</definedName>
    <definedName name="QB_FORMULA_5" localSheetId="26" hidden="1">'NR6-TotalPL-13'!$J$63,'NR6-TotalPL-13'!$L$63,'NR6-TotalPL-13'!$N$63,'NR6-TotalPL-13'!$N$66,'NR6-TotalPL-13'!$N$67,'NR6-TotalPL-13'!$N$68,'NR6-TotalPL-13'!$N$69,'NR6-TotalPL-13'!$N$70,'NR6-TotalPL-13'!$N$71,'NR6-TotalPL-13'!$N$72,'NR6-TotalPL-13'!$H$73,'NR6-TotalPL-13'!$J$73,'NR6-TotalPL-13'!$L$73,'NR6-TotalPL-13'!$N$73,'NR6-TotalPL-13'!$N$75,'NR6-TotalPL-13'!$N$76</definedName>
    <definedName name="QB_FORMULA_5" localSheetId="32" hidden="1">'NWC-PL-13'!$I$67,'NWC-PL-13'!$K$67,'NWC-PL-13'!$M$67,'NWC-PL-13'!$O$67,'NWC-PL-13'!$O$68,'NWC-PL-13'!$O$69,'NWC-PL-13'!$O$70,'NWC-PL-13'!$O$71,'NWC-PL-13'!$O$74,'NWC-PL-13'!$I$75,'NWC-PL-13'!$K$75,'NWC-PL-13'!$M$75,'NWC-PL-13'!$O$75,'NWC-PL-13'!$O$77,'NWC-PL-13'!$O$78,'NWC-PL-13'!$O$79</definedName>
    <definedName name="QB_FORMULA_5" localSheetId="34" hidden="1">'OCP-PL-13'!$N$61,'OCP-PL-13'!$H$62,'OCP-PL-13'!$J$62,'OCP-PL-13'!$L$62,'OCP-PL-13'!$N$62,'OCP-PL-13'!$N$64,'OCP-PL-13'!$N$65,'OCP-PL-13'!$N$66,'OCP-PL-13'!$H$67,'OCP-PL-13'!$J$67,'OCP-PL-13'!$L$67,'OCP-PL-13'!$N$67,'OCP-PL-13'!$N$69,'OCP-PL-13'!$N$70,'OCP-PL-13'!$N$71,'OCP-PL-13'!$H$72</definedName>
    <definedName name="QB_FORMULA_5" localSheetId="38" hidden="1">'ROY-PL-13'!$I$63,'ROY-PL-13'!$K$63,'ROY-PL-13'!$M$63,'ROY-PL-13'!$M$65,'ROY-PL-13'!$M$66,'ROY-PL-13'!$M$67,'ROY-PL-13'!$G$68,'ROY-PL-13'!$I$68,'ROY-PL-13'!$K$68,'ROY-PL-13'!$M$68,'ROY-PL-13'!$M$70,'ROY-PL-13'!$M$71,'ROY-PL-13'!$M$72,'ROY-PL-13'!$M$73,'ROY-PL-13'!$M$74,'ROY-PL-13'!$G$75</definedName>
    <definedName name="QB_FORMULA_5" localSheetId="40" hidden="1">'SPC-PL-13'!$M$68,'SPC-PL-13'!$G$69,'SPC-PL-13'!$I$69,'SPC-PL-13'!$K$69,'SPC-PL-13'!$M$69,'SPC-PL-13'!$M$71,'SPC-PL-13'!$M$72,'SPC-PL-13'!$G$73,'SPC-PL-13'!$I$73,'SPC-PL-13'!$K$73,'SPC-PL-13'!$M$73,'SPC-PL-13'!$M$75,'SPC-PL-13'!$M$76,'SPC-PL-13'!$G$77,'SPC-PL-13'!$I$77,'SPC-PL-13'!$K$77</definedName>
    <definedName name="QB_FORMULA_5" localSheetId="44" hidden="1">'UST-PL-13'!$N$62,'UST-PL-13'!$N$63,'UST-PL-13'!$N$64,'UST-PL-13'!$N$65,'UST-PL-13'!$N$66,'UST-PL-13'!$H$67,'UST-PL-13'!$J$67,'UST-PL-13'!$L$67,'UST-PL-13'!$N$67,'UST-PL-13'!$N$68,'UST-PL-13'!$N$69,'UST-PL-13'!$N$70,'UST-PL-13'!$N$71,'UST-PL-13'!$N$72,'UST-PL-13'!$N$73,'UST-PL-13'!$N$74</definedName>
    <definedName name="QB_FORMULA_6" localSheetId="46" hidden="1">'21Webb-PL-13'!$N$75,'21Webb-PL-13'!$N$76,'21Webb-PL-13'!$H$77,'21Webb-PL-13'!$J$77,'21Webb-PL-13'!$L$77,'21Webb-PL-13'!$N$77,'21Webb-PL-13'!$N$79,'21Webb-PL-13'!$H$80,'21Webb-PL-13'!$J$80,'21Webb-PL-13'!$L$80,'21Webb-PL-13'!$N$80,'21Webb-PL-13'!$H$81,'21Webb-PL-13'!$J$81,'21Webb-PL-13'!$L$81,'21Webb-PL-13'!$N$81,'21Webb-PL-13'!$H$82</definedName>
    <definedName name="QB_FORMULA_6" localSheetId="16" hidden="1">'ABP-PL-13'!$N$74,'ABP-PL-13'!$N$75,'ABP-PL-13'!$N$77,'ABP-PL-13'!$N$78,'ABP-PL-13'!$H$79,'ABP-PL-13'!$J$79,'ABP-PL-13'!$L$79,'ABP-PL-13'!$N$79,'ABP-PL-13'!$N$81,'ABP-PL-13'!$N$82,'ABP-PL-13'!$H$83,'ABP-PL-13'!$J$83,'ABP-PL-13'!$L$83,'ABP-PL-13'!$N$83,'ABP-PL-13'!$N$85,'ABP-PL-13'!$N$86</definedName>
    <definedName name="QB_FORMULA_6" localSheetId="18" hidden="1">'BPT-PL-13'!$N$75,'BPT-PL-13'!$H$76,'BPT-PL-13'!$J$76,'BPT-PL-13'!$L$76,'BPT-PL-13'!$N$76,'BPT-PL-13'!$N$78,'BPT-PL-13'!$N$79,'BPT-PL-13'!$H$80,'BPT-PL-13'!$J$80,'BPT-PL-13'!$L$80,'BPT-PL-13'!$N$80,'BPT-PL-13'!$N$81,'BPT-PL-13'!$N$83,'BPT-PL-13'!$N$84,'BPT-PL-13'!$H$85,'BPT-PL-13'!$J$85</definedName>
    <definedName name="QB_FORMULA_6" localSheetId="20" hidden="1">'CP-PL-13'!$L$73,'CP-PL-13'!$N$73,'CP-PL-13'!$N$75,'CP-PL-13'!$N$76,'CP-PL-13'!$H$77,'CP-PL-13'!$J$77,'CP-PL-13'!$L$77,'CP-PL-13'!$N$77,'CP-PL-13'!$N$79,'CP-PL-13'!$N$80,'CP-PL-13'!$H$81,'CP-PL-13'!$J$81,'CP-PL-13'!$L$81,'CP-PL-13'!$N$81,'CP-PL-13'!$N$83,'CP-PL-13'!$N$84</definedName>
    <definedName name="QB_FORMULA_6" localSheetId="22" hidden="1">'DGS-PL-13'!$N$75,'DGS-PL-13'!$H$76,'DGS-PL-13'!$J$76,'DGS-PL-13'!$L$76,'DGS-PL-13'!$N$76,'DGS-PL-13'!$N$78,'DGS-PL-13'!$N$79,'DGS-PL-13'!$N$80,'DGS-PL-13'!$H$81,'DGS-PL-13'!$J$81,'DGS-PL-13'!$L$81,'DGS-PL-13'!$N$81,'DGS-PL-13'!$N$83,'DGS-PL-13'!$N$84,'DGS-PL-13'!$N$85,'DGS-PL-13'!$H$86</definedName>
    <definedName name="QB_FORMULA_6" localSheetId="30" hidden="1">'NR14-PL-13'!$G$74,'NR14-PL-13'!$I$74,'NR14-PL-13'!$K$74,'NR14-PL-13'!$M$74,'NR14-PL-13'!$G$75,'NR14-PL-13'!$I$75,'NR14-PL-13'!$K$75,'NR14-PL-13'!$M$75,'NR14-PL-13'!$G$76,'NR14-PL-13'!$I$76,'NR14-PL-13'!$K$76,'NR14-PL-13'!$M$76</definedName>
    <definedName name="QB_FORMULA_6" localSheetId="27" hidden="1">'NR6-OfficePL-13'!$L$71,'NR6-OfficePL-13'!$N$71,'NR6-OfficePL-13'!$N$73,'NR6-OfficePL-13'!$N$74,'NR6-OfficePL-13'!$H$75,'NR6-OfficePL-13'!$J$75,'NR6-OfficePL-13'!$L$75,'NR6-OfficePL-13'!$N$75,'NR6-OfficePL-13'!$N$76,'NR6-OfficePL-13'!$N$78,'NR6-OfficePL-13'!$N$79,'NR6-OfficePL-13'!$N$80,'NR6-OfficePL-13'!$H$81,'NR6-OfficePL-13'!$J$81,'NR6-OfficePL-13'!$L$81,'NR6-OfficePL-13'!$N$81</definedName>
    <definedName name="QB_FORMULA_6" localSheetId="28" hidden="1">'NR6-RetailPL-13'!$L$73,'NR6-RetailPL-13'!$N$73,'NR6-RetailPL-13'!$N$74,'NR6-RetailPL-13'!$N$76,'NR6-RetailPL-13'!$N$77,'NR6-RetailPL-13'!$H$78,'NR6-RetailPL-13'!$J$78,'NR6-RetailPL-13'!$L$78,'NR6-RetailPL-13'!$N$78,'NR6-RetailPL-13'!$N$80,'NR6-RetailPL-13'!$N$81,'NR6-RetailPL-13'!$N$82,'NR6-RetailPL-13'!$H$83,'NR6-RetailPL-13'!$J$83,'NR6-RetailPL-13'!$L$83,'NR6-RetailPL-13'!$N$83</definedName>
    <definedName name="QB_FORMULA_6" localSheetId="26" hidden="1">'NR6-TotalPL-13'!$N$77,'NR6-TotalPL-13'!$H$78,'NR6-TotalPL-13'!$J$78,'NR6-TotalPL-13'!$L$78,'NR6-TotalPL-13'!$N$78,'NR6-TotalPL-13'!$N$80,'NR6-TotalPL-13'!$N$81,'NR6-TotalPL-13'!$H$82,'NR6-TotalPL-13'!$J$82,'NR6-TotalPL-13'!$L$82,'NR6-TotalPL-13'!$N$82,'NR6-TotalPL-13'!$N$84,'NR6-TotalPL-13'!$N$85,'NR6-TotalPL-13'!$N$86,'NR6-TotalPL-13'!$H$87,'NR6-TotalPL-13'!$J$87</definedName>
    <definedName name="QB_FORMULA_6" localSheetId="32" hidden="1">'NWC-PL-13'!$O$80,'NWC-PL-13'!$I$81,'NWC-PL-13'!$K$81,'NWC-PL-13'!$M$81,'NWC-PL-13'!$O$81,'NWC-PL-13'!$O$83,'NWC-PL-13'!$O$84,'NWC-PL-13'!$O$85,'NWC-PL-13'!$O$86,'NWC-PL-13'!$O$87,'NWC-PL-13'!$I$88,'NWC-PL-13'!$K$88,'NWC-PL-13'!$M$88,'NWC-PL-13'!$O$88,'NWC-PL-13'!$O$90,'NWC-PL-13'!$O$91</definedName>
    <definedName name="QB_FORMULA_6" localSheetId="34" hidden="1">'OCP-PL-13'!$J$72,'OCP-PL-13'!$L$72,'OCP-PL-13'!$N$72,'OCP-PL-13'!$N$74,'OCP-PL-13'!$H$75,'OCP-PL-13'!$J$75,'OCP-PL-13'!$L$75,'OCP-PL-13'!$N$75,'OCP-PL-13'!$N$76,'OCP-PL-13'!$N$78,'OCP-PL-13'!$N$79,'OCP-PL-13'!$N$80,'OCP-PL-13'!$N$81,'OCP-PL-13'!$H$82,'OCP-PL-13'!$J$82,'OCP-PL-13'!$L$82</definedName>
    <definedName name="QB_FORMULA_6" localSheetId="38" hidden="1">'ROY-PL-13'!$I$75,'ROY-PL-13'!$K$75,'ROY-PL-13'!$M$75,'ROY-PL-13'!$M$76,'ROY-PL-13'!$M$77,'ROY-PL-13'!$G$78,'ROY-PL-13'!$I$78,'ROY-PL-13'!$K$78,'ROY-PL-13'!$M$78,'ROY-PL-13'!$M$79,'ROY-PL-13'!$M$81,'ROY-PL-13'!$M$82,'ROY-PL-13'!$M$83,'ROY-PL-13'!$G$84,'ROY-PL-13'!$I$84,'ROY-PL-13'!$K$84</definedName>
    <definedName name="QB_FORMULA_6" localSheetId="40" hidden="1">'SPC-PL-13'!$M$77,'SPC-PL-13'!$M$79,'SPC-PL-13'!$M$80,'SPC-PL-13'!$M$81,'SPC-PL-13'!$M$82,'SPC-PL-13'!$G$83,'SPC-PL-13'!$I$83,'SPC-PL-13'!$K$83,'SPC-PL-13'!$M$83,'SPC-PL-13'!$M$85,'SPC-PL-13'!$M$86,'SPC-PL-13'!$M$87,'SPC-PL-13'!$G$88,'SPC-PL-13'!$I$88,'SPC-PL-13'!$K$88,'SPC-PL-13'!$M$88</definedName>
    <definedName name="QB_FORMULA_6" localSheetId="44" hidden="1">'UST-PL-13'!$N$75,'UST-PL-13'!$N$78,'UST-PL-13'!$N$79,'UST-PL-13'!$N$80,'UST-PL-13'!$N$81,'UST-PL-13'!$H$82,'UST-PL-13'!$J$82,'UST-PL-13'!$L$82,'UST-PL-13'!$N$82,'UST-PL-13'!$N$84,'UST-PL-13'!$N$85,'UST-PL-13'!$N$86,'UST-PL-13'!$N$87,'UST-PL-13'!$H$88,'UST-PL-13'!$J$88,'UST-PL-13'!$L$88</definedName>
    <definedName name="QB_FORMULA_7" localSheetId="46" hidden="1">'21Webb-PL-13'!$J$82,'21Webb-PL-13'!$L$82,'21Webb-PL-13'!$N$82,'21Webb-PL-13'!$H$83,'21Webb-PL-13'!$J$83,'21Webb-PL-13'!$L$83,'21Webb-PL-13'!$N$83,'21Webb-PL-13'!$N$87,'21Webb-PL-13'!$H$88,'21Webb-PL-13'!$J$88,'21Webb-PL-13'!$L$88,'21Webb-PL-13'!$N$88,'21Webb-PL-13'!$N$89,'21Webb-PL-13'!$N$91,'21Webb-PL-13'!$H$92,'21Webb-PL-13'!$J$92</definedName>
    <definedName name="QB_FORMULA_7" localSheetId="16" hidden="1">'ABP-PL-13'!$N$87,'ABP-PL-13'!$N$88,'ABP-PL-13'!$N$89,'ABP-PL-13'!$N$90,'ABP-PL-13'!$H$91,'ABP-PL-13'!$J$91,'ABP-PL-13'!$L$91,'ABP-PL-13'!$N$91,'ABP-PL-13'!$N$93,'ABP-PL-13'!$N$94,'ABP-PL-13'!$H$95,'ABP-PL-13'!$J$95,'ABP-PL-13'!$L$95,'ABP-PL-13'!$N$95,'ABP-PL-13'!$N$97,'ABP-PL-13'!$N$98</definedName>
    <definedName name="QB_FORMULA_7" localSheetId="18" hidden="1">'BPT-PL-13'!$L$85,'BPT-PL-13'!$N$85,'BPT-PL-13'!$N$87,'BPT-PL-13'!$N$88,'BPT-PL-13'!$N$89,'BPT-PL-13'!$H$90,'BPT-PL-13'!$J$90,'BPT-PL-13'!$L$90,'BPT-PL-13'!$N$90,'BPT-PL-13'!$N$92,'BPT-PL-13'!$H$93,'BPT-PL-13'!$J$93,'BPT-PL-13'!$L$93,'BPT-PL-13'!$N$93,'BPT-PL-13'!$N$95,'BPT-PL-13'!$N$96</definedName>
    <definedName name="QB_FORMULA_7" localSheetId="20" hidden="1">'CP-PL-13'!$N$85,'CP-PL-13'!$N$86,'CP-PL-13'!$N$87,'CP-PL-13'!$N$88,'CP-PL-13'!$H$89,'CP-PL-13'!$J$89,'CP-PL-13'!$L$89,'CP-PL-13'!$N$89,'CP-PL-13'!$N$90,'CP-PL-13'!$N$91,'CP-PL-13'!$H$92,'CP-PL-13'!$J$92,'CP-PL-13'!$L$92,'CP-PL-13'!$N$92,'CP-PL-13'!$N$93,'CP-PL-13'!$N$95</definedName>
    <definedName name="QB_FORMULA_7" localSheetId="22" hidden="1">'DGS-PL-13'!$J$86,'DGS-PL-13'!$L$86,'DGS-PL-13'!$N$86,'DGS-PL-13'!$N$88,'DGS-PL-13'!$N$89,'DGS-PL-13'!$N$90,'DGS-PL-13'!$N$91,'DGS-PL-13'!$N$92,'DGS-PL-13'!$N$93,'DGS-PL-13'!$H$94,'DGS-PL-13'!$J$94,'DGS-PL-13'!$L$94,'DGS-PL-13'!$N$94,'DGS-PL-13'!$N$95,'DGS-PL-13'!$N$96,'DGS-PL-13'!$H$97</definedName>
    <definedName name="QB_FORMULA_7" localSheetId="27" hidden="1">'NR6-OfficePL-13'!$N$83,'NR6-OfficePL-13'!$N$84,'NR6-OfficePL-13'!$N$85,'NR6-OfficePL-13'!$H$86,'NR6-OfficePL-13'!$J$86,'NR6-OfficePL-13'!$L$86,'NR6-OfficePL-13'!$N$86,'NR6-OfficePL-13'!$N$88,'NR6-OfficePL-13'!$N$89,'NR6-OfficePL-13'!$N$90,'NR6-OfficePL-13'!$H$91,'NR6-OfficePL-13'!$J$91,'NR6-OfficePL-13'!$L$91,'NR6-OfficePL-13'!$N$91,'NR6-OfficePL-13'!$N$93,'NR6-OfficePL-13'!$N$94</definedName>
    <definedName name="QB_FORMULA_7" localSheetId="28" hidden="1">'NR6-RetailPL-13'!$N$85,'NR6-RetailPL-13'!$N$86,'NR6-RetailPL-13'!$N$87,'NR6-RetailPL-13'!$N$88,'NR6-RetailPL-13'!$N$89,'NR6-RetailPL-13'!$N$90,'NR6-RetailPL-13'!$H$91,'NR6-RetailPL-13'!$J$91,'NR6-RetailPL-13'!$L$91,'NR6-RetailPL-13'!$N$91,'NR6-RetailPL-13'!$N$92,'NR6-RetailPL-13'!$H$93,'NR6-RetailPL-13'!$J$93,'NR6-RetailPL-13'!$L$93,'NR6-RetailPL-13'!$N$93,'NR6-RetailPL-13'!$N$95</definedName>
    <definedName name="QB_FORMULA_7" localSheetId="26" hidden="1">'NR6-TotalPL-13'!$L$87,'NR6-TotalPL-13'!$N$87,'NR6-TotalPL-13'!$N$89,'NR6-TotalPL-13'!$N$90,'NR6-TotalPL-13'!$N$91,'NR6-TotalPL-13'!$H$92,'NR6-TotalPL-13'!$J$92,'NR6-TotalPL-13'!$L$92,'NR6-TotalPL-13'!$N$92,'NR6-TotalPL-13'!$N$94,'NR6-TotalPL-13'!$N$95,'NR6-TotalPL-13'!$H$96,'NR6-TotalPL-13'!$J$96,'NR6-TotalPL-13'!$L$96,'NR6-TotalPL-13'!$N$96,'NR6-TotalPL-13'!$N$97</definedName>
    <definedName name="QB_FORMULA_7" localSheetId="32" hidden="1">'NWC-PL-13'!$O$92,'NWC-PL-13'!$O$93,'NWC-PL-13'!$I$94,'NWC-PL-13'!$K$94,'NWC-PL-13'!$M$94,'NWC-PL-13'!$O$94,'NWC-PL-13'!$O$96,'NWC-PL-13'!$I$97,'NWC-PL-13'!$K$97,'NWC-PL-13'!$M$97,'NWC-PL-13'!$O$97,'NWC-PL-13'!$I$98,'NWC-PL-13'!$K$98,'NWC-PL-13'!$M$98,'NWC-PL-13'!$O$98,'NWC-PL-13'!$I$99</definedName>
    <definedName name="QB_FORMULA_7" localSheetId="34" hidden="1">'OCP-PL-13'!$N$82,'OCP-PL-13'!$N$84,'OCP-PL-13'!$N$85,'OCP-PL-13'!$N$86,'OCP-PL-13'!$N$87,'OCP-PL-13'!$H$88,'OCP-PL-13'!$J$88,'OCP-PL-13'!$L$88,'OCP-PL-13'!$N$88,'OCP-PL-13'!$N$90,'OCP-PL-13'!$N$91,'OCP-PL-13'!$N$92,'OCP-PL-13'!$N$93,'OCP-PL-13'!$H$94,'OCP-PL-13'!$J$94,'OCP-PL-13'!$L$94</definedName>
    <definedName name="QB_FORMULA_7" localSheetId="38" hidden="1">'ROY-PL-13'!$M$84,'ROY-PL-13'!$M$85,'ROY-PL-13'!$M$86,'ROY-PL-13'!$G$87,'ROY-PL-13'!$I$87,'ROY-PL-13'!$K$87,'ROY-PL-13'!$M$87,'ROY-PL-13'!$G$88,'ROY-PL-13'!$I$88,'ROY-PL-13'!$K$88,'ROY-PL-13'!$M$88,'ROY-PL-13'!$M$92,'ROY-PL-13'!$G$93,'ROY-PL-13'!$I$93,'ROY-PL-13'!$K$93,'ROY-PL-13'!$M$93</definedName>
    <definedName name="QB_FORMULA_7" localSheetId="40" hidden="1">'SPC-PL-13'!$M$90,'SPC-PL-13'!$M$91,'SPC-PL-13'!$M$92,'SPC-PL-13'!$G$93,'SPC-PL-13'!$I$93,'SPC-PL-13'!$K$93,'SPC-PL-13'!$M$93,'SPC-PL-13'!$M$94,'SPC-PL-13'!$M$96,'SPC-PL-13'!$M$97,'SPC-PL-13'!$M$98,'SPC-PL-13'!$G$99,'SPC-PL-13'!$I$99,'SPC-PL-13'!$K$99,'SPC-PL-13'!$M$99,'SPC-PL-13'!$M$101</definedName>
    <definedName name="QB_FORMULA_7" localSheetId="44" hidden="1">'UST-PL-13'!$N$88,'UST-PL-13'!$N$90,'UST-PL-13'!$N$91,'UST-PL-13'!$H$92,'UST-PL-13'!$J$92,'UST-PL-13'!$L$92,'UST-PL-13'!$N$92,'UST-PL-13'!$H$93,'UST-PL-13'!$J$93,'UST-PL-13'!$L$93,'UST-PL-13'!$N$93,'UST-PL-13'!$H$94,'UST-PL-13'!$J$94,'UST-PL-13'!$L$94,'UST-PL-13'!$N$94,'UST-PL-13'!$H$95</definedName>
    <definedName name="QB_FORMULA_8" localSheetId="46" hidden="1">'21Webb-PL-13'!$L$92,'21Webb-PL-13'!$N$92,'21Webb-PL-13'!$H$93,'21Webb-PL-13'!$J$93,'21Webb-PL-13'!$L$93,'21Webb-PL-13'!$N$93,'21Webb-PL-13'!$N$95,'21Webb-PL-13'!$H$96,'21Webb-PL-13'!$J$96,'21Webb-PL-13'!$L$96,'21Webb-PL-13'!$N$96,'21Webb-PL-13'!$H$97,'21Webb-PL-13'!$J$97,'21Webb-PL-13'!$L$97,'21Webb-PL-13'!$N$97,'21Webb-PL-13'!$H$98</definedName>
    <definedName name="QB_FORMULA_8" localSheetId="16" hidden="1">'ABP-PL-13'!$H$99,'ABP-PL-13'!$J$99,'ABP-PL-13'!$L$99,'ABP-PL-13'!$N$99,'ABP-PL-13'!$H$100,'ABP-PL-13'!$J$100,'ABP-PL-13'!$L$100,'ABP-PL-13'!$N$100,'ABP-PL-13'!$N$101,'ABP-PL-13'!$N$103,'ABP-PL-13'!$N$104,'ABP-PL-13'!$N$105,'ABP-PL-13'!$N$106,'ABP-PL-13'!$H$107,'ABP-PL-13'!$J$107,'ABP-PL-13'!$L$107</definedName>
    <definedName name="QB_FORMULA_8" localSheetId="18" hidden="1">'BPT-PL-13'!$N$97,'BPT-PL-13'!$N$98,'BPT-PL-13'!$N$99,'BPT-PL-13'!$H$100,'BPT-PL-13'!$J$100,'BPT-PL-13'!$L$100,'BPT-PL-13'!$N$100,'BPT-PL-13'!$N$102,'BPT-PL-13'!$N$103,'BPT-PL-13'!$H$104,'BPT-PL-13'!$J$104,'BPT-PL-13'!$L$104,'BPT-PL-13'!$N$104,'BPT-PL-13'!$H$105,'BPT-PL-13'!$J$105,'BPT-PL-13'!$L$105</definedName>
    <definedName name="QB_FORMULA_8" localSheetId="20" hidden="1">'CP-PL-13'!$N$96,'CP-PL-13'!$N$97,'CP-PL-13'!$H$98,'CP-PL-13'!$J$98,'CP-PL-13'!$L$98,'CP-PL-13'!$N$98,'CP-PL-13'!$N$99,'CP-PL-13'!$N$100,'CP-PL-13'!$N$101,'CP-PL-13'!$H$102,'CP-PL-13'!$J$102,'CP-PL-13'!$L$102,'CP-PL-13'!$N$102,'CP-PL-13'!$H$103,'CP-PL-13'!$J$103,'CP-PL-13'!$L$103</definedName>
    <definedName name="QB_FORMULA_8" localSheetId="22" hidden="1">'DGS-PL-13'!$J$97,'DGS-PL-13'!$L$97,'DGS-PL-13'!$N$97,'DGS-PL-13'!$N$99,'DGS-PL-13'!$H$100,'DGS-PL-13'!$J$100,'DGS-PL-13'!$L$100,'DGS-PL-13'!$N$100,'DGS-PL-13'!$N$102,'DGS-PL-13'!$N$103,'DGS-PL-13'!$N$104,'DGS-PL-13'!$N$105,'DGS-PL-13'!$N$106,'DGS-PL-13'!$H$107,'DGS-PL-13'!$J$107,'DGS-PL-13'!$L$107</definedName>
    <definedName name="QB_FORMULA_8" localSheetId="27" hidden="1">'NR6-OfficePL-13'!$N$95,'NR6-OfficePL-13'!$N$96,'NR6-OfficePL-13'!$N$97,'NR6-OfficePL-13'!$N$98,'NR6-OfficePL-13'!$H$99,'NR6-OfficePL-13'!$J$99,'NR6-OfficePL-13'!$L$99,'NR6-OfficePL-13'!$N$99,'NR6-OfficePL-13'!$N$100,'NR6-OfficePL-13'!$N$101,'NR6-OfficePL-13'!$N$103,'NR6-OfficePL-13'!$N$104,'NR6-OfficePL-13'!$H$105,'NR6-OfficePL-13'!$J$105,'NR6-OfficePL-13'!$L$105,'NR6-OfficePL-13'!$N$105</definedName>
    <definedName name="QB_FORMULA_8" localSheetId="28" hidden="1">'NR6-RetailPL-13'!$H$96,'NR6-RetailPL-13'!$J$96,'NR6-RetailPL-13'!$L$96,'NR6-RetailPL-13'!$N$96,'NR6-RetailPL-13'!$N$98,'NR6-RetailPL-13'!$N$99,'NR6-RetailPL-13'!$H$100,'NR6-RetailPL-13'!$J$100,'NR6-RetailPL-13'!$L$100,'NR6-RetailPL-13'!$N$100,'NR6-RetailPL-13'!$N$101,'NR6-RetailPL-13'!$N$102,'NR6-RetailPL-13'!$N$103,'NR6-RetailPL-13'!$H$104,'NR6-RetailPL-13'!$J$104,'NR6-RetailPL-13'!$L$104</definedName>
    <definedName name="QB_FORMULA_8" localSheetId="26" hidden="1">'NR6-TotalPL-13'!$N$99,'NR6-TotalPL-13'!$N$100,'NR6-TotalPL-13'!$N$101,'NR6-TotalPL-13'!$H$102,'NR6-TotalPL-13'!$J$102,'NR6-TotalPL-13'!$L$102,'NR6-TotalPL-13'!$N$102,'NR6-TotalPL-13'!$N$104,'NR6-TotalPL-13'!$N$105,'NR6-TotalPL-13'!$N$106,'NR6-TotalPL-13'!$H$107,'NR6-TotalPL-13'!$J$107,'NR6-TotalPL-13'!$L$107,'NR6-TotalPL-13'!$N$107,'NR6-TotalPL-13'!$N$109,'NR6-TotalPL-13'!$N$110</definedName>
    <definedName name="QB_FORMULA_8" localSheetId="32" hidden="1">'NWC-PL-13'!$K$99,'NWC-PL-13'!$M$99,'NWC-PL-13'!$O$99,'NWC-PL-13'!$O$101,'NWC-PL-13'!$O$102,'NWC-PL-13'!$O$103,'NWC-PL-13'!$O$104,'NWC-PL-13'!$O$105,'NWC-PL-13'!$O$106,'NWC-PL-13'!$I$107,'NWC-PL-13'!$K$107,'NWC-PL-13'!$M$107,'NWC-PL-13'!$O$107,'NWC-PL-13'!$I$108,'NWC-PL-13'!$K$108,'NWC-PL-13'!$M$108</definedName>
    <definedName name="QB_FORMULA_8" localSheetId="34" hidden="1">'OCP-PL-13'!$N$94,'OCP-PL-13'!$N$96,'OCP-PL-13'!$N$97,'OCP-PL-13'!$N$98,'OCP-PL-13'!$N$99,'OCP-PL-13'!$N$100,'OCP-PL-13'!$N$101,'OCP-PL-13'!$N$102,'OCP-PL-13'!$H$103,'OCP-PL-13'!$J$103,'OCP-PL-13'!$L$103,'OCP-PL-13'!$N$103,'OCP-PL-13'!$N$104,'OCP-PL-13'!$N$106,'OCP-PL-13'!$N$107,'OCP-PL-13'!$H$108</definedName>
    <definedName name="QB_FORMULA_8" localSheetId="38" hidden="1">'ROY-PL-13'!$G$94,'ROY-PL-13'!$I$94,'ROY-PL-13'!$K$94,'ROY-PL-13'!$M$94,'ROY-PL-13'!$G$95,'ROY-PL-13'!$I$95,'ROY-PL-13'!$K$95,'ROY-PL-13'!$M$95,'ROY-PL-13'!$G$96,'ROY-PL-13'!$I$96,'ROY-PL-13'!$K$96,'ROY-PL-13'!$M$96</definedName>
    <definedName name="QB_FORMULA_8" localSheetId="40" hidden="1">'SPC-PL-13'!$M$102,'SPC-PL-13'!$M$103,'SPC-PL-13'!$G$104,'SPC-PL-13'!$I$104,'SPC-PL-13'!$K$104,'SPC-PL-13'!$M$104,'SPC-PL-13'!$M$106,'SPC-PL-13'!$M$107,'SPC-PL-13'!$G$108,'SPC-PL-13'!$I$108,'SPC-PL-13'!$K$108,'SPC-PL-13'!$M$108,'SPC-PL-13'!$M$110,'SPC-PL-13'!$M$111,'SPC-PL-13'!$M$112,'SPC-PL-13'!$M$113</definedName>
    <definedName name="QB_FORMULA_8" localSheetId="44" hidden="1">'UST-PL-13'!$J$95,'UST-PL-13'!$L$95,'UST-PL-13'!$N$95,'UST-PL-13'!$N$98,'UST-PL-13'!$H$99,'UST-PL-13'!$J$99,'UST-PL-13'!$L$99,'UST-PL-13'!$N$99,'UST-PL-13'!$H$100,'UST-PL-13'!$J$100,'UST-PL-13'!$L$100,'UST-PL-13'!$N$100,'UST-PL-13'!$H$101,'UST-PL-13'!$J$101,'UST-PL-13'!$L$101,'UST-PL-13'!$N$101</definedName>
    <definedName name="QB_FORMULA_9" localSheetId="46" hidden="1">'21Webb-PL-13'!$J$98,'21Webb-PL-13'!$L$98,'21Webb-PL-13'!$N$98</definedName>
    <definedName name="QB_FORMULA_9" localSheetId="16" hidden="1">'ABP-PL-13'!$N$107,'ABP-PL-13'!$N$109,'ABP-PL-13'!$N$110,'ABP-PL-13'!$N$111,'ABP-PL-13'!$N$112,'ABP-PL-13'!$H$113,'ABP-PL-13'!$J$113,'ABP-PL-13'!$L$113,'ABP-PL-13'!$N$113,'ABP-PL-13'!$N$114,'ABP-PL-13'!$N$115,'ABP-PL-13'!$N$116,'ABP-PL-13'!$H$117,'ABP-PL-13'!$J$117,'ABP-PL-13'!$L$117,'ABP-PL-13'!$N$117</definedName>
    <definedName name="QB_FORMULA_9" localSheetId="18" hidden="1">'BPT-PL-13'!$N$105,'BPT-PL-13'!$N$106,'BPT-PL-13'!$N$108,'BPT-PL-13'!$N$109,'BPT-PL-13'!$H$110,'BPT-PL-13'!$J$110,'BPT-PL-13'!$L$110,'BPT-PL-13'!$N$110,'BPT-PL-13'!$N$111,'BPT-PL-13'!$N$112,'BPT-PL-13'!$N$113,'BPT-PL-13'!$H$114,'BPT-PL-13'!$J$114,'BPT-PL-13'!$L$114,'BPT-PL-13'!$N$114,'BPT-PL-13'!$H$115</definedName>
    <definedName name="QB_FORMULA_9" localSheetId="20" hidden="1">'CP-PL-13'!$N$103,'CP-PL-13'!$N$106,'CP-PL-13'!$H$107,'CP-PL-13'!$J$107,'CP-PL-13'!$L$107,'CP-PL-13'!$N$107,'CP-PL-13'!$H$108,'CP-PL-13'!$J$108,'CP-PL-13'!$L$108,'CP-PL-13'!$N$108,'CP-PL-13'!$H$109,'CP-PL-13'!$J$109,'CP-PL-13'!$L$109,'CP-PL-13'!$N$109</definedName>
    <definedName name="QB_FORMULA_9" localSheetId="22" hidden="1">'DGS-PL-13'!$N$107,'DGS-PL-13'!$N$109,'DGS-PL-13'!$N$110,'DGS-PL-13'!$H$111,'DGS-PL-13'!$J$111,'DGS-PL-13'!$L$111,'DGS-PL-13'!$N$111,'DGS-PL-13'!$N$112,'DGS-PL-13'!$N$113,'DGS-PL-13'!$H$114,'DGS-PL-13'!$J$114,'DGS-PL-13'!$L$114,'DGS-PL-13'!$N$114,'DGS-PL-13'!$H$115,'DGS-PL-13'!$J$115,'DGS-PL-13'!$L$115</definedName>
    <definedName name="QB_FORMULA_9" localSheetId="27" hidden="1">'NR6-OfficePL-13'!$N$106,'NR6-OfficePL-13'!$N$107,'NR6-OfficePL-13'!$N$108,'NR6-OfficePL-13'!$N$109,'NR6-OfficePL-13'!$H$110,'NR6-OfficePL-13'!$J$110,'NR6-OfficePL-13'!$L$110,'NR6-OfficePL-13'!$N$110,'NR6-OfficePL-13'!$N$112,'NR6-OfficePL-13'!$H$113,'NR6-OfficePL-13'!$J$113,'NR6-OfficePL-13'!$L$113,'NR6-OfficePL-13'!$N$113,'NR6-OfficePL-13'!$N$115,'NR6-OfficePL-13'!$H$116,'NR6-OfficePL-13'!$J$116</definedName>
    <definedName name="QB_FORMULA_9" localSheetId="28" hidden="1">'NR6-RetailPL-13'!$N$104,'NR6-RetailPL-13'!$H$105,'NR6-RetailPL-13'!$J$105,'NR6-RetailPL-13'!$L$105,'NR6-RetailPL-13'!$N$105,'NR6-RetailPL-13'!$N$108,'NR6-RetailPL-13'!$H$109,'NR6-RetailPL-13'!$J$109,'NR6-RetailPL-13'!$L$109,'NR6-RetailPL-13'!$N$109,'NR6-RetailPL-13'!$H$110,'NR6-RetailPL-13'!$J$110,'NR6-RetailPL-13'!$L$110,'NR6-RetailPL-13'!$N$110,'NR6-RetailPL-13'!$H$111,'NR6-RetailPL-13'!$J$111</definedName>
    <definedName name="QB_FORMULA_9" localSheetId="26" hidden="1">'NR6-TotalPL-13'!$N$111,'NR6-TotalPL-13'!$H$112,'NR6-TotalPL-13'!$J$112,'NR6-TotalPL-13'!$L$112,'NR6-TotalPL-13'!$N$112,'NR6-TotalPL-13'!$N$114,'NR6-TotalPL-13'!$N$115,'NR6-TotalPL-13'!$N$116,'NR6-TotalPL-13'!$N$117,'NR6-TotalPL-13'!$N$118,'NR6-TotalPL-13'!$N$119,'NR6-TotalPL-13'!$H$120,'NR6-TotalPL-13'!$J$120,'NR6-TotalPL-13'!$L$120,'NR6-TotalPL-13'!$N$120,'NR6-TotalPL-13'!$N$121</definedName>
    <definedName name="QB_FORMULA_9" localSheetId="32" hidden="1">'NWC-PL-13'!$O$108,'NWC-PL-13'!$O$111,'NWC-PL-13'!$O$112,'NWC-PL-13'!$O$113,'NWC-PL-13'!$O$114,'NWC-PL-13'!$O$115,'NWC-PL-13'!$O$116,'NWC-PL-13'!$I$117,'NWC-PL-13'!$K$117,'NWC-PL-13'!$M$117,'NWC-PL-13'!$O$117,'NWC-PL-13'!$O$119,'NWC-PL-13'!$O$120,'NWC-PL-13'!$O$121,'NWC-PL-13'!$I$122,'NWC-PL-13'!$K$122</definedName>
    <definedName name="QB_FORMULA_9" localSheetId="34" hidden="1">'OCP-PL-13'!$J$108,'OCP-PL-13'!$L$108,'OCP-PL-13'!$N$108,'OCP-PL-13'!$N$109,'OCP-PL-13'!$N$110,'OCP-PL-13'!$N$112,'OCP-PL-13'!$N$113,'OCP-PL-13'!$N$114,'OCP-PL-13'!$H$115,'OCP-PL-13'!$J$115,'OCP-PL-13'!$L$115,'OCP-PL-13'!$N$115,'OCP-PL-13'!$N$116,'OCP-PL-13'!$N$117,'OCP-PL-13'!$H$118,'OCP-PL-13'!$J$118</definedName>
    <definedName name="QB_FORMULA_9" localSheetId="40" hidden="1">'SPC-PL-13'!$M$114,'SPC-PL-13'!$M$115,'SPC-PL-13'!$G$116,'SPC-PL-13'!$I$116,'SPC-PL-13'!$K$116,'SPC-PL-13'!$M$116,'SPC-PL-13'!$M$118,'SPC-PL-13'!$G$119,'SPC-PL-13'!$I$119,'SPC-PL-13'!$K$119,'SPC-PL-13'!$M$119,'SPC-PL-13'!$M$121,'SPC-PL-13'!$M$122,'SPC-PL-13'!$G$123,'SPC-PL-13'!$I$123,'SPC-PL-13'!$K$123</definedName>
    <definedName name="QB_ROW_1" localSheetId="47" hidden="1">'127PAW-BS-13'!$A$2</definedName>
    <definedName name="QB_ROW_1" localSheetId="45" hidden="1">'21Webb-BS-13'!$A$2</definedName>
    <definedName name="QB_ROW_1" localSheetId="15" hidden="1">'ABP-BS-13'!$A$2</definedName>
    <definedName name="QB_ROW_1" localSheetId="17" hidden="1">'BPT-BS-13'!$A$2</definedName>
    <definedName name="QB_ROW_1" localSheetId="51" hidden="1">'BSQ-BS-13'!$A$2</definedName>
    <definedName name="QB_ROW_1" localSheetId="19" hidden="1">'CP-BS-13'!$A$2</definedName>
    <definedName name="QB_ROW_1" localSheetId="21" hidden="1">'DGS-BS-13'!$A$2</definedName>
    <definedName name="QB_ROW_1" localSheetId="23" hidden="1">'NDV-BS-13'!$A$2</definedName>
    <definedName name="QB_ROW_1" localSheetId="29" hidden="1">'NR14-BS-13'!$A$2</definedName>
    <definedName name="QB_ROW_1" localSheetId="25" hidden="1">'NR6-BS-13'!$A$2</definedName>
    <definedName name="QB_ROW_1" localSheetId="31" hidden="1">'NWC-BS-13'!$A$2</definedName>
    <definedName name="QB_ROW_1" localSheetId="33" hidden="1">'OCP-BS-13'!$A$2</definedName>
    <definedName name="QB_ROW_1" localSheetId="35" hidden="1">'OMI-BS-13'!$A$2</definedName>
    <definedName name="QB_ROW_1" localSheetId="37" hidden="1">'ROY-BS-13'!$A$2</definedName>
    <definedName name="QB_ROW_1" localSheetId="49" hidden="1">'RP21-BS-13'!$A$2</definedName>
    <definedName name="QB_ROW_1" localSheetId="39" hidden="1">'SPC-BS-13'!$A$2</definedName>
    <definedName name="QB_ROW_1" localSheetId="41" hidden="1">'TYP-BS-13'!$A$2</definedName>
    <definedName name="QB_ROW_1" localSheetId="43" hidden="1">'UST-BS-13'!$A$2</definedName>
    <definedName name="QB_ROW_1" localSheetId="53" hidden="1">'Wood96-BS-13'!$A$2</definedName>
    <definedName name="QB_ROW_100040" localSheetId="32" hidden="1">'NWC-PL-13'!$E$123</definedName>
    <definedName name="QB_ROW_100050" localSheetId="46" hidden="1">'21Webb-PL-13'!$F$33</definedName>
    <definedName name="QB_ROW_100230" localSheetId="25" hidden="1">'NR6-BS-13'!$D$6</definedName>
    <definedName name="QB_ROW_100230" localSheetId="39" hidden="1">'SPC-BS-13'!$D$5</definedName>
    <definedName name="QB_ROW_100240" localSheetId="36" hidden="1">'OMI-PL-13'!$E$32</definedName>
    <definedName name="QB_ROW_100250" localSheetId="38" hidden="1">'ROY-PL-13'!$F$38</definedName>
    <definedName name="QB_ROW_100260" localSheetId="46" hidden="1">'21Webb-PL-13'!$G$34</definedName>
    <definedName name="QB_ROW_100260" localSheetId="16" hidden="1">'ABP-PL-13'!$G$39</definedName>
    <definedName name="QB_ROW_100260" localSheetId="18" hidden="1">'BPT-PL-13'!$G$53</definedName>
    <definedName name="QB_ROW_100260" localSheetId="20" hidden="1">'CP-PL-13'!$G$62</definedName>
    <definedName name="QB_ROW_100260" localSheetId="34" hidden="1">'OCP-PL-13'!$G$80</definedName>
    <definedName name="QB_ROW_100260" localSheetId="44" hidden="1">'UST-PL-13'!$G$86</definedName>
    <definedName name="QB_ROW_10031" localSheetId="47" hidden="1">'127PAW-BS-13'!$D$19</definedName>
    <definedName name="QB_ROW_10031" localSheetId="45" hidden="1">'21Webb-BS-13'!$D$45</definedName>
    <definedName name="QB_ROW_10031" localSheetId="15" hidden="1">'ABP-BS-13'!$D$38</definedName>
    <definedName name="QB_ROW_10031" localSheetId="17" hidden="1">'BPT-BS-13'!$D$39</definedName>
    <definedName name="QB_ROW_10031" localSheetId="51" hidden="1">'BSQ-BS-13'!$D$29</definedName>
    <definedName name="QB_ROW_10031" localSheetId="19" hidden="1">'CP-BS-13'!$D$32</definedName>
    <definedName name="QB_ROW_10031" localSheetId="21" hidden="1">'DGS-BS-13'!$D$29</definedName>
    <definedName name="QB_ROW_10031" localSheetId="23" hidden="1">'NDV-BS-13'!$D$23</definedName>
    <definedName name="QB_ROW_10031" localSheetId="29" hidden="1">'NR14-BS-13'!$D$27</definedName>
    <definedName name="QB_ROW_10031" localSheetId="25" hidden="1">'NR6-BS-13'!$D$42</definedName>
    <definedName name="QB_ROW_10031" localSheetId="31" hidden="1">'NWC-BS-13'!$D$35</definedName>
    <definedName name="QB_ROW_10031" localSheetId="33" hidden="1">'OCP-BS-13'!$D$26</definedName>
    <definedName name="QB_ROW_10031" localSheetId="35" hidden="1">'OMI-BS-13'!$D$34</definedName>
    <definedName name="QB_ROW_10031" localSheetId="37" hidden="1">'ROY-BS-13'!$D$30</definedName>
    <definedName name="QB_ROW_10031" localSheetId="49" hidden="1">'RP21-BS-13'!$D$23</definedName>
    <definedName name="QB_ROW_10031" localSheetId="39" hidden="1">'SPC-BS-13'!$D$28</definedName>
    <definedName name="QB_ROW_10031" localSheetId="41" hidden="1">'TYP-BS-13'!$D$21</definedName>
    <definedName name="QB_ROW_10031" localSheetId="43" hidden="1">'UST-BS-13'!$D$36</definedName>
    <definedName name="QB_ROW_10031" localSheetId="53" hidden="1">'Wood96-BS-13'!$D$15</definedName>
    <definedName name="QB_ROW_100340" localSheetId="32" hidden="1">'NWC-PL-13'!$E$127</definedName>
    <definedName name="QB_ROW_100350" localSheetId="46" hidden="1">'21Webb-PL-13'!$F$37</definedName>
    <definedName name="QB_ROW_101040" localSheetId="40" hidden="1">'SPC-PL-13'!$E$95</definedName>
    <definedName name="QB_ROW_1011" localSheetId="47" hidden="1">'127PAW-BS-13'!$B$3</definedName>
    <definedName name="QB_ROW_1011" localSheetId="45" hidden="1">'21Webb-BS-13'!$B$3</definedName>
    <definedName name="QB_ROW_1011" localSheetId="15" hidden="1">'ABP-BS-13'!$B$3</definedName>
    <definedName name="QB_ROW_1011" localSheetId="17" hidden="1">'BPT-BS-13'!$B$3</definedName>
    <definedName name="QB_ROW_1011" localSheetId="51" hidden="1">'BSQ-BS-13'!$B$3</definedName>
    <definedName name="QB_ROW_1011" localSheetId="19" hidden="1">'CP-BS-13'!$B$3</definedName>
    <definedName name="QB_ROW_1011" localSheetId="21" hidden="1">'DGS-BS-13'!$B$3</definedName>
    <definedName name="QB_ROW_1011" localSheetId="23" hidden="1">'NDV-BS-13'!$B$3</definedName>
    <definedName name="QB_ROW_1011" localSheetId="29" hidden="1">'NR14-BS-13'!$B$3</definedName>
    <definedName name="QB_ROW_1011" localSheetId="25" hidden="1">'NR6-BS-13'!$B$3</definedName>
    <definedName name="QB_ROW_1011" localSheetId="31" hidden="1">'NWC-BS-13'!$B$3</definedName>
    <definedName name="QB_ROW_1011" localSheetId="33" hidden="1">'OCP-BS-13'!$B$3</definedName>
    <definedName name="QB_ROW_1011" localSheetId="35" hidden="1">'OMI-BS-13'!$B$3</definedName>
    <definedName name="QB_ROW_1011" localSheetId="37" hidden="1">'ROY-BS-13'!$B$3</definedName>
    <definedName name="QB_ROW_1011" localSheetId="49" hidden="1">'RP21-BS-13'!$B$3</definedName>
    <definedName name="QB_ROW_1011" localSheetId="39" hidden="1">'SPC-BS-13'!$B$3</definedName>
    <definedName name="QB_ROW_1011" localSheetId="41" hidden="1">'TYP-BS-13'!$B$3</definedName>
    <definedName name="QB_ROW_1011" localSheetId="43" hidden="1">'UST-BS-13'!$B$3</definedName>
    <definedName name="QB_ROW_1011" localSheetId="53" hidden="1">'Wood96-BS-13'!$B$3</definedName>
    <definedName name="QB_ROW_101220" localSheetId="15" hidden="1">'ABP-BS-13'!$C$27</definedName>
    <definedName name="QB_ROW_101230" localSheetId="25" hidden="1">'NR6-BS-13'!$D$51</definedName>
    <definedName name="QB_ROW_101250" localSheetId="30" hidden="1">'NR14-PL-13'!$F$16</definedName>
    <definedName name="QB_ROW_101250" localSheetId="38" hidden="1">'ROY-PL-13'!$F$39</definedName>
    <definedName name="QB_ROW_101250" localSheetId="40" hidden="1">'SPC-PL-13'!$F$98</definedName>
    <definedName name="QB_ROW_101250" localSheetId="44" hidden="1">'UST-PL-13'!$F$6</definedName>
    <definedName name="QB_ROW_101260" localSheetId="46" hidden="1">'21Webb-PL-13'!$G$36</definedName>
    <definedName name="QB_ROW_101260" localSheetId="18" hidden="1">'BPT-PL-13'!$G$44</definedName>
    <definedName name="QB_ROW_101260" localSheetId="20" hidden="1">'CP-PL-13'!$G$63</definedName>
    <definedName name="QB_ROW_101260" localSheetId="34" hidden="1">'OCP-PL-13'!$G$96</definedName>
    <definedName name="QB_ROW_101340" localSheetId="36" hidden="1">'OMI-PL-13'!$E$45</definedName>
    <definedName name="QB_ROW_101340" localSheetId="40" hidden="1">'SPC-PL-13'!$E$99</definedName>
    <definedName name="QB_ROW_102040" localSheetId="44" hidden="1">'UST-PL-13'!$E$60</definedName>
    <definedName name="QB_ROW_102230" localSheetId="25" hidden="1">'NR6-BS-13'!$D$7</definedName>
    <definedName name="QB_ROW_102240" localSheetId="15" hidden="1">'ABP-BS-13'!$E$43</definedName>
    <definedName name="QB_ROW_102250" localSheetId="46" hidden="1">'21Webb-PL-13'!$F$67</definedName>
    <definedName name="QB_ROW_102250" localSheetId="30" hidden="1">'NR14-PL-13'!$F$15</definedName>
    <definedName name="QB_ROW_102260" localSheetId="18" hidden="1">'BPT-PL-13'!$G$43</definedName>
    <definedName name="QB_ROW_102260" localSheetId="20" hidden="1">'CP-PL-13'!$G$66</definedName>
    <definedName name="QB_ROW_10230" localSheetId="50" hidden="1">'RP21-PL-13'!$D$30</definedName>
    <definedName name="QB_ROW_102340" localSheetId="44" hidden="1">'UST-PL-13'!$E$67</definedName>
    <definedName name="QB_ROW_10240" localSheetId="48" hidden="1">'127PAW-PL-13'!$E$22</definedName>
    <definedName name="QB_ROW_10240" localSheetId="16" hidden="1">'ABP-PL-13'!$E$114</definedName>
    <definedName name="QB_ROW_10240" localSheetId="24" hidden="1">'NDV-PL-13'!$E$4</definedName>
    <definedName name="QB_ROW_10240" localSheetId="30" hidden="1">'NR14-PL-13'!$E$36</definedName>
    <definedName name="QB_ROW_10240" localSheetId="27" hidden="1">'NR6-OfficePL-13'!$E$119</definedName>
    <definedName name="QB_ROW_10240" localSheetId="28" hidden="1">'NR6-RetailPL-13'!$E$103</definedName>
    <definedName name="QB_ROW_10240" localSheetId="26" hidden="1">'NR6-TotalPL-13'!$E$149</definedName>
    <definedName name="QB_ROW_10240" localSheetId="42" hidden="1">'TYP-PL-13'!$E$4</definedName>
    <definedName name="QB_ROW_10250" localSheetId="46" hidden="1">'21Webb-PL-13'!$F$71</definedName>
    <definedName name="QB_ROW_10250" localSheetId="20" hidden="1">'CP-PL-13'!$F$21</definedName>
    <definedName name="QB_ROW_10250" localSheetId="22" hidden="1">'DGS-PL-13'!$F$20</definedName>
    <definedName name="QB_ROW_10250" localSheetId="34" hidden="1">'OCP-PL-13'!$F$14</definedName>
    <definedName name="QB_ROW_103220" localSheetId="25" hidden="1">'NR6-BS-13'!$C$36</definedName>
    <definedName name="QB_ROW_103240" localSheetId="46" hidden="1">'21Webb-PL-13'!$E$7</definedName>
    <definedName name="QB_ROW_103250" localSheetId="30" hidden="1">'NR14-PL-13'!$F$14</definedName>
    <definedName name="QB_ROW_103250" localSheetId="40" hidden="1">'SPC-PL-13'!$F$97</definedName>
    <definedName name="QB_ROW_103250" localSheetId="44" hidden="1">'UST-PL-13'!$F$63</definedName>
    <definedName name="QB_ROW_103260" localSheetId="20" hidden="1">'CP-PL-13'!$G$67</definedName>
    <definedName name="QB_ROW_10331" localSheetId="47" hidden="1">'127PAW-BS-13'!$D$21</definedName>
    <definedName name="QB_ROW_10331" localSheetId="45" hidden="1">'21Webb-BS-13'!$D$47</definedName>
    <definedName name="QB_ROW_10331" localSheetId="15" hidden="1">'ABP-BS-13'!$D$40</definedName>
    <definedName name="QB_ROW_10331" localSheetId="17" hidden="1">'BPT-BS-13'!$D$41</definedName>
    <definedName name="QB_ROW_10331" localSheetId="51" hidden="1">'BSQ-BS-13'!$D$31</definedName>
    <definedName name="QB_ROW_10331" localSheetId="19" hidden="1">'CP-BS-13'!$D$34</definedName>
    <definedName name="QB_ROW_10331" localSheetId="21" hidden="1">'DGS-BS-13'!$D$31</definedName>
    <definedName name="QB_ROW_10331" localSheetId="23" hidden="1">'NDV-BS-13'!$D$25</definedName>
    <definedName name="QB_ROW_10331" localSheetId="29" hidden="1">'NR14-BS-13'!$D$29</definedName>
    <definedName name="QB_ROW_10331" localSheetId="25" hidden="1">'NR6-BS-13'!$D$44</definedName>
    <definedName name="QB_ROW_10331" localSheetId="31" hidden="1">'NWC-BS-13'!$D$37</definedName>
    <definedName name="QB_ROW_10331" localSheetId="33" hidden="1">'OCP-BS-13'!$D$28</definedName>
    <definedName name="QB_ROW_10331" localSheetId="35" hidden="1">'OMI-BS-13'!$D$36</definedName>
    <definedName name="QB_ROW_10331" localSheetId="37" hidden="1">'ROY-BS-13'!$D$32</definedName>
    <definedName name="QB_ROW_10331" localSheetId="49" hidden="1">'RP21-BS-13'!$D$25</definedName>
    <definedName name="QB_ROW_10331" localSheetId="39" hidden="1">'SPC-BS-13'!$D$30</definedName>
    <definedName name="QB_ROW_10331" localSheetId="41" hidden="1">'TYP-BS-13'!$D$23</definedName>
    <definedName name="QB_ROW_10331" localSheetId="43" hidden="1">'UST-BS-13'!$D$38</definedName>
    <definedName name="QB_ROW_10331" localSheetId="53" hidden="1">'Wood96-BS-13'!$D$17</definedName>
    <definedName name="QB_ROW_104240" localSheetId="32" hidden="1">'NWC-PL-13'!$E$31</definedName>
    <definedName name="QB_ROW_104250" localSheetId="30" hidden="1">'NR14-PL-13'!$F$26</definedName>
    <definedName name="QB_ROW_104250" localSheetId="26" hidden="1">'NR6-TotalPL-13'!$F$142</definedName>
    <definedName name="QB_ROW_104250" localSheetId="40" hidden="1">'SPC-PL-13'!$F$66</definedName>
    <definedName name="QB_ROW_104250" localSheetId="44" hidden="1">'UST-PL-13'!$F$66</definedName>
    <definedName name="QB_ROW_104260" localSheetId="20" hidden="1">'CP-PL-13'!$G$75</definedName>
    <definedName name="QB_ROW_105220" localSheetId="37" hidden="1">'ROY-BS-13'!$C$18</definedName>
    <definedName name="QB_ROW_105250" localSheetId="46" hidden="1">'21Webb-PL-13'!$F$42</definedName>
    <definedName name="QB_ROW_105250" localSheetId="40" hidden="1">'SPC-PL-13'!$F$36</definedName>
    <definedName name="QB_ROW_105250" localSheetId="44" hidden="1">'UST-PL-13'!$F$62</definedName>
    <definedName name="QB_ROW_105260" localSheetId="34" hidden="1">'OCP-PL-13'!$G$86</definedName>
    <definedName name="QB_ROW_106050" localSheetId="46" hidden="1">'21Webb-PL-13'!$F$57</definedName>
    <definedName name="QB_ROW_106240" localSheetId="36" hidden="1">'OMI-PL-13'!$E$22</definedName>
    <definedName name="QB_ROW_106240" localSheetId="40" hidden="1">'SPC-PL-13'!$E$137</definedName>
    <definedName name="QB_ROW_106250" localSheetId="38" hidden="1">'ROY-PL-13'!$F$31</definedName>
    <definedName name="QB_ROW_106250" localSheetId="44" hidden="1">'UST-PL-13'!$F$61</definedName>
    <definedName name="QB_ROW_106260" localSheetId="18" hidden="1">'BPT-PL-13'!$G$45</definedName>
    <definedName name="QB_ROW_106260" localSheetId="20" hidden="1">'CP-PL-13'!$G$79</definedName>
    <definedName name="QB_ROW_106350" localSheetId="46" hidden="1">'21Webb-PL-13'!$F$60</definedName>
    <definedName name="QB_ROW_107040" localSheetId="32" hidden="1">'NWC-PL-13'!$E$144</definedName>
    <definedName name="QB_ROW_107240" localSheetId="36" hidden="1">'OMI-PL-13'!$E$20</definedName>
    <definedName name="QB_ROW_107250" localSheetId="32" hidden="1">'NWC-PL-13'!$F$147</definedName>
    <definedName name="QB_ROW_107250" localSheetId="38" hidden="1">'ROY-PL-13'!$F$36</definedName>
    <definedName name="QB_ROW_107250" localSheetId="40" hidden="1">'SPC-PL-13'!$F$50</definedName>
    <definedName name="QB_ROW_107250" localSheetId="44" hidden="1">'UST-PL-13'!$F$64</definedName>
    <definedName name="QB_ROW_107260" localSheetId="46" hidden="1">'21Webb-PL-13'!$G$58</definedName>
    <definedName name="QB_ROW_107260" localSheetId="27" hidden="1">'NR6-OfficePL-13'!$G$18</definedName>
    <definedName name="QB_ROW_107260" localSheetId="28" hidden="1">'NR6-RetailPL-13'!$G$25</definedName>
    <definedName name="QB_ROW_107260" localSheetId="26" hidden="1">'NR6-TotalPL-13'!$G$30</definedName>
    <definedName name="QB_ROW_107340" localSheetId="32" hidden="1">'NWC-PL-13'!$E$148</definedName>
    <definedName name="QB_ROW_108030" localSheetId="46" hidden="1">'21Webb-PL-13'!$D$86</definedName>
    <definedName name="QB_ROW_108040" localSheetId="32" hidden="1">'NWC-PL-13'!$E$154</definedName>
    <definedName name="QB_ROW_108250" localSheetId="32" hidden="1">'NWC-PL-13'!$F$157</definedName>
    <definedName name="QB_ROW_108250" localSheetId="40" hidden="1">'SPC-PL-13'!$F$75</definedName>
    <definedName name="QB_ROW_108250" localSheetId="44" hidden="1">'UST-PL-13'!$F$65</definedName>
    <definedName name="QB_ROW_108260" localSheetId="27" hidden="1">'NR6-OfficePL-13'!$G$104</definedName>
    <definedName name="QB_ROW_108260" localSheetId="26" hidden="1">'NR6-TotalPL-13'!$G$126</definedName>
    <definedName name="QB_ROW_108330" localSheetId="46" hidden="1">'21Webb-PL-13'!$D$88</definedName>
    <definedName name="QB_ROW_108340" localSheetId="32" hidden="1">'NWC-PL-13'!$E$158</definedName>
    <definedName name="QB_ROW_109220" localSheetId="17" hidden="1">'BPT-BS-13'!$C$17</definedName>
    <definedName name="QB_ROW_109220" localSheetId="35" hidden="1">'OMI-BS-13'!$C$58</definedName>
    <definedName name="QB_ROW_109230" localSheetId="32" hidden="1">'NWC-PL-13'!$D$5</definedName>
    <definedName name="QB_ROW_109240" localSheetId="46" hidden="1">'21Webb-PL-13'!$E$87</definedName>
    <definedName name="QB_ROW_109250" localSheetId="44" hidden="1">'UST-PL-13'!$F$45</definedName>
    <definedName name="QB_ROW_109260" localSheetId="22" hidden="1">'DGS-PL-13'!$G$38</definedName>
    <definedName name="QB_ROW_109260" localSheetId="27" hidden="1">'NR6-OfficePL-13'!$G$103</definedName>
    <definedName name="QB_ROW_109260" localSheetId="26" hidden="1">'NR6-TotalPL-13'!$G$125</definedName>
    <definedName name="QB_ROW_110020" localSheetId="17" hidden="1">'BPT-BS-13'!$C$18</definedName>
    <definedName name="QB_ROW_110220" localSheetId="37" hidden="1">'ROY-BS-13'!$C$23</definedName>
    <definedName name="QB_ROW_110230" localSheetId="17" hidden="1">'BPT-BS-13'!$D$20</definedName>
    <definedName name="QB_ROW_110230" localSheetId="32" hidden="1">'NWC-PL-13'!$D$6</definedName>
    <definedName name="QB_ROW_110250" localSheetId="44" hidden="1">'UST-PL-13'!$F$53</definedName>
    <definedName name="QB_ROW_110260" localSheetId="46" hidden="1">'21Webb-PL-13'!$G$76</definedName>
    <definedName name="QB_ROW_110260" localSheetId="22" hidden="1">'DGS-PL-13'!$G$90</definedName>
    <definedName name="QB_ROW_110260" localSheetId="27" hidden="1">'NR6-OfficePL-13'!$G$46</definedName>
    <definedName name="QB_ROW_110260" localSheetId="28" hidden="1">'NR6-RetailPL-13'!$G$50</definedName>
    <definedName name="QB_ROW_110260" localSheetId="26" hidden="1">'NR6-TotalPL-13'!$G$67</definedName>
    <definedName name="QB_ROW_11031" localSheetId="35" hidden="1">'OMI-BS-13'!$D$37</definedName>
    <definedName name="QB_ROW_110320" localSheetId="17" hidden="1">'BPT-BS-13'!$C$21</definedName>
    <definedName name="QB_ROW_11040" localSheetId="34" hidden="1">'OCP-PL-13'!$E$13</definedName>
    <definedName name="QB_ROW_111050" localSheetId="46" hidden="1">'21Webb-PL-13'!$F$43</definedName>
    <definedName name="QB_ROW_111230" localSheetId="17" hidden="1">'BPT-BS-13'!$D$24</definedName>
    <definedName name="QB_ROW_111230" localSheetId="32" hidden="1">'NWC-PL-13'!$D$7</definedName>
    <definedName name="QB_ROW_111240" localSheetId="27" hidden="1">'NR6-OfficePL-13'!$E$125</definedName>
    <definedName name="QB_ROW_111240" localSheetId="26" hidden="1">'NR6-TotalPL-13'!$E$155</definedName>
    <definedName name="QB_ROW_111240" localSheetId="40" hidden="1">'SPC-PL-13'!$E$130</definedName>
    <definedName name="QB_ROW_111250" localSheetId="34" hidden="1">'OCP-PL-13'!$F$6</definedName>
    <definedName name="QB_ROW_111250" localSheetId="44" hidden="1">'UST-PL-13'!$F$38</definedName>
    <definedName name="QB_ROW_111260" localSheetId="46" hidden="1">'21Webb-PL-13'!$G$45</definedName>
    <definedName name="QB_ROW_111350" localSheetId="46" hidden="1">'21Webb-PL-13'!$F$46</definedName>
    <definedName name="QB_ROW_11220" localSheetId="39" hidden="1">'SPC-BS-13'!$C$15</definedName>
    <definedName name="QB_ROW_112230" localSheetId="17" hidden="1">'BPT-BS-13'!$D$23</definedName>
    <definedName name="QB_ROW_112230" localSheetId="25" hidden="1">'NR6-BS-13'!$D$52</definedName>
    <definedName name="QB_ROW_112260" localSheetId="46" hidden="1">'21Webb-PL-13'!$G$44</definedName>
    <definedName name="QB_ROW_112260" localSheetId="22" hidden="1">'DGS-PL-13'!$G$92</definedName>
    <definedName name="QB_ROW_112260" localSheetId="44" hidden="1">'UST-PL-13'!$G$85</definedName>
    <definedName name="QB_ROW_112320" localSheetId="33" hidden="1">'OCP-BS-13'!$C$19</definedName>
    <definedName name="QB_ROW_11240" localSheetId="50" hidden="1">'RP21-PL-13'!$E$27</definedName>
    <definedName name="QB_ROW_11250" localSheetId="22" hidden="1">'DGS-PL-13'!$F$21</definedName>
    <definedName name="QB_ROW_11250" localSheetId="38" hidden="1">'ROY-PL-13'!$F$14</definedName>
    <definedName name="QB_ROW_113040" localSheetId="32" hidden="1">'NWC-PL-13'!$E$38</definedName>
    <definedName name="QB_ROW_113040" localSheetId="34" hidden="1">'OCP-PL-13'!$E$4</definedName>
    <definedName name="QB_ROW_113250" localSheetId="27" hidden="1">'NR6-OfficePL-13'!$F$109</definedName>
    <definedName name="QB_ROW_113250" localSheetId="26" hidden="1">'NR6-TotalPL-13'!$F$132</definedName>
    <definedName name="QB_ROW_113260" localSheetId="46" hidden="1">'21Webb-PL-13'!$G$35</definedName>
    <definedName name="QB_ROW_113260" localSheetId="22" hidden="1">'DGS-PL-13'!$G$91</definedName>
    <definedName name="QB_ROW_113260" localSheetId="44" hidden="1">'UST-PL-13'!$G$42</definedName>
    <definedName name="QB_ROW_11331" localSheetId="35" hidden="1">'OMI-BS-13'!$D$41</definedName>
    <definedName name="QB_ROW_113340" localSheetId="32" hidden="1">'NWC-PL-13'!$E$99</definedName>
    <definedName name="QB_ROW_113340" localSheetId="34" hidden="1">'OCP-PL-13'!$E$7</definedName>
    <definedName name="QB_ROW_11340" localSheetId="34" hidden="1">'OCP-PL-13'!$E$15</definedName>
    <definedName name="QB_ROW_114220" localSheetId="19" hidden="1">'CP-BS-13'!$C$17</definedName>
    <definedName name="QB_ROW_114220" localSheetId="25" hidden="1">'NR6-BS-13'!$C$35</definedName>
    <definedName name="QB_ROW_114250" localSheetId="46" hidden="1">'21Webb-PL-13'!$F$41</definedName>
    <definedName name="QB_ROW_114250" localSheetId="34" hidden="1">'OCP-PL-13'!$F$28</definedName>
    <definedName name="QB_ROW_114260" localSheetId="44" hidden="1">'UST-PL-13'!$G$32</definedName>
    <definedName name="QB_ROW_115040" localSheetId="40" hidden="1">'SPC-PL-13'!$E$120</definedName>
    <definedName name="QB_ROW_115040" localSheetId="44" hidden="1">'UST-PL-13'!$E$5</definedName>
    <definedName name="QB_ROW_115230" localSheetId="25" hidden="1">'NR6-BS-13'!$D$5</definedName>
    <definedName name="QB_ROW_115250" localSheetId="46" hidden="1">'21Webb-PL-13'!$F$14</definedName>
    <definedName name="QB_ROW_115250" localSheetId="40" hidden="1">'SPC-PL-13'!$F$122</definedName>
    <definedName name="QB_ROW_115260" localSheetId="34" hidden="1">'OCP-PL-13'!$G$65</definedName>
    <definedName name="QB_ROW_115320" localSheetId="37" hidden="1">'ROY-BS-13'!$C$19</definedName>
    <definedName name="QB_ROW_115340" localSheetId="40" hidden="1">'SPC-PL-13'!$E$123</definedName>
    <definedName name="QB_ROW_115340" localSheetId="44" hidden="1">'UST-PL-13'!$E$8</definedName>
    <definedName name="QB_ROW_116240" localSheetId="28" hidden="1">'NR6-RetailPL-13'!$E$6</definedName>
    <definedName name="QB_ROW_116240" localSheetId="26" hidden="1">'NR6-TotalPL-13'!$E$6</definedName>
    <definedName name="QB_ROW_116250" localSheetId="46" hidden="1">'21Webb-PL-13'!$F$26</definedName>
    <definedName name="QB_ROW_116250" localSheetId="34" hidden="1">'OCP-PL-13'!$F$116</definedName>
    <definedName name="QB_ROW_116250" localSheetId="40" hidden="1">'SPC-PL-13'!$F$121</definedName>
    <definedName name="QB_ROW_116250" localSheetId="44" hidden="1">'UST-PL-13'!$F$7</definedName>
    <definedName name="QB_ROW_117220" localSheetId="15" hidden="1">'ABP-BS-13'!$C$20</definedName>
    <definedName name="QB_ROW_117220" localSheetId="19" hidden="1">'CP-BS-13'!$C$21</definedName>
    <definedName name="QB_ROW_117230" localSheetId="21" hidden="1">'DGS-BS-13'!$D$41</definedName>
    <definedName name="QB_ROW_117240" localSheetId="17" hidden="1">'BPT-BS-13'!$E$44</definedName>
    <definedName name="QB_ROW_117240" localSheetId="28" hidden="1">'NR6-RetailPL-13'!$E$7</definedName>
    <definedName name="QB_ROW_117240" localSheetId="26" hidden="1">'NR6-TotalPL-13'!$E$7</definedName>
    <definedName name="QB_ROW_117250" localSheetId="46" hidden="1">'21Webb-PL-13'!$F$66</definedName>
    <definedName name="QB_ROW_117250" localSheetId="44" hidden="1">'UST-PL-13'!$F$29</definedName>
    <definedName name="QB_ROW_117260" localSheetId="34" hidden="1">'OCP-PL-13'!$G$114</definedName>
    <definedName name="QB_ROW_118220" localSheetId="15" hidden="1">'ABP-BS-13'!$C$21</definedName>
    <definedName name="QB_ROW_118220" localSheetId="19" hidden="1">'CP-BS-13'!$C$19</definedName>
    <definedName name="QB_ROW_118230" localSheetId="37" hidden="1">'ROY-BS-13'!$D$39</definedName>
    <definedName name="QB_ROW_118240" localSheetId="28" hidden="1">'NR6-RetailPL-13'!$E$8</definedName>
    <definedName name="QB_ROW_118240" localSheetId="26" hidden="1">'NR6-TotalPL-13'!$E$8</definedName>
    <definedName name="QB_ROW_118250" localSheetId="34" hidden="1">'OCP-PL-13'!$F$9</definedName>
    <definedName name="QB_ROW_118250" localSheetId="40" hidden="1">'SPC-PL-13'!$F$81</definedName>
    <definedName name="QB_ROW_118250" localSheetId="44" hidden="1">'UST-PL-13'!$F$47</definedName>
    <definedName name="QB_ROW_118260" localSheetId="18" hidden="1">'BPT-PL-13'!$G$17</definedName>
    <definedName name="QB_ROW_119050" localSheetId="44" hidden="1">'UST-PL-13'!$F$48</definedName>
    <definedName name="QB_ROW_119220" localSheetId="25" hidden="1">'NR6-BS-13'!$C$24</definedName>
    <definedName name="QB_ROW_119230" localSheetId="37" hidden="1">'ROY-BS-13'!$D$5</definedName>
    <definedName name="QB_ROW_119250" localSheetId="40" hidden="1">'SPC-PL-13'!$F$37</definedName>
    <definedName name="QB_ROW_119260" localSheetId="18" hidden="1">'BPT-PL-13'!$G$18</definedName>
    <definedName name="QB_ROW_119260" localSheetId="34" hidden="1">'OCP-PL-13'!$G$41</definedName>
    <definedName name="QB_ROW_119350" localSheetId="44" hidden="1">'UST-PL-13'!$F$51</definedName>
    <definedName name="QB_ROW_120220" localSheetId="19" hidden="1">'CP-BS-13'!$C$20</definedName>
    <definedName name="QB_ROW_120250" localSheetId="40" hidden="1">'SPC-PL-13'!$F$48</definedName>
    <definedName name="QB_ROW_120260" localSheetId="27" hidden="1">'NR6-OfficePL-13'!$G$47</definedName>
    <definedName name="QB_ROW_120260" localSheetId="28" hidden="1">'NR6-RetailPL-13'!$G$51</definedName>
    <definedName name="QB_ROW_120260" localSheetId="26" hidden="1">'NR6-TotalPL-13'!$G$68</definedName>
    <definedName name="QB_ROW_120260" localSheetId="44" hidden="1">'UST-PL-13'!$G$49</definedName>
    <definedName name="QB_ROW_12030" localSheetId="32" hidden="1">'NWC-PL-13'!$D$14</definedName>
    <definedName name="QB_ROW_12031" localSheetId="45" hidden="1">'21Webb-BS-13'!$D$41</definedName>
    <definedName name="QB_ROW_12031" localSheetId="15" hidden="1">'ABP-BS-13'!$D$41</definedName>
    <definedName name="QB_ROW_12031" localSheetId="17" hidden="1">'BPT-BS-13'!$D$42</definedName>
    <definedName name="QB_ROW_12031" localSheetId="51" hidden="1">'BSQ-BS-13'!$D$32</definedName>
    <definedName name="QB_ROW_12031" localSheetId="19" hidden="1">'CP-BS-13'!$D$35</definedName>
    <definedName name="QB_ROW_12031" localSheetId="21" hidden="1">'DGS-BS-13'!$D$32</definedName>
    <definedName name="QB_ROW_12031" localSheetId="29" hidden="1">'NR14-BS-13'!$D$30</definedName>
    <definedName name="QB_ROW_12031" localSheetId="25" hidden="1">'NR6-BS-13'!$D$45</definedName>
    <definedName name="QB_ROW_12031" localSheetId="31" hidden="1">'NWC-BS-13'!$D$38</definedName>
    <definedName name="QB_ROW_12031" localSheetId="33" hidden="1">'OCP-BS-13'!$D$29</definedName>
    <definedName name="QB_ROW_12031" localSheetId="35" hidden="1">'OMI-BS-13'!$D$42</definedName>
    <definedName name="QB_ROW_12031" localSheetId="37" hidden="1">'ROY-BS-13'!$D$33</definedName>
    <definedName name="QB_ROW_12031" localSheetId="49" hidden="1">'RP21-BS-13'!$D$26</definedName>
    <definedName name="QB_ROW_12031" localSheetId="39" hidden="1">'SPC-BS-13'!$D$31</definedName>
    <definedName name="QB_ROW_12031" localSheetId="41" hidden="1">'TYP-BS-13'!$D$24</definedName>
    <definedName name="QB_ROW_12031" localSheetId="43" hidden="1">'UST-BS-13'!$D$39</definedName>
    <definedName name="QB_ROW_12031" localSheetId="53" hidden="1">'Wood96-BS-13'!$D$18</definedName>
    <definedName name="QB_ROW_120320" localSheetId="15" hidden="1">'ABP-BS-13'!$C$25</definedName>
    <definedName name="QB_ROW_12040" localSheetId="44" hidden="1">'UST-PL-13'!$E$18</definedName>
    <definedName name="QB_ROW_121050" localSheetId="20" hidden="1">'CP-PL-13'!$F$38</definedName>
    <definedName name="QB_ROW_121250" localSheetId="27" hidden="1">'NR6-OfficePL-13'!$F$41</definedName>
    <definedName name="QB_ROW_121250" localSheetId="26" hidden="1">'NR6-TotalPL-13'!$F$62</definedName>
    <definedName name="QB_ROW_121250" localSheetId="40" hidden="1">'SPC-PL-13'!$F$49</definedName>
    <definedName name="QB_ROW_121260" localSheetId="44" hidden="1">'UST-PL-13'!$G$40</definedName>
    <definedName name="QB_ROW_121320" localSheetId="37" hidden="1">'ROY-BS-13'!$C$20</definedName>
    <definedName name="QB_ROW_121350" localSheetId="20" hidden="1">'CP-PL-13'!$F$40</definedName>
    <definedName name="QB_ROW_1220" localSheetId="15" hidden="1">'ABP-BS-13'!$C$57</definedName>
    <definedName name="QB_ROW_1220" localSheetId="51" hidden="1">'BSQ-BS-13'!$C$43</definedName>
    <definedName name="QB_ROW_1220" localSheetId="21" hidden="1">'DGS-BS-13'!$C$46</definedName>
    <definedName name="QB_ROW_1220" localSheetId="25" hidden="1">'NR6-BS-13'!$C$62</definedName>
    <definedName name="QB_ROW_1220" localSheetId="31" hidden="1">'NWC-BS-13'!$C$56</definedName>
    <definedName name="QB_ROW_1220" localSheetId="33" hidden="1">'OCP-BS-13'!$C$41</definedName>
    <definedName name="QB_ROW_1220" localSheetId="35" hidden="1">'OMI-BS-13'!$C$59</definedName>
    <definedName name="QB_ROW_1220" localSheetId="37" hidden="1">'ROY-BS-13'!$C$45</definedName>
    <definedName name="QB_ROW_122220" localSheetId="25" hidden="1">'NR6-BS-13'!$C$27</definedName>
    <definedName name="QB_ROW_122230" localSheetId="43" hidden="1">'UST-BS-13'!$D$14</definedName>
    <definedName name="QB_ROW_122260" localSheetId="34" hidden="1">'OCP-PL-13'!$G$64</definedName>
    <definedName name="QB_ROW_12240" localSheetId="20" hidden="1">'CP-PL-13'!$E$99</definedName>
    <definedName name="QB_ROW_12240" localSheetId="27" hidden="1">'NR6-OfficePL-13'!$E$118</definedName>
    <definedName name="QB_ROW_12240" localSheetId="28" hidden="1">'NR6-RetailPL-13'!$E$102</definedName>
    <definedName name="QB_ROW_12240" localSheetId="26" hidden="1">'NR6-TotalPL-13'!$E$148</definedName>
    <definedName name="QB_ROW_12250" localSheetId="46" hidden="1">'21Webb-PL-13'!$F$68</definedName>
    <definedName name="QB_ROW_12250" localSheetId="22" hidden="1">'DGS-PL-13'!$F$34</definedName>
    <definedName name="QB_ROW_123050" localSheetId="20" hidden="1">'CP-PL-13'!$F$34</definedName>
    <definedName name="QB_ROW_123240" localSheetId="43" hidden="1">'UST-BS-13'!$E$16</definedName>
    <definedName name="QB_ROW_123250" localSheetId="26" hidden="1">'NR6-TotalPL-13'!$F$131</definedName>
    <definedName name="QB_ROW_12330" localSheetId="32" hidden="1">'NWC-PL-13'!$D$32</definedName>
    <definedName name="QB_ROW_12331" localSheetId="45" hidden="1">'21Webb-BS-13'!$D$44</definedName>
    <definedName name="QB_ROW_12331" localSheetId="15" hidden="1">'ABP-BS-13'!$D$45</definedName>
    <definedName name="QB_ROW_12331" localSheetId="17" hidden="1">'BPT-BS-13'!$D$45</definedName>
    <definedName name="QB_ROW_12331" localSheetId="51" hidden="1">'BSQ-BS-13'!$D$38</definedName>
    <definedName name="QB_ROW_12331" localSheetId="19" hidden="1">'CP-BS-13'!$D$38</definedName>
    <definedName name="QB_ROW_12331" localSheetId="21" hidden="1">'DGS-BS-13'!$D$36</definedName>
    <definedName name="QB_ROW_12331" localSheetId="29" hidden="1">'NR14-BS-13'!$D$33</definedName>
    <definedName name="QB_ROW_12331" localSheetId="25" hidden="1">'NR6-BS-13'!$D$48</definedName>
    <definedName name="QB_ROW_12331" localSheetId="31" hidden="1">'NWC-BS-13'!$D$41</definedName>
    <definedName name="QB_ROW_12331" localSheetId="33" hidden="1">'OCP-BS-13'!$D$32</definedName>
    <definedName name="QB_ROW_12331" localSheetId="35" hidden="1">'OMI-BS-13'!$D$48</definedName>
    <definedName name="QB_ROW_12331" localSheetId="37" hidden="1">'ROY-BS-13'!$D$36</definedName>
    <definedName name="QB_ROW_12331" localSheetId="49" hidden="1">'RP21-BS-13'!$D$33</definedName>
    <definedName name="QB_ROW_12331" localSheetId="39" hidden="1">'SPC-BS-13'!$D$34</definedName>
    <definedName name="QB_ROW_12331" localSheetId="41" hidden="1">'TYP-BS-13'!$D$26</definedName>
    <definedName name="QB_ROW_12331" localSheetId="43" hidden="1">'UST-BS-13'!$D$42</definedName>
    <definedName name="QB_ROW_12331" localSheetId="53" hidden="1">'Wood96-BS-13'!$D$20</definedName>
    <definedName name="QB_ROW_123350" localSheetId="20" hidden="1">'CP-PL-13'!$F$37</definedName>
    <definedName name="QB_ROW_12340" localSheetId="44" hidden="1">'UST-PL-13'!$E$20</definedName>
    <definedName name="QB_ROW_124040" localSheetId="32" hidden="1">'NWC-PL-13'!$E$118</definedName>
    <definedName name="QB_ROW_124050" localSheetId="18" hidden="1">'BPT-PL-13'!$F$39</definedName>
    <definedName name="QB_ROW_124220" localSheetId="39" hidden="1">'SPC-BS-13'!$C$20</definedName>
    <definedName name="QB_ROW_124240" localSheetId="15" hidden="1">'ABP-BS-13'!$E$42</definedName>
    <definedName name="QB_ROW_124240" localSheetId="27" hidden="1">'NR6-OfficePL-13'!$E$128</definedName>
    <definedName name="QB_ROW_124240" localSheetId="26" hidden="1">'NR6-TotalPL-13'!$E$159</definedName>
    <definedName name="QB_ROW_124250" localSheetId="32" hidden="1">'NWC-PL-13'!$F$121</definedName>
    <definedName name="QB_ROW_124260" localSheetId="34" hidden="1">'OCP-PL-13'!$G$113</definedName>
    <definedName name="QB_ROW_124260" localSheetId="44" hidden="1">'UST-PL-13'!$G$41</definedName>
    <definedName name="QB_ROW_124320" localSheetId="21" hidden="1">'DGS-BS-13'!$C$17</definedName>
    <definedName name="QB_ROW_124340" localSheetId="32" hidden="1">'NWC-PL-13'!$E$122</definedName>
    <definedName name="QB_ROW_124350" localSheetId="18" hidden="1">'BPT-PL-13'!$F$41</definedName>
    <definedName name="QB_ROW_125040" localSheetId="32" hidden="1">'NWC-PL-13'!$E$138</definedName>
    <definedName name="QB_ROW_125050" localSheetId="27" hidden="1">'NR6-OfficePL-13'!$F$82</definedName>
    <definedName name="QB_ROW_125050" localSheetId="28" hidden="1">'NR6-RetailPL-13'!$F$79</definedName>
    <definedName name="QB_ROW_125050" localSheetId="26" hidden="1">'NR6-TotalPL-13'!$F$103</definedName>
    <definedName name="QB_ROW_125050" localSheetId="34" hidden="1">'OCP-PL-13'!$F$111</definedName>
    <definedName name="QB_ROW_125230" localSheetId="37" hidden="1">'ROY-BS-13'!$D$11</definedName>
    <definedName name="QB_ROW_125250" localSheetId="18" hidden="1">'BPT-PL-13'!$F$109</definedName>
    <definedName name="QB_ROW_125250" localSheetId="32" hidden="1">'NWC-PL-13'!$F$141</definedName>
    <definedName name="QB_ROW_125260" localSheetId="27" hidden="1">'NR6-OfficePL-13'!$G$85</definedName>
    <definedName name="QB_ROW_125260" localSheetId="28" hidden="1">'NR6-RetailPL-13'!$G$82</definedName>
    <definedName name="QB_ROW_125260" localSheetId="26" hidden="1">'NR6-TotalPL-13'!$G$106</definedName>
    <definedName name="QB_ROW_125320" localSheetId="19" hidden="1">'CP-BS-13'!$C$18</definedName>
    <definedName name="QB_ROW_125320" localSheetId="39" hidden="1">'SPC-BS-13'!$C$16</definedName>
    <definedName name="QB_ROW_125340" localSheetId="32" hidden="1">'NWC-PL-13'!$E$142</definedName>
    <definedName name="QB_ROW_125350" localSheetId="27" hidden="1">'NR6-OfficePL-13'!$F$86</definedName>
    <definedName name="QB_ROW_125350" localSheetId="28" hidden="1">'NR6-RetailPL-13'!$F$83</definedName>
    <definedName name="QB_ROW_125350" localSheetId="26" hidden="1">'NR6-TotalPL-13'!$F$107</definedName>
    <definedName name="QB_ROW_125350" localSheetId="34" hidden="1">'OCP-PL-13'!$F$115</definedName>
    <definedName name="QB_ROW_126240" localSheetId="44" hidden="1">'UST-PL-13'!$E$71</definedName>
    <definedName name="QB_ROW_126250" localSheetId="20" hidden="1">'CP-PL-13'!$F$91</definedName>
    <definedName name="QB_ROW_126250" localSheetId="27" hidden="1">'NR6-OfficePL-13'!$F$108</definedName>
    <definedName name="QB_ROW_126250" localSheetId="26" hidden="1">'NR6-TotalPL-13'!$F$130</definedName>
    <definedName name="QB_ROW_126260" localSheetId="18" hidden="1">'BPT-PL-13'!$G$27</definedName>
    <definedName name="QB_ROW_126260" localSheetId="34" hidden="1">'OCP-PL-13'!$G$42</definedName>
    <definedName name="QB_ROW_127220" localSheetId="15" hidden="1">'ABP-BS-13'!$C$23</definedName>
    <definedName name="QB_ROW_127260" localSheetId="34" hidden="1">'OCP-PL-13'!$G$53</definedName>
    <definedName name="QB_ROW_127320" localSheetId="37" hidden="1">'ROY-BS-13'!$C$21</definedName>
    <definedName name="QB_ROW_127320" localSheetId="39" hidden="1">'SPC-BS-13'!$C$17</definedName>
    <definedName name="QB_ROW_128240" localSheetId="38" hidden="1">'ROY-PL-13'!$E$92</definedName>
    <definedName name="QB_ROW_128260" localSheetId="16" hidden="1">'ABP-PL-13'!$G$28</definedName>
    <definedName name="QB_ROW_128260" localSheetId="22" hidden="1">'DGS-PL-13'!$G$37</definedName>
    <definedName name="QB_ROW_128260" localSheetId="34" hidden="1">'OCP-PL-13'!$G$101</definedName>
    <definedName name="QB_ROW_129050" localSheetId="16" hidden="1">'ABP-PL-13'!$F$76</definedName>
    <definedName name="QB_ROW_129050" localSheetId="18" hidden="1">'BPT-PL-13'!$F$86</definedName>
    <definedName name="QB_ROW_129260" localSheetId="16" hidden="1">'ABP-PL-13'!$G$78</definedName>
    <definedName name="QB_ROW_129260" localSheetId="18" hidden="1">'BPT-PL-13'!$G$89</definedName>
    <definedName name="QB_ROW_129260" localSheetId="22" hidden="1">'DGS-PL-13'!$G$53</definedName>
    <definedName name="QB_ROW_129260" localSheetId="34" hidden="1">'OCP-PL-13'!$G$106</definedName>
    <definedName name="QB_ROW_129320" localSheetId="39" hidden="1">'SPC-BS-13'!$C$18</definedName>
    <definedName name="QB_ROW_129340" localSheetId="36" hidden="1">'OMI-PL-13'!$E$29</definedName>
    <definedName name="QB_ROW_129350" localSheetId="16" hidden="1">'ABP-PL-13'!$F$79</definedName>
    <definedName name="QB_ROW_129350" localSheetId="18" hidden="1">'BPT-PL-13'!$F$90</definedName>
    <definedName name="QB_ROW_130040" localSheetId="32" hidden="1">'NWC-PL-13'!$E$133</definedName>
    <definedName name="QB_ROW_13021" localSheetId="45" hidden="1">'21Webb-BS-13'!$C$49</definedName>
    <definedName name="QB_ROW_13021" localSheetId="15" hidden="1">'ABP-BS-13'!$C$47</definedName>
    <definedName name="QB_ROW_13021" localSheetId="17" hidden="1">'BPT-BS-13'!$C$47</definedName>
    <definedName name="QB_ROW_13021" localSheetId="19" hidden="1">'CP-BS-13'!$C$40</definedName>
    <definedName name="QB_ROW_13021" localSheetId="21" hidden="1">'DGS-BS-13'!$C$38</definedName>
    <definedName name="QB_ROW_13021" localSheetId="29" hidden="1">'NR14-BS-13'!$C$35</definedName>
    <definedName name="QB_ROW_13021" localSheetId="25" hidden="1">'NR6-BS-13'!$C$50</definedName>
    <definedName name="QB_ROW_13021" localSheetId="31" hidden="1">'NWC-BS-13'!$C$43</definedName>
    <definedName name="QB_ROW_13021" localSheetId="33" hidden="1">'OCP-BS-13'!$C$34</definedName>
    <definedName name="QB_ROW_13021" localSheetId="35" hidden="1">'OMI-BS-13'!$C$50</definedName>
    <definedName name="QB_ROW_13021" localSheetId="37" hidden="1">'ROY-BS-13'!$C$38</definedName>
    <definedName name="QB_ROW_13021" localSheetId="39" hidden="1">'SPC-BS-13'!$C$36</definedName>
    <definedName name="QB_ROW_13021" localSheetId="43" hidden="1">'UST-BS-13'!$C$44</definedName>
    <definedName name="QB_ROW_130250" localSheetId="32" hidden="1">'NWC-PL-13'!$F$136</definedName>
    <definedName name="QB_ROW_130260" localSheetId="22" hidden="1">'DGS-PL-13'!$G$52</definedName>
    <definedName name="QB_ROW_130260" localSheetId="27" hidden="1">'NR6-OfficePL-13'!$G$45</definedName>
    <definedName name="QB_ROW_130260" localSheetId="28" hidden="1">'NR6-RetailPL-13'!$G$49</definedName>
    <definedName name="QB_ROW_130260" localSheetId="26" hidden="1">'NR6-TotalPL-13'!$G$66</definedName>
    <definedName name="QB_ROW_13030" localSheetId="40" hidden="1">'SPC-PL-13'!$D$135</definedName>
    <definedName name="QB_ROW_130340" localSheetId="32" hidden="1">'NWC-PL-13'!$E$137</definedName>
    <definedName name="QB_ROW_13040" localSheetId="27" hidden="1">'NR6-OfficePL-13'!$E$111</definedName>
    <definedName name="QB_ROW_13040" localSheetId="28" hidden="1">'NR6-RetailPL-13'!$E$94</definedName>
    <definedName name="QB_ROW_13040" localSheetId="26" hidden="1">'NR6-TotalPL-13'!$E$134</definedName>
    <definedName name="QB_ROW_13040" localSheetId="34" hidden="1">'OCP-PL-13'!$E$8</definedName>
    <definedName name="QB_ROW_1311" localSheetId="47" hidden="1">'127PAW-BS-13'!$B$10</definedName>
    <definedName name="QB_ROW_1311" localSheetId="45" hidden="1">'21Webb-BS-13'!$B$18</definedName>
    <definedName name="QB_ROW_1311" localSheetId="15" hidden="1">'ABP-BS-13'!$B$17</definedName>
    <definedName name="QB_ROW_1311" localSheetId="17" hidden="1">'BPT-BS-13'!$B$14</definedName>
    <definedName name="QB_ROW_1311" localSheetId="51" hidden="1">'BSQ-BS-13'!$B$11</definedName>
    <definedName name="QB_ROW_1311" localSheetId="19" hidden="1">'CP-BS-13'!$B$15</definedName>
    <definedName name="QB_ROW_1311" localSheetId="21" hidden="1">'DGS-BS-13'!$B$14</definedName>
    <definedName name="QB_ROW_1311" localSheetId="23" hidden="1">'NDV-BS-13'!$B$15</definedName>
    <definedName name="QB_ROW_1311" localSheetId="29" hidden="1">'NR14-BS-13'!$B$11</definedName>
    <definedName name="QB_ROW_1311" localSheetId="25" hidden="1">'NR6-BS-13'!$B$18</definedName>
    <definedName name="QB_ROW_1311" localSheetId="31" hidden="1">'NWC-BS-13'!$B$15</definedName>
    <definedName name="QB_ROW_1311" localSheetId="33" hidden="1">'OCP-BS-13'!$B$15</definedName>
    <definedName name="QB_ROW_1311" localSheetId="35" hidden="1">'OMI-BS-13'!$B$19</definedName>
    <definedName name="QB_ROW_1311" localSheetId="37" hidden="1">'ROY-BS-13'!$B$14</definedName>
    <definedName name="QB_ROW_1311" localSheetId="49" hidden="1">'RP21-BS-13'!$B$10</definedName>
    <definedName name="QB_ROW_1311" localSheetId="39" hidden="1">'SPC-BS-13'!$B$13</definedName>
    <definedName name="QB_ROW_1311" localSheetId="41" hidden="1">'TYP-BS-13'!$B$7</definedName>
    <definedName name="QB_ROW_1311" localSheetId="43" hidden="1">'UST-BS-13'!$B$21</definedName>
    <definedName name="QB_ROW_1311" localSheetId="53" hidden="1">'Wood96-BS-13'!$B$7</definedName>
    <definedName name="QB_ROW_131250" localSheetId="32" hidden="1">'NWC-PL-13'!$F$104</definedName>
    <definedName name="QB_ROW_131260" localSheetId="16" hidden="1">'ABP-PL-13'!$G$77</definedName>
    <definedName name="QB_ROW_132220" localSheetId="15" hidden="1">'ABP-BS-13'!$C$22</definedName>
    <definedName name="QB_ROW_132220" localSheetId="19" hidden="1">'CP-BS-13'!$C$48</definedName>
    <definedName name="QB_ROW_132230" localSheetId="25" hidden="1">'NR6-BS-13'!$D$16</definedName>
    <definedName name="QB_ROW_132250" localSheetId="32" hidden="1">'NWC-PL-13'!$F$106</definedName>
    <definedName name="QB_ROW_132260" localSheetId="18" hidden="1">'BPT-PL-13'!$G$97</definedName>
    <definedName name="QB_ROW_13240" localSheetId="40" hidden="1">'SPC-PL-13'!$E$138</definedName>
    <definedName name="QB_ROW_13250" localSheetId="18" hidden="1">'BPT-PL-13'!$F$108</definedName>
    <definedName name="QB_ROW_13250" localSheetId="22" hidden="1">'DGS-PL-13'!$F$104</definedName>
    <definedName name="QB_ROW_13250" localSheetId="34" hidden="1">'OCP-PL-13'!$F$10</definedName>
    <definedName name="QB_ROW_13250" localSheetId="44" hidden="1">'UST-PL-13'!$F$19</definedName>
    <definedName name="QB_ROW_13321" localSheetId="45" hidden="1">'21Webb-BS-13'!$C$51</definedName>
    <definedName name="QB_ROW_13321" localSheetId="15" hidden="1">'ABP-BS-13'!$C$50</definedName>
    <definedName name="QB_ROW_13321" localSheetId="17" hidden="1">'BPT-BS-13'!$C$49</definedName>
    <definedName name="QB_ROW_13321" localSheetId="19" hidden="1">'CP-BS-13'!$C$43</definedName>
    <definedName name="QB_ROW_13321" localSheetId="21" hidden="1">'DGS-BS-13'!$C$42</definedName>
    <definedName name="QB_ROW_13321" localSheetId="29" hidden="1">'NR14-BS-13'!$C$37</definedName>
    <definedName name="QB_ROW_13321" localSheetId="25" hidden="1">'NR6-BS-13'!$C$53</definedName>
    <definedName name="QB_ROW_13321" localSheetId="31" hidden="1">'NWC-BS-13'!$C$45</definedName>
    <definedName name="QB_ROW_13321" localSheetId="33" hidden="1">'OCP-BS-13'!$C$36</definedName>
    <definedName name="QB_ROW_13321" localSheetId="35" hidden="1">'OMI-BS-13'!$C$54</definedName>
    <definedName name="QB_ROW_13321" localSheetId="37" hidden="1">'ROY-BS-13'!$C$40</definedName>
    <definedName name="QB_ROW_13321" localSheetId="39" hidden="1">'SPC-BS-13'!$C$39</definedName>
    <definedName name="QB_ROW_13321" localSheetId="43" hidden="1">'UST-BS-13'!$C$47</definedName>
    <definedName name="QB_ROW_133220" localSheetId="15" hidden="1">'ABP-BS-13'!$C$24</definedName>
    <definedName name="QB_ROW_133220" localSheetId="19" hidden="1">'CP-BS-13'!$C$49</definedName>
    <definedName name="QB_ROW_133230" localSheetId="35" hidden="1">'OMI-BS-13'!$D$53</definedName>
    <definedName name="QB_ROW_133250" localSheetId="27" hidden="1">'NR6-OfficePL-13'!$F$107</definedName>
    <definedName name="QB_ROW_133250" localSheetId="26" hidden="1">'NR6-TotalPL-13'!$F$129</definedName>
    <definedName name="QB_ROW_133250" localSheetId="32" hidden="1">'NWC-PL-13'!$F$101</definedName>
    <definedName name="QB_ROW_13330" localSheetId="40" hidden="1">'SPC-PL-13'!$D$139</definedName>
    <definedName name="QB_ROW_13340" localSheetId="16" hidden="1">'ABP-PL-13'!$E$101</definedName>
    <definedName name="QB_ROW_13340" localSheetId="27" hidden="1">'NR6-OfficePL-13'!$E$113</definedName>
    <definedName name="QB_ROW_13340" localSheetId="28" hidden="1">'NR6-RetailPL-13'!$E$96</definedName>
    <definedName name="QB_ROW_13340" localSheetId="26" hidden="1">'NR6-TotalPL-13'!$E$136</definedName>
    <definedName name="QB_ROW_13340" localSheetId="34" hidden="1">'OCP-PL-13'!$E$11</definedName>
    <definedName name="QB_ROW_13340" localSheetId="36" hidden="1">'OMI-PL-13'!$E$21</definedName>
    <definedName name="QB_ROW_134230" localSheetId="15" hidden="1">'ABP-BS-13'!$D$13</definedName>
    <definedName name="QB_ROW_134240" localSheetId="35" hidden="1">'OMI-BS-13'!$E$45</definedName>
    <definedName name="QB_ROW_134250" localSheetId="22" hidden="1">'DGS-PL-13'!$F$47</definedName>
    <definedName name="QB_ROW_134250" localSheetId="32" hidden="1">'NWC-PL-13'!$F$102</definedName>
    <definedName name="QB_ROW_134250" localSheetId="34" hidden="1">'OCP-PL-13'!$F$122</definedName>
    <definedName name="QB_ROW_134260" localSheetId="20" hidden="1">'CP-PL-13'!$G$16</definedName>
    <definedName name="QB_ROW_135220" localSheetId="39" hidden="1">'SPC-BS-13'!$C$21</definedName>
    <definedName name="QB_ROW_135230" localSheetId="20" hidden="1">'CP-PL-13'!$D$106</definedName>
    <definedName name="QB_ROW_135260" localSheetId="16" hidden="1">'ABP-PL-13'!$G$17</definedName>
    <definedName name="QB_ROW_135260" localSheetId="18" hidden="1">'BPT-PL-13'!$G$98</definedName>
    <definedName name="QB_ROW_135260" localSheetId="34" hidden="1">'OCP-PL-13'!$G$21</definedName>
    <definedName name="QB_ROW_136220" localSheetId="19" hidden="1">'CP-BS-13'!$C$50</definedName>
    <definedName name="QB_ROW_136230" localSheetId="39" hidden="1">'SPC-BS-13'!$D$38</definedName>
    <definedName name="QB_ROW_136260" localSheetId="16" hidden="1">'ABP-PL-13'!$G$18</definedName>
    <definedName name="QB_ROW_136260" localSheetId="18" hidden="1">'BPT-PL-13'!$G$50</definedName>
    <definedName name="QB_ROW_136260" localSheetId="34" hidden="1">'OCP-PL-13'!$G$22</definedName>
    <definedName name="QB_ROW_136340" localSheetId="38" hidden="1">'ROY-PL-13'!$E$76</definedName>
    <definedName name="QB_ROW_137050" localSheetId="16" hidden="1">'ABP-PL-13'!$F$68</definedName>
    <definedName name="QB_ROW_137230" localSheetId="19" hidden="1">'CP-BS-13'!$D$5</definedName>
    <definedName name="QB_ROW_137230" localSheetId="40" hidden="1">'SPC-PL-13'!$D$145</definedName>
    <definedName name="QB_ROW_137240" localSheetId="36" hidden="1">'OMI-PL-13'!$E$34</definedName>
    <definedName name="QB_ROW_137250" localSheetId="32" hidden="1">'NWC-PL-13'!$F$70</definedName>
    <definedName name="QB_ROW_137260" localSheetId="16" hidden="1">'ABP-PL-13'!$G$70</definedName>
    <definedName name="QB_ROW_137260" localSheetId="18" hidden="1">'BPT-PL-13'!$G$52</definedName>
    <definedName name="QB_ROW_137320" localSheetId="21" hidden="1">'DGS-BS-13'!$C$18</definedName>
    <definedName name="QB_ROW_137320" localSheetId="37" hidden="1">'ROY-BS-13'!$C$44</definedName>
    <definedName name="QB_ROW_137350" localSheetId="16" hidden="1">'ABP-PL-13'!$F$71</definedName>
    <definedName name="QB_ROW_138230" localSheetId="19" hidden="1">'CP-BS-13'!$D$41</definedName>
    <definedName name="QB_ROW_138230" localSheetId="40" hidden="1">'SPC-PL-13'!$D$9</definedName>
    <definedName name="QB_ROW_138250" localSheetId="32" hidden="1">'NWC-PL-13'!$F$69</definedName>
    <definedName name="QB_ROW_138320" localSheetId="21" hidden="1">'DGS-BS-13'!$C$19</definedName>
    <definedName name="QB_ROW_138320" localSheetId="37" hidden="1">'ROY-BS-13'!$C$43</definedName>
    <definedName name="QB_ROW_139230" localSheetId="22" hidden="1">'DGS-PL-13'!$D$118</definedName>
    <definedName name="QB_ROW_139240" localSheetId="20" hidden="1">'CP-PL-13'!$E$9</definedName>
    <definedName name="QB_ROW_139250" localSheetId="32" hidden="1">'NWC-PL-13'!$F$71</definedName>
    <definedName name="QB_ROW_139250" localSheetId="40" hidden="1">'SPC-PL-13'!$F$57</definedName>
    <definedName name="QB_ROW_139260" localSheetId="16" hidden="1">'ABP-PL-13'!$G$69</definedName>
    <definedName name="QB_ROW_139260" localSheetId="28" hidden="1">'NR6-RetailPL-13'!$G$34</definedName>
    <definedName name="QB_ROW_139260" localSheetId="26" hidden="1">'NR6-TotalPL-13'!$G$44</definedName>
    <definedName name="QB_ROW_140040" localSheetId="40" hidden="1">'SPC-PL-13'!$E$100</definedName>
    <definedName name="QB_ROW_14011" localSheetId="47" hidden="1">'127PAW-BS-13'!$B$24</definedName>
    <definedName name="QB_ROW_14011" localSheetId="45" hidden="1">'21Webb-BS-13'!$B$53</definedName>
    <definedName name="QB_ROW_14011" localSheetId="15" hidden="1">'ABP-BS-13'!$B$52</definedName>
    <definedName name="QB_ROW_14011" localSheetId="17" hidden="1">'BPT-BS-13'!$B$51</definedName>
    <definedName name="QB_ROW_14011" localSheetId="51" hidden="1">'BSQ-BS-13'!$B$41</definedName>
    <definedName name="QB_ROW_14011" localSheetId="19" hidden="1">'CP-BS-13'!$B$45</definedName>
    <definedName name="QB_ROW_14011" localSheetId="21" hidden="1">'DGS-BS-13'!$B$44</definedName>
    <definedName name="QB_ROW_14011" localSheetId="23" hidden="1">'NDV-BS-13'!$B$28</definedName>
    <definedName name="QB_ROW_14011" localSheetId="29" hidden="1">'NR14-BS-13'!$B$39</definedName>
    <definedName name="QB_ROW_14011" localSheetId="25" hidden="1">'NR6-BS-13'!$B$55</definedName>
    <definedName name="QB_ROW_14011" localSheetId="31" hidden="1">'NWC-BS-13'!$B$47</definedName>
    <definedName name="QB_ROW_14011" localSheetId="33" hidden="1">'OCP-BS-13'!$B$38</definedName>
    <definedName name="QB_ROW_14011" localSheetId="35" hidden="1">'OMI-BS-13'!$B$56</definedName>
    <definedName name="QB_ROW_14011" localSheetId="37" hidden="1">'ROY-BS-13'!$B$42</definedName>
    <definedName name="QB_ROW_14011" localSheetId="49" hidden="1">'RP21-BS-13'!$B$36</definedName>
    <definedName name="QB_ROW_14011" localSheetId="39" hidden="1">'SPC-BS-13'!$B$41</definedName>
    <definedName name="QB_ROW_14011" localSheetId="41" hidden="1">'TYP-BS-13'!$B$29</definedName>
    <definedName name="QB_ROW_14011" localSheetId="43" hidden="1">'UST-BS-13'!$B$49</definedName>
    <definedName name="QB_ROW_14011" localSheetId="53" hidden="1">'Wood96-BS-13'!$B$23</definedName>
    <definedName name="QB_ROW_140220" localSheetId="17" hidden="1">'BPT-BS-13'!$C$31</definedName>
    <definedName name="QB_ROW_140230" localSheetId="25" hidden="1">'NR6-BS-13'!$D$15</definedName>
    <definedName name="QB_ROW_140250" localSheetId="38" hidden="1">'ROY-PL-13'!$F$23</definedName>
    <definedName name="QB_ROW_140250" localSheetId="40" hidden="1">'SPC-PL-13'!$F$103</definedName>
    <definedName name="QB_ROW_140260" localSheetId="16" hidden="1">'ABP-PL-13'!$G$55</definedName>
    <definedName name="QB_ROW_140340" localSheetId="40" hidden="1">'SPC-PL-13'!$E$104</definedName>
    <definedName name="QB_ROW_14040" localSheetId="22" hidden="1">'DGS-PL-13'!$E$98</definedName>
    <definedName name="QB_ROW_141230" localSheetId="17" hidden="1">'BPT-BS-13'!$D$48</definedName>
    <definedName name="QB_ROW_141240" localSheetId="27" hidden="1">'NR6-OfficePL-13'!$E$5</definedName>
    <definedName name="QB_ROW_141240" localSheetId="28" hidden="1">'NR6-RetailPL-13'!$E$5</definedName>
    <definedName name="QB_ROW_141240" localSheetId="26" hidden="1">'NR6-TotalPL-13'!$E$5</definedName>
    <definedName name="QB_ROW_141250" localSheetId="38" hidden="1">'ROY-PL-13'!$F$40</definedName>
    <definedName name="QB_ROW_141250" localSheetId="40" hidden="1">'SPC-PL-13'!$F$44</definedName>
    <definedName name="QB_ROW_141260" localSheetId="34" hidden="1">'OCP-PL-13'!$G$98</definedName>
    <definedName name="QB_ROW_142040" localSheetId="40" hidden="1">'SPC-PL-13'!$E$35</definedName>
    <definedName name="QB_ROW_14220" localSheetId="37" hidden="1">'ROY-BS-13'!$C$17</definedName>
    <definedName name="QB_ROW_142250" localSheetId="32" hidden="1">'NWC-PL-13'!$F$140</definedName>
    <definedName name="QB_ROW_142250" localSheetId="38" hidden="1">'ROY-PL-13'!$F$52</definedName>
    <definedName name="QB_ROW_142260" localSheetId="16" hidden="1">'ABP-PL-13'!$G$52</definedName>
    <definedName name="QB_ROW_142260" localSheetId="34" hidden="1">'OCP-PL-13'!$G$99</definedName>
    <definedName name="QB_ROW_14230" localSheetId="17" hidden="1">'BPT-BS-13'!$D$8</definedName>
    <definedName name="QB_ROW_14230" localSheetId="30" hidden="1">'NR14-PL-13'!$D$61</definedName>
    <definedName name="QB_ROW_14230" localSheetId="32" hidden="1">'NWC-PL-13'!$D$4</definedName>
    <definedName name="QB_ROW_142320" localSheetId="25" hidden="1">'NR6-BS-13'!$C$22</definedName>
    <definedName name="QB_ROW_142340" localSheetId="40" hidden="1">'SPC-PL-13'!$E$38</definedName>
    <definedName name="QB_ROW_14240" localSheetId="20" hidden="1">'CP-PL-13'!$E$93</definedName>
    <definedName name="QB_ROW_14240" localSheetId="40" hidden="1">'SPC-PL-13'!$E$21</definedName>
    <definedName name="QB_ROW_14250" localSheetId="27" hidden="1">'NR6-OfficePL-13'!$F$112</definedName>
    <definedName name="QB_ROW_14250" localSheetId="28" hidden="1">'NR6-RetailPL-13'!$F$95</definedName>
    <definedName name="QB_ROW_14250" localSheetId="26" hidden="1">'NR6-TotalPL-13'!$F$135</definedName>
    <definedName name="QB_ROW_143040" localSheetId="40" hidden="1">'SPC-PL-13'!$E$46</definedName>
    <definedName name="QB_ROW_14311" localSheetId="47" hidden="1">'127PAW-BS-13'!$B$30</definedName>
    <definedName name="QB_ROW_14311" localSheetId="45" hidden="1">'21Webb-BS-13'!$B$63</definedName>
    <definedName name="QB_ROW_14311" localSheetId="15" hidden="1">'ABP-BS-13'!$B$59</definedName>
    <definedName name="QB_ROW_14311" localSheetId="17" hidden="1">'BPT-BS-13'!$B$56</definedName>
    <definedName name="QB_ROW_14311" localSheetId="51" hidden="1">'BSQ-BS-13'!$B$45</definedName>
    <definedName name="QB_ROW_14311" localSheetId="19" hidden="1">'CP-BS-13'!$B$52</definedName>
    <definedName name="QB_ROW_14311" localSheetId="21" hidden="1">'DGS-BS-13'!$B$48</definedName>
    <definedName name="QB_ROW_14311" localSheetId="23" hidden="1">'NDV-BS-13'!$B$31</definedName>
    <definedName name="QB_ROW_14311" localSheetId="29" hidden="1">'NR14-BS-13'!$B$48</definedName>
    <definedName name="QB_ROW_14311" localSheetId="25" hidden="1">'NR6-BS-13'!$B$64</definedName>
    <definedName name="QB_ROW_14311" localSheetId="31" hidden="1">'NWC-BS-13'!$B$58</definedName>
    <definedName name="QB_ROW_14311" localSheetId="33" hidden="1">'OCP-BS-13'!$B$43</definedName>
    <definedName name="QB_ROW_14311" localSheetId="35" hidden="1">'OMI-BS-13'!$B$61</definedName>
    <definedName name="QB_ROW_14311" localSheetId="37" hidden="1">'ROY-BS-13'!$B$47</definedName>
    <definedName name="QB_ROW_14311" localSheetId="49" hidden="1">'RP21-BS-13'!$B$40</definedName>
    <definedName name="QB_ROW_14311" localSheetId="39" hidden="1">'SPC-BS-13'!$B$45</definedName>
    <definedName name="QB_ROW_14311" localSheetId="41" hidden="1">'TYP-BS-13'!$B$32</definedName>
    <definedName name="QB_ROW_14311" localSheetId="43" hidden="1">'UST-BS-13'!$B$52</definedName>
    <definedName name="QB_ROW_14311" localSheetId="53" hidden="1">'Wood96-BS-13'!$B$27</definedName>
    <definedName name="QB_ROW_143230" localSheetId="21" hidden="1">'DGS-BS-13'!$D$40</definedName>
    <definedName name="QB_ROW_143230" localSheetId="33" hidden="1">'OCP-BS-13'!$D$12</definedName>
    <definedName name="QB_ROW_143250" localSheetId="32" hidden="1">'NWC-PL-13'!$F$126</definedName>
    <definedName name="QB_ROW_143250" localSheetId="38" hidden="1">'ROY-PL-13'!$F$53</definedName>
    <definedName name="QB_ROW_143260" localSheetId="28" hidden="1">'NR6-RetailPL-13'!$G$42</definedName>
    <definedName name="QB_ROW_143260" localSheetId="26" hidden="1">'NR6-TotalPL-13'!$G$58</definedName>
    <definedName name="QB_ROW_143340" localSheetId="40" hidden="1">'SPC-PL-13'!$E$51</definedName>
    <definedName name="QB_ROW_14340" localSheetId="22" hidden="1">'DGS-PL-13'!$E$100</definedName>
    <definedName name="QB_ROW_144240" localSheetId="34" hidden="1">'OCP-PL-13'!$E$124</definedName>
    <definedName name="QB_ROW_144250" localSheetId="20" hidden="1">'CP-PL-13'!$F$29</definedName>
    <definedName name="QB_ROW_144250" localSheetId="27" hidden="1">'NR6-OfficePL-13'!$F$101</definedName>
    <definedName name="QB_ROW_144250" localSheetId="26" hidden="1">'NR6-TotalPL-13'!$F$123</definedName>
    <definedName name="QB_ROW_144250" localSheetId="32" hidden="1">'NWC-PL-13'!$F$130</definedName>
    <definedName name="QB_ROW_144260" localSheetId="22" hidden="1">'DGS-PL-13'!$G$27</definedName>
    <definedName name="QB_ROW_145040" localSheetId="40" hidden="1">'SPC-PL-13'!$E$61</definedName>
    <definedName name="QB_ROW_145240" localSheetId="18" hidden="1">'BPT-PL-13'!$E$11</definedName>
    <definedName name="QB_ROW_145250" localSheetId="32" hidden="1">'NWC-PL-13'!$F$161</definedName>
    <definedName name="QB_ROW_145250" localSheetId="38" hidden="1">'ROY-PL-13'!$F$61</definedName>
    <definedName name="QB_ROW_145250" localSheetId="40" hidden="1">'SPC-PL-13'!$F$68</definedName>
    <definedName name="QB_ROW_145260" localSheetId="20" hidden="1">'CP-PL-13'!$G$35</definedName>
    <definedName name="QB_ROW_145260" localSheetId="22" hidden="1">'DGS-PL-13'!$G$44</definedName>
    <definedName name="QB_ROW_145260" localSheetId="27" hidden="1">'NR6-OfficePL-13'!$G$31</definedName>
    <definedName name="QB_ROW_145260" localSheetId="26" hidden="1">'NR6-TotalPL-13'!$G$43</definedName>
    <definedName name="QB_ROW_145340" localSheetId="40" hidden="1">'SPC-PL-13'!$E$69</definedName>
    <definedName name="QB_ROW_146020" localSheetId="17" hidden="1">'BPT-BS-13'!$C$22</definedName>
    <definedName name="QB_ROW_146220" localSheetId="25" hidden="1">'NR6-BS-13'!$C$28</definedName>
    <definedName name="QB_ROW_146230" localSheetId="17" hidden="1">'BPT-BS-13'!$D$25</definedName>
    <definedName name="QB_ROW_146250" localSheetId="38" hidden="1">'ROY-PL-13'!$F$65</definedName>
    <definedName name="QB_ROW_146250" localSheetId="40" hidden="1">'SPC-PL-13'!$F$67</definedName>
    <definedName name="QB_ROW_146260" localSheetId="16" hidden="1">'ABP-PL-13'!$G$64</definedName>
    <definedName name="QB_ROW_146260" localSheetId="20" hidden="1">'CP-PL-13'!$G$39</definedName>
    <definedName name="QB_ROW_146260" localSheetId="22" hidden="1">'DGS-PL-13'!$G$16</definedName>
    <definedName name="QB_ROW_146320" localSheetId="17" hidden="1">'BPT-BS-13'!$C$26</definedName>
    <definedName name="QB_ROW_147220" localSheetId="25" hidden="1">'NR6-BS-13'!$C$25</definedName>
    <definedName name="QB_ROW_147250" localSheetId="38" hidden="1">'ROY-PL-13'!$F$66</definedName>
    <definedName name="QB_ROW_147250" localSheetId="40" hidden="1">'SPC-PL-13'!$F$71</definedName>
    <definedName name="QB_ROW_147260" localSheetId="16" hidden="1">'ABP-PL-13'!$G$65</definedName>
    <definedName name="QB_ROW_147260" localSheetId="22" hidden="1">'DGS-PL-13'!$G$17</definedName>
    <definedName name="QB_ROW_148230" localSheetId="35" hidden="1">'OMI-BS-13'!$D$52</definedName>
    <definedName name="QB_ROW_148260" localSheetId="22" hidden="1">'DGS-PL-13'!$G$51</definedName>
    <definedName name="QB_ROW_148260" localSheetId="28" hidden="1">'NR6-RetailPL-13'!$G$35</definedName>
    <definedName name="QB_ROW_148260" localSheetId="26" hidden="1">'NR6-TotalPL-13'!$G$45</definedName>
    <definedName name="QB_ROW_148260" localSheetId="34" hidden="1">'OCP-PL-13'!$G$100</definedName>
    <definedName name="QB_ROW_149240" localSheetId="32" hidden="1">'NWC-PL-13'!$E$198</definedName>
    <definedName name="QB_ROW_149240" localSheetId="35" hidden="1">'OMI-BS-13'!$E$44</definedName>
    <definedName name="QB_ROW_149250" localSheetId="20" hidden="1">'CP-PL-13'!$F$95</definedName>
    <definedName name="QB_ROW_149250" localSheetId="40" hidden="1">'SPC-PL-13'!$F$80</definedName>
    <definedName name="QB_ROW_149260" localSheetId="18" hidden="1">'BPT-PL-13'!$G$54</definedName>
    <definedName name="QB_ROW_150040" localSheetId="40" hidden="1">'SPC-PL-13'!$E$84</definedName>
    <definedName name="QB_ROW_150250" localSheetId="40" hidden="1">'SPC-PL-13'!$F$87</definedName>
    <definedName name="QB_ROW_150260" localSheetId="16" hidden="1">'ABP-PL-13'!$G$73</definedName>
    <definedName name="QB_ROW_150260" localSheetId="22" hidden="1">'DGS-PL-13'!$G$65</definedName>
    <definedName name="QB_ROW_150340" localSheetId="40" hidden="1">'SPC-PL-13'!$E$88</definedName>
    <definedName name="QB_ROW_15040" localSheetId="16" hidden="1">'ABP-PL-13'!$E$108</definedName>
    <definedName name="QB_ROW_15040" localSheetId="22" hidden="1">'DGS-PL-13'!$E$33</definedName>
    <definedName name="QB_ROW_15040" localSheetId="26" hidden="1">'NR6-TotalPL-13'!$E$144</definedName>
    <definedName name="QB_ROW_151250" localSheetId="40" hidden="1">'SPC-PL-13'!$F$85</definedName>
    <definedName name="QB_ROW_151260" localSheetId="27" hidden="1">'NR6-OfficePL-13'!$G$26</definedName>
    <definedName name="QB_ROW_151260" localSheetId="26" hidden="1">'NR6-TotalPL-13'!$G$38</definedName>
    <definedName name="QB_ROW_152230" localSheetId="52" hidden="1">'BSQ-PL-13'!$D$18</definedName>
    <definedName name="QB_ROW_152240" localSheetId="28" hidden="1">'NR6-RetailPL-13'!$E$10</definedName>
    <definedName name="QB_ROW_152240" localSheetId="26" hidden="1">'NR6-TotalPL-13'!$E$10</definedName>
    <definedName name="QB_ROW_152250" localSheetId="40" hidden="1">'SPC-PL-13'!$F$86</definedName>
    <definedName name="QB_ROW_152260" localSheetId="16" hidden="1">'ABP-PL-13'!$G$81</definedName>
    <definedName name="QB_ROW_152260" localSheetId="18" hidden="1">'BPT-PL-13'!$G$99</definedName>
    <definedName name="QB_ROW_152260" localSheetId="22" hidden="1">'DGS-PL-13'!$G$74</definedName>
    <definedName name="QB_ROW_15230" localSheetId="32" hidden="1">'NWC-PL-13'!$D$186</definedName>
    <definedName name="QB_ROW_15240" localSheetId="20" hidden="1">'CP-PL-13'!$E$101</definedName>
    <definedName name="QB_ROW_15240" localSheetId="34" hidden="1">'OCP-PL-13'!$E$119</definedName>
    <definedName name="QB_ROW_15240" localSheetId="44" hidden="1">'UST-PL-13'!$E$21</definedName>
    <definedName name="QB_ROW_15250" localSheetId="48" hidden="1">'127PAW-PL-13'!$F$11</definedName>
    <definedName name="QB_ROW_15250" localSheetId="16" hidden="1">'ABP-PL-13'!$F$112</definedName>
    <definedName name="QB_ROW_15250" localSheetId="26" hidden="1">'NR6-TotalPL-13'!$F$146</definedName>
    <definedName name="QB_ROW_15250" localSheetId="42" hidden="1">'TYP-PL-13'!$F$6</definedName>
    <definedName name="QB_ROW_153250" localSheetId="40" hidden="1">'SPC-PL-13'!$F$101</definedName>
    <definedName name="QB_ROW_153260" localSheetId="28" hidden="1">'NR6-RetailPL-13'!$G$17</definedName>
    <definedName name="QB_ROW_153260" localSheetId="26" hidden="1">'NR6-TotalPL-13'!$G$18</definedName>
    <definedName name="QB_ROW_15330" localSheetId="52" hidden="1">'BSQ-PL-13'!$D$9</definedName>
    <definedName name="QB_ROW_153330" localSheetId="35" hidden="1">'OMI-BS-13'!$D$15</definedName>
    <definedName name="QB_ROW_15340" localSheetId="16" hidden="1">'ABP-PL-13'!$E$113</definedName>
    <definedName name="QB_ROW_15340" localSheetId="22" hidden="1">'DGS-PL-13'!$E$48</definedName>
    <definedName name="QB_ROW_15340" localSheetId="27" hidden="1">'NR6-OfficePL-13'!$E$117</definedName>
    <definedName name="QB_ROW_15340" localSheetId="28" hidden="1">'NR6-RetailPL-13'!$E$101</definedName>
    <definedName name="QB_ROW_15340" localSheetId="26" hidden="1">'NR6-TotalPL-13'!$E$147</definedName>
    <definedName name="QB_ROW_154250" localSheetId="38" hidden="1">'ROY-PL-13'!$F$74</definedName>
    <definedName name="QB_ROW_154250" localSheetId="40" hidden="1">'SPC-PL-13'!$F$102</definedName>
    <definedName name="QB_ROW_154260" localSheetId="16" hidden="1">'ABP-PL-13'!$G$85</definedName>
    <definedName name="QB_ROW_154260" localSheetId="27" hidden="1">'NR6-OfficePL-13'!$G$11</definedName>
    <definedName name="QB_ROW_154260" localSheetId="26" hidden="1">'NR6-TotalPL-13'!$G$19</definedName>
    <definedName name="QB_ROW_155040" localSheetId="40" hidden="1">'SPC-PL-13'!$E$105</definedName>
    <definedName name="QB_ROW_155050" localSheetId="27" hidden="1">'NR6-OfficePL-13'!$F$29</definedName>
    <definedName name="QB_ROW_155050" localSheetId="28" hidden="1">'NR6-RetailPL-13'!$F$33</definedName>
    <definedName name="QB_ROW_155050" localSheetId="26" hidden="1">'NR6-TotalPL-13'!$F$41</definedName>
    <definedName name="QB_ROW_155250" localSheetId="32" hidden="1">'NWC-PL-13'!$F$151</definedName>
    <definedName name="QB_ROW_155250" localSheetId="40" hidden="1">'SPC-PL-13'!$F$107</definedName>
    <definedName name="QB_ROW_155260" localSheetId="16" hidden="1">'ABP-PL-13'!$G$86</definedName>
    <definedName name="QB_ROW_155260" localSheetId="34" hidden="1">'OCP-PL-13'!$G$107</definedName>
    <definedName name="QB_ROW_155340" localSheetId="40" hidden="1">'SPC-PL-13'!$E$108</definedName>
    <definedName name="QB_ROW_155350" localSheetId="27" hidden="1">'NR6-OfficePL-13'!$F$32</definedName>
    <definedName name="QB_ROW_155350" localSheetId="28" hidden="1">'NR6-RetailPL-13'!$F$36</definedName>
    <definedName name="QB_ROW_155350" localSheetId="26" hidden="1">'NR6-TotalPL-13'!$F$46</definedName>
    <definedName name="QB_ROW_156040" localSheetId="40" hidden="1">'SPC-PL-13'!$E$117</definedName>
    <definedName name="QB_ROW_156050" localSheetId="16" hidden="1">'ABP-PL-13'!$F$92</definedName>
    <definedName name="QB_ROW_156050" localSheetId="18" hidden="1">'BPT-PL-13'!$F$35</definedName>
    <definedName name="QB_ROW_156260" localSheetId="16" hidden="1">'ABP-PL-13'!$G$94</definedName>
    <definedName name="QB_ROW_156260" localSheetId="27" hidden="1">'NR6-OfficePL-13'!$G$49</definedName>
    <definedName name="QB_ROW_156260" localSheetId="28" hidden="1">'NR6-RetailPL-13'!$G$53</definedName>
    <definedName name="QB_ROW_156260" localSheetId="26" hidden="1">'NR6-TotalPL-13'!$G$70</definedName>
    <definedName name="QB_ROW_156260" localSheetId="34" hidden="1">'OCP-PL-13'!$G$32</definedName>
    <definedName name="QB_ROW_156340" localSheetId="40" hidden="1">'SPC-PL-13'!$E$119</definedName>
    <definedName name="QB_ROW_156350" localSheetId="16" hidden="1">'ABP-PL-13'!$F$95</definedName>
    <definedName name="QB_ROW_156350" localSheetId="18" hidden="1">'BPT-PL-13'!$F$38</definedName>
    <definedName name="QB_ROW_157230" localSheetId="35" hidden="1">'OMI-BS-13'!$D$14</definedName>
    <definedName name="QB_ROW_157250" localSheetId="40" hidden="1">'SPC-PL-13'!$F$118</definedName>
    <definedName name="QB_ROW_157260" localSheetId="16" hidden="1">'ABP-PL-13'!$G$93</definedName>
    <definedName name="QB_ROW_157260" localSheetId="18" hidden="1">'BPT-PL-13'!$G$74</definedName>
    <definedName name="QB_ROW_157260" localSheetId="22" hidden="1">'DGS-PL-13'!$G$78</definedName>
    <definedName name="QB_ROW_157260" localSheetId="27" hidden="1">'NR6-OfficePL-13'!$G$68</definedName>
    <definedName name="QB_ROW_157260" localSheetId="26" hidden="1">'NR6-TotalPL-13'!$G$89</definedName>
    <definedName name="QB_ROW_158250" localSheetId="32" hidden="1">'NWC-PL-13'!$F$160</definedName>
    <definedName name="QB_ROW_158260" localSheetId="18" hidden="1">'BPT-PL-13'!$G$75</definedName>
    <definedName name="QB_ROW_158260" localSheetId="22" hidden="1">'DGS-PL-13'!$G$79</definedName>
    <definedName name="QB_ROW_158260" localSheetId="27" hidden="1">'NR6-OfficePL-13'!$G$69</definedName>
    <definedName name="QB_ROW_158260" localSheetId="26" hidden="1">'NR6-TotalPL-13'!$G$90</definedName>
    <definedName name="QB_ROW_159240" localSheetId="16" hidden="1">'ABP-PL-13'!$E$9</definedName>
    <definedName name="QB_ROW_159250" localSheetId="40" hidden="1">'SPC-PL-13'!$F$106</definedName>
    <definedName name="QB_ROW_159260" localSheetId="22" hidden="1">'DGS-PL-13'!$G$83</definedName>
    <definedName name="QB_ROW_159260" localSheetId="27" hidden="1">'NR6-OfficePL-13'!$G$78</definedName>
    <definedName name="QB_ROW_159260" localSheetId="26" hidden="1">'NR6-TotalPL-13'!$G$99</definedName>
    <definedName name="QB_ROW_160050" localSheetId="34" hidden="1">'OCP-PL-13'!$F$68</definedName>
    <definedName name="QB_ROW_160240" localSheetId="38" hidden="1">'ROY-PL-13'!$E$19</definedName>
    <definedName name="QB_ROW_160250" localSheetId="32" hidden="1">'NWC-PL-13'!$F$119</definedName>
    <definedName name="QB_ROW_160260" localSheetId="18" hidden="1">'BPT-PL-13'!$G$83</definedName>
    <definedName name="QB_ROW_160260" localSheetId="22" hidden="1">'DGS-PL-13'!$G$84</definedName>
    <definedName name="QB_ROW_160260" localSheetId="27" hidden="1">'NR6-OfficePL-13'!$G$79</definedName>
    <definedName name="QB_ROW_160260" localSheetId="28" hidden="1">'NR6-RetailPL-13'!$G$76</definedName>
    <definedName name="QB_ROW_160260" localSheetId="26" hidden="1">'NR6-TotalPL-13'!$G$100</definedName>
    <definedName name="QB_ROW_160260" localSheetId="34" hidden="1">'OCP-PL-13'!$G$71</definedName>
    <definedName name="QB_ROW_160350" localSheetId="34" hidden="1">'OCP-PL-13'!$F$72</definedName>
    <definedName name="QB_ROW_16040" localSheetId="50" hidden="1">'RP21-PL-13'!$E$11</definedName>
    <definedName name="QB_ROW_16040" localSheetId="42" hidden="1">'TYP-PL-13'!$E$10</definedName>
    <definedName name="QB_ROW_16050" localSheetId="48" hidden="1">'127PAW-PL-13'!$F$12</definedName>
    <definedName name="QB_ROW_16050" localSheetId="34" hidden="1">'OCP-PL-13'!$F$57</definedName>
    <definedName name="QB_ROW_16050" localSheetId="44" hidden="1">'UST-PL-13'!$F$39</definedName>
    <definedName name="QB_ROW_161250" localSheetId="32" hidden="1">'NWC-PL-13'!$F$114</definedName>
    <definedName name="QB_ROW_161260" localSheetId="18" hidden="1">'BPT-PL-13'!$G$87</definedName>
    <definedName name="QB_ROW_161260" localSheetId="27" hidden="1">'NR6-OfficePL-13'!$G$83</definedName>
    <definedName name="QB_ROW_161260" localSheetId="28" hidden="1">'NR6-RetailPL-13'!$G$80</definedName>
    <definedName name="QB_ROW_161260" localSheetId="26" hidden="1">'NR6-TotalPL-13'!$G$104</definedName>
    <definedName name="QB_ROW_161260" localSheetId="34" hidden="1">'OCP-PL-13'!$G$69</definedName>
    <definedName name="QB_ROW_16220" localSheetId="17" hidden="1">'BPT-BS-13'!$C$54</definedName>
    <definedName name="QB_ROW_162250" localSheetId="32" hidden="1">'NWC-PL-13'!$F$129</definedName>
    <definedName name="QB_ROW_162260" localSheetId="18" hidden="1">'BPT-PL-13'!$G$88</definedName>
    <definedName name="QB_ROW_162260" localSheetId="27" hidden="1">'NR6-OfficePL-13'!$G$84</definedName>
    <definedName name="QB_ROW_162260" localSheetId="28" hidden="1">'NR6-RetailPL-13'!$G$81</definedName>
    <definedName name="QB_ROW_162260" localSheetId="26" hidden="1">'NR6-TotalPL-13'!$G$105</definedName>
    <definedName name="QB_ROW_162260" localSheetId="34" hidden="1">'OCP-PL-13'!$G$70</definedName>
    <definedName name="QB_ROW_16230" localSheetId="21" hidden="1">'DGS-BS-13'!$D$6</definedName>
    <definedName name="QB_ROW_16230" localSheetId="30" hidden="1">'NR14-PL-13'!$D$54</definedName>
    <definedName name="QB_ROW_16240" localSheetId="46" hidden="1">'21Webb-PL-13'!$E$63</definedName>
    <definedName name="QB_ROW_16240" localSheetId="54" hidden="1">'Wood96-PL-13'!$E$5</definedName>
    <definedName name="QB_ROW_16250" localSheetId="50" hidden="1">'RP21-PL-13'!$F$13</definedName>
    <definedName name="QB_ROW_16260" localSheetId="48" hidden="1">'127PAW-PL-13'!$G$14</definedName>
    <definedName name="QB_ROW_16260" localSheetId="34" hidden="1">'OCP-PL-13'!$G$61</definedName>
    <definedName name="QB_ROW_16260" localSheetId="44" hidden="1">'UST-PL-13'!$G$43</definedName>
    <definedName name="QB_ROW_16270" localSheetId="32" hidden="1">'NWC-PL-13'!$H$78</definedName>
    <definedName name="QB_ROW_163050" localSheetId="34" hidden="1">'OCP-PL-13'!$F$73</definedName>
    <definedName name="QB_ROW_163230" localSheetId="22" hidden="1">'DGS-PL-13'!$D$122</definedName>
    <definedName name="QB_ROW_163230" localSheetId="38" hidden="1">'ROY-PL-13'!$D$11</definedName>
    <definedName name="QB_ROW_163260" localSheetId="18" hidden="1">'BPT-PL-13'!$G$92</definedName>
    <definedName name="QB_ROW_163260" localSheetId="27" hidden="1">'NR6-OfficePL-13'!$G$88</definedName>
    <definedName name="QB_ROW_163260" localSheetId="26" hidden="1">'NR6-TotalPL-13'!$G$109</definedName>
    <definedName name="QB_ROW_163350" localSheetId="34" hidden="1">'OCP-PL-13'!$F$75</definedName>
    <definedName name="QB_ROW_16340" localSheetId="50" hidden="1">'RP21-PL-13'!$E$14</definedName>
    <definedName name="QB_ROW_16340" localSheetId="42" hidden="1">'TYP-PL-13'!$E$12</definedName>
    <definedName name="QB_ROW_16350" localSheetId="48" hidden="1">'127PAW-PL-13'!$F$15</definedName>
    <definedName name="QB_ROW_16350" localSheetId="34" hidden="1">'OCP-PL-13'!$F$62</definedName>
    <definedName name="QB_ROW_16350" localSheetId="44" hidden="1">'UST-PL-13'!$F$44</definedName>
    <definedName name="QB_ROW_164240" localSheetId="38" hidden="1">'ROY-PL-13'!$E$81</definedName>
    <definedName name="QB_ROW_164250" localSheetId="32" hidden="1">'NWC-PL-13'!$F$139</definedName>
    <definedName name="QB_ROW_164260" localSheetId="27" hidden="1">'NR6-OfficePL-13'!$G$89</definedName>
    <definedName name="QB_ROW_164260" localSheetId="26" hidden="1">'NR6-TotalPL-13'!$G$110</definedName>
    <definedName name="QB_ROW_164260" localSheetId="34" hidden="1">'OCP-PL-13'!$G$74</definedName>
    <definedName name="QB_ROW_164320" localSheetId="15" hidden="1">'ABP-BS-13'!$C$26</definedName>
    <definedName name="QB_ROW_165220" localSheetId="15" hidden="1">'ABP-BS-13'!$C$54</definedName>
    <definedName name="QB_ROW_165240" localSheetId="36" hidden="1">'OMI-PL-13'!$E$4</definedName>
    <definedName name="QB_ROW_165250" localSheetId="40" hidden="1">'SPC-PL-13'!$F$54</definedName>
    <definedName name="QB_ROW_166220" localSheetId="15" hidden="1">'ABP-BS-13'!$C$56</definedName>
    <definedName name="QB_ROW_166250" localSheetId="34" hidden="1">'OCP-PL-13'!$F$76</definedName>
    <definedName name="QB_ROW_166250" localSheetId="40" hidden="1">'SPC-PL-13'!$F$41</definedName>
    <definedName name="QB_ROW_166270" localSheetId="32" hidden="1">'NWC-PL-13'!$H$74</definedName>
    <definedName name="QB_ROW_167230" localSheetId="15" hidden="1">'ABP-BS-13'!$D$5</definedName>
    <definedName name="QB_ROW_167260" localSheetId="18" hidden="1">'BPT-PL-13'!$G$40</definedName>
    <definedName name="QB_ROW_167260" localSheetId="34" hidden="1">'OCP-PL-13'!$G$79</definedName>
    <definedName name="QB_ROW_168040" localSheetId="40" hidden="1">'SPC-PL-13'!$E$39</definedName>
    <definedName name="QB_ROW_168230" localSheetId="15" hidden="1">'ABP-BS-13'!$D$49</definedName>
    <definedName name="QB_ROW_168260" localSheetId="34" hidden="1">'OCP-PL-13'!$G$91</definedName>
    <definedName name="QB_ROW_168340" localSheetId="40" hidden="1">'SPC-PL-13'!$E$45</definedName>
    <definedName name="QB_ROW_169050" localSheetId="27" hidden="1">'NR6-OfficePL-13'!$F$102</definedName>
    <definedName name="QB_ROW_169050" localSheetId="26" hidden="1">'NR6-TotalPL-13'!$F$124</definedName>
    <definedName name="QB_ROW_169230" localSheetId="15" hidden="1">'ABP-BS-13'!$D$7</definedName>
    <definedName name="QB_ROW_169250" localSheetId="40" hidden="1">'SPC-PL-13'!$F$42</definedName>
    <definedName name="QB_ROW_169260" localSheetId="34" hidden="1">'OCP-PL-13'!$G$85</definedName>
    <definedName name="QB_ROW_169350" localSheetId="27" hidden="1">'NR6-OfficePL-13'!$F$105</definedName>
    <definedName name="QB_ROW_169350" localSheetId="26" hidden="1">'NR6-TotalPL-13'!$F$127</definedName>
    <definedName name="QB_ROW_170040" localSheetId="40" hidden="1">'SPC-PL-13'!$E$52</definedName>
    <definedName name="QB_ROW_170250" localSheetId="16" hidden="1">'ABP-PL-13'!$F$111</definedName>
    <definedName name="QB_ROW_170260" localSheetId="22" hidden="1">'DGS-PL-13'!$G$43</definedName>
    <definedName name="QB_ROW_17030" localSheetId="30" hidden="1">'NR14-PL-13'!$D$63</definedName>
    <definedName name="QB_ROW_170340" localSheetId="40" hidden="1">'SPC-PL-13'!$E$58</definedName>
    <definedName name="QB_ROW_17040" localSheetId="54" hidden="1">'Wood96-PL-13'!$E$6</definedName>
    <definedName name="QB_ROW_171230" localSheetId="15" hidden="1">'ABP-BS-13'!$D$15</definedName>
    <definedName name="QB_ROW_171250" localSheetId="27" hidden="1">'NR6-OfficePL-13'!$F$106</definedName>
    <definedName name="QB_ROW_171250" localSheetId="26" hidden="1">'NR6-TotalPL-13'!$F$128</definedName>
    <definedName name="QB_ROW_171250" localSheetId="40" hidden="1">'SPC-PL-13'!$F$55</definedName>
    <definedName name="QB_ROW_171260" localSheetId="18" hidden="1">'BPT-PL-13'!$G$37</definedName>
    <definedName name="QB_ROW_17221" localSheetId="47" hidden="1">'127PAW-BS-13'!$C$29</definedName>
    <definedName name="QB_ROW_17221" localSheetId="45" hidden="1">'21Webb-BS-13'!$C$57</definedName>
    <definedName name="QB_ROW_17221" localSheetId="15" hidden="1">'ABP-BS-13'!$C$58</definedName>
    <definedName name="QB_ROW_17221" localSheetId="17" hidden="1">'BPT-BS-13'!$C$55</definedName>
    <definedName name="QB_ROW_17221" localSheetId="51" hidden="1">'BSQ-BS-13'!$C$44</definedName>
    <definedName name="QB_ROW_17221" localSheetId="19" hidden="1">'CP-BS-13'!$C$51</definedName>
    <definedName name="QB_ROW_17221" localSheetId="21" hidden="1">'DGS-BS-13'!$C$47</definedName>
    <definedName name="QB_ROW_17221" localSheetId="23" hidden="1">'NDV-BS-13'!$C$30</definedName>
    <definedName name="QB_ROW_17221" localSheetId="29" hidden="1">'NR14-BS-13'!$C$47</definedName>
    <definedName name="QB_ROW_17221" localSheetId="25" hidden="1">'NR6-BS-13'!$C$63</definedName>
    <definedName name="QB_ROW_17221" localSheetId="31" hidden="1">'NWC-BS-13'!$C$57</definedName>
    <definedName name="QB_ROW_17221" localSheetId="33" hidden="1">'OCP-BS-13'!$C$42</definedName>
    <definedName name="QB_ROW_17221" localSheetId="35" hidden="1">'OMI-BS-13'!$C$60</definedName>
    <definedName name="QB_ROW_17221" localSheetId="37" hidden="1">'ROY-BS-13'!$C$46</definedName>
    <definedName name="QB_ROW_17221" localSheetId="49" hidden="1">'RP21-BS-13'!$C$39</definedName>
    <definedName name="QB_ROW_17221" localSheetId="39" hidden="1">'SPC-BS-13'!$C$44</definedName>
    <definedName name="QB_ROW_17221" localSheetId="41" hidden="1">'TYP-BS-13'!$C$31</definedName>
    <definedName name="QB_ROW_17221" localSheetId="43" hidden="1">'UST-BS-13'!$C$51</definedName>
    <definedName name="QB_ROW_17221" localSheetId="53" hidden="1">'Wood96-BS-13'!$C$26</definedName>
    <definedName name="QB_ROW_172230" localSheetId="16" hidden="1">'ABP-PL-13'!$D$125</definedName>
    <definedName name="QB_ROW_172240" localSheetId="18" hidden="1">'BPT-PL-13'!$E$10</definedName>
    <definedName name="QB_ROW_172250" localSheetId="40" hidden="1">'SPC-PL-13'!$F$53</definedName>
    <definedName name="QB_ROW_172260" localSheetId="27" hidden="1">'NR6-OfficePL-13'!$G$35</definedName>
    <definedName name="QB_ROW_172260" localSheetId="26" hidden="1">'NR6-TotalPL-13'!$G$53</definedName>
    <definedName name="QB_ROW_17230" localSheetId="38" hidden="1">'ROY-PL-13'!$D$4</definedName>
    <definedName name="QB_ROW_172350" localSheetId="34" hidden="1">'OCP-PL-13'!$F$109</definedName>
    <definedName name="QB_ROW_17240" localSheetId="17" hidden="1">'BPT-BS-13'!$E$40</definedName>
    <definedName name="QB_ROW_17240" localSheetId="30" hidden="1">'NR14-PL-13'!$E$65</definedName>
    <definedName name="QB_ROW_17240" localSheetId="25" hidden="1">'NR6-BS-13'!$E$47</definedName>
    <definedName name="QB_ROW_17240" localSheetId="40" hidden="1">'SPC-PL-13'!$E$131</definedName>
    <definedName name="QB_ROW_17240" localSheetId="44" hidden="1">'UST-PL-13'!$E$57</definedName>
    <definedName name="QB_ROW_17250" localSheetId="48" hidden="1">'127PAW-PL-13'!$F$9</definedName>
    <definedName name="QB_ROW_173050" localSheetId="27" hidden="1">'NR6-OfficePL-13'!$F$33</definedName>
    <definedName name="QB_ROW_173050" localSheetId="26" hidden="1">'NR6-TotalPL-13'!$F$51</definedName>
    <definedName name="QB_ROW_173250" localSheetId="32" hidden="1">'NWC-PL-13'!$F$169</definedName>
    <definedName name="QB_ROW_173250" localSheetId="40" hidden="1">'SPC-PL-13'!$F$40</definedName>
    <definedName name="QB_ROW_17330" localSheetId="30" hidden="1">'NR14-PL-13'!$D$66</definedName>
    <definedName name="QB_ROW_173350" localSheetId="27" hidden="1">'NR6-OfficePL-13'!$F$36</definedName>
    <definedName name="QB_ROW_173350" localSheetId="26" hidden="1">'NR6-TotalPL-13'!$F$54</definedName>
    <definedName name="QB_ROW_17340" localSheetId="24" hidden="1">'NDV-PL-13'!$E$7</definedName>
    <definedName name="QB_ROW_17340" localSheetId="54" hidden="1">'Wood96-PL-13'!$E$8</definedName>
    <definedName name="QB_ROW_174250" localSheetId="18" hidden="1">'BPT-PL-13'!$F$30</definedName>
    <definedName name="QB_ROW_174250" localSheetId="32" hidden="1">'NWC-PL-13'!$F$168</definedName>
    <definedName name="QB_ROW_174320" localSheetId="25" hidden="1">'NR6-BS-13'!$C$26</definedName>
    <definedName name="QB_ROW_175230" localSheetId="51" hidden="1">'BSQ-BS-13'!$D$9</definedName>
    <definedName name="QB_ROW_175240" localSheetId="18" hidden="1">'BPT-PL-13'!$E$4</definedName>
    <definedName name="QB_ROW_175250" localSheetId="16" hidden="1">'ABP-PL-13'!$F$14</definedName>
    <definedName name="QB_ROW_175320" localSheetId="39" hidden="1">'SPC-BS-13'!$C$19</definedName>
    <definedName name="QB_ROW_176260" localSheetId="18" hidden="1">'BPT-PL-13'!$G$58</definedName>
    <definedName name="QB_ROW_177240" localSheetId="35" hidden="1">'OMI-BS-13'!$E$39</definedName>
    <definedName name="QB_ROW_177250" localSheetId="16" hidden="1">'ABP-PL-13'!$F$15</definedName>
    <definedName name="QB_ROW_177260" localSheetId="18" hidden="1">'BPT-PL-13'!$G$68</definedName>
    <definedName name="QB_ROW_178230" localSheetId="33" hidden="1">'OCP-BS-13'!$D$13</definedName>
    <definedName name="QB_ROW_178270" localSheetId="32" hidden="1">'NWC-PL-13'!$H$77</definedName>
    <definedName name="QB_ROW_179230" localSheetId="40" hidden="1">'SPC-PL-13'!$D$10</definedName>
    <definedName name="QB_ROW_179260" localSheetId="28" hidden="1">'NR6-RetailPL-13'!$G$44</definedName>
    <definedName name="QB_ROW_179260" localSheetId="26" hidden="1">'NR6-TotalPL-13'!$G$60</definedName>
    <definedName name="QB_ROW_180060" localSheetId="32" hidden="1">'NWC-PL-13'!$G$89</definedName>
    <definedName name="QB_ROW_180250" localSheetId="40" hidden="1">'SPC-PL-13'!$F$43</definedName>
    <definedName name="QB_ROW_180260" localSheetId="16" hidden="1">'ABP-PL-13'!$G$26</definedName>
    <definedName name="QB_ROW_180360" localSheetId="32" hidden="1">'NWC-PL-13'!$G$94</definedName>
    <definedName name="QB_ROW_18040" localSheetId="32" hidden="1">'NWC-PL-13'!$E$159</definedName>
    <definedName name="QB_ROW_18050" localSheetId="20" hidden="1">'CP-PL-13'!$F$23</definedName>
    <definedName name="QB_ROW_18050" localSheetId="27" hidden="1">'NR6-OfficePL-13'!$F$10</definedName>
    <definedName name="QB_ROW_18050" localSheetId="28" hidden="1">'NR6-RetailPL-13'!$F$16</definedName>
    <definedName name="QB_ROW_18050" localSheetId="26" hidden="1">'NR6-TotalPL-13'!$F$17</definedName>
    <definedName name="QB_ROW_181060" localSheetId="32" hidden="1">'NWC-PL-13'!$G$82</definedName>
    <definedName name="QB_ROW_181250" localSheetId="34" hidden="1">'OCP-PL-13'!$F$35</definedName>
    <definedName name="QB_ROW_181250" localSheetId="40" hidden="1">'SPC-PL-13'!$F$56</definedName>
    <definedName name="QB_ROW_181260" localSheetId="16" hidden="1">'ABP-PL-13'!$G$37</definedName>
    <definedName name="QB_ROW_181260" localSheetId="22" hidden="1">'DGS-PL-13'!$G$42</definedName>
    <definedName name="QB_ROW_181360" localSheetId="32" hidden="1">'NWC-PL-13'!$G$88</definedName>
    <definedName name="QB_ROW_182060" localSheetId="32" hidden="1">'NWC-PL-13'!$G$95</definedName>
    <definedName name="QB_ROW_182230" localSheetId="21" hidden="1">'DGS-BS-13'!$D$39</definedName>
    <definedName name="QB_ROW_182260" localSheetId="16" hidden="1">'ABP-PL-13'!$G$36</definedName>
    <definedName name="QB_ROW_182260" localSheetId="28" hidden="1">'NR6-RetailPL-13'!$G$43</definedName>
    <definedName name="QB_ROW_182260" localSheetId="26" hidden="1">'NR6-TotalPL-13'!$G$59</definedName>
    <definedName name="QB_ROW_182360" localSheetId="32" hidden="1">'NWC-PL-13'!$G$97</definedName>
    <definedName name="QB_ROW_18240" localSheetId="46" hidden="1">'21Webb-PL-13'!$E$64</definedName>
    <definedName name="QB_ROW_18240" localSheetId="40" hidden="1">'SPC-PL-13'!$E$22</definedName>
    <definedName name="QB_ROW_18250" localSheetId="16" hidden="1">'ABP-PL-13'!$F$110</definedName>
    <definedName name="QB_ROW_18250" localSheetId="18" hidden="1">'BPT-PL-13'!$F$31</definedName>
    <definedName name="QB_ROW_18250" localSheetId="32" hidden="1">'NWC-PL-13'!$F$165</definedName>
    <definedName name="QB_ROW_18260" localSheetId="20" hidden="1">'CP-PL-13'!$G$27</definedName>
    <definedName name="QB_ROW_18301" localSheetId="48" hidden="1">'127PAW-PL-13'!$A$39</definedName>
    <definedName name="QB_ROW_18301" localSheetId="46" hidden="1">'21Webb-PL-13'!$A$98</definedName>
    <definedName name="QB_ROW_18301" localSheetId="16" hidden="1">'ABP-PL-13'!$A$128</definedName>
    <definedName name="QB_ROW_18301" localSheetId="18" hidden="1">'BPT-PL-13'!$A$116</definedName>
    <definedName name="QB_ROW_18301" localSheetId="52" hidden="1">'BSQ-PL-13'!$A$21</definedName>
    <definedName name="QB_ROW_18301" localSheetId="20" hidden="1">'CP-PL-13'!$A$109</definedName>
    <definedName name="QB_ROW_18301" localSheetId="22" hidden="1">'DGS-PL-13'!$A$125</definedName>
    <definedName name="QB_ROW_18301" localSheetId="24" hidden="1">'NDV-PL-13'!$A$18</definedName>
    <definedName name="QB_ROW_18301" localSheetId="30" hidden="1">'NR14-PL-13'!$A$76</definedName>
    <definedName name="QB_ROW_18301" localSheetId="27" hidden="1">'NR6-OfficePL-13'!$A$132</definedName>
    <definedName name="QB_ROW_18301" localSheetId="28" hidden="1">'NR6-RetailPL-13'!$A$111</definedName>
    <definedName name="QB_ROW_18301" localSheetId="26" hidden="1">'NR6-TotalPL-13'!$A$166</definedName>
    <definedName name="QB_ROW_18301" localSheetId="32" hidden="1">'NWC-PL-13'!$A$204</definedName>
    <definedName name="QB_ROW_18301" localSheetId="34" hidden="1">'OCP-PL-13'!$A$141</definedName>
    <definedName name="QB_ROW_18301" localSheetId="36" hidden="1">'OMI-PL-13'!$A$58</definedName>
    <definedName name="QB_ROW_18301" localSheetId="38" hidden="1">'ROY-PL-13'!$A$96</definedName>
    <definedName name="QB_ROW_18301" localSheetId="50" hidden="1">'RP21-PL-13'!$A$38</definedName>
    <definedName name="QB_ROW_18301" localSheetId="40" hidden="1">'SPC-PL-13'!$A$148</definedName>
    <definedName name="QB_ROW_18301" localSheetId="42" hidden="1">'TYP-PL-13'!$A$24</definedName>
    <definedName name="QB_ROW_18301" localSheetId="44" hidden="1">'UST-PL-13'!$A$101</definedName>
    <definedName name="QB_ROW_18301" localSheetId="54" hidden="1">'Wood96-PL-13'!$A$27</definedName>
    <definedName name="QB_ROW_183230" localSheetId="21" hidden="1">'DGS-BS-13'!$D$5</definedName>
    <definedName name="QB_ROW_183230" localSheetId="40" hidden="1">'SPC-PL-13'!$D$13</definedName>
    <definedName name="QB_ROW_183240" localSheetId="28" hidden="1">'NR6-RetailPL-13'!$E$9</definedName>
    <definedName name="QB_ROW_183240" localSheetId="26" hidden="1">'NR6-TotalPL-13'!$E$9</definedName>
    <definedName name="QB_ROW_183250" localSheetId="16" hidden="1">'ABP-PL-13'!$F$104</definedName>
    <definedName name="QB_ROW_183260" localSheetId="34" hidden="1">'OCP-PL-13'!$G$58</definedName>
    <definedName name="QB_ROW_183340" localSheetId="36" hidden="1">'OMI-PL-13'!$E$18</definedName>
    <definedName name="QB_ROW_18340" localSheetId="32" hidden="1">'NWC-PL-13'!$E$166</definedName>
    <definedName name="QB_ROW_18340" localSheetId="36" hidden="1">'OMI-PL-13'!$E$33</definedName>
    <definedName name="QB_ROW_18350" localSheetId="20" hidden="1">'CP-PL-13'!$F$28</definedName>
    <definedName name="QB_ROW_18350" localSheetId="27" hidden="1">'NR6-OfficePL-13'!$F$12</definedName>
    <definedName name="QB_ROW_18350" localSheetId="28" hidden="1">'NR6-RetailPL-13'!$F$18</definedName>
    <definedName name="QB_ROW_18350" localSheetId="26" hidden="1">'NR6-TotalPL-13'!$F$20</definedName>
    <definedName name="QB_ROW_184050" localSheetId="28" hidden="1">'NR6-RetailPL-13'!$F$37</definedName>
    <definedName name="QB_ROW_184050" localSheetId="26" hidden="1">'NR6-TotalPL-13'!$F$47</definedName>
    <definedName name="QB_ROW_184060" localSheetId="32" hidden="1">'NWC-PL-13'!$G$76</definedName>
    <definedName name="QB_ROW_184250" localSheetId="16" hidden="1">'ABP-PL-13'!$F$103</definedName>
    <definedName name="QB_ROW_184340" localSheetId="36" hidden="1">'OMI-PL-13'!$E$11</definedName>
    <definedName name="QB_ROW_184350" localSheetId="28" hidden="1">'NR6-RetailPL-13'!$F$40</definedName>
    <definedName name="QB_ROW_184350" localSheetId="26" hidden="1">'NR6-TotalPL-13'!$F$50</definedName>
    <definedName name="QB_ROW_184360" localSheetId="32" hidden="1">'NWC-PL-13'!$G$81</definedName>
    <definedName name="QB_ROW_185060" localSheetId="32" hidden="1">'NWC-PL-13'!$G$73</definedName>
    <definedName name="QB_ROW_185240" localSheetId="40" hidden="1">'SPC-PL-13'!$E$30</definedName>
    <definedName name="QB_ROW_185250" localSheetId="16" hidden="1">'ABP-PL-13'!$F$109</definedName>
    <definedName name="QB_ROW_185250" localSheetId="22" hidden="1">'DGS-PL-13'!$F$30</definedName>
    <definedName name="QB_ROW_185260" localSheetId="28" hidden="1">'NR6-RetailPL-13'!$G$39</definedName>
    <definedName name="QB_ROW_185260" localSheetId="26" hidden="1">'NR6-TotalPL-13'!$G$49</definedName>
    <definedName name="QB_ROW_185260" localSheetId="34" hidden="1">'OCP-PL-13'!$G$78</definedName>
    <definedName name="QB_ROW_185360" localSheetId="32" hidden="1">'NWC-PL-13'!$G$75</definedName>
    <definedName name="QB_ROW_186260" localSheetId="22" hidden="1">'DGS-PL-13'!$G$59</definedName>
    <definedName name="QB_ROW_186260" localSheetId="34" hidden="1">'OCP-PL-13'!$G$84</definedName>
    <definedName name="QB_ROW_186340" localSheetId="36" hidden="1">'OMI-PL-13'!$E$8</definedName>
    <definedName name="QB_ROW_187240" localSheetId="22" hidden="1">'DGS-PL-13'!$E$13</definedName>
    <definedName name="QB_ROW_187250" localSheetId="40" hidden="1">'SPC-PL-13'!$F$79</definedName>
    <definedName name="QB_ROW_187260" localSheetId="34" hidden="1">'OCP-PL-13'!$G$90</definedName>
    <definedName name="QB_ROW_188250" localSheetId="40" hidden="1">'SPC-PL-13'!$F$96</definedName>
    <definedName name="QB_ROW_189220" localSheetId="25" hidden="1">'NR6-BS-13'!$C$57</definedName>
    <definedName name="QB_ROW_189240" localSheetId="40" hidden="1">'SPC-PL-13'!$E$129</definedName>
    <definedName name="QB_ROW_189260" localSheetId="22" hidden="1">'DGS-PL-13'!$G$36</definedName>
    <definedName name="QB_ROW_19011" localSheetId="48" hidden="1">'127PAW-PL-13'!$B$2</definedName>
    <definedName name="QB_ROW_19011" localSheetId="46" hidden="1">'21Webb-PL-13'!$B$2</definedName>
    <definedName name="QB_ROW_19011" localSheetId="16" hidden="1">'ABP-PL-13'!$B$2</definedName>
    <definedName name="QB_ROW_19011" localSheetId="18" hidden="1">'BPT-PL-13'!$B$2</definedName>
    <definedName name="QB_ROW_19011" localSheetId="52" hidden="1">'BSQ-PL-13'!$B$2</definedName>
    <definedName name="QB_ROW_19011" localSheetId="20" hidden="1">'CP-PL-13'!$B$2</definedName>
    <definedName name="QB_ROW_19011" localSheetId="22" hidden="1">'DGS-PL-13'!$B$2</definedName>
    <definedName name="QB_ROW_19011" localSheetId="24" hidden="1">'NDV-PL-13'!$B$2</definedName>
    <definedName name="QB_ROW_19011" localSheetId="30" hidden="1">'NR14-PL-13'!$B$2</definedName>
    <definedName name="QB_ROW_19011" localSheetId="27" hidden="1">'NR6-OfficePL-13'!$B$2</definedName>
    <definedName name="QB_ROW_19011" localSheetId="28" hidden="1">'NR6-RetailPL-13'!$B$2</definedName>
    <definedName name="QB_ROW_19011" localSheetId="26" hidden="1">'NR6-TotalPL-13'!$B$2</definedName>
    <definedName name="QB_ROW_19011" localSheetId="32" hidden="1">'NWC-PL-13'!$B$2</definedName>
    <definedName name="QB_ROW_19011" localSheetId="34" hidden="1">'OCP-PL-13'!$B$2</definedName>
    <definedName name="QB_ROW_19011" localSheetId="36" hidden="1">'OMI-PL-13'!$B$2</definedName>
    <definedName name="QB_ROW_19011" localSheetId="38" hidden="1">'ROY-PL-13'!$B$2</definedName>
    <definedName name="QB_ROW_19011" localSheetId="50" hidden="1">'RP21-PL-13'!$B$2</definedName>
    <definedName name="QB_ROW_19011" localSheetId="40" hidden="1">'SPC-PL-13'!$B$2</definedName>
    <definedName name="QB_ROW_19011" localSheetId="42" hidden="1">'TYP-PL-13'!$B$2</definedName>
    <definedName name="QB_ROW_19011" localSheetId="44" hidden="1">'UST-PL-13'!$B$2</definedName>
    <definedName name="QB_ROW_19011" localSheetId="54" hidden="1">'Wood96-PL-13'!$B$2</definedName>
    <definedName name="QB_ROW_190220" localSheetId="25" hidden="1">'NR6-BS-13'!$C$59</definedName>
    <definedName name="QB_ROW_190240" localSheetId="40" hidden="1">'SPC-PL-13'!$E$136</definedName>
    <definedName name="QB_ROW_190260" localSheetId="22" hidden="1">'DGS-PL-13'!$G$41</definedName>
    <definedName name="QB_ROW_190340" localSheetId="36" hidden="1">'OMI-PL-13'!$E$27</definedName>
    <definedName name="QB_ROW_19040" localSheetId="48" hidden="1">'127PAW-PL-13'!$E$17</definedName>
    <definedName name="QB_ROW_19040" localSheetId="46" hidden="1">'21Webb-PL-13'!$E$24</definedName>
    <definedName name="QB_ROW_19040" localSheetId="20" hidden="1">'CP-PL-13'!$E$43</definedName>
    <definedName name="QB_ROW_191220" localSheetId="25" hidden="1">'NR6-BS-13'!$C$61</definedName>
    <definedName name="QB_ROW_191240" localSheetId="32" hidden="1">'NWC-PL-13'!$E$23</definedName>
    <definedName name="QB_ROW_19220" localSheetId="21" hidden="1">'DGS-BS-13'!$C$20</definedName>
    <definedName name="QB_ROW_19220" localSheetId="25" hidden="1">'NR6-BS-13'!$C$58</definedName>
    <definedName name="QB_ROW_19220" localSheetId="39" hidden="1">'SPC-BS-13'!$C$43</definedName>
    <definedName name="QB_ROW_192240" localSheetId="28" hidden="1">'NR6-RetailPL-13'!$E$11</definedName>
    <definedName name="QB_ROW_192240" localSheetId="26" hidden="1">'NR6-TotalPL-13'!$E$11</definedName>
    <definedName name="QB_ROW_19230" localSheetId="32" hidden="1">'NWC-PL-13'!$D$180</definedName>
    <definedName name="QB_ROW_19240" localSheetId="44" hidden="1">'UST-PL-13'!$E$59</definedName>
    <definedName name="QB_ROW_19250" localSheetId="46" hidden="1">'21Webb-PL-13'!$F$25</definedName>
    <definedName name="QB_ROW_19250" localSheetId="18" hidden="1">'BPT-PL-13'!$F$34</definedName>
    <definedName name="QB_ROW_19311" localSheetId="48" hidden="1">'127PAW-PL-13'!$B$29</definedName>
    <definedName name="QB_ROW_19311" localSheetId="46" hidden="1">'21Webb-PL-13'!$B$83</definedName>
    <definedName name="QB_ROW_19311" localSheetId="16" hidden="1">'ABP-PL-13'!$B$118</definedName>
    <definedName name="QB_ROW_19311" localSheetId="18" hidden="1">'BPT-PL-13'!$B$115</definedName>
    <definedName name="QB_ROW_19311" localSheetId="52" hidden="1">'BSQ-PL-13'!$B$13</definedName>
    <definedName name="QB_ROW_19311" localSheetId="20" hidden="1">'CP-PL-13'!$B$103</definedName>
    <definedName name="QB_ROW_19311" localSheetId="22" hidden="1">'DGS-PL-13'!$B$115</definedName>
    <definedName name="QB_ROW_19311" localSheetId="24" hidden="1">'NDV-PL-13'!$B$12</definedName>
    <definedName name="QB_ROW_19311" localSheetId="30" hidden="1">'NR14-PL-13'!$B$68</definedName>
    <definedName name="QB_ROW_19311" localSheetId="27" hidden="1">'NR6-OfficePL-13'!$B$121</definedName>
    <definedName name="QB_ROW_19311" localSheetId="28" hidden="1">'NR6-RetailPL-13'!$B$105</definedName>
    <definedName name="QB_ROW_19311" localSheetId="26" hidden="1">'NR6-TotalPL-13'!$B$151</definedName>
    <definedName name="QB_ROW_19311" localSheetId="32" hidden="1">'NWC-PL-13'!$B$194</definedName>
    <definedName name="QB_ROW_19311" localSheetId="34" hidden="1">'OCP-PL-13'!$B$131</definedName>
    <definedName name="QB_ROW_19311" localSheetId="36" hidden="1">'OMI-PL-13'!$B$47</definedName>
    <definedName name="QB_ROW_19311" localSheetId="38" hidden="1">'ROY-PL-13'!$B$88</definedName>
    <definedName name="QB_ROW_19311" localSheetId="50" hidden="1">'RP21-PL-13'!$B$37</definedName>
    <definedName name="QB_ROW_19311" localSheetId="40" hidden="1">'SPC-PL-13'!$B$142</definedName>
    <definedName name="QB_ROW_19311" localSheetId="42" hidden="1">'TYP-PL-13'!$B$18</definedName>
    <definedName name="QB_ROW_19311" localSheetId="44" hidden="1">'UST-PL-13'!$B$95</definedName>
    <definedName name="QB_ROW_19311" localSheetId="54" hidden="1">'Wood96-PL-13'!$B$26</definedName>
    <definedName name="QB_ROW_193250" localSheetId="22" hidden="1">'DGS-PL-13'!$F$103</definedName>
    <definedName name="QB_ROW_193260" localSheetId="28" hidden="1">'NR6-RetailPL-13'!$G$38</definedName>
    <definedName name="QB_ROW_193260" localSheetId="26" hidden="1">'NR6-TotalPL-13'!$G$48</definedName>
    <definedName name="QB_ROW_19340" localSheetId="48" hidden="1">'127PAW-PL-13'!$E$21</definedName>
    <definedName name="QB_ROW_19340" localSheetId="46" hidden="1">'21Webb-PL-13'!$E$27</definedName>
    <definedName name="QB_ROW_19340" localSheetId="20" hidden="1">'CP-PL-13'!$E$92</definedName>
    <definedName name="QB_ROW_194240" localSheetId="22" hidden="1">'DGS-PL-13'!$E$12</definedName>
    <definedName name="QB_ROW_194320" localSheetId="31" hidden="1">'NWC-BS-13'!$C$23</definedName>
    <definedName name="QB_ROW_195220" localSheetId="31" hidden="1">'NWC-BS-13'!$C$21</definedName>
    <definedName name="QB_ROW_195230" localSheetId="25" hidden="1">'NR6-BS-13'!$D$8</definedName>
    <definedName name="QB_ROW_195250" localSheetId="22" hidden="1">'DGS-PL-13'!$F$102</definedName>
    <definedName name="QB_ROW_196250" localSheetId="22" hidden="1">'DGS-PL-13'!$F$109</definedName>
    <definedName name="QB_ROW_196340" localSheetId="36" hidden="1">'OMI-PL-13'!$E$23</definedName>
    <definedName name="QB_ROW_197230" localSheetId="28" hidden="1">'NR6-RetailPL-13'!$D$108</definedName>
    <definedName name="QB_ROW_197230" localSheetId="26" hidden="1">'NR6-TotalPL-13'!$D$163</definedName>
    <definedName name="QB_ROW_198240" localSheetId="26" hidden="1">'NR6-TotalPL-13'!$E$15</definedName>
    <definedName name="QB_ROW_198250" localSheetId="32" hidden="1">'NWC-PL-13'!$F$68</definedName>
    <definedName name="QB_ROW_20021" localSheetId="30" hidden="1">'NR14-PL-13'!$C$3</definedName>
    <definedName name="QB_ROW_20021" localSheetId="32" hidden="1">'NWC-PL-13'!$C$3</definedName>
    <definedName name="QB_ROW_20021" localSheetId="38" hidden="1">'ROY-PL-13'!$C$3</definedName>
    <definedName name="QB_ROW_20021" localSheetId="40" hidden="1">'SPC-PL-13'!$C$3</definedName>
    <definedName name="QB_ROW_200250" localSheetId="32" hidden="1">'NWC-PL-13'!$F$124</definedName>
    <definedName name="QB_ROW_20031" localSheetId="46" hidden="1">'21Webb-PL-13'!$D$3</definedName>
    <definedName name="QB_ROW_20031" localSheetId="16" hidden="1">'ABP-PL-13'!$D$3</definedName>
    <definedName name="QB_ROW_20031" localSheetId="18" hidden="1">'BPT-PL-13'!$D$3</definedName>
    <definedName name="QB_ROW_20031" localSheetId="20" hidden="1">'CP-PL-13'!$D$3</definedName>
    <definedName name="QB_ROW_20031" localSheetId="22" hidden="1">'DGS-PL-13'!$D$3</definedName>
    <definedName name="QB_ROW_20031" localSheetId="27" hidden="1">'NR6-OfficePL-13'!$D$3</definedName>
    <definedName name="QB_ROW_20031" localSheetId="28" hidden="1">'NR6-RetailPL-13'!$D$3</definedName>
    <definedName name="QB_ROW_20031" localSheetId="26" hidden="1">'NR6-TotalPL-13'!$D$3</definedName>
    <definedName name="QB_ROW_20031" localSheetId="34" hidden="1">'OCP-PL-13'!$D$3</definedName>
    <definedName name="QB_ROW_20031" localSheetId="36" hidden="1">'OMI-PL-13'!$D$3</definedName>
    <definedName name="QB_ROW_20031" localSheetId="44" hidden="1">'UST-PL-13'!$D$3</definedName>
    <definedName name="QB_ROW_20040" localSheetId="32" hidden="1">'NWC-PL-13'!$E$15</definedName>
    <definedName name="QB_ROW_20050" localSheetId="34" hidden="1">'OCP-PL-13'!$F$29</definedName>
    <definedName name="QB_ROW_201250" localSheetId="32" hidden="1">'NWC-PL-13'!$F$111</definedName>
    <definedName name="QB_ROW_2021" localSheetId="47" hidden="1">'127PAW-BS-13'!$C$4</definedName>
    <definedName name="QB_ROW_2021" localSheetId="45" hidden="1">'21Webb-BS-13'!$C$10</definedName>
    <definedName name="QB_ROW_2021" localSheetId="15" hidden="1">'ABP-BS-13'!$C$4</definedName>
    <definedName name="QB_ROW_2021" localSheetId="17" hidden="1">'BPT-BS-13'!$C$4</definedName>
    <definedName name="QB_ROW_2021" localSheetId="51" hidden="1">'BSQ-BS-13'!$C$4</definedName>
    <definedName name="QB_ROW_2021" localSheetId="19" hidden="1">'CP-BS-13'!$C$4</definedName>
    <definedName name="QB_ROW_2021" localSheetId="21" hidden="1">'DGS-BS-13'!$C$4</definedName>
    <definedName name="QB_ROW_2021" localSheetId="23" hidden="1">'NDV-BS-13'!$C$4</definedName>
    <definedName name="QB_ROW_2021" localSheetId="29" hidden="1">'NR14-BS-13'!$C$4</definedName>
    <definedName name="QB_ROW_2021" localSheetId="25" hidden="1">'NR6-BS-13'!$C$4</definedName>
    <definedName name="QB_ROW_2021" localSheetId="31" hidden="1">'NWC-BS-13'!$C$4</definedName>
    <definedName name="QB_ROW_2021" localSheetId="33" hidden="1">'OCP-BS-13'!$C$4</definedName>
    <definedName name="QB_ROW_2021" localSheetId="35" hidden="1">'OMI-BS-13'!$C$4</definedName>
    <definedName name="QB_ROW_2021" localSheetId="37" hidden="1">'ROY-BS-13'!$C$4</definedName>
    <definedName name="QB_ROW_2021" localSheetId="49" hidden="1">'RP21-BS-13'!$C$4</definedName>
    <definedName name="QB_ROW_2021" localSheetId="39" hidden="1">'SPC-BS-13'!$C$4</definedName>
    <definedName name="QB_ROW_2021" localSheetId="41" hidden="1">'TYP-BS-13'!$C$4</definedName>
    <definedName name="QB_ROW_2021" localSheetId="43" hidden="1">'UST-BS-13'!$C$4</definedName>
    <definedName name="QB_ROW_202230" localSheetId="36" hidden="1">'OMI-PL-13'!$D$55</definedName>
    <definedName name="QB_ROW_202250" localSheetId="27" hidden="1">'NR6-OfficePL-13'!$F$21</definedName>
    <definedName name="QB_ROW_202250" localSheetId="28" hidden="1">'NR6-RetailPL-13'!$F$28</definedName>
    <definedName name="QB_ROW_202250" localSheetId="26" hidden="1">'NR6-TotalPL-13'!$F$33</definedName>
    <definedName name="QB_ROW_202250" localSheetId="32" hidden="1">'NWC-PL-13'!$F$112</definedName>
    <definedName name="QB_ROW_20230" localSheetId="38" hidden="1">'ROY-PL-13'!$D$79</definedName>
    <definedName name="QB_ROW_20240" localSheetId="30" hidden="1">'NR14-PL-13'!$E$37</definedName>
    <definedName name="QB_ROW_20240" localSheetId="44" hidden="1">'UST-PL-13'!$E$68</definedName>
    <definedName name="QB_ROW_20240" localSheetId="54" hidden="1">'Wood96-PL-13'!$E$13</definedName>
    <definedName name="QB_ROW_20250" localSheetId="18" hidden="1">'BPT-PL-13'!$F$22</definedName>
    <definedName name="QB_ROW_20260" localSheetId="27" hidden="1">'NR6-OfficePL-13'!$G$38</definedName>
    <definedName name="QB_ROW_20260" localSheetId="26" hidden="1">'NR6-TotalPL-13'!$G$56</definedName>
    <definedName name="QB_ROW_20260" localSheetId="34" hidden="1">'OCP-PL-13'!$G$33</definedName>
    <definedName name="QB_ROW_20321" localSheetId="30" hidden="1">'NR14-PL-13'!$C$8</definedName>
    <definedName name="QB_ROW_20321" localSheetId="32" hidden="1">'NWC-PL-13'!$C$11</definedName>
    <definedName name="QB_ROW_20321" localSheetId="38" hidden="1">'ROY-PL-13'!$C$9</definedName>
    <definedName name="QB_ROW_20321" localSheetId="40" hidden="1">'SPC-PL-13'!$C$11</definedName>
    <definedName name="QB_ROW_203220" localSheetId="25" hidden="1">'NR6-BS-13'!$C$33</definedName>
    <definedName name="QB_ROW_203240" localSheetId="35" hidden="1">'OMI-BS-13'!$E$43</definedName>
    <definedName name="QB_ROW_203250" localSheetId="32" hidden="1">'NWC-PL-13'!$F$115</definedName>
    <definedName name="QB_ROW_20331" localSheetId="46" hidden="1">'21Webb-PL-13'!$D$10</definedName>
    <definedName name="QB_ROW_20331" localSheetId="16" hidden="1">'ABP-PL-13'!$D$10</definedName>
    <definedName name="QB_ROW_20331" localSheetId="18" hidden="1">'BPT-PL-13'!$D$12</definedName>
    <definedName name="QB_ROW_20331" localSheetId="20" hidden="1">'CP-PL-13'!$D$10</definedName>
    <definedName name="QB_ROW_20331" localSheetId="22" hidden="1">'DGS-PL-13'!$D$9</definedName>
    <definedName name="QB_ROW_20331" localSheetId="27" hidden="1">'NR6-OfficePL-13'!$D$6</definedName>
    <definedName name="QB_ROW_20331" localSheetId="28" hidden="1">'NR6-RetailPL-13'!$D$12</definedName>
    <definedName name="QB_ROW_20331" localSheetId="26" hidden="1">'NR6-TotalPL-13'!$D$12</definedName>
    <definedName name="QB_ROW_20331" localSheetId="34" hidden="1">'OCP-PL-13'!$D$16</definedName>
    <definedName name="QB_ROW_20331" localSheetId="36" hidden="1">'OMI-PL-13'!$D$13</definedName>
    <definedName name="QB_ROW_20331" localSheetId="44" hidden="1">'UST-PL-13'!$D$10</definedName>
    <definedName name="QB_ROW_20340" localSheetId="32" hidden="1">'NWC-PL-13'!$E$18</definedName>
    <definedName name="QB_ROW_20350" localSheetId="34" hidden="1">'OCP-PL-13'!$F$34</definedName>
    <definedName name="QB_ROW_204250" localSheetId="32" hidden="1">'NWC-PL-13'!$F$125</definedName>
    <definedName name="QB_ROW_204260" localSheetId="26" hidden="1">'NR6-TotalPL-13'!$G$27</definedName>
    <definedName name="QB_ROW_205230" localSheetId="32" hidden="1">'NWC-PL-13'!$D$8</definedName>
    <definedName name="QB_ROW_205250" localSheetId="28" hidden="1">'NR6-RetailPL-13'!$F$98</definedName>
    <definedName name="QB_ROW_205250" localSheetId="26" hidden="1">'NR6-TotalPL-13'!$F$139</definedName>
    <definedName name="QB_ROW_206230" localSheetId="31" hidden="1">'NWC-BS-13'!$D$12</definedName>
    <definedName name="QB_ROW_207240" localSheetId="51" hidden="1">'BSQ-BS-13'!$E$15</definedName>
    <definedName name="QB_ROW_207250" localSheetId="26" hidden="1">'NR6-TotalPL-13'!$F$138</definedName>
    <definedName name="QB_ROW_208250" localSheetId="26" hidden="1">'NR6-TotalPL-13'!$F$145</definedName>
    <definedName name="QB_ROW_209230" localSheetId="52" hidden="1">'BSQ-PL-13'!$D$8</definedName>
    <definedName name="QB_ROW_21021" localSheetId="52" hidden="1">'BSQ-PL-13'!$C$3</definedName>
    <definedName name="QB_ROW_21021" localSheetId="30" hidden="1">'NR14-PL-13'!$C$9</definedName>
    <definedName name="QB_ROW_21021" localSheetId="32" hidden="1">'NWC-PL-13'!$C$12</definedName>
    <definedName name="QB_ROW_21021" localSheetId="38" hidden="1">'ROY-PL-13'!$C$10</definedName>
    <definedName name="QB_ROW_21021" localSheetId="50" hidden="1">'RP21-PL-13'!$C$3</definedName>
    <definedName name="QB_ROW_21021" localSheetId="40" hidden="1">'SPC-PL-13'!$C$12</definedName>
    <definedName name="QB_ROW_210230" localSheetId="52" hidden="1">'BSQ-PL-13'!$D$16</definedName>
    <definedName name="QB_ROW_210270" localSheetId="32" hidden="1">'NWC-PL-13'!$H$85</definedName>
    <definedName name="QB_ROW_21031" localSheetId="48" hidden="1">'127PAW-PL-13'!$D$3</definedName>
    <definedName name="QB_ROW_21031" localSheetId="46" hidden="1">'21Webb-PL-13'!$D$12</definedName>
    <definedName name="QB_ROW_21031" localSheetId="16" hidden="1">'ABP-PL-13'!$D$12</definedName>
    <definedName name="QB_ROW_21031" localSheetId="18" hidden="1">'BPT-PL-13'!$D$14</definedName>
    <definedName name="QB_ROW_21031" localSheetId="20" hidden="1">'CP-PL-13'!$D$12</definedName>
    <definedName name="QB_ROW_21031" localSheetId="22" hidden="1">'DGS-PL-13'!$D$11</definedName>
    <definedName name="QB_ROW_21031" localSheetId="24" hidden="1">'NDV-PL-13'!$D$3</definedName>
    <definedName name="QB_ROW_21031" localSheetId="27" hidden="1">'NR6-OfficePL-13'!$D$8</definedName>
    <definedName name="QB_ROW_21031" localSheetId="28" hidden="1">'NR6-RetailPL-13'!$D$14</definedName>
    <definedName name="QB_ROW_21031" localSheetId="26" hidden="1">'NR6-TotalPL-13'!$D$14</definedName>
    <definedName name="QB_ROW_21031" localSheetId="34" hidden="1">'OCP-PL-13'!$D$18</definedName>
    <definedName name="QB_ROW_21031" localSheetId="36" hidden="1">'OMI-PL-13'!$D$15</definedName>
    <definedName name="QB_ROW_21031" localSheetId="42" hidden="1">'TYP-PL-13'!$D$3</definedName>
    <definedName name="QB_ROW_21031" localSheetId="44" hidden="1">'UST-PL-13'!$D$12</definedName>
    <definedName name="QB_ROW_21031" localSheetId="54" hidden="1">'Wood96-PL-13'!$D$3</definedName>
    <definedName name="QB_ROW_21040" localSheetId="20" hidden="1">'CP-PL-13'!$E$94</definedName>
    <definedName name="QB_ROW_211050" localSheetId="32" hidden="1">'NWC-PL-13'!$F$39</definedName>
    <definedName name="QB_ROW_211350" localSheetId="32" hidden="1">'NWC-PL-13'!$F$67</definedName>
    <definedName name="QB_ROW_21230" localSheetId="15" hidden="1">'ABP-BS-13'!$D$10</definedName>
    <definedName name="QB_ROW_21240" localSheetId="30" hidden="1">'NR14-PL-13'!$E$38</definedName>
    <definedName name="QB_ROW_21240" localSheetId="32" hidden="1">'NWC-PL-13'!$E$19</definedName>
    <definedName name="QB_ROW_21240" localSheetId="42" hidden="1">'TYP-PL-13'!$E$13</definedName>
    <definedName name="QB_ROW_21240" localSheetId="44" hidden="1">'UST-PL-13'!$E$69</definedName>
    <definedName name="QB_ROW_21240" localSheetId="54" hidden="1">'Wood96-PL-13'!$E$14</definedName>
    <definedName name="QB_ROW_21250" localSheetId="18" hidden="1">'BPT-PL-13'!$F$21</definedName>
    <definedName name="QB_ROW_21250" localSheetId="27" hidden="1">'NR6-OfficePL-13'!$F$14</definedName>
    <definedName name="QB_ROW_21250" localSheetId="28" hidden="1">'NR6-RetailPL-13'!$F$20</definedName>
    <definedName name="QB_ROW_21250" localSheetId="26" hidden="1">'NR6-TotalPL-13'!$F$23</definedName>
    <definedName name="QB_ROW_21250" localSheetId="38" hidden="1">'ROY-PL-13'!$F$37</definedName>
    <definedName name="QB_ROW_21260" localSheetId="34" hidden="1">'OCP-PL-13'!$G$30</definedName>
    <definedName name="QB_ROW_21321" localSheetId="52" hidden="1">'BSQ-PL-13'!$C$12</definedName>
    <definedName name="QB_ROW_21321" localSheetId="30" hidden="1">'NR14-PL-13'!$C$67</definedName>
    <definedName name="QB_ROW_21321" localSheetId="32" hidden="1">'NWC-PL-13'!$C$193</definedName>
    <definedName name="QB_ROW_21321" localSheetId="38" hidden="1">'ROY-PL-13'!$C$87</definedName>
    <definedName name="QB_ROW_21321" localSheetId="50" hidden="1">'RP21-PL-13'!$C$36</definedName>
    <definedName name="QB_ROW_21321" localSheetId="40" hidden="1">'SPC-PL-13'!$C$141</definedName>
    <definedName name="QB_ROW_213240" localSheetId="51" hidden="1">'BSQ-BS-13'!$E$37</definedName>
    <definedName name="QB_ROW_21331" localSheetId="48" hidden="1">'127PAW-PL-13'!$D$28</definedName>
    <definedName name="QB_ROW_21331" localSheetId="46" hidden="1">'21Webb-PL-13'!$D$82</definedName>
    <definedName name="QB_ROW_21331" localSheetId="16" hidden="1">'ABP-PL-13'!$D$117</definedName>
    <definedName name="QB_ROW_21331" localSheetId="18" hidden="1">'BPT-PL-13'!$D$114</definedName>
    <definedName name="QB_ROW_21331" localSheetId="20" hidden="1">'CP-PL-13'!$D$102</definedName>
    <definedName name="QB_ROW_21331" localSheetId="22" hidden="1">'DGS-PL-13'!$D$114</definedName>
    <definedName name="QB_ROW_21331" localSheetId="24" hidden="1">'NDV-PL-13'!$D$11</definedName>
    <definedName name="QB_ROW_21331" localSheetId="27" hidden="1">'NR6-OfficePL-13'!$D$120</definedName>
    <definedName name="QB_ROW_21331" localSheetId="28" hidden="1">'NR6-RetailPL-13'!$D$104</definedName>
    <definedName name="QB_ROW_21331" localSheetId="26" hidden="1">'NR6-TotalPL-13'!$D$150</definedName>
    <definedName name="QB_ROW_21331" localSheetId="34" hidden="1">'OCP-PL-13'!$D$130</definedName>
    <definedName name="QB_ROW_21331" localSheetId="36" hidden="1">'OMI-PL-13'!$D$46</definedName>
    <definedName name="QB_ROW_21331" localSheetId="42" hidden="1">'TYP-PL-13'!$D$17</definedName>
    <definedName name="QB_ROW_21331" localSheetId="44" hidden="1">'UST-PL-13'!$D$94</definedName>
    <definedName name="QB_ROW_21331" localSheetId="54" hidden="1">'Wood96-PL-13'!$D$25</definedName>
    <definedName name="QB_ROW_21340" localSheetId="20" hidden="1">'CP-PL-13'!$E$98</definedName>
    <definedName name="QB_ROW_21340" localSheetId="36" hidden="1">'OMI-PL-13'!$E$37</definedName>
    <definedName name="QB_ROW_214270" localSheetId="32" hidden="1">'NWC-PL-13'!$H$46</definedName>
    <definedName name="QB_ROW_215270" localSheetId="32" hidden="1">'NWC-PL-13'!$H$54</definedName>
    <definedName name="QB_ROW_216250" localSheetId="32" hidden="1">'NWC-PL-13'!$F$16</definedName>
    <definedName name="QB_ROW_217250" localSheetId="32" hidden="1">'NWC-PL-13'!$F$17</definedName>
    <definedName name="QB_ROW_218240" localSheetId="51" hidden="1">'BSQ-BS-13'!$E$16</definedName>
    <definedName name="QB_ROW_218240" localSheetId="35" hidden="1">'OMI-BS-13'!$E$46</definedName>
    <definedName name="QB_ROW_22011" localSheetId="48" hidden="1">'127PAW-PL-13'!$B$30</definedName>
    <definedName name="QB_ROW_22011" localSheetId="46" hidden="1">'21Webb-PL-13'!$B$84</definedName>
    <definedName name="QB_ROW_22011" localSheetId="16" hidden="1">'ABP-PL-13'!$B$119</definedName>
    <definedName name="QB_ROW_22011" localSheetId="52" hidden="1">'BSQ-PL-13'!$B$14</definedName>
    <definedName name="QB_ROW_22011" localSheetId="20" hidden="1">'CP-PL-13'!$B$104</definedName>
    <definedName name="QB_ROW_22011" localSheetId="22" hidden="1">'DGS-PL-13'!$B$116</definedName>
    <definedName name="QB_ROW_22011" localSheetId="24" hidden="1">'NDV-PL-13'!$B$13</definedName>
    <definedName name="QB_ROW_22011" localSheetId="30" hidden="1">'NR14-PL-13'!$B$69</definedName>
    <definedName name="QB_ROW_22011" localSheetId="27" hidden="1">'NR6-OfficePL-13'!$B$122</definedName>
    <definedName name="QB_ROW_22011" localSheetId="28" hidden="1">'NR6-RetailPL-13'!$B$106</definedName>
    <definedName name="QB_ROW_22011" localSheetId="26" hidden="1">'NR6-TotalPL-13'!$B$152</definedName>
    <definedName name="QB_ROW_22011" localSheetId="32" hidden="1">'NWC-PL-13'!$B$195</definedName>
    <definedName name="QB_ROW_22011" localSheetId="34" hidden="1">'OCP-PL-13'!$B$132</definedName>
    <definedName name="QB_ROW_22011" localSheetId="36" hidden="1">'OMI-PL-13'!$B$48</definedName>
    <definedName name="QB_ROW_22011" localSheetId="38" hidden="1">'ROY-PL-13'!$B$89</definedName>
    <definedName name="QB_ROW_22011" localSheetId="40" hidden="1">'SPC-PL-13'!$B$143</definedName>
    <definedName name="QB_ROW_22011" localSheetId="42" hidden="1">'TYP-PL-13'!$B$19</definedName>
    <definedName name="QB_ROW_22011" localSheetId="44" hidden="1">'UST-PL-13'!$B$96</definedName>
    <definedName name="QB_ROW_22030" localSheetId="50" hidden="1">'RP21-PL-13'!$D$22</definedName>
    <definedName name="QB_ROW_22040" localSheetId="30" hidden="1">'NR14-PL-13'!$E$41</definedName>
    <definedName name="QB_ROW_22040" localSheetId="32" hidden="1">'NWC-PL-13'!$E$24</definedName>
    <definedName name="QB_ROW_22040" localSheetId="54" hidden="1">'Wood96-PL-13'!$E$15</definedName>
    <definedName name="QB_ROW_221240" localSheetId="51" hidden="1">'BSQ-BS-13'!$E$36</definedName>
    <definedName name="QB_ROW_2220" localSheetId="31" hidden="1">'NWC-BS-13'!$C$53</definedName>
    <definedName name="QB_ROW_22220" localSheetId="15" hidden="1">'ABP-BS-13'!$C$19</definedName>
    <definedName name="QB_ROW_22240" localSheetId="21" hidden="1">'DGS-BS-13'!$E$33</definedName>
    <definedName name="QB_ROW_22240" localSheetId="44" hidden="1">'UST-PL-13'!$E$70</definedName>
    <definedName name="QB_ROW_22250" localSheetId="46" hidden="1">'21Webb-PL-13'!$F$69</definedName>
    <definedName name="QB_ROW_22250" localSheetId="20" hidden="1">'CP-PL-13'!$F$33</definedName>
    <definedName name="QB_ROW_22250" localSheetId="30" hidden="1">'NR14-PL-13'!$F$45</definedName>
    <definedName name="QB_ROW_22250" localSheetId="26" hidden="1">'NR6-TotalPL-13'!$F$22</definedName>
    <definedName name="QB_ROW_22250" localSheetId="32" hidden="1">'NWC-PL-13'!$F$28</definedName>
    <definedName name="QB_ROW_22250" localSheetId="54" hidden="1">'Wood96-PL-13'!$F$17</definedName>
    <definedName name="QB_ROW_223020" localSheetId="51" hidden="1">'BSQ-BS-13'!$C$13</definedName>
    <definedName name="QB_ROW_22311" localSheetId="48" hidden="1">'127PAW-PL-13'!$B$38</definedName>
    <definedName name="QB_ROW_22311" localSheetId="46" hidden="1">'21Webb-PL-13'!$B$97</definedName>
    <definedName name="QB_ROW_22311" localSheetId="16" hidden="1">'ABP-PL-13'!$B$127</definedName>
    <definedName name="QB_ROW_22311" localSheetId="52" hidden="1">'BSQ-PL-13'!$B$20</definedName>
    <definedName name="QB_ROW_22311" localSheetId="20" hidden="1">'CP-PL-13'!$B$108</definedName>
    <definedName name="QB_ROW_22311" localSheetId="22" hidden="1">'DGS-PL-13'!$B$124</definedName>
    <definedName name="QB_ROW_22311" localSheetId="24" hidden="1">'NDV-PL-13'!$B$17</definedName>
    <definedName name="QB_ROW_22311" localSheetId="30" hidden="1">'NR14-PL-13'!$B$75</definedName>
    <definedName name="QB_ROW_22311" localSheetId="27" hidden="1">'NR6-OfficePL-13'!$B$131</definedName>
    <definedName name="QB_ROW_22311" localSheetId="28" hidden="1">'NR6-RetailPL-13'!$B$110</definedName>
    <definedName name="QB_ROW_22311" localSheetId="26" hidden="1">'NR6-TotalPL-13'!$B$165</definedName>
    <definedName name="QB_ROW_22311" localSheetId="32" hidden="1">'NWC-PL-13'!$B$203</definedName>
    <definedName name="QB_ROW_22311" localSheetId="34" hidden="1">'OCP-PL-13'!$B$140</definedName>
    <definedName name="QB_ROW_22311" localSheetId="36" hidden="1">'OMI-PL-13'!$B$57</definedName>
    <definedName name="QB_ROW_22311" localSheetId="38" hidden="1">'ROY-PL-13'!$B$95</definedName>
    <definedName name="QB_ROW_22311" localSheetId="40" hidden="1">'SPC-PL-13'!$B$147</definedName>
    <definedName name="QB_ROW_22311" localSheetId="42" hidden="1">'TYP-PL-13'!$B$23</definedName>
    <definedName name="QB_ROW_22311" localSheetId="44" hidden="1">'UST-PL-13'!$B$100</definedName>
    <definedName name="QB_ROW_22330" localSheetId="50" hidden="1">'RP21-PL-13'!$D$24</definedName>
    <definedName name="QB_ROW_223320" localSheetId="51" hidden="1">'BSQ-BS-13'!$C$18</definedName>
    <definedName name="QB_ROW_22340" localSheetId="30" hidden="1">'NR14-PL-13'!$E$46</definedName>
    <definedName name="QB_ROW_22340" localSheetId="32" hidden="1">'NWC-PL-13'!$E$29</definedName>
    <definedName name="QB_ROW_22340" localSheetId="54" hidden="1">'Wood96-PL-13'!$E$18</definedName>
    <definedName name="QB_ROW_225030" localSheetId="51" hidden="1">'BSQ-BS-13'!$D$14</definedName>
    <definedName name="QB_ROW_225330" localSheetId="51" hidden="1">'BSQ-BS-13'!$D$17</definedName>
    <definedName name="QB_ROW_226230" localSheetId="35" hidden="1">'OMI-BS-13'!$D$16</definedName>
    <definedName name="QB_ROW_227230" localSheetId="35" hidden="1">'OMI-BS-13'!$D$13</definedName>
    <definedName name="QB_ROW_228220" localSheetId="35" hidden="1">'OMI-BS-13'!$C$25</definedName>
    <definedName name="QB_ROW_229250" localSheetId="32" hidden="1">'NWC-PL-13'!$F$162</definedName>
    <definedName name="QB_ROW_23021" localSheetId="48" hidden="1">'127PAW-PL-13'!$C$31</definedName>
    <definedName name="QB_ROW_23021" localSheetId="46" hidden="1">'21Webb-PL-13'!$C$85</definedName>
    <definedName name="QB_ROW_23021" localSheetId="16" hidden="1">'ABP-PL-13'!$C$120</definedName>
    <definedName name="QB_ROW_23021" localSheetId="52" hidden="1">'BSQ-PL-13'!$C$15</definedName>
    <definedName name="QB_ROW_23021" localSheetId="22" hidden="1">'DGS-PL-13'!$C$117</definedName>
    <definedName name="QB_ROW_23021" localSheetId="24" hidden="1">'NDV-PL-13'!$C$14</definedName>
    <definedName name="QB_ROW_23021" localSheetId="30" hidden="1">'NR14-PL-13'!$C$70</definedName>
    <definedName name="QB_ROW_23021" localSheetId="27" hidden="1">'NR6-OfficePL-13'!$C$123</definedName>
    <definedName name="QB_ROW_23021" localSheetId="26" hidden="1">'NR6-TotalPL-13'!$C$153</definedName>
    <definedName name="QB_ROW_23021" localSheetId="32" hidden="1">'NWC-PL-13'!$C$196</definedName>
    <definedName name="QB_ROW_23021" localSheetId="34" hidden="1">'OCP-PL-13'!$C$133</definedName>
    <definedName name="QB_ROW_23021" localSheetId="36" hidden="1">'OMI-PL-13'!$C$49</definedName>
    <definedName name="QB_ROW_23021" localSheetId="38" hidden="1">'ROY-PL-13'!$C$90</definedName>
    <definedName name="QB_ROW_23021" localSheetId="42" hidden="1">'TYP-PL-13'!$C$20</definedName>
    <definedName name="QB_ROW_23021" localSheetId="44" hidden="1">'UST-PL-13'!$C$97</definedName>
    <definedName name="QB_ROW_230240" localSheetId="51" hidden="1">'BSQ-BS-13'!$E$35</definedName>
    <definedName name="QB_ROW_230250" localSheetId="32" hidden="1">'NWC-PL-13'!$F$163</definedName>
    <definedName name="QB_ROW_230330" localSheetId="35" hidden="1">'OMI-BS-13'!$D$17</definedName>
    <definedName name="QB_ROW_23040" localSheetId="38" hidden="1">'ROY-PL-13'!$E$13</definedName>
    <definedName name="QB_ROW_23050" localSheetId="16" hidden="1">'ABP-PL-13'!$F$25</definedName>
    <definedName name="QB_ROW_23050" localSheetId="27" hidden="1">'NR6-OfficePL-13'!$F$16</definedName>
    <definedName name="QB_ROW_23050" localSheetId="28" hidden="1">'NR6-RetailPL-13'!$F$23</definedName>
    <definedName name="QB_ROW_23050" localSheetId="26" hidden="1">'NR6-TotalPL-13'!$F$26</definedName>
    <definedName name="QB_ROW_231220" localSheetId="51" hidden="1">'BSQ-BS-13'!$C$23</definedName>
    <definedName name="QB_ROW_2321" localSheetId="47" hidden="1">'127PAW-BS-13'!$C$6</definedName>
    <definedName name="QB_ROW_2321" localSheetId="45" hidden="1">'21Webb-BS-13'!$C$13</definedName>
    <definedName name="QB_ROW_2321" localSheetId="15" hidden="1">'ABP-BS-13'!$C$8</definedName>
    <definedName name="QB_ROW_2321" localSheetId="17" hidden="1">'BPT-BS-13'!$C$6</definedName>
    <definedName name="QB_ROW_2321" localSheetId="51" hidden="1">'BSQ-BS-13'!$C$7</definedName>
    <definedName name="QB_ROW_2321" localSheetId="19" hidden="1">'CP-BS-13'!$C$7</definedName>
    <definedName name="QB_ROW_2321" localSheetId="21" hidden="1">'DGS-BS-13'!$C$7</definedName>
    <definedName name="QB_ROW_2321" localSheetId="23" hidden="1">'NDV-BS-13'!$C$6</definedName>
    <definedName name="QB_ROW_2321" localSheetId="29" hidden="1">'NR14-BS-13'!$C$6</definedName>
    <definedName name="QB_ROW_2321" localSheetId="25" hidden="1">'NR6-BS-13'!$C$9</definedName>
    <definedName name="QB_ROW_2321" localSheetId="31" hidden="1">'NWC-BS-13'!$C$7</definedName>
    <definedName name="QB_ROW_2321" localSheetId="33" hidden="1">'OCP-BS-13'!$C$7</definedName>
    <definedName name="QB_ROW_2321" localSheetId="35" hidden="1">'OMI-BS-13'!$C$8</definedName>
    <definedName name="QB_ROW_2321" localSheetId="37" hidden="1">'ROY-BS-13'!$C$6</definedName>
    <definedName name="QB_ROW_2321" localSheetId="49" hidden="1">'RP21-BS-13'!$C$6</definedName>
    <definedName name="QB_ROW_2321" localSheetId="39" hidden="1">'SPC-BS-13'!$C$6</definedName>
    <definedName name="QB_ROW_2321" localSheetId="41" hidden="1">'TYP-BS-13'!$C$6</definedName>
    <definedName name="QB_ROW_2321" localSheetId="43" hidden="1">'UST-BS-13'!$C$6</definedName>
    <definedName name="QB_ROW_23220" localSheetId="21" hidden="1">'DGS-BS-13'!$C$45</definedName>
    <definedName name="QB_ROW_232220" localSheetId="51" hidden="1">'BSQ-BS-13'!$C$22</definedName>
    <definedName name="QB_ROW_232340" localSheetId="36" hidden="1">'OMI-PL-13'!$E$35</definedName>
    <definedName name="QB_ROW_23250" localSheetId="46" hidden="1">'21Webb-PL-13'!$F$70</definedName>
    <definedName name="QB_ROW_23250" localSheetId="32" hidden="1">'NWC-PL-13'!$F$25</definedName>
    <definedName name="QB_ROW_23250" localSheetId="40" hidden="1">'SPC-PL-13'!$F$25</definedName>
    <definedName name="QB_ROW_23260" localSheetId="16" hidden="1">'ABP-PL-13'!$G$29</definedName>
    <definedName name="QB_ROW_23260" localSheetId="27" hidden="1">'NR6-OfficePL-13'!$G$19</definedName>
    <definedName name="QB_ROW_23260" localSheetId="28" hidden="1">'NR6-RetailPL-13'!$G$26</definedName>
    <definedName name="QB_ROW_23260" localSheetId="26" hidden="1">'NR6-TotalPL-13'!$G$31</definedName>
    <definedName name="QB_ROW_23260" localSheetId="34" hidden="1">'OCP-PL-13'!$G$50</definedName>
    <definedName name="QB_ROW_23321" localSheetId="48" hidden="1">'127PAW-PL-13'!$C$37</definedName>
    <definedName name="QB_ROW_23321" localSheetId="46" hidden="1">'21Webb-PL-13'!$C$93</definedName>
    <definedName name="QB_ROW_23321" localSheetId="16" hidden="1">'ABP-PL-13'!$C$123</definedName>
    <definedName name="QB_ROW_23321" localSheetId="52" hidden="1">'BSQ-PL-13'!$C$19</definedName>
    <definedName name="QB_ROW_23321" localSheetId="22" hidden="1">'DGS-PL-13'!$C$120</definedName>
    <definedName name="QB_ROW_23321" localSheetId="24" hidden="1">'NDV-PL-13'!$C$16</definedName>
    <definedName name="QB_ROW_23321" localSheetId="30" hidden="1">'NR14-PL-13'!$C$74</definedName>
    <definedName name="QB_ROW_23321" localSheetId="27" hidden="1">'NR6-OfficePL-13'!$C$130</definedName>
    <definedName name="QB_ROW_23321" localSheetId="26" hidden="1">'NR6-TotalPL-13'!$C$161</definedName>
    <definedName name="QB_ROW_23321" localSheetId="32" hidden="1">'NWC-PL-13'!$C$202</definedName>
    <definedName name="QB_ROW_23321" localSheetId="34" hidden="1">'OCP-PL-13'!$C$136</definedName>
    <definedName name="QB_ROW_23321" localSheetId="36" hidden="1">'OMI-PL-13'!$C$53</definedName>
    <definedName name="QB_ROW_23321" localSheetId="38" hidden="1">'ROY-PL-13'!$C$94</definedName>
    <definedName name="QB_ROW_23321" localSheetId="42" hidden="1">'TYP-PL-13'!$C$22</definedName>
    <definedName name="QB_ROW_23321" localSheetId="44" hidden="1">'UST-PL-13'!$C$99</definedName>
    <definedName name="QB_ROW_233270" localSheetId="32" hidden="1">'NWC-PL-13'!$H$41</definedName>
    <definedName name="QB_ROW_23340" localSheetId="38" hidden="1">'ROY-PL-13'!$E$15</definedName>
    <definedName name="QB_ROW_23350" localSheetId="16" hidden="1">'ABP-PL-13'!$F$30</definedName>
    <definedName name="QB_ROW_23350" localSheetId="27" hidden="1">'NR6-OfficePL-13'!$F$20</definedName>
    <definedName name="QB_ROW_23350" localSheetId="28" hidden="1">'NR6-RetailPL-13'!$F$27</definedName>
    <definedName name="QB_ROW_23350" localSheetId="26" hidden="1">'NR6-TotalPL-13'!$F$32</definedName>
    <definedName name="QB_ROW_234240" localSheetId="51" hidden="1">'BSQ-BS-13'!$E$34</definedName>
    <definedName name="QB_ROW_235220" localSheetId="51" hidden="1">'BSQ-BS-13'!$C$21</definedName>
    <definedName name="QB_ROW_236240" localSheetId="51" hidden="1">'BSQ-BS-13'!$E$33</definedName>
    <definedName name="QB_ROW_236270" localSheetId="32" hidden="1">'NWC-PL-13'!$H$60</definedName>
    <definedName name="QB_ROW_237230" localSheetId="52" hidden="1">'BSQ-PL-13'!$D$6</definedName>
    <definedName name="QB_ROW_237270" localSheetId="32" hidden="1">'NWC-PL-13'!$H$91</definedName>
    <definedName name="QB_ROW_239230" localSheetId="52" hidden="1">'BSQ-PL-13'!$D$5</definedName>
    <definedName name="QB_ROW_24021" localSheetId="46" hidden="1">'21Webb-PL-13'!$C$94</definedName>
    <definedName name="QB_ROW_24021" localSheetId="16" hidden="1">'ABP-PL-13'!$C$124</definedName>
    <definedName name="QB_ROW_24021" localSheetId="20" hidden="1">'CP-PL-13'!$C$105</definedName>
    <definedName name="QB_ROW_24021" localSheetId="22" hidden="1">'DGS-PL-13'!$C$121</definedName>
    <definedName name="QB_ROW_24021" localSheetId="28" hidden="1">'NR6-RetailPL-13'!$C$107</definedName>
    <definedName name="QB_ROW_24021" localSheetId="26" hidden="1">'NR6-TotalPL-13'!$C$162</definedName>
    <definedName name="QB_ROW_24021" localSheetId="34" hidden="1">'OCP-PL-13'!$C$137</definedName>
    <definedName name="QB_ROW_24021" localSheetId="36" hidden="1">'OMI-PL-13'!$C$54</definedName>
    <definedName name="QB_ROW_24021" localSheetId="40" hidden="1">'SPC-PL-13'!$C$144</definedName>
    <definedName name="QB_ROW_240230" localSheetId="52" hidden="1">'BSQ-PL-13'!$D$4</definedName>
    <definedName name="QB_ROW_24030" localSheetId="40" hidden="1">'SPC-PL-13'!$D$14</definedName>
    <definedName name="QB_ROW_24040" localSheetId="20" hidden="1">'CP-PL-13'!$E$32</definedName>
    <definedName name="QB_ROW_24050" localSheetId="46" hidden="1">'21Webb-PL-13'!$F$72</definedName>
    <definedName name="QB_ROW_24220" localSheetId="47" hidden="1">'127PAW-BS-13'!$C$27</definedName>
    <definedName name="QB_ROW_24220" localSheetId="17" hidden="1">'BPT-BS-13'!$C$53</definedName>
    <definedName name="QB_ROW_24220" localSheetId="49" hidden="1">'RP21-BS-13'!$C$37</definedName>
    <definedName name="QB_ROW_24240" localSheetId="24" hidden="1">'NDV-PL-13'!$E$8</definedName>
    <definedName name="QB_ROW_24240" localSheetId="38" hidden="1">'ROY-PL-13'!$E$16</definedName>
    <definedName name="QB_ROW_24260" localSheetId="46" hidden="1">'21Webb-PL-13'!$G$74</definedName>
    <definedName name="QB_ROW_24260" localSheetId="34" hidden="1">'OCP-PL-13'!$G$112</definedName>
    <definedName name="QB_ROW_24321" localSheetId="46" hidden="1">'21Webb-PL-13'!$C$96</definedName>
    <definedName name="QB_ROW_24321" localSheetId="16" hidden="1">'ABP-PL-13'!$C$126</definedName>
    <definedName name="QB_ROW_24321" localSheetId="20" hidden="1">'CP-PL-13'!$C$107</definedName>
    <definedName name="QB_ROW_24321" localSheetId="22" hidden="1">'DGS-PL-13'!$C$123</definedName>
    <definedName name="QB_ROW_24321" localSheetId="28" hidden="1">'NR6-RetailPL-13'!$C$109</definedName>
    <definedName name="QB_ROW_24321" localSheetId="26" hidden="1">'NR6-TotalPL-13'!$C$164</definedName>
    <definedName name="QB_ROW_24321" localSheetId="34" hidden="1">'OCP-PL-13'!$C$139</definedName>
    <definedName name="QB_ROW_24321" localSheetId="36" hidden="1">'OMI-PL-13'!$C$56</definedName>
    <definedName name="QB_ROW_24321" localSheetId="40" hidden="1">'SPC-PL-13'!$C$146</definedName>
    <definedName name="QB_ROW_243240" localSheetId="36" hidden="1">'OMI-PL-13'!$E$6</definedName>
    <definedName name="QB_ROW_24330" localSheetId="40" hidden="1">'SPC-PL-13'!$D$32</definedName>
    <definedName name="QB_ROW_24340" localSheetId="20" hidden="1">'CP-PL-13'!$E$42</definedName>
    <definedName name="QB_ROW_24340" localSheetId="36" hidden="1">'OMI-PL-13'!$E$38</definedName>
    <definedName name="QB_ROW_24350" localSheetId="46" hidden="1">'21Webb-PL-13'!$F$77</definedName>
    <definedName name="QB_ROW_24360" localSheetId="27" hidden="1">'NR6-OfficePL-13'!$G$17</definedName>
    <definedName name="QB_ROW_24360" localSheetId="28" hidden="1">'NR6-RetailPL-13'!$G$24</definedName>
    <definedName name="QB_ROW_24360" localSheetId="26" hidden="1">'NR6-TotalPL-13'!$G$29</definedName>
    <definedName name="QB_ROW_244220" localSheetId="31" hidden="1">'NWC-BS-13'!$C$19</definedName>
    <definedName name="QB_ROW_247250" localSheetId="32" hidden="1">'NWC-PL-13'!$F$113</definedName>
    <definedName name="QB_ROW_248220" localSheetId="31" hidden="1">'NWC-BS-13'!$C$24</definedName>
    <definedName name="QB_ROW_250250" localSheetId="32" hidden="1">'NWC-PL-13'!$F$164</definedName>
    <definedName name="QB_ROW_25040" localSheetId="18" hidden="1">'BPT-PL-13'!$E$48</definedName>
    <definedName name="QB_ROW_25040" localSheetId="34" hidden="1">'OCP-PL-13'!$E$120</definedName>
    <definedName name="QB_ROW_25040" localSheetId="38" hidden="1">'ROY-PL-13'!$E$20</definedName>
    <definedName name="QB_ROW_251270" localSheetId="32" hidden="1">'NWC-PL-13'!$H$86</definedName>
    <definedName name="QB_ROW_252220" localSheetId="31" hidden="1">'NWC-BS-13'!$C$20</definedName>
    <definedName name="QB_ROW_25240" localSheetId="30" hidden="1">'NR14-PL-13'!$E$52</definedName>
    <definedName name="QB_ROW_25250" localSheetId="16" hidden="1">'ABP-PL-13'!$F$24</definedName>
    <definedName name="QB_ROW_25250" localSheetId="32" hidden="1">'NWC-PL-13'!$F$116</definedName>
    <definedName name="QB_ROW_25250" localSheetId="38" hidden="1">'ROY-PL-13'!$F$24</definedName>
    <definedName name="QB_ROW_25260" localSheetId="27" hidden="1">'NR6-OfficePL-13'!$G$39</definedName>
    <definedName name="QB_ROW_25260" localSheetId="26" hidden="1">'NR6-TotalPL-13'!$G$57</definedName>
    <definedName name="QB_ROW_253240" localSheetId="36" hidden="1">'OMI-PL-13'!$E$41</definedName>
    <definedName name="QB_ROW_25330" localSheetId="52" hidden="1">'BSQ-PL-13'!$D$10</definedName>
    <definedName name="QB_ROW_25340" localSheetId="18" hidden="1">'BPT-PL-13'!$E$105</definedName>
    <definedName name="QB_ROW_25340" localSheetId="34" hidden="1">'OCP-PL-13'!$E$123</definedName>
    <definedName name="QB_ROW_25340" localSheetId="38" hidden="1">'ROY-PL-13'!$E$25</definedName>
    <definedName name="QB_ROW_254230" localSheetId="35" hidden="1">'OMI-BS-13'!$D$51</definedName>
    <definedName name="QB_ROW_254270" localSheetId="32" hidden="1">'NWC-PL-13'!$H$55</definedName>
    <definedName name="QB_ROW_255220" localSheetId="31" hidden="1">'NWC-BS-13'!$C$28</definedName>
    <definedName name="QB_ROW_255240" localSheetId="35" hidden="1">'OMI-BS-13'!$E$38</definedName>
    <definedName name="QB_ROW_257270" localSheetId="32" hidden="1">'NWC-PL-13'!$H$51</definedName>
    <definedName name="QB_ROW_258270" localSheetId="32" hidden="1">'NWC-PL-13'!$H$52</definedName>
    <definedName name="QB_ROW_259230" localSheetId="36" hidden="1">'OMI-PL-13'!$D$50</definedName>
    <definedName name="QB_ROW_259270" localSheetId="32" hidden="1">'NWC-PL-13'!$H$53</definedName>
    <definedName name="QB_ROW_260230" localSheetId="31" hidden="1">'NWC-BS-13'!$D$13</definedName>
    <definedName name="QB_ROW_260240" localSheetId="36" hidden="1">'OMI-PL-13'!$E$17</definedName>
    <definedName name="QB_ROW_26030" localSheetId="30" hidden="1">'NR14-PL-13'!$D$48</definedName>
    <definedName name="QB_ROW_26050" localSheetId="18" hidden="1">'BPT-PL-13'!$F$94</definedName>
    <definedName name="QB_ROW_26050" localSheetId="34" hidden="1">'OCP-PL-13'!$F$89</definedName>
    <definedName name="QB_ROW_261240" localSheetId="32" hidden="1">'NWC-PL-13'!$E$188</definedName>
    <definedName name="QB_ROW_261240" localSheetId="36" hidden="1">'OMI-PL-13'!$E$16</definedName>
    <definedName name="QB_ROW_26220" localSheetId="47" hidden="1">'127PAW-BS-13'!$C$25</definedName>
    <definedName name="QB_ROW_26220" localSheetId="49" hidden="1">'RP21-BS-13'!$C$38</definedName>
    <definedName name="QB_ROW_262230" localSheetId="31" hidden="1">'NWC-BS-13'!$D$44</definedName>
    <definedName name="QB_ROW_26240" localSheetId="25" hidden="1">'NR6-BS-13'!$E$43</definedName>
    <definedName name="QB_ROW_26250" localSheetId="22" hidden="1">'DGS-PL-13'!$F$22</definedName>
    <definedName name="QB_ROW_26250" localSheetId="32" hidden="1">'NWC-PL-13'!$F$146</definedName>
    <definedName name="QB_ROW_26250" localSheetId="38" hidden="1">'ROY-PL-13'!$F$21</definedName>
    <definedName name="QB_ROW_26250" localSheetId="40" hidden="1">'SPC-PL-13'!$F$114</definedName>
    <definedName name="QB_ROW_26260" localSheetId="34" hidden="1">'OCP-PL-13'!$G$93</definedName>
    <definedName name="QB_ROW_26330" localSheetId="30" hidden="1">'NR14-PL-13'!$D$53</definedName>
    <definedName name="QB_ROW_26350" localSheetId="18" hidden="1">'BPT-PL-13'!$F$100</definedName>
    <definedName name="QB_ROW_26350" localSheetId="34" hidden="1">'OCP-PL-13'!$F$94</definedName>
    <definedName name="QB_ROW_264220" localSheetId="31" hidden="1">'NWC-BS-13'!$C$29</definedName>
    <definedName name="QB_ROW_265060" localSheetId="32" hidden="1">'NWC-PL-13'!$G$58</definedName>
    <definedName name="QB_ROW_265360" localSheetId="32" hidden="1">'NWC-PL-13'!$G$63</definedName>
    <definedName name="QB_ROW_266060" localSheetId="32" hidden="1">'NWC-PL-13'!$G$40</definedName>
    <definedName name="QB_ROW_266360" localSheetId="32" hidden="1">'NWC-PL-13'!$G$42</definedName>
    <definedName name="QB_ROW_267060" localSheetId="32" hidden="1">'NWC-PL-13'!$G$43</definedName>
    <definedName name="QB_ROW_267360" localSheetId="32" hidden="1">'NWC-PL-13'!$G$47</definedName>
    <definedName name="QB_ROW_268060" localSheetId="32" hidden="1">'NWC-PL-13'!$G$48</definedName>
    <definedName name="QB_ROW_268360" localSheetId="32" hidden="1">'NWC-PL-13'!$G$57</definedName>
    <definedName name="QB_ROW_269060" localSheetId="32" hidden="1">'NWC-PL-13'!$G$64</definedName>
    <definedName name="QB_ROW_269360" localSheetId="32" hidden="1">'NWC-PL-13'!$G$66</definedName>
    <definedName name="QB_ROW_27040" localSheetId="38" hidden="1">'ROY-PL-13'!$E$55</definedName>
    <definedName name="QB_ROW_27050" localSheetId="16" hidden="1">'ABP-PL-13'!$F$16</definedName>
    <definedName name="QB_ROW_27050" localSheetId="34" hidden="1">'OCP-PL-13'!$F$77</definedName>
    <definedName name="QB_ROW_271270" localSheetId="32" hidden="1">'NWC-PL-13'!$H$61</definedName>
    <definedName name="QB_ROW_272270" localSheetId="32" hidden="1">'NWC-PL-13'!$H$87</definedName>
    <definedName name="QB_ROW_27240" localSheetId="40" hidden="1">'SPC-PL-13'!$E$34</definedName>
    <definedName name="QB_ROW_27250" localSheetId="46" hidden="1">'21Webb-PL-13'!$F$32</definedName>
    <definedName name="QB_ROW_27260" localSheetId="18" hidden="1">'BPT-PL-13'!$G$95</definedName>
    <definedName name="QB_ROW_27260" localSheetId="27" hidden="1">'NR6-OfficePL-13'!$G$48</definedName>
    <definedName name="QB_ROW_27260" localSheetId="28" hidden="1">'NR6-RetailPL-13'!$G$52</definedName>
    <definedName name="QB_ROW_27260" localSheetId="26" hidden="1">'NR6-TotalPL-13'!$G$69</definedName>
    <definedName name="QB_ROW_27260" localSheetId="34" hidden="1">'OCP-PL-13'!$G$81</definedName>
    <definedName name="QB_ROW_273270" localSheetId="32" hidden="1">'NWC-PL-13'!$H$56</definedName>
    <definedName name="QB_ROW_27340" localSheetId="21" hidden="1">'DGS-BS-13'!$E$34</definedName>
    <definedName name="QB_ROW_27340" localSheetId="38" hidden="1">'ROY-PL-13'!$E$58</definedName>
    <definedName name="QB_ROW_27340" localSheetId="44" hidden="1">'UST-PL-13'!$E$73</definedName>
    <definedName name="QB_ROW_27350" localSheetId="16" hidden="1">'ABP-PL-13'!$F$19</definedName>
    <definedName name="QB_ROW_27350" localSheetId="34" hidden="1">'OCP-PL-13'!$F$82</definedName>
    <definedName name="QB_ROW_274250" localSheetId="32" hidden="1">'NWC-PL-13'!$F$27</definedName>
    <definedName name="QB_ROW_275220" localSheetId="31" hidden="1">'NWC-BS-13'!$C$22</definedName>
    <definedName name="QB_ROW_276270" localSheetId="32" hidden="1">'NWC-PL-13'!$H$84</definedName>
    <definedName name="QB_ROW_28030" localSheetId="32" hidden="1">'NWC-PL-13'!$D$181</definedName>
    <definedName name="QB_ROW_28040" localSheetId="46" hidden="1">'21Webb-PL-13'!$E$28</definedName>
    <definedName name="QB_ROW_28220" localSheetId="47" hidden="1">'127PAW-BS-13'!$C$28</definedName>
    <definedName name="QB_ROW_282270" localSheetId="32" hidden="1">'NWC-PL-13'!$H$83</definedName>
    <definedName name="QB_ROW_28240" localSheetId="15" hidden="1">'ABP-BS-13'!$E$39</definedName>
    <definedName name="QB_ROW_28240" localSheetId="21" hidden="1">'DGS-BS-13'!$E$30</definedName>
    <definedName name="QB_ROW_28240" localSheetId="38" hidden="1">'ROY-PL-13'!$E$26</definedName>
    <definedName name="QB_ROW_28240" localSheetId="41" hidden="1">'TYP-BS-13'!$E$22</definedName>
    <definedName name="QB_ROW_28240" localSheetId="44" hidden="1">'UST-PL-13'!$E$74</definedName>
    <definedName name="QB_ROW_28250" localSheetId="18" hidden="1">'BPT-PL-13'!$F$23</definedName>
    <definedName name="QB_ROW_28250" localSheetId="34" hidden="1">'OCP-PL-13'!$F$121</definedName>
    <definedName name="QB_ROW_28260" localSheetId="27" hidden="1">'NR6-OfficePL-13'!$G$97</definedName>
    <definedName name="QB_ROW_28260" localSheetId="28" hidden="1">'NR6-RetailPL-13'!$G$89</definedName>
    <definedName name="QB_ROW_28260" localSheetId="26" hidden="1">'NR6-TotalPL-13'!$G$118</definedName>
    <definedName name="QB_ROW_28330" localSheetId="32" hidden="1">'NWC-PL-13'!$D$184</definedName>
    <definedName name="QB_ROW_28340" localSheetId="46" hidden="1">'21Webb-PL-13'!$E$38</definedName>
    <definedName name="QB_ROW_284040" localSheetId="32" hidden="1">'NWC-PL-13'!$E$173</definedName>
    <definedName name="QB_ROW_284250" localSheetId="32" hidden="1">'NWC-PL-13'!$F$176</definedName>
    <definedName name="QB_ROW_284340" localSheetId="32" hidden="1">'NWC-PL-13'!$E$177</definedName>
    <definedName name="QB_ROW_285250" localSheetId="32" hidden="1">'NWC-PL-13'!$F$174</definedName>
    <definedName name="QB_ROW_286250" localSheetId="32" hidden="1">'NWC-PL-13'!$F$175</definedName>
    <definedName name="QB_ROW_287250" localSheetId="32" hidden="1">'NWC-PL-13'!$F$134</definedName>
    <definedName name="QB_ROW_288250" localSheetId="32" hidden="1">'NWC-PL-13'!$F$135</definedName>
    <definedName name="QB_ROW_289250" localSheetId="32" hidden="1">'NWC-PL-13'!$F$145</definedName>
    <definedName name="QB_ROW_290250" localSheetId="32" hidden="1">'NWC-PL-13'!$F$150</definedName>
    <definedName name="QB_ROW_29040" localSheetId="38" hidden="1">'ROY-PL-13'!$E$64</definedName>
    <definedName name="QB_ROW_291250" localSheetId="32" hidden="1">'NWC-PL-13'!$F$155</definedName>
    <definedName name="QB_ROW_29220" localSheetId="53" hidden="1">'Wood96-BS-13'!$C$25</definedName>
    <definedName name="QB_ROW_29230" localSheetId="22" hidden="1">'DGS-PL-13'!$D$119</definedName>
    <definedName name="QB_ROW_29240" localSheetId="40" hidden="1">'SPC-PL-13'!$E$31</definedName>
    <definedName name="QB_ROW_29240" localSheetId="44" hidden="1">'UST-PL-13'!$E$75</definedName>
    <definedName name="QB_ROW_29250" localSheetId="16" hidden="1">'ABP-PL-13'!$F$75</definedName>
    <definedName name="QB_ROW_29250" localSheetId="38" hidden="1">'ROY-PL-13'!$F$67</definedName>
    <definedName name="QB_ROW_293240" localSheetId="32" hidden="1">'NWC-PL-13'!$E$172</definedName>
    <definedName name="QB_ROW_29330" localSheetId="52" hidden="1">'BSQ-PL-13'!$D$7</definedName>
    <definedName name="QB_ROW_29340" localSheetId="38" hidden="1">'ROY-PL-13'!$E$68</definedName>
    <definedName name="QB_ROW_297270" localSheetId="32" hidden="1">'NWC-PL-13'!$H$49</definedName>
    <definedName name="QB_ROW_298270" localSheetId="32" hidden="1">'NWC-PL-13'!$H$50</definedName>
    <definedName name="QB_ROW_30030" localSheetId="40" hidden="1">'SPC-PL-13'!$D$125</definedName>
    <definedName name="QB_ROW_30040" localSheetId="44" hidden="1">'UST-PL-13'!$E$76</definedName>
    <definedName name="QB_ROW_301" localSheetId="47" hidden="1">'127PAW-BS-13'!$A$15</definedName>
    <definedName name="QB_ROW_301" localSheetId="45" hidden="1">'21Webb-BS-13'!$A$37</definedName>
    <definedName name="QB_ROW_301" localSheetId="15" hidden="1">'ABP-BS-13'!$A$34</definedName>
    <definedName name="QB_ROW_301" localSheetId="17" hidden="1">'BPT-BS-13'!$A$35</definedName>
    <definedName name="QB_ROW_301" localSheetId="51" hidden="1">'BSQ-BS-13'!$A$25</definedName>
    <definedName name="QB_ROW_301" localSheetId="19" hidden="1">'CP-BS-13'!$A$28</definedName>
    <definedName name="QB_ROW_301" localSheetId="21" hidden="1">'DGS-BS-13'!$A$25</definedName>
    <definedName name="QB_ROW_301" localSheetId="23" hidden="1">'NDV-BS-13'!$A$19</definedName>
    <definedName name="QB_ROW_301" localSheetId="29" hidden="1">'NR14-BS-13'!$A$23</definedName>
    <definedName name="QB_ROW_301" localSheetId="25" hidden="1">'NR6-BS-13'!$A$38</definedName>
    <definedName name="QB_ROW_301" localSheetId="31" hidden="1">'NWC-BS-13'!$A$31</definedName>
    <definedName name="QB_ROW_301" localSheetId="33" hidden="1">'OCP-BS-13'!$A$22</definedName>
    <definedName name="QB_ROW_301" localSheetId="35" hidden="1">'OMI-BS-13'!$A$30</definedName>
    <definedName name="QB_ROW_301" localSheetId="37" hidden="1">'ROY-BS-13'!$A$26</definedName>
    <definedName name="QB_ROW_301" localSheetId="49" hidden="1">'RP21-BS-13'!$A$19</definedName>
    <definedName name="QB_ROW_301" localSheetId="39" hidden="1">'SPC-BS-13'!$A$24</definedName>
    <definedName name="QB_ROW_301" localSheetId="41" hidden="1">'TYP-BS-13'!$A$17</definedName>
    <definedName name="QB_ROW_301" localSheetId="43" hidden="1">'UST-BS-13'!$A$32</definedName>
    <definedName name="QB_ROW_301" localSheetId="53" hidden="1">'Wood96-BS-13'!$A$11</definedName>
    <definedName name="QB_ROW_301270" localSheetId="32" hidden="1">'NWC-PL-13'!$H$93</definedName>
    <definedName name="QB_ROW_3021" localSheetId="45" hidden="1">'21Webb-BS-13'!$C$14</definedName>
    <definedName name="QB_ROW_3021" localSheetId="15" hidden="1">'ABP-BS-13'!$C$9</definedName>
    <definedName name="QB_ROW_3021" localSheetId="17" hidden="1">'BPT-BS-13'!$C$7</definedName>
    <definedName name="QB_ROW_3021" localSheetId="19" hidden="1">'CP-BS-13'!$C$8</definedName>
    <definedName name="QB_ROW_3021" localSheetId="21" hidden="1">'DGS-BS-13'!$C$8</definedName>
    <definedName name="QB_ROW_3021" localSheetId="25" hidden="1">'NR6-BS-13'!$C$10</definedName>
    <definedName name="QB_ROW_3021" localSheetId="31" hidden="1">'NWC-BS-13'!$C$8</definedName>
    <definedName name="QB_ROW_3021" localSheetId="33" hidden="1">'OCP-BS-13'!$C$8</definedName>
    <definedName name="QB_ROW_3021" localSheetId="35" hidden="1">'OMI-BS-13'!$C$9</definedName>
    <definedName name="QB_ROW_3021" localSheetId="37" hidden="1">'ROY-BS-13'!$C$7</definedName>
    <definedName name="QB_ROW_3021" localSheetId="39" hidden="1">'SPC-BS-13'!$C$7</definedName>
    <definedName name="QB_ROW_3021" localSheetId="43" hidden="1">'UST-BS-13'!$C$7</definedName>
    <definedName name="QB_ROW_30230" localSheetId="17" hidden="1">'BPT-BS-13'!$D$11</definedName>
    <definedName name="QB_ROW_30230" localSheetId="33" hidden="1">'OCP-BS-13'!$D$5</definedName>
    <definedName name="QB_ROW_30240" localSheetId="31" hidden="1">'NWC-BS-13'!$E$40</definedName>
    <definedName name="QB_ROW_30240" localSheetId="53" hidden="1">'Wood96-BS-13'!$E$16</definedName>
    <definedName name="QB_ROW_30250" localSheetId="16" hidden="1">'ABP-PL-13'!$F$34</definedName>
    <definedName name="QB_ROW_30250" localSheetId="20" hidden="1">'CP-PL-13'!$F$96</definedName>
    <definedName name="QB_ROW_30250" localSheetId="27" hidden="1">'NR6-OfficePL-13'!$F$115</definedName>
    <definedName name="QB_ROW_30250" localSheetId="28" hidden="1">'NR6-RetailPL-13'!$F$99</definedName>
    <definedName name="QB_ROW_30250" localSheetId="26" hidden="1">'NR6-TotalPL-13'!$F$140</definedName>
    <definedName name="QB_ROW_303270" localSheetId="32" hidden="1">'NWC-PL-13'!$H$62</definedName>
    <definedName name="QB_ROW_30330" localSheetId="40" hidden="1">'SPC-PL-13'!$D$127</definedName>
    <definedName name="QB_ROW_30340" localSheetId="44" hidden="1">'UST-PL-13'!$E$93</definedName>
    <definedName name="QB_ROW_310270" localSheetId="32" hidden="1">'NWC-PL-13'!$H$80</definedName>
    <definedName name="QB_ROW_31030" localSheetId="38" hidden="1">'ROY-PL-13'!$D$80</definedName>
    <definedName name="QB_ROW_31220" localSheetId="45" hidden="1">'21Webb-BS-13'!$C$56</definedName>
    <definedName name="QB_ROW_31220" localSheetId="49" hidden="1">'RP21-BS-13'!$C$12</definedName>
    <definedName name="QB_ROW_312270" localSheetId="32" hidden="1">'NWC-PL-13'!$H$65</definedName>
    <definedName name="QB_ROW_31230" localSheetId="47" hidden="1">'127PAW-BS-13'!$D$5</definedName>
    <definedName name="QB_ROW_31230" localSheetId="36" hidden="1">'OMI-PL-13'!$D$52</definedName>
    <definedName name="QB_ROW_31230" localSheetId="41" hidden="1">'TYP-BS-13'!$D$5</definedName>
    <definedName name="QB_ROW_31230" localSheetId="44" hidden="1">'UST-PL-13'!$D$98</definedName>
    <definedName name="QB_ROW_31230" localSheetId="53" hidden="1">'Wood96-BS-13'!$D$5</definedName>
    <definedName name="QB_ROW_31240" localSheetId="18" hidden="1">'BPT-PL-13'!$E$111</definedName>
    <definedName name="QB_ROW_31240" localSheetId="24" hidden="1">'NDV-PL-13'!$E$9</definedName>
    <definedName name="QB_ROW_31250" localSheetId="20" hidden="1">'CP-PL-13'!$F$97</definedName>
    <definedName name="QB_ROW_313270" localSheetId="32" hidden="1">'NWC-PL-13'!$H$96</definedName>
    <definedName name="QB_ROW_31330" localSheetId="38" hidden="1">'ROY-PL-13'!$D$84</definedName>
    <definedName name="QB_ROW_316250" localSheetId="32" hidden="1">'NWC-PL-13'!$F$156</definedName>
    <definedName name="QB_ROW_317270" localSheetId="32" hidden="1">'NWC-PL-13'!$H$45</definedName>
    <definedName name="QB_ROW_318230" localSheetId="32" hidden="1">'NWC-PL-13'!$D$13</definedName>
    <definedName name="QB_ROW_320240" localSheetId="32" hidden="1">'NWC-PL-13'!$E$30</definedName>
    <definedName name="QB_ROW_32040" localSheetId="20" hidden="1">'CP-PL-13'!$E$13</definedName>
    <definedName name="QB_ROW_32040" localSheetId="27" hidden="1">'NR6-OfficePL-13'!$E$114</definedName>
    <definedName name="QB_ROW_32040" localSheetId="28" hidden="1">'NR6-RetailPL-13'!$E$97</definedName>
    <definedName name="QB_ROW_32040" localSheetId="26" hidden="1">'NR6-TotalPL-13'!$E$137</definedName>
    <definedName name="QB_ROW_3220" localSheetId="33" hidden="1">'OCP-BS-13'!$C$40</definedName>
    <definedName name="QB_ROW_32220" localSheetId="29" hidden="1">'NR14-BS-13'!$C$46</definedName>
    <definedName name="QB_ROW_32220" localSheetId="41" hidden="1">'TYP-BS-13'!$C$30</definedName>
    <definedName name="QB_ROW_32240" localSheetId="47" hidden="1">'127PAW-BS-13'!$E$20</definedName>
    <definedName name="QB_ROW_32240" localSheetId="45" hidden="1">'21Webb-BS-13'!$E$46</definedName>
    <definedName name="QB_ROW_32240" localSheetId="24" hidden="1">'NDV-PL-13'!$E$10</definedName>
    <definedName name="QB_ROW_32240" localSheetId="32" hidden="1">'NWC-PL-13'!$E$183</definedName>
    <definedName name="QB_ROW_32240" localSheetId="49" hidden="1">'RP21-BS-13'!$E$31</definedName>
    <definedName name="QB_ROW_32240" localSheetId="53" hidden="1">'Wood96-BS-13'!$E$19</definedName>
    <definedName name="QB_ROW_32250" localSheetId="22" hidden="1">'DGS-PL-13'!$F$46</definedName>
    <definedName name="QB_ROW_32330" localSheetId="52" hidden="1">'BSQ-PL-13'!$D$17</definedName>
    <definedName name="QB_ROW_32330" localSheetId="34" hidden="1">'OCP-PL-13'!$D$134</definedName>
    <definedName name="QB_ROW_32340" localSheetId="20" hidden="1">'CP-PL-13'!$E$31</definedName>
    <definedName name="QB_ROW_32340" localSheetId="27" hidden="1">'NR6-OfficePL-13'!$E$116</definedName>
    <definedName name="QB_ROW_32340" localSheetId="28" hidden="1">'NR6-RetailPL-13'!$E$100</definedName>
    <definedName name="QB_ROW_32340" localSheetId="26" hidden="1">'NR6-TotalPL-13'!$E$143</definedName>
    <definedName name="QB_ROW_3240" localSheetId="32" hidden="1">'NWC-PL-13'!$E$178</definedName>
    <definedName name="QB_ROW_3240" localSheetId="35" hidden="1">'OMI-BS-13'!$E$47</definedName>
    <definedName name="QB_ROW_326270" localSheetId="32" hidden="1">'NWC-PL-13'!$H$59</definedName>
    <definedName name="QB_ROW_327270" localSheetId="32" hidden="1">'NWC-PL-13'!$H$90</definedName>
    <definedName name="QB_ROW_328270" localSheetId="32" hidden="1">'NWC-PL-13'!$H$44</definedName>
    <definedName name="QB_ROW_33040" localSheetId="16" hidden="1">'ABP-PL-13'!$E$33</definedName>
    <definedName name="QB_ROW_33040" localSheetId="27" hidden="1">'NR6-OfficePL-13'!$E$24</definedName>
    <definedName name="QB_ROW_33040" localSheetId="28" hidden="1">'NR6-RetailPL-13'!$E$31</definedName>
    <definedName name="QB_ROW_33040" localSheetId="26" hidden="1">'NR6-TotalPL-13'!$E$36</definedName>
    <definedName name="QB_ROW_33040" localSheetId="54" hidden="1">'Wood96-PL-13'!$E$20</definedName>
    <definedName name="QB_ROW_3321" localSheetId="45" hidden="1">'21Webb-BS-13'!$C$17</definedName>
    <definedName name="QB_ROW_3321" localSheetId="15" hidden="1">'ABP-BS-13'!$C$11</definedName>
    <definedName name="QB_ROW_3321" localSheetId="17" hidden="1">'BPT-BS-13'!$C$9</definedName>
    <definedName name="QB_ROW_3321" localSheetId="19" hidden="1">'CP-BS-13'!$C$10</definedName>
    <definedName name="QB_ROW_3321" localSheetId="21" hidden="1">'DGS-BS-13'!$C$10</definedName>
    <definedName name="QB_ROW_3321" localSheetId="25" hidden="1">'NR6-BS-13'!$C$12</definedName>
    <definedName name="QB_ROW_3321" localSheetId="31" hidden="1">'NWC-BS-13'!$C$10</definedName>
    <definedName name="QB_ROW_3321" localSheetId="33" hidden="1">'OCP-BS-13'!$C$10</definedName>
    <definedName name="QB_ROW_3321" localSheetId="35" hidden="1">'OMI-BS-13'!$C$11</definedName>
    <definedName name="QB_ROW_3321" localSheetId="37" hidden="1">'ROY-BS-13'!$C$9</definedName>
    <definedName name="QB_ROW_3321" localSheetId="39" hidden="1">'SPC-BS-13'!$C$9</definedName>
    <definedName name="QB_ROW_3321" localSheetId="43" hidden="1">'UST-BS-13'!$C$9</definedName>
    <definedName name="QB_ROW_33220" localSheetId="45" hidden="1">'21Webb-BS-13'!$C$25</definedName>
    <definedName name="QB_ROW_33220" localSheetId="17" hidden="1">'BPT-BS-13'!$C$52</definedName>
    <definedName name="QB_ROW_33230" localSheetId="21" hidden="1">'DGS-BS-13'!$D$9</definedName>
    <definedName name="QB_ROW_33240" localSheetId="29" hidden="1">'NR14-BS-13'!$E$28</definedName>
    <definedName name="QB_ROW_33240" localSheetId="31" hidden="1">'NWC-BS-13'!$E$39</definedName>
    <definedName name="QB_ROW_33240" localSheetId="42" hidden="1">'TYP-PL-13'!$E$9</definedName>
    <definedName name="QB_ROW_33250" localSheetId="20" hidden="1">'CP-PL-13'!$F$18</definedName>
    <definedName name="QB_ROW_33330" localSheetId="34" hidden="1">'OCP-PL-13'!$D$135</definedName>
    <definedName name="QB_ROW_33340" localSheetId="16" hidden="1">'ABP-PL-13'!$E$43</definedName>
    <definedName name="QB_ROW_33340" localSheetId="27" hidden="1">'NR6-OfficePL-13'!$E$42</definedName>
    <definedName name="QB_ROW_33340" localSheetId="28" hidden="1">'NR6-RetailPL-13'!$E$46</definedName>
    <definedName name="QB_ROW_33340" localSheetId="26" hidden="1">'NR6-TotalPL-13'!$E$63</definedName>
    <definedName name="QB_ROW_33340" localSheetId="38" hidden="1">'ROY-PL-13'!$E$77</definedName>
    <definedName name="QB_ROW_33340" localSheetId="54" hidden="1">'Wood96-PL-13'!$E$24</definedName>
    <definedName name="QB_ROW_33350" localSheetId="40" hidden="1">'SPC-PL-13'!$F$26</definedName>
    <definedName name="QB_ROW_34030" localSheetId="48" hidden="1">'127PAW-PL-13'!$D$32</definedName>
    <definedName name="QB_ROW_34030" localSheetId="30" hidden="1">'NR14-PL-13'!$D$31</definedName>
    <definedName name="QB_ROW_34030" localSheetId="50" hidden="1">'RP21-PL-13'!$D$6</definedName>
    <definedName name="QB_ROW_34030" localSheetId="40" hidden="1">'SPC-PL-13'!$D$128</definedName>
    <definedName name="QB_ROW_34040" localSheetId="22" hidden="1">'DGS-PL-13'!$E$108</definedName>
    <definedName name="QB_ROW_34040" localSheetId="34" hidden="1">'OCP-PL-13'!$E$19</definedName>
    <definedName name="QB_ROW_34050" localSheetId="16" hidden="1">'ABP-PL-13'!$F$35</definedName>
    <definedName name="QB_ROW_34220" localSheetId="41" hidden="1">'TYP-BS-13'!$C$15</definedName>
    <definedName name="QB_ROW_34230" localSheetId="46" hidden="1">'21Webb-PL-13'!$D$89</definedName>
    <definedName name="QB_ROW_34240" localSheetId="19" hidden="1">'CP-BS-13'!$E$33</definedName>
    <definedName name="QB_ROW_34240" localSheetId="36" hidden="1">'OMI-PL-13'!$E$25</definedName>
    <definedName name="QB_ROW_34240" localSheetId="38" hidden="1">'ROY-PL-13'!$E$82</definedName>
    <definedName name="QB_ROW_34240" localSheetId="50" hidden="1">'RP21-PL-13'!$E$15</definedName>
    <definedName name="QB_ROW_34250" localSheetId="22" hidden="1">'DGS-PL-13'!$F$110</definedName>
    <definedName name="QB_ROW_34250" localSheetId="54" hidden="1">'Wood96-PL-13'!$F$22</definedName>
    <definedName name="QB_ROW_34260" localSheetId="27" hidden="1">'NR6-OfficePL-13'!$G$30</definedName>
    <definedName name="QB_ROW_34260" localSheetId="26" hidden="1">'NR6-TotalPL-13'!$G$42</definedName>
    <definedName name="QB_ROW_34330" localSheetId="48" hidden="1">'127PAW-PL-13'!$D$36</definedName>
    <definedName name="QB_ROW_34330" localSheetId="30" hidden="1">'NR14-PL-13'!$D$47</definedName>
    <definedName name="QB_ROW_34330" localSheetId="50" hidden="1">'RP21-PL-13'!$D$16</definedName>
    <definedName name="QB_ROW_34330" localSheetId="40" hidden="1">'SPC-PL-13'!$D$133</definedName>
    <definedName name="QB_ROW_34340" localSheetId="22" hidden="1">'DGS-PL-13'!$E$111</definedName>
    <definedName name="QB_ROW_34340" localSheetId="34" hidden="1">'OCP-PL-13'!$E$37</definedName>
    <definedName name="QB_ROW_34350" localSheetId="16" hidden="1">'ABP-PL-13'!$F$40</definedName>
    <definedName name="QB_ROW_35020" localSheetId="41" hidden="1">'TYP-BS-13'!$C$9</definedName>
    <definedName name="QB_ROW_35030" localSheetId="32" hidden="1">'NWC-PL-13'!$D$197</definedName>
    <definedName name="QB_ROW_35040" localSheetId="38" hidden="1">'ROY-PL-13'!$E$60</definedName>
    <definedName name="QB_ROW_35050" localSheetId="22" hidden="1">'DGS-PL-13'!$F$35</definedName>
    <definedName name="QB_ROW_35050" localSheetId="27" hidden="1">'NR6-OfficePL-13'!$F$37</definedName>
    <definedName name="QB_ROW_35050" localSheetId="28" hidden="1">'NR6-RetailPL-13'!$F$41</definedName>
    <definedName name="QB_ROW_35050" localSheetId="26" hidden="1">'NR6-TotalPL-13'!$F$55</definedName>
    <definedName name="QB_ROW_35220" localSheetId="45" hidden="1">'21Webb-BS-13'!$C$60</definedName>
    <definedName name="QB_ROW_35220" localSheetId="53" hidden="1">'Wood96-BS-13'!$C$9</definedName>
    <definedName name="QB_ROW_35230" localSheetId="19" hidden="1">'CP-BS-13'!$D$6</definedName>
    <definedName name="QB_ROW_35230" localSheetId="41" hidden="1">'TYP-BS-13'!$D$11</definedName>
    <definedName name="QB_ROW_35240" localSheetId="48" hidden="1">'127PAW-PL-13'!$E$34</definedName>
    <definedName name="QB_ROW_35240" localSheetId="30" hidden="1">'NR14-PL-13'!$E$39</definedName>
    <definedName name="QB_ROW_35240" localSheetId="32" hidden="1">'NWC-PL-13'!$E$199</definedName>
    <definedName name="QB_ROW_35250" localSheetId="16" hidden="1">'ABP-PL-13'!$F$41</definedName>
    <definedName name="QB_ROW_35250" localSheetId="34" hidden="1">'OCP-PL-13'!$F$27</definedName>
    <definedName name="QB_ROW_35250" localSheetId="38" hidden="1">'ROY-PL-13'!$F$62</definedName>
    <definedName name="QB_ROW_35320" localSheetId="41" hidden="1">'TYP-BS-13'!$C$12</definedName>
    <definedName name="QB_ROW_35330" localSheetId="32" hidden="1">'NWC-PL-13'!$D$200</definedName>
    <definedName name="QB_ROW_35340" localSheetId="36" hidden="1">'OMI-PL-13'!$E$19</definedName>
    <definedName name="QB_ROW_35340" localSheetId="38" hidden="1">'ROY-PL-13'!$E$63</definedName>
    <definedName name="QB_ROW_35350" localSheetId="22" hidden="1">'DGS-PL-13'!$F$39</definedName>
    <definedName name="QB_ROW_35350" localSheetId="27" hidden="1">'NR6-OfficePL-13'!$F$40</definedName>
    <definedName name="QB_ROW_35350" localSheetId="28" hidden="1">'NR6-RetailPL-13'!$F$45</definedName>
    <definedName name="QB_ROW_35350" localSheetId="26" hidden="1">'NR6-TotalPL-13'!$F$61</definedName>
    <definedName name="QB_ROW_36030" localSheetId="40" hidden="1">'SPC-PL-13'!$D$60</definedName>
    <definedName name="QB_ROW_36040" localSheetId="22" hidden="1">'DGS-PL-13'!$E$49</definedName>
    <definedName name="QB_ROW_36220" localSheetId="47" hidden="1">'127PAW-BS-13'!$C$13</definedName>
    <definedName name="QB_ROW_36220" localSheetId="45" hidden="1">'21Webb-BS-13'!$C$59</definedName>
    <definedName name="QB_ROW_36220" localSheetId="53" hidden="1">'Wood96-BS-13'!$C$24</definedName>
    <definedName name="QB_ROW_36230" localSheetId="19" hidden="1">'CP-BS-13'!$D$9</definedName>
    <definedName name="QB_ROW_36230" localSheetId="29" hidden="1">'NR14-BS-13'!$D$5</definedName>
    <definedName name="QB_ROW_36230" localSheetId="32" hidden="1">'NWC-PL-13'!$D$201</definedName>
    <definedName name="QB_ROW_36230" localSheetId="41" hidden="1">'TYP-BS-13'!$D$10</definedName>
    <definedName name="QB_ROW_36240" localSheetId="37" hidden="1">'ROY-BS-13'!$E$35</definedName>
    <definedName name="QB_ROW_36240" localSheetId="50" hidden="1">'RP21-PL-13'!$E$9</definedName>
    <definedName name="QB_ROW_36250" localSheetId="18" hidden="1">'BPT-PL-13'!$F$24</definedName>
    <definedName name="QB_ROW_36250" localSheetId="34" hidden="1">'OCP-PL-13'!$F$117</definedName>
    <definedName name="QB_ROW_36330" localSheetId="40" hidden="1">'SPC-PL-13'!$D$124</definedName>
    <definedName name="QB_ROW_36340" localSheetId="22" hidden="1">'DGS-PL-13'!$E$97</definedName>
    <definedName name="QB_ROW_36340" localSheetId="36" hidden="1">'OMI-PL-13'!$E$26</definedName>
    <definedName name="QB_ROW_37220" localSheetId="45" hidden="1">'21Webb-BS-13'!$C$54</definedName>
    <definedName name="QB_ROW_37240" localSheetId="20" hidden="1">'CP-PL-13'!$E$5</definedName>
    <definedName name="QB_ROW_37240" localSheetId="36" hidden="1">'OMI-PL-13'!$E$44</definedName>
    <definedName name="QB_ROW_37240" localSheetId="50" hidden="1">'RP21-PL-13'!$E$10</definedName>
    <definedName name="QB_ROW_37240" localSheetId="40" hidden="1">'SPC-PL-13'!$E$20</definedName>
    <definedName name="QB_ROW_37250" localSheetId="48" hidden="1">'127PAW-PL-13'!$F$10</definedName>
    <definedName name="QB_ROW_37250" localSheetId="22" hidden="1">'DGS-PL-13'!$F$106</definedName>
    <definedName name="QB_ROW_37250" localSheetId="34" hidden="1">'OCP-PL-13'!$F$104</definedName>
    <definedName name="QB_ROW_37250" localSheetId="42" hidden="1">'TYP-PL-13'!$F$11</definedName>
    <definedName name="QB_ROW_37270" localSheetId="32" hidden="1">'NWC-PL-13'!$H$92</definedName>
    <definedName name="QB_ROW_38030" localSheetId="38" hidden="1">'ROY-PL-13'!$D$91</definedName>
    <definedName name="QB_ROW_38040" localSheetId="27" hidden="1">'NR6-OfficePL-13'!$E$9</definedName>
    <definedName name="QB_ROW_38040" localSheetId="28" hidden="1">'NR6-RetailPL-13'!$E$15</definedName>
    <definedName name="QB_ROW_38040" localSheetId="26" hidden="1">'NR6-TotalPL-13'!$E$16</definedName>
    <definedName name="QB_ROW_38240" localSheetId="45" hidden="1">'21Webb-BS-13'!$E$42</definedName>
    <definedName name="QB_ROW_38240" localSheetId="16" hidden="1">'ABP-PL-13'!$E$4</definedName>
    <definedName name="QB_ROW_38240" localSheetId="20" hidden="1">'CP-PL-13'!$E$6</definedName>
    <definedName name="QB_ROW_38240" localSheetId="32" hidden="1">'NWC-PL-13'!$E$22</definedName>
    <definedName name="QB_ROW_38240" localSheetId="34" hidden="1">'OCP-PL-13'!$E$129</definedName>
    <definedName name="QB_ROW_38240" localSheetId="50" hidden="1">'RP21-PL-13'!$E$23</definedName>
    <definedName name="QB_ROW_38240" localSheetId="44" hidden="1">'UST-PL-13'!$E$9</definedName>
    <definedName name="QB_ROW_38330" localSheetId="38" hidden="1">'ROY-PL-13'!$D$93</definedName>
    <definedName name="QB_ROW_38340" localSheetId="27" hidden="1">'NR6-OfficePL-13'!$E$23</definedName>
    <definedName name="QB_ROW_38340" localSheetId="28" hidden="1">'NR6-RetailPL-13'!$E$30</definedName>
    <definedName name="QB_ROW_38340" localSheetId="26" hidden="1">'NR6-TotalPL-13'!$E$35</definedName>
    <definedName name="QB_ROW_39040" localSheetId="42" hidden="1">'TYP-PL-13'!$E$5</definedName>
    <definedName name="QB_ROW_39230" localSheetId="29" hidden="1">'NR14-BS-13'!$D$36</definedName>
    <definedName name="QB_ROW_39240" localSheetId="16" hidden="1">'ABP-PL-13'!$E$5</definedName>
    <definedName name="QB_ROW_39240" localSheetId="20" hidden="1">'CP-PL-13'!$E$7</definedName>
    <definedName name="QB_ROW_39250" localSheetId="22" hidden="1">'DGS-PL-13'!$F$95</definedName>
    <definedName name="QB_ROW_39250" localSheetId="27" hidden="1">'NR6-OfficePL-13'!$F$13</definedName>
    <definedName name="QB_ROW_39250" localSheetId="28" hidden="1">'NR6-RetailPL-13'!$F$19</definedName>
    <definedName name="QB_ROW_39250" localSheetId="26" hidden="1">'NR6-TotalPL-13'!$F$21</definedName>
    <definedName name="QB_ROW_39250" localSheetId="34" hidden="1">'OCP-PL-13'!$F$110</definedName>
    <definedName name="QB_ROW_39260" localSheetId="46" hidden="1">'21Webb-PL-13'!$G$73</definedName>
    <definedName name="QB_ROW_39340" localSheetId="42" hidden="1">'TYP-PL-13'!$E$8</definedName>
    <definedName name="QB_ROW_40040" localSheetId="18" hidden="1">'BPT-PL-13'!$E$15</definedName>
    <definedName name="QB_ROW_40040" localSheetId="40" hidden="1">'SPC-PL-13'!$E$24</definedName>
    <definedName name="QB_ROW_40050" localSheetId="34" hidden="1">'OCP-PL-13'!$F$20</definedName>
    <definedName name="QB_ROW_4021" localSheetId="47" hidden="1">'127PAW-BS-13'!$C$7</definedName>
    <definedName name="QB_ROW_4021" localSheetId="45" hidden="1">'21Webb-BS-13'!$C$4</definedName>
    <definedName name="QB_ROW_4021" localSheetId="15" hidden="1">'ABP-BS-13'!$C$12</definedName>
    <definedName name="QB_ROW_4021" localSheetId="17" hidden="1">'BPT-BS-13'!$C$10</definedName>
    <definedName name="QB_ROW_4021" localSheetId="51" hidden="1">'BSQ-BS-13'!$C$8</definedName>
    <definedName name="QB_ROW_4021" localSheetId="19" hidden="1">'CP-BS-13'!$C$11</definedName>
    <definedName name="QB_ROW_4021" localSheetId="21" hidden="1">'DGS-BS-13'!$C$11</definedName>
    <definedName name="QB_ROW_4021" localSheetId="23" hidden="1">'NDV-BS-13'!$C$7</definedName>
    <definedName name="QB_ROW_4021" localSheetId="29" hidden="1">'NR14-BS-13'!$C$7</definedName>
    <definedName name="QB_ROW_4021" localSheetId="25" hidden="1">'NR6-BS-13'!$C$13</definedName>
    <definedName name="QB_ROW_4021" localSheetId="31" hidden="1">'NWC-BS-13'!$C$11</definedName>
    <definedName name="QB_ROW_4021" localSheetId="33" hidden="1">'OCP-BS-13'!$C$11</definedName>
    <definedName name="QB_ROW_4021" localSheetId="35" hidden="1">'OMI-BS-13'!$C$12</definedName>
    <definedName name="QB_ROW_4021" localSheetId="37" hidden="1">'ROY-BS-13'!$C$10</definedName>
    <definedName name="QB_ROW_4021" localSheetId="49" hidden="1">'RP21-BS-13'!$C$7</definedName>
    <definedName name="QB_ROW_4021" localSheetId="39" hidden="1">'SPC-BS-13'!$C$10</definedName>
    <definedName name="QB_ROW_4021" localSheetId="43" hidden="1">'UST-BS-13'!$C$10</definedName>
    <definedName name="QB_ROW_4021" localSheetId="53" hidden="1">'Wood96-BS-13'!$C$4</definedName>
    <definedName name="QB_ROW_40220" localSheetId="45" hidden="1">'21Webb-BS-13'!$C$61</definedName>
    <definedName name="QB_ROW_40230" localSheetId="49" hidden="1">'RP21-BS-13'!$D$8</definedName>
    <definedName name="QB_ROW_40240" localSheetId="30" hidden="1">'NR14-PL-13'!$E$64</definedName>
    <definedName name="QB_ROW_40250" localSheetId="22" hidden="1">'DGS-PL-13'!$F$72</definedName>
    <definedName name="QB_ROW_40250" localSheetId="27" hidden="1">'NR6-OfficePL-13'!$F$22</definedName>
    <definedName name="QB_ROW_40250" localSheetId="28" hidden="1">'NR6-RetailPL-13'!$F$29</definedName>
    <definedName name="QB_ROW_40250" localSheetId="26" hidden="1">'NR6-TotalPL-13'!$F$34</definedName>
    <definedName name="QB_ROW_40250" localSheetId="40" hidden="1">'SPC-PL-13'!$F$28</definedName>
    <definedName name="QB_ROW_40250" localSheetId="42" hidden="1">'TYP-PL-13'!$F$7</definedName>
    <definedName name="QB_ROW_4030" localSheetId="27" hidden="1">'NR6-OfficePL-13'!$D$124</definedName>
    <definedName name="QB_ROW_4030" localSheetId="26" hidden="1">'NR6-TotalPL-13'!$D$154</definedName>
    <definedName name="QB_ROW_40340" localSheetId="18" hidden="1">'BPT-PL-13'!$E$32</definedName>
    <definedName name="QB_ROW_40340" localSheetId="40" hidden="1">'SPC-PL-13'!$E$29</definedName>
    <definedName name="QB_ROW_40350" localSheetId="34" hidden="1">'OCP-PL-13'!$F$23</definedName>
    <definedName name="QB_ROW_41030" localSheetId="46" hidden="1">'21Webb-PL-13'!$D$90</definedName>
    <definedName name="QB_ROW_41040" localSheetId="18" hidden="1">'BPT-PL-13'!$E$33</definedName>
    <definedName name="QB_ROW_41040" localSheetId="34" hidden="1">'OCP-PL-13'!$E$56</definedName>
    <definedName name="QB_ROW_41220" localSheetId="29" hidden="1">'NR14-BS-13'!$C$42</definedName>
    <definedName name="QB_ROW_41230" localSheetId="19" hidden="1">'CP-BS-13'!$D$42</definedName>
    <definedName name="QB_ROW_41230" localSheetId="21" hidden="1">'DGS-BS-13'!$D$12</definedName>
    <definedName name="QB_ROW_41230" localSheetId="32" hidden="1">'NWC-PL-13'!$D$185</definedName>
    <definedName name="QB_ROW_41230" localSheetId="42" hidden="1">'TYP-PL-13'!$D$21</definedName>
    <definedName name="QB_ROW_41230" localSheetId="43" hidden="1">'UST-BS-13'!$D$5</definedName>
    <definedName name="QB_ROW_41240" localSheetId="48" hidden="1">'127PAW-PL-13'!$E$35</definedName>
    <definedName name="QB_ROW_41240" localSheetId="16" hidden="1">'ABP-PL-13'!$E$6</definedName>
    <definedName name="QB_ROW_41240" localSheetId="49" hidden="1">'RP21-BS-13'!$E$30</definedName>
    <definedName name="QB_ROW_41240" localSheetId="54" hidden="1">'Wood96-PL-13'!$E$19</definedName>
    <definedName name="QB_ROW_41260" localSheetId="26" hidden="1">'NR6-TotalPL-13'!$G$28</definedName>
    <definedName name="QB_ROW_41330" localSheetId="46" hidden="1">'21Webb-PL-13'!$D$92</definedName>
    <definedName name="QB_ROW_41340" localSheetId="18" hidden="1">'BPT-PL-13'!$E$47</definedName>
    <definedName name="QB_ROW_41340" localSheetId="34" hidden="1">'OCP-PL-13'!$E$118</definedName>
    <definedName name="QB_ROW_42040" localSheetId="34" hidden="1">'OCP-PL-13'!$E$125</definedName>
    <definedName name="QB_ROW_4220" localSheetId="33" hidden="1">'OCP-BS-13'!$C$39</definedName>
    <definedName name="QB_ROW_42230" localSheetId="23" hidden="1">'NDV-BS-13'!$D$5</definedName>
    <definedName name="QB_ROW_42230" localSheetId="31" hidden="1">'NWC-BS-13'!$D$5</definedName>
    <definedName name="QB_ROW_42230" localSheetId="49" hidden="1">'RP21-BS-13'!$D$5</definedName>
    <definedName name="QB_ROW_42240" localSheetId="46" hidden="1">'21Webb-PL-13'!$E$91</definedName>
    <definedName name="QB_ROW_42240" localSheetId="16" hidden="1">'ABP-PL-13'!$E$7</definedName>
    <definedName name="QB_ROW_42240" localSheetId="36" hidden="1">'OMI-PL-13'!$E$42</definedName>
    <definedName name="QB_ROW_42250" localSheetId="28" hidden="1">'NR6-RetailPL-13'!$F$22</definedName>
    <definedName name="QB_ROW_42250" localSheetId="26" hidden="1">'NR6-TotalPL-13'!$F$25</definedName>
    <definedName name="QB_ROW_42250" localSheetId="34" hidden="1">'OCP-PL-13'!$F$127</definedName>
    <definedName name="QB_ROW_42250" localSheetId="40" hidden="1">'SPC-PL-13'!$F$110</definedName>
    <definedName name="QB_ROW_42250" localSheetId="54" hidden="1">'Wood96-PL-13'!$F$21</definedName>
    <definedName name="QB_ROW_4230" localSheetId="16" hidden="1">'ABP-PL-13'!$D$121</definedName>
    <definedName name="QB_ROW_4230" localSheetId="40" hidden="1">'SPC-PL-13'!$D$4</definedName>
    <definedName name="QB_ROW_42330" localSheetId="52" hidden="1">'BSQ-PL-13'!$D$11</definedName>
    <definedName name="QB_ROW_42340" localSheetId="34" hidden="1">'OCP-PL-13'!$E$128</definedName>
    <definedName name="QB_ROW_4240" localSheetId="18" hidden="1">'BPT-PL-13'!$E$5</definedName>
    <definedName name="QB_ROW_4240" localSheetId="26" hidden="1">'NR6-TotalPL-13'!$E$156</definedName>
    <definedName name="QB_ROW_4250" localSheetId="32" hidden="1">'NWC-PL-13'!$F$103</definedName>
    <definedName name="QB_ROW_43050" localSheetId="22" hidden="1">'DGS-PL-13'!$F$50</definedName>
    <definedName name="QB_ROW_4321" localSheetId="47" hidden="1">'127PAW-BS-13'!$C$9</definedName>
    <definedName name="QB_ROW_4321" localSheetId="45" hidden="1">'21Webb-BS-13'!$C$9</definedName>
    <definedName name="QB_ROW_4321" localSheetId="15" hidden="1">'ABP-BS-13'!$C$16</definedName>
    <definedName name="QB_ROW_4321" localSheetId="17" hidden="1">'BPT-BS-13'!$C$13</definedName>
    <definedName name="QB_ROW_4321" localSheetId="51" hidden="1">'BSQ-BS-13'!$C$10</definedName>
    <definedName name="QB_ROW_4321" localSheetId="19" hidden="1">'CP-BS-13'!$C$14</definedName>
    <definedName name="QB_ROW_4321" localSheetId="21" hidden="1">'DGS-BS-13'!$C$13</definedName>
    <definedName name="QB_ROW_4321" localSheetId="23" hidden="1">'NDV-BS-13'!$C$14</definedName>
    <definedName name="QB_ROW_4321" localSheetId="29" hidden="1">'NR14-BS-13'!$C$10</definedName>
    <definedName name="QB_ROW_4321" localSheetId="25" hidden="1">'NR6-BS-13'!$C$17</definedName>
    <definedName name="QB_ROW_4321" localSheetId="31" hidden="1">'NWC-BS-13'!$C$14</definedName>
    <definedName name="QB_ROW_4321" localSheetId="33" hidden="1">'OCP-BS-13'!$C$14</definedName>
    <definedName name="QB_ROW_4321" localSheetId="35" hidden="1">'OMI-BS-13'!$C$18</definedName>
    <definedName name="QB_ROW_4321" localSheetId="37" hidden="1">'ROY-BS-13'!$C$13</definedName>
    <definedName name="QB_ROW_4321" localSheetId="49" hidden="1">'RP21-BS-13'!$C$9</definedName>
    <definedName name="QB_ROW_4321" localSheetId="39" hidden="1">'SPC-BS-13'!$C$12</definedName>
    <definedName name="QB_ROW_4321" localSheetId="43" hidden="1">'UST-BS-13'!$C$20</definedName>
    <definedName name="QB_ROW_4321" localSheetId="53" hidden="1">'Wood96-BS-13'!$C$6</definedName>
    <definedName name="QB_ROW_43220" localSheetId="47" hidden="1">'127PAW-BS-13'!$C$12</definedName>
    <definedName name="QB_ROW_43220" localSheetId="45" hidden="1">'21Webb-BS-13'!$C$33</definedName>
    <definedName name="QB_ROW_43220" localSheetId="29" hidden="1">'NR14-BS-13'!$C$44</definedName>
    <definedName name="QB_ROW_43240" localSheetId="16" hidden="1">'ABP-PL-13'!$E$8</definedName>
    <definedName name="QB_ROW_43240" localSheetId="36" hidden="1">'OMI-PL-13'!$E$5</definedName>
    <definedName name="QB_ROW_43240" localSheetId="37" hidden="1">'ROY-BS-13'!$E$31</definedName>
    <definedName name="QB_ROW_43240" localSheetId="49" hidden="1">'RP21-BS-13'!$E$24</definedName>
    <definedName name="QB_ROW_43240" localSheetId="54" hidden="1">'Wood96-PL-13'!$E$12</definedName>
    <definedName name="QB_ROW_43260" localSheetId="20" hidden="1">'CP-PL-13'!$G$36</definedName>
    <definedName name="QB_ROW_43260" localSheetId="27" hidden="1">'NR6-OfficePL-13'!$G$34</definedName>
    <definedName name="QB_ROW_43260" localSheetId="26" hidden="1">'NR6-TotalPL-13'!$G$52</definedName>
    <definedName name="QB_ROW_4330" localSheetId="27" hidden="1">'NR6-OfficePL-13'!$D$126</definedName>
    <definedName name="QB_ROW_4330" localSheetId="26" hidden="1">'NR6-TotalPL-13'!$D$157</definedName>
    <definedName name="QB_ROW_43350" localSheetId="22" hidden="1">'DGS-PL-13'!$F$54</definedName>
    <definedName name="QB_ROW_44040" localSheetId="16" hidden="1">'ABP-PL-13'!$E$13</definedName>
    <definedName name="QB_ROW_44040" localSheetId="54" hidden="1">'Wood96-PL-13'!$E$9</definedName>
    <definedName name="QB_ROW_44050" localSheetId="27" hidden="1">'NR6-OfficePL-13'!$F$25</definedName>
    <definedName name="QB_ROW_44050" localSheetId="26" hidden="1">'NR6-TotalPL-13'!$F$37</definedName>
    <definedName name="QB_ROW_44220" localSheetId="31" hidden="1">'NWC-BS-13'!$C$49</definedName>
    <definedName name="QB_ROW_44230" localSheetId="45" hidden="1">'21Webb-BS-13'!$D$5</definedName>
    <definedName name="QB_ROW_44230" localSheetId="38" hidden="1">'ROY-PL-13'!$D$86</definedName>
    <definedName name="QB_ROW_44240" localSheetId="49" hidden="1">'RP21-BS-13'!$E$28</definedName>
    <definedName name="QB_ROW_44240" localSheetId="40" hidden="1">'SPC-PL-13'!$E$132</definedName>
    <definedName name="QB_ROW_44240" localSheetId="41" hidden="1">'TYP-BS-13'!$E$25</definedName>
    <definedName name="QB_ROW_44240" localSheetId="44" hidden="1">'UST-PL-13'!$E$4</definedName>
    <definedName name="QB_ROW_44250" localSheetId="22" hidden="1">'DGS-PL-13'!$F$31</definedName>
    <definedName name="QB_ROW_44260" localSheetId="20" hidden="1">'CP-PL-13'!$G$25</definedName>
    <definedName name="QB_ROW_44260" localSheetId="27" hidden="1">'NR6-OfficePL-13'!$G$27</definedName>
    <definedName name="QB_ROW_44260" localSheetId="26" hidden="1">'NR6-TotalPL-13'!$G$39</definedName>
    <definedName name="QB_ROW_44340" localSheetId="16" hidden="1">'ABP-PL-13'!$E$32</definedName>
    <definedName name="QB_ROW_44340" localSheetId="36" hidden="1">'OMI-PL-13'!$E$7</definedName>
    <definedName name="QB_ROW_44340" localSheetId="54" hidden="1">'Wood96-PL-13'!$E$11</definedName>
    <definedName name="QB_ROW_44350" localSheetId="27" hidden="1">'NR6-OfficePL-13'!$F$28</definedName>
    <definedName name="QB_ROW_44350" localSheetId="28" hidden="1">'NR6-RetailPL-13'!$F$32</definedName>
    <definedName name="QB_ROW_44350" localSheetId="26" hidden="1">'NR6-TotalPL-13'!$F$40</definedName>
    <definedName name="QB_ROW_45030" localSheetId="32" hidden="1">'NWC-PL-13'!$D$187</definedName>
    <definedName name="QB_ROW_45040" localSheetId="46" hidden="1">'21Webb-PL-13'!$E$13</definedName>
    <definedName name="QB_ROW_45040" localSheetId="27" hidden="1">'NR6-OfficePL-13'!$E$43</definedName>
    <definedName name="QB_ROW_45040" localSheetId="28" hidden="1">'NR6-RetailPL-13'!$E$47</definedName>
    <definedName name="QB_ROW_45040" localSheetId="26" hidden="1">'NR6-TotalPL-13'!$E$64</definedName>
    <definedName name="QB_ROW_45040" localSheetId="42" hidden="1">'TYP-PL-13'!$E$14</definedName>
    <definedName name="QB_ROW_45220" localSheetId="23" hidden="1">'NDV-BS-13'!$C$29</definedName>
    <definedName name="QB_ROW_45220" localSheetId="29" hidden="1">'NR14-BS-13'!$C$43</definedName>
    <definedName name="QB_ROW_45240" localSheetId="36" hidden="1">'OMI-PL-13'!$E$28</definedName>
    <definedName name="QB_ROW_45240" localSheetId="39" hidden="1">'SPC-BS-13'!$E$33</definedName>
    <definedName name="QB_ROW_45250" localSheetId="16" hidden="1">'ABP-PL-13'!$F$20</definedName>
    <definedName name="QB_ROW_45250" localSheetId="34" hidden="1">'OCP-PL-13'!$F$126</definedName>
    <definedName name="QB_ROW_45250" localSheetId="54" hidden="1">'Wood96-PL-13'!$F$10</definedName>
    <definedName name="QB_ROW_45330" localSheetId="32" hidden="1">'NWC-PL-13'!$D$189</definedName>
    <definedName name="QB_ROW_45340" localSheetId="46" hidden="1">'21Webb-PL-13'!$E$17</definedName>
    <definedName name="QB_ROW_45340" localSheetId="27" hidden="1">'NR6-OfficePL-13'!$E$110</definedName>
    <definedName name="QB_ROW_45340" localSheetId="28" hidden="1">'NR6-RetailPL-13'!$E$93</definedName>
    <definedName name="QB_ROW_45340" localSheetId="26" hidden="1">'NR6-TotalPL-13'!$E$133</definedName>
    <definedName name="QB_ROW_45340" localSheetId="42" hidden="1">'TYP-PL-13'!$E$16</definedName>
    <definedName name="QB_ROW_46040" localSheetId="48" hidden="1">'127PAW-PL-13'!$E$8</definedName>
    <definedName name="QB_ROW_46050" localSheetId="22" hidden="1">'DGS-PL-13'!$F$64</definedName>
    <definedName name="QB_ROW_46220" localSheetId="23" hidden="1">'NDV-BS-13'!$C$17</definedName>
    <definedName name="QB_ROW_46220" localSheetId="49" hidden="1">'RP21-BS-13'!$C$17</definedName>
    <definedName name="QB_ROW_46240" localSheetId="18" hidden="1">'BPT-PL-13'!$E$112</definedName>
    <definedName name="QB_ROW_46240" localSheetId="36" hidden="1">'OMI-PL-13'!$E$43</definedName>
    <definedName name="QB_ROW_46240" localSheetId="38" hidden="1">'ROY-PL-13'!$E$83</definedName>
    <definedName name="QB_ROW_46250" localSheetId="46" hidden="1">'21Webb-PL-13'!$F$16</definedName>
    <definedName name="QB_ROW_46250" localSheetId="16" hidden="1">'ABP-PL-13'!$F$31</definedName>
    <definedName name="QB_ROW_46250" localSheetId="20" hidden="1">'CP-PL-13'!$F$69</definedName>
    <definedName name="QB_ROW_46250" localSheetId="42" hidden="1">'TYP-PL-13'!$F$15</definedName>
    <definedName name="QB_ROW_46250" localSheetId="54" hidden="1">'Wood96-PL-13'!$F$16</definedName>
    <definedName name="QB_ROW_46260" localSheetId="22" hidden="1">'DGS-PL-13'!$G$66</definedName>
    <definedName name="QB_ROW_46260" localSheetId="27" hidden="1">'NR6-OfficePL-13'!$G$95</definedName>
    <definedName name="QB_ROW_46260" localSheetId="28" hidden="1">'NR6-RetailPL-13'!$G$87</definedName>
    <definedName name="QB_ROW_46260" localSheetId="26" hidden="1">'NR6-TotalPL-13'!$G$116</definedName>
    <definedName name="QB_ROW_46340" localSheetId="48" hidden="1">'127PAW-PL-13'!$E$16</definedName>
    <definedName name="QB_ROW_46350" localSheetId="22" hidden="1">'DGS-PL-13'!$F$67</definedName>
    <definedName name="QB_ROW_47030" localSheetId="50" hidden="1">'RP21-PL-13'!$D$31</definedName>
    <definedName name="QB_ROW_47040" localSheetId="46" hidden="1">'21Webb-PL-13'!$E$65</definedName>
    <definedName name="QB_ROW_47040" localSheetId="38" hidden="1">'ROY-PL-13'!$E$35</definedName>
    <definedName name="QB_ROW_47050" localSheetId="20" hidden="1">'CP-PL-13'!$F$52</definedName>
    <definedName name="QB_ROW_47050" localSheetId="22" hidden="1">'DGS-PL-13'!$F$73</definedName>
    <definedName name="QB_ROW_47220" localSheetId="29" hidden="1">'NR14-BS-13'!$C$41</definedName>
    <definedName name="QB_ROW_47230" localSheetId="23" hidden="1">'NDV-BS-13'!$D$9</definedName>
    <definedName name="QB_ROW_47230" localSheetId="40" hidden="1">'SPC-PL-13'!$D$8</definedName>
    <definedName name="QB_ROW_47250" localSheetId="16" hidden="1">'ABP-PL-13'!$F$23</definedName>
    <definedName name="QB_ROW_47250" localSheetId="54" hidden="1">'Wood96-PL-13'!$F$23</definedName>
    <definedName name="QB_ROW_47260" localSheetId="22" hidden="1">'DGS-PL-13'!$G$75</definedName>
    <definedName name="QB_ROW_47260" localSheetId="27" hidden="1">'NR6-OfficePL-13'!$G$96</definedName>
    <definedName name="QB_ROW_47260" localSheetId="28" hidden="1">'NR6-RetailPL-13'!$G$88</definedName>
    <definedName name="QB_ROW_47260" localSheetId="26" hidden="1">'NR6-TotalPL-13'!$G$117</definedName>
    <definedName name="QB_ROW_47330" localSheetId="50" hidden="1">'RP21-PL-13'!$D$35</definedName>
    <definedName name="QB_ROW_47340" localSheetId="46" hidden="1">'21Webb-PL-13'!$E$81</definedName>
    <definedName name="QB_ROW_47340" localSheetId="36" hidden="1">'OMI-PL-13'!$E$30</definedName>
    <definedName name="QB_ROW_47340" localSheetId="38" hidden="1">'ROY-PL-13'!$E$41</definedName>
    <definedName name="QB_ROW_47350" localSheetId="20" hidden="1">'CP-PL-13'!$F$55</definedName>
    <definedName name="QB_ROW_47350" localSheetId="22" hidden="1">'DGS-PL-13'!$F$76</definedName>
    <definedName name="QB_ROW_48050" localSheetId="22" hidden="1">'DGS-PL-13'!$F$40</definedName>
    <definedName name="QB_ROW_48050" localSheetId="27" hidden="1">'NR6-OfficePL-13'!$F$72</definedName>
    <definedName name="QB_ROW_48050" localSheetId="28" hidden="1">'NR6-RetailPL-13'!$F$71</definedName>
    <definedName name="QB_ROW_48050" localSheetId="26" hidden="1">'NR6-TotalPL-13'!$F$93</definedName>
    <definedName name="QB_ROW_48220" localSheetId="17" hidden="1">'BPT-BS-13'!$C$33</definedName>
    <definedName name="QB_ROW_48230" localSheetId="47" hidden="1">'127PAW-BS-13'!$D$8</definedName>
    <definedName name="QB_ROW_48230" localSheetId="45" hidden="1">'21Webb-BS-13'!$D$16</definedName>
    <definedName name="QB_ROW_48230" localSheetId="38" hidden="1">'ROY-PL-13'!$D$85</definedName>
    <definedName name="QB_ROW_48230" localSheetId="40" hidden="1">'SPC-PL-13'!$D$5</definedName>
    <definedName name="QB_ROW_48240" localSheetId="36" hidden="1">'OMI-PL-13'!$E$31</definedName>
    <definedName name="QB_ROW_48240" localSheetId="50" hidden="1">'RP21-PL-13'!$E$34</definedName>
    <definedName name="QB_ROW_48250" localSheetId="16" hidden="1">'ABP-PL-13'!$F$22</definedName>
    <definedName name="QB_ROW_48250" localSheetId="34" hidden="1">'OCP-PL-13'!$F$26</definedName>
    <definedName name="QB_ROW_48250" localSheetId="54" hidden="1">'Wood96-PL-13'!$F$7</definedName>
    <definedName name="QB_ROW_48260" localSheetId="20" hidden="1">'CP-PL-13'!$G$53</definedName>
    <definedName name="QB_ROW_48350" localSheetId="22" hidden="1">'DGS-PL-13'!$F$45</definedName>
    <definedName name="QB_ROW_48350" localSheetId="27" hidden="1">'NR6-OfficePL-13'!$F$75</definedName>
    <definedName name="QB_ROW_48350" localSheetId="28" hidden="1">'NR6-RetailPL-13'!$F$73</definedName>
    <definedName name="QB_ROW_48350" localSheetId="26" hidden="1">'NR6-TotalPL-13'!$F$96</definedName>
    <definedName name="QB_ROW_49040" localSheetId="48" hidden="1">'127PAW-PL-13'!$E$23</definedName>
    <definedName name="QB_ROW_49050" localSheetId="20" hidden="1">'CP-PL-13'!$F$56</definedName>
    <definedName name="QB_ROW_49220" localSheetId="21" hidden="1">'DGS-BS-13'!$C$16</definedName>
    <definedName name="QB_ROW_49220" localSheetId="29" hidden="1">'NR14-BS-13'!$C$45</definedName>
    <definedName name="QB_ROW_49230" localSheetId="17" hidden="1">'BPT-BS-13'!$D$19</definedName>
    <definedName name="QB_ROW_49230" localSheetId="32" hidden="1">'NWC-PL-13'!$D$9</definedName>
    <definedName name="QB_ROW_49230" localSheetId="40" hidden="1">'SPC-PL-13'!$D$6</definedName>
    <definedName name="QB_ROW_49240" localSheetId="49" hidden="1">'RP21-BS-13'!$E$29</definedName>
    <definedName name="QB_ROW_49250" localSheetId="16" hidden="1">'ABP-PL-13'!$F$21</definedName>
    <definedName name="QB_ROW_49250" localSheetId="34" hidden="1">'OCP-PL-13'!$F$25</definedName>
    <definedName name="QB_ROW_49260" localSheetId="20" hidden="1">'CP-PL-13'!$G$59</definedName>
    <definedName name="QB_ROW_49260" localSheetId="27" hidden="1">'NR6-OfficePL-13'!$G$73</definedName>
    <definedName name="QB_ROW_49260" localSheetId="28" hidden="1">'NR6-RetailPL-13'!$G$72</definedName>
    <definedName name="QB_ROW_49260" localSheetId="26" hidden="1">'NR6-TotalPL-13'!$G$94</definedName>
    <definedName name="QB_ROW_49340" localSheetId="48" hidden="1">'127PAW-PL-13'!$E$27</definedName>
    <definedName name="QB_ROW_49350" localSheetId="20" hidden="1">'CP-PL-13'!$F$60</definedName>
    <definedName name="QB_ROW_50040" localSheetId="16" hidden="1">'ABP-PL-13'!$E$44</definedName>
    <definedName name="QB_ROW_5011" localSheetId="47" hidden="1">'127PAW-BS-13'!$B$11</definedName>
    <definedName name="QB_ROW_5011" localSheetId="45" hidden="1">'21Webb-BS-13'!$B$19</definedName>
    <definedName name="QB_ROW_5011" localSheetId="15" hidden="1">'ABP-BS-13'!$B$18</definedName>
    <definedName name="QB_ROW_5011" localSheetId="17" hidden="1">'BPT-BS-13'!$B$15</definedName>
    <definedName name="QB_ROW_5011" localSheetId="51" hidden="1">'BSQ-BS-13'!$B$12</definedName>
    <definedName name="QB_ROW_5011" localSheetId="19" hidden="1">'CP-BS-13'!$B$16</definedName>
    <definedName name="QB_ROW_5011" localSheetId="21" hidden="1">'DGS-BS-13'!$B$15</definedName>
    <definedName name="QB_ROW_5011" localSheetId="23" hidden="1">'NDV-BS-13'!$B$16</definedName>
    <definedName name="QB_ROW_5011" localSheetId="29" hidden="1">'NR14-BS-13'!$B$12</definedName>
    <definedName name="QB_ROW_5011" localSheetId="25" hidden="1">'NR6-BS-13'!$B$19</definedName>
    <definedName name="QB_ROW_5011" localSheetId="31" hidden="1">'NWC-BS-13'!$B$16</definedName>
    <definedName name="QB_ROW_5011" localSheetId="33" hidden="1">'OCP-BS-13'!$B$16</definedName>
    <definedName name="QB_ROW_5011" localSheetId="35" hidden="1">'OMI-BS-13'!$B$20</definedName>
    <definedName name="QB_ROW_5011" localSheetId="37" hidden="1">'ROY-BS-13'!$B$15</definedName>
    <definedName name="QB_ROW_5011" localSheetId="49" hidden="1">'RP21-BS-13'!$B$11</definedName>
    <definedName name="QB_ROW_5011" localSheetId="39" hidden="1">'SPC-BS-13'!$B$14</definedName>
    <definedName name="QB_ROW_5011" localSheetId="41" hidden="1">'TYP-BS-13'!$B$8</definedName>
    <definedName name="QB_ROW_5011" localSheetId="43" hidden="1">'UST-BS-13'!$B$22</definedName>
    <definedName name="QB_ROW_5011" localSheetId="53" hidden="1">'Wood96-BS-13'!$B$8</definedName>
    <definedName name="QB_ROW_50220" localSheetId="49" hidden="1">'RP21-BS-13'!$C$13</definedName>
    <definedName name="QB_ROW_50230" localSheetId="40" hidden="1">'SPC-PL-13'!$D$7</definedName>
    <definedName name="QB_ROW_50240" localSheetId="23" hidden="1">'NDV-BS-13'!$E$24</definedName>
    <definedName name="QB_ROW_50240" localSheetId="43" hidden="1">'UST-BS-13'!$E$37</definedName>
    <definedName name="QB_ROW_50250" localSheetId="48" hidden="1">'127PAW-PL-13'!$F$26</definedName>
    <definedName name="QB_ROW_50250" localSheetId="22" hidden="1">'DGS-PL-13'!$F$105</definedName>
    <definedName name="QB_ROW_50260" localSheetId="18" hidden="1">'BPT-PL-13'!$G$26</definedName>
    <definedName name="QB_ROW_50260" localSheetId="20" hidden="1">'CP-PL-13'!$G$58</definedName>
    <definedName name="QB_ROW_50260" localSheetId="27" hidden="1">'NR6-OfficePL-13'!$G$74</definedName>
    <definedName name="QB_ROW_50260" localSheetId="26" hidden="1">'NR6-TotalPL-13'!$G$95</definedName>
    <definedName name="QB_ROW_50260" localSheetId="34" hidden="1">'OCP-PL-13'!$G$31</definedName>
    <definedName name="QB_ROW_5030" localSheetId="27" hidden="1">'NR6-OfficePL-13'!$D$127</definedName>
    <definedName name="QB_ROW_5030" localSheetId="26" hidden="1">'NR6-TotalPL-13'!$D$158</definedName>
    <definedName name="QB_ROW_50340" localSheetId="16" hidden="1">'ABP-PL-13'!$E$100</definedName>
    <definedName name="QB_ROW_51030" localSheetId="23" hidden="1">'NDV-BS-13'!$D$10</definedName>
    <definedName name="QB_ROW_51030" localSheetId="30" hidden="1">'NR14-PL-13'!$D$55</definedName>
    <definedName name="QB_ROW_51030" localSheetId="50" hidden="1">'RP21-PL-13'!$D$25</definedName>
    <definedName name="QB_ROW_51040" localSheetId="22" hidden="1">'DGS-PL-13'!$E$14</definedName>
    <definedName name="QB_ROW_51050" localSheetId="16" hidden="1">'ABP-PL-13'!$F$84</definedName>
    <definedName name="QB_ROW_51050" localSheetId="20" hidden="1">'CP-PL-13'!$F$82</definedName>
    <definedName name="QB_ROW_51050" localSheetId="27" hidden="1">'NR6-OfficePL-13'!$F$92</definedName>
    <definedName name="QB_ROW_51050" localSheetId="28" hidden="1">'NR6-RetailPL-13'!$F$84</definedName>
    <definedName name="QB_ROW_51050" localSheetId="26" hidden="1">'NR6-TotalPL-13'!$F$113</definedName>
    <definedName name="QB_ROW_51220" localSheetId="45" hidden="1">'21Webb-BS-13'!$C$34</definedName>
    <definedName name="QB_ROW_51230" localSheetId="43" hidden="1">'UST-BS-13'!$D$45</definedName>
    <definedName name="QB_ROW_51240" localSheetId="17" hidden="1">'BPT-BS-13'!$E$43</definedName>
    <definedName name="QB_ROW_51240" localSheetId="23" hidden="1">'NDV-BS-13'!$E$12</definedName>
    <definedName name="QB_ROW_51240" localSheetId="32" hidden="1">'NWC-PL-13'!$E$21</definedName>
    <definedName name="QB_ROW_51240" localSheetId="50" hidden="1">'RP21-PL-13'!$E$28</definedName>
    <definedName name="QB_ROW_51240" localSheetId="40" hidden="1">'SPC-PL-13'!$E$19</definedName>
    <definedName name="QB_ROW_51260" localSheetId="16" hidden="1">'ABP-PL-13'!$G$90</definedName>
    <definedName name="QB_ROW_51260" localSheetId="20" hidden="1">'CP-PL-13'!$G$88</definedName>
    <definedName name="QB_ROW_51260" localSheetId="27" hidden="1">'NR6-OfficePL-13'!$G$98</definedName>
    <definedName name="QB_ROW_51260" localSheetId="28" hidden="1">'NR6-RetailPL-13'!$G$90</definedName>
    <definedName name="QB_ROW_51260" localSheetId="26" hidden="1">'NR6-TotalPL-13'!$G$119</definedName>
    <definedName name="QB_ROW_51330" localSheetId="23" hidden="1">'NDV-BS-13'!$D$13</definedName>
    <definedName name="QB_ROW_51330" localSheetId="30" hidden="1">'NR14-PL-13'!$D$60</definedName>
    <definedName name="QB_ROW_51330" localSheetId="50" hidden="1">'RP21-PL-13'!$D$29</definedName>
    <definedName name="QB_ROW_51340" localSheetId="22" hidden="1">'DGS-PL-13'!$E$32</definedName>
    <definedName name="QB_ROW_51340" localSheetId="36" hidden="1">'OMI-PL-13'!$E$36</definedName>
    <definedName name="QB_ROW_51350" localSheetId="16" hidden="1">'ABP-PL-13'!$F$91</definedName>
    <definedName name="QB_ROW_51350" localSheetId="20" hidden="1">'CP-PL-13'!$F$89</definedName>
    <definedName name="QB_ROW_51350" localSheetId="27" hidden="1">'NR6-OfficePL-13'!$F$99</definedName>
    <definedName name="QB_ROW_51350" localSheetId="28" hidden="1">'NR6-RetailPL-13'!$F$91</definedName>
    <definedName name="QB_ROW_51350" localSheetId="26" hidden="1">'NR6-TotalPL-13'!$F$120</definedName>
    <definedName name="QB_ROW_52020" localSheetId="45" hidden="1">'21Webb-BS-13'!$C$21</definedName>
    <definedName name="QB_ROW_52050" localSheetId="18" hidden="1">'BPT-PL-13'!$F$16</definedName>
    <definedName name="QB_ROW_5220" localSheetId="19" hidden="1">'CP-BS-13'!$C$22</definedName>
    <definedName name="QB_ROW_5220" localSheetId="29" hidden="1">'NR14-BS-13'!$C$15</definedName>
    <definedName name="QB_ROW_5220" localSheetId="35" hidden="1">'OMI-BS-13'!$C$57</definedName>
    <definedName name="QB_ROW_52220" localSheetId="47" hidden="1">'127PAW-BS-13'!$C$26</definedName>
    <definedName name="QB_ROW_52230" localSheetId="45" hidden="1">'21Webb-BS-13'!$D$23</definedName>
    <definedName name="QB_ROW_52240" localSheetId="23" hidden="1">'NDV-BS-13'!$E$11</definedName>
    <definedName name="QB_ROW_52240" localSheetId="30" hidden="1">'NR14-PL-13'!$E$59</definedName>
    <definedName name="QB_ROW_52240" localSheetId="32" hidden="1">'NWC-PL-13'!$E$20</definedName>
    <definedName name="QB_ROW_52240" localSheetId="40" hidden="1">'SPC-PL-13'!$E$23</definedName>
    <definedName name="QB_ROW_52250" localSheetId="22" hidden="1">'DGS-PL-13'!$F$19</definedName>
    <definedName name="QB_ROW_52250" localSheetId="50" hidden="1">'RP21-PL-13'!$F$12</definedName>
    <definedName name="QB_ROW_52260" localSheetId="20" hidden="1">'CP-PL-13'!$G$84</definedName>
    <definedName name="QB_ROW_52260" localSheetId="27" hidden="1">'NR6-OfficePL-13'!$G$93</definedName>
    <definedName name="QB_ROW_52260" localSheetId="28" hidden="1">'NR6-RetailPL-13'!$G$85</definedName>
    <definedName name="QB_ROW_52260" localSheetId="26" hidden="1">'NR6-TotalPL-13'!$G$114</definedName>
    <definedName name="QB_ROW_52260" localSheetId="34" hidden="1">'OCP-PL-13'!$G$51</definedName>
    <definedName name="QB_ROW_5230" localSheetId="45" hidden="1">'21Webb-BS-13'!$D$11</definedName>
    <definedName name="QB_ROW_5230" localSheetId="16" hidden="1">'ABP-PL-13'!$D$122</definedName>
    <definedName name="QB_ROW_5230" localSheetId="17" hidden="1">'BPT-BS-13'!$D$5</definedName>
    <definedName name="QB_ROW_52320" localSheetId="45" hidden="1">'21Webb-BS-13'!$C$24</definedName>
    <definedName name="QB_ROW_52350" localSheetId="18" hidden="1">'BPT-PL-13'!$F$19</definedName>
    <definedName name="QB_ROW_5240" localSheetId="22" hidden="1">'DGS-PL-13'!$E$4</definedName>
    <definedName name="QB_ROW_5250" localSheetId="32" hidden="1">'NWC-PL-13'!$F$105</definedName>
    <definedName name="QB_ROW_5260" localSheetId="34" hidden="1">'OCP-PL-13'!$G$40</definedName>
    <definedName name="QB_ROW_53040" localSheetId="44" hidden="1">'UST-PL-13'!$E$22</definedName>
    <definedName name="QB_ROW_53050" localSheetId="20" hidden="1">'CP-PL-13'!$F$70</definedName>
    <definedName name="QB_ROW_5311" localSheetId="47" hidden="1">'127PAW-BS-13'!$B$14</definedName>
    <definedName name="QB_ROW_5311" localSheetId="45" hidden="1">'21Webb-BS-13'!$B$30</definedName>
    <definedName name="QB_ROW_5311" localSheetId="15" hidden="1">'ABP-BS-13'!$B$28</definedName>
    <definedName name="QB_ROW_5311" localSheetId="17" hidden="1">'BPT-BS-13'!$B$29</definedName>
    <definedName name="QB_ROW_5311" localSheetId="51" hidden="1">'BSQ-BS-13'!$B$19</definedName>
    <definedName name="QB_ROW_5311" localSheetId="19" hidden="1">'CP-BS-13'!$B$23</definedName>
    <definedName name="QB_ROW_5311" localSheetId="21" hidden="1">'DGS-BS-13'!$B$21</definedName>
    <definedName name="QB_ROW_5311" localSheetId="23" hidden="1">'NDV-BS-13'!$B$18</definedName>
    <definedName name="QB_ROW_5311" localSheetId="29" hidden="1">'NR14-BS-13'!$B$17</definedName>
    <definedName name="QB_ROW_5311" localSheetId="25" hidden="1">'NR6-BS-13'!$B$31</definedName>
    <definedName name="QB_ROW_5311" localSheetId="31" hidden="1">'NWC-BS-13'!$B$26</definedName>
    <definedName name="QB_ROW_5311" localSheetId="33" hidden="1">'OCP-BS-13'!$B$21</definedName>
    <definedName name="QB_ROW_5311" localSheetId="35" hidden="1">'OMI-BS-13'!$B$29</definedName>
    <definedName name="QB_ROW_5311" localSheetId="37" hidden="1">'ROY-BS-13'!$B$25</definedName>
    <definedName name="QB_ROW_5311" localSheetId="49" hidden="1">'RP21-BS-13'!$B$14</definedName>
    <definedName name="QB_ROW_5311" localSheetId="39" hidden="1">'SPC-BS-13'!$B$23</definedName>
    <definedName name="QB_ROW_5311" localSheetId="41" hidden="1">'TYP-BS-13'!$B$13</definedName>
    <definedName name="QB_ROW_5311" localSheetId="43" hidden="1">'UST-BS-13'!$B$25</definedName>
    <definedName name="QB_ROW_5311" localSheetId="53" hidden="1">'Wood96-BS-13'!$B$10</definedName>
    <definedName name="QB_ROW_53220" localSheetId="21" hidden="1">'DGS-BS-13'!$C$23</definedName>
    <definedName name="QB_ROW_53230" localSheetId="46" hidden="1">'21Webb-PL-13'!$D$95</definedName>
    <definedName name="QB_ROW_53240" localSheetId="18" hidden="1">'BPT-PL-13'!$E$6</definedName>
    <definedName name="QB_ROW_53240" localSheetId="24" hidden="1">'NDV-PL-13'!$E$5</definedName>
    <definedName name="QB_ROW_53240" localSheetId="29" hidden="1">'NR14-BS-13'!$E$31</definedName>
    <definedName name="QB_ROW_53240" localSheetId="50" hidden="1">'RP21-PL-13'!$E$33</definedName>
    <definedName name="QB_ROW_53250" localSheetId="32" hidden="1">'NWC-PL-13'!$F$26</definedName>
    <definedName name="QB_ROW_53250" localSheetId="34" hidden="1">'OCP-PL-13'!$F$24</definedName>
    <definedName name="QB_ROW_53260" localSheetId="48" hidden="1">'127PAW-PL-13'!$G$13</definedName>
    <definedName name="QB_ROW_53260" localSheetId="16" hidden="1">'ABP-PL-13'!$G$87</definedName>
    <definedName name="QB_ROW_53260" localSheetId="20" hidden="1">'CP-PL-13'!$G$72</definedName>
    <definedName name="QB_ROW_53260" localSheetId="27" hidden="1">'NR6-OfficePL-13'!$G$94</definedName>
    <definedName name="QB_ROW_53260" localSheetId="28" hidden="1">'NR6-RetailPL-13'!$G$86</definedName>
    <definedName name="QB_ROW_53260" localSheetId="26" hidden="1">'NR6-TotalPL-13'!$G$115</definedName>
    <definedName name="QB_ROW_5330" localSheetId="27" hidden="1">'NR6-OfficePL-13'!$D$129</definedName>
    <definedName name="QB_ROW_5330" localSheetId="26" hidden="1">'NR6-TotalPL-13'!$D$160</definedName>
    <definedName name="QB_ROW_53340" localSheetId="44" hidden="1">'UST-PL-13'!$E$26</definedName>
    <definedName name="QB_ROW_53350" localSheetId="20" hidden="1">'CP-PL-13'!$F$73</definedName>
    <definedName name="QB_ROW_54040" localSheetId="40" hidden="1">'SPC-PL-13'!$E$15</definedName>
    <definedName name="QB_ROW_54050" localSheetId="46" hidden="1">'21Webb-PL-13'!$F$78</definedName>
    <definedName name="QB_ROW_54050" localSheetId="27" hidden="1">'NR6-OfficePL-13'!$F$58</definedName>
    <definedName name="QB_ROW_54050" localSheetId="28" hidden="1">'NR6-RetailPL-13'!$F$61</definedName>
    <definedName name="QB_ROW_54050" localSheetId="26" hidden="1">'NR6-TotalPL-13'!$F$79</definedName>
    <definedName name="QB_ROW_54220" localSheetId="29" hidden="1">'NR14-BS-13'!$C$16</definedName>
    <definedName name="QB_ROW_54230" localSheetId="23" hidden="1">'NDV-BS-13'!$D$8</definedName>
    <definedName name="QB_ROW_54240" localSheetId="18" hidden="1">'BPT-PL-13'!$E$7</definedName>
    <definedName name="QB_ROW_54240" localSheetId="38" hidden="1">'ROY-PL-13'!$E$18</definedName>
    <definedName name="QB_ROW_54240" localSheetId="44" hidden="1">'UST-PL-13'!$E$56</definedName>
    <definedName name="QB_ROW_54250" localSheetId="48" hidden="1">'127PAW-PL-13'!$F$25</definedName>
    <definedName name="QB_ROW_54250" localSheetId="32" hidden="1">'NWC-PL-13'!$F$120</definedName>
    <definedName name="QB_ROW_54260" localSheetId="34" hidden="1">'OCP-PL-13'!$G$52</definedName>
    <definedName name="QB_ROW_54340" localSheetId="40" hidden="1">'SPC-PL-13'!$E$18</definedName>
    <definedName name="QB_ROW_54350" localSheetId="46" hidden="1">'21Webb-PL-13'!$F$80</definedName>
    <definedName name="QB_ROW_54350" localSheetId="27" hidden="1">'NR6-OfficePL-13'!$F$61</definedName>
    <definedName name="QB_ROW_54350" localSheetId="28" hidden="1">'NR6-RetailPL-13'!$F$64</definedName>
    <definedName name="QB_ROW_54350" localSheetId="26" hidden="1">'NR6-TotalPL-13'!$F$82</definedName>
    <definedName name="QB_ROW_55050" localSheetId="48" hidden="1">'127PAW-PL-13'!$F$18</definedName>
    <definedName name="QB_ROW_55050" localSheetId="16" hidden="1">'ABP-PL-13'!$F$72</definedName>
    <definedName name="QB_ROW_55050" localSheetId="34" hidden="1">'OCP-PL-13'!$F$44</definedName>
    <definedName name="QB_ROW_55050" localSheetId="44" hidden="1">'UST-PL-13'!$F$23</definedName>
    <definedName name="QB_ROW_55220" localSheetId="29" hidden="1">'NR14-BS-13'!$C$20</definedName>
    <definedName name="QB_ROW_55230" localSheetId="24" hidden="1">'NDV-PL-13'!$D$15</definedName>
    <definedName name="QB_ROW_55240" localSheetId="18" hidden="1">'BPT-PL-13'!$E$8</definedName>
    <definedName name="QB_ROW_55240" localSheetId="38" hidden="1">'ROY-PL-13'!$E$17</definedName>
    <definedName name="QB_ROW_55250" localSheetId="20" hidden="1">'CP-PL-13'!$F$41</definedName>
    <definedName name="QB_ROW_55260" localSheetId="46" hidden="1">'21Webb-PL-13'!$G$79</definedName>
    <definedName name="QB_ROW_55260" localSheetId="27" hidden="1">'NR6-OfficePL-13'!$G$59</definedName>
    <definedName name="QB_ROW_55260" localSheetId="28" hidden="1">'NR6-RetailPL-13'!$G$62</definedName>
    <definedName name="QB_ROW_55260" localSheetId="26" hidden="1">'NR6-TotalPL-13'!$G$80</definedName>
    <definedName name="QB_ROW_55260" localSheetId="34" hidden="1">'OCP-PL-13'!$G$46</definedName>
    <definedName name="QB_ROW_55340" localSheetId="36" hidden="1">'OMI-PL-13'!$E$39</definedName>
    <definedName name="QB_ROW_55350" localSheetId="48" hidden="1">'127PAW-PL-13'!$F$20</definedName>
    <definedName name="QB_ROW_55350" localSheetId="16" hidden="1">'ABP-PL-13'!$F$74</definedName>
    <definedName name="QB_ROW_55350" localSheetId="34" hidden="1">'OCP-PL-13'!$F$47</definedName>
    <definedName name="QB_ROW_55350" localSheetId="44" hidden="1">'UST-PL-13'!$F$25</definedName>
    <definedName name="QB_ROW_56050" localSheetId="16" hidden="1">'ABP-PL-13'!$F$58</definedName>
    <definedName name="QB_ROW_56240" localSheetId="21" hidden="1">'DGS-BS-13'!$E$35</definedName>
    <definedName name="QB_ROW_56240" localSheetId="24" hidden="1">'NDV-PL-13'!$E$6</definedName>
    <definedName name="QB_ROW_56240" localSheetId="29" hidden="1">'NR14-BS-13'!$E$32</definedName>
    <definedName name="QB_ROW_56250" localSheetId="38" hidden="1">'ROY-PL-13'!$F$22</definedName>
    <definedName name="QB_ROW_56260" localSheetId="48" hidden="1">'127PAW-PL-13'!$G$19</definedName>
    <definedName name="QB_ROW_56260" localSheetId="16" hidden="1">'ABP-PL-13'!$G$61</definedName>
    <definedName name="QB_ROW_56260" localSheetId="27" hidden="1">'NR6-OfficePL-13'!$G$60</definedName>
    <definedName name="QB_ROW_56260" localSheetId="28" hidden="1">'NR6-RetailPL-13'!$G$63</definedName>
    <definedName name="QB_ROW_56260" localSheetId="26" hidden="1">'NR6-TotalPL-13'!$G$81</definedName>
    <definedName name="QB_ROW_56340" localSheetId="36" hidden="1">'OMI-PL-13'!$E$40</definedName>
    <definedName name="QB_ROW_56350" localSheetId="16" hidden="1">'ABP-PL-13'!$F$62</definedName>
    <definedName name="QB_ROW_57050" localSheetId="44" hidden="1">'UST-PL-13'!$F$89</definedName>
    <definedName name="QB_ROW_57220" localSheetId="19" hidden="1">'CP-BS-13'!$C$25</definedName>
    <definedName name="QB_ROW_57220" localSheetId="29" hidden="1">'NR14-BS-13'!$C$21</definedName>
    <definedName name="QB_ROW_57240" localSheetId="45" hidden="1">'21Webb-BS-13'!$E$43</definedName>
    <definedName name="QB_ROW_57240" localSheetId="22" hidden="1">'DGS-PL-13'!$E$8</definedName>
    <definedName name="QB_ROW_57250" localSheetId="48" hidden="1">'127PAW-PL-13'!$F$24</definedName>
    <definedName name="QB_ROW_57250" localSheetId="38" hidden="1">'ROY-PL-13'!$F$44</definedName>
    <definedName name="QB_ROW_57250" localSheetId="40" hidden="1">'SPC-PL-13'!$F$16</definedName>
    <definedName name="QB_ROW_57350" localSheetId="44" hidden="1">'UST-PL-13'!$F$92</definedName>
    <definedName name="QB_ROW_58050" localSheetId="16" hidden="1">'ABP-PL-13'!$F$63</definedName>
    <definedName name="QB_ROW_58050" localSheetId="44" hidden="1">'UST-PL-13'!$F$83</definedName>
    <definedName name="QB_ROW_58230" localSheetId="30" hidden="1">'NR14-PL-13'!$D$62</definedName>
    <definedName name="QB_ROW_58240" localSheetId="48" hidden="1">'127PAW-PL-13'!$E$33</definedName>
    <definedName name="QB_ROW_58240" localSheetId="19" hidden="1">'CP-BS-13'!$E$36</definedName>
    <definedName name="QB_ROW_58250" localSheetId="38" hidden="1">'ROY-PL-13'!$F$70</definedName>
    <definedName name="QB_ROW_58250" localSheetId="40" hidden="1">'SPC-PL-13'!$F$17</definedName>
    <definedName name="QB_ROW_58260" localSheetId="46" hidden="1">'21Webb-PL-13'!$G$75</definedName>
    <definedName name="QB_ROW_58260" localSheetId="16" hidden="1">'ABP-PL-13'!$G$66</definedName>
    <definedName name="QB_ROW_58260" localSheetId="44" hidden="1">'UST-PL-13'!$G$87</definedName>
    <definedName name="QB_ROW_58350" localSheetId="16" hidden="1">'ABP-PL-13'!$F$67</definedName>
    <definedName name="QB_ROW_58350" localSheetId="44" hidden="1">'UST-PL-13'!$F$88</definedName>
    <definedName name="QB_ROW_59040" localSheetId="30" hidden="1">'NR14-PL-13'!$E$32</definedName>
    <definedName name="QB_ROW_59040" localSheetId="32" hidden="1">'NWC-PL-13'!$E$34</definedName>
    <definedName name="QB_ROW_59050" localSheetId="27" hidden="1">'NR6-OfficePL-13'!$F$77</definedName>
    <definedName name="QB_ROW_59050" localSheetId="28" hidden="1">'NR6-RetailPL-13'!$F$75</definedName>
    <definedName name="QB_ROW_59050" localSheetId="26" hidden="1">'NR6-TotalPL-13'!$F$98</definedName>
    <definedName name="QB_ROW_59050" localSheetId="44" hidden="1">'UST-PL-13'!$F$77</definedName>
    <definedName name="QB_ROW_59240" localSheetId="46" hidden="1">'21Webb-PL-13'!$E$23</definedName>
    <definedName name="QB_ROW_59250" localSheetId="22" hidden="1">'DGS-PL-13'!$F$23</definedName>
    <definedName name="QB_ROW_59250" localSheetId="32" hidden="1">'NWC-PL-13'!$F$36</definedName>
    <definedName name="QB_ROW_59250" localSheetId="38" hidden="1">'ROY-PL-13'!$F$71</definedName>
    <definedName name="QB_ROW_59260" localSheetId="16" hidden="1">'ABP-PL-13'!$G$60</definedName>
    <definedName name="QB_ROW_59260" localSheetId="27" hidden="1">'NR6-OfficePL-13'!$G$80</definedName>
    <definedName name="QB_ROW_59260" localSheetId="28" hidden="1">'NR6-RetailPL-13'!$G$77</definedName>
    <definedName name="QB_ROW_59260" localSheetId="26" hidden="1">'NR6-TotalPL-13'!$G$101</definedName>
    <definedName name="QB_ROW_59260" localSheetId="34" hidden="1">'OCP-PL-13'!$G$45</definedName>
    <definedName name="QB_ROW_59340" localSheetId="30" hidden="1">'NR14-PL-13'!$E$34</definedName>
    <definedName name="QB_ROW_59340" localSheetId="32" hidden="1">'NWC-PL-13'!$E$37</definedName>
    <definedName name="QB_ROW_59350" localSheetId="27" hidden="1">'NR6-OfficePL-13'!$F$81</definedName>
    <definedName name="QB_ROW_59350" localSheetId="28" hidden="1">'NR6-RetailPL-13'!$F$78</definedName>
    <definedName name="QB_ROW_59350" localSheetId="26" hidden="1">'NR6-TotalPL-13'!$F$102</definedName>
    <definedName name="QB_ROW_59350" localSheetId="44" hidden="1">'UST-PL-13'!$F$82</definedName>
    <definedName name="QB_ROW_60030" localSheetId="32" hidden="1">'NWC-PL-13'!$D$190</definedName>
    <definedName name="QB_ROW_60040" localSheetId="34" hidden="1">'OCP-PL-13'!$E$38</definedName>
    <definedName name="QB_ROW_60050" localSheetId="16" hidden="1">'ABP-PL-13'!$F$45</definedName>
    <definedName name="QB_ROW_60050" localSheetId="18" hidden="1">'BPT-PL-13'!$F$42</definedName>
    <definedName name="QB_ROW_60050" localSheetId="27" hidden="1">'NR6-OfficePL-13'!$F$53</definedName>
    <definedName name="QB_ROW_60050" localSheetId="28" hidden="1">'NR6-RetailPL-13'!$F$57</definedName>
    <definedName name="QB_ROW_60050" localSheetId="26" hidden="1">'NR6-TotalPL-13'!$F$74</definedName>
    <definedName name="QB_ROW_6011" localSheetId="45" hidden="1">'21Webb-BS-13'!$B$31</definedName>
    <definedName name="QB_ROW_6011" localSheetId="15" hidden="1">'ABP-BS-13'!$B$29</definedName>
    <definedName name="QB_ROW_6011" localSheetId="17" hidden="1">'BPT-BS-13'!$B$30</definedName>
    <definedName name="QB_ROW_6011" localSheetId="51" hidden="1">'BSQ-BS-13'!$B$20</definedName>
    <definedName name="QB_ROW_6011" localSheetId="19" hidden="1">'CP-BS-13'!$B$24</definedName>
    <definedName name="QB_ROW_6011" localSheetId="21" hidden="1">'DGS-BS-13'!$B$22</definedName>
    <definedName name="QB_ROW_6011" localSheetId="29" hidden="1">'NR14-BS-13'!$B$18</definedName>
    <definedName name="QB_ROW_6011" localSheetId="25" hidden="1">'NR6-BS-13'!$B$32</definedName>
    <definedName name="QB_ROW_6011" localSheetId="31" hidden="1">'NWC-BS-13'!$B$27</definedName>
    <definedName name="QB_ROW_6011" localSheetId="49" hidden="1">'RP21-BS-13'!$B$15</definedName>
    <definedName name="QB_ROW_6011" localSheetId="41" hidden="1">'TYP-BS-13'!$B$14</definedName>
    <definedName name="QB_ROW_6011" localSheetId="43" hidden="1">'UST-BS-13'!$B$26</definedName>
    <definedName name="QB_ROW_60220" localSheetId="45" hidden="1">'21Webb-BS-13'!$C$32</definedName>
    <definedName name="QB_ROW_60220" localSheetId="19" hidden="1">'CP-BS-13'!$C$46</definedName>
    <definedName name="QB_ROW_60220" localSheetId="43" hidden="1">'UST-BS-13'!$C$50</definedName>
    <definedName name="QB_ROW_60230" localSheetId="50" hidden="1">'RP21-PL-13'!$D$5</definedName>
    <definedName name="QB_ROW_60250" localSheetId="30" hidden="1">'NR14-PL-13'!$F$33</definedName>
    <definedName name="QB_ROW_60250" localSheetId="38" hidden="1">'ROY-PL-13'!$F$43</definedName>
    <definedName name="QB_ROW_60260" localSheetId="27" hidden="1">'NR6-OfficePL-13'!$G$56</definedName>
    <definedName name="QB_ROW_60260" localSheetId="28" hidden="1">'NR6-RetailPL-13'!$G$59</definedName>
    <definedName name="QB_ROW_60260" localSheetId="26" hidden="1">'NR6-TotalPL-13'!$G$77</definedName>
    <definedName name="QB_ROW_60330" localSheetId="32" hidden="1">'NWC-PL-13'!$D$192</definedName>
    <definedName name="QB_ROW_60340" localSheetId="34" hidden="1">'OCP-PL-13'!$E$55</definedName>
    <definedName name="QB_ROW_60350" localSheetId="16" hidden="1">'ABP-PL-13'!$F$53</definedName>
    <definedName name="QB_ROW_60350" localSheetId="18" hidden="1">'BPT-PL-13'!$F$46</definedName>
    <definedName name="QB_ROW_60350" localSheetId="27" hidden="1">'NR6-OfficePL-13'!$F$57</definedName>
    <definedName name="QB_ROW_60350" localSheetId="28" hidden="1">'NR6-RetailPL-13'!$F$60</definedName>
    <definedName name="QB_ROW_60350" localSheetId="26" hidden="1">'NR6-TotalPL-13'!$F$78</definedName>
    <definedName name="QB_ROW_6040" localSheetId="32" hidden="1">'NWC-PL-13'!$E$167</definedName>
    <definedName name="QB_ROW_61040" localSheetId="38" hidden="1">'ROY-PL-13'!$E$42</definedName>
    <definedName name="QB_ROW_61050" localSheetId="22" hidden="1">'DGS-PL-13'!$F$24</definedName>
    <definedName name="QB_ROW_61050" localSheetId="34" hidden="1">'OCP-PL-13'!$F$39</definedName>
    <definedName name="QB_ROW_61240" localSheetId="48" hidden="1">'127PAW-PL-13'!$E$7</definedName>
    <definedName name="QB_ROW_61240" localSheetId="46" hidden="1">'21Webb-PL-13'!$E$22</definedName>
    <definedName name="QB_ROW_61260" localSheetId="16" hidden="1">'ABP-PL-13'!$G$46</definedName>
    <definedName name="QB_ROW_61260" localSheetId="22" hidden="1">'DGS-PL-13'!$G$28</definedName>
    <definedName name="QB_ROW_61260" localSheetId="27" hidden="1">'NR6-OfficePL-13'!$G$54</definedName>
    <definedName name="QB_ROW_61260" localSheetId="28" hidden="1">'NR6-RetailPL-13'!$G$58</definedName>
    <definedName name="QB_ROW_61260" localSheetId="26" hidden="1">'NR6-TotalPL-13'!$G$75</definedName>
    <definedName name="QB_ROW_61340" localSheetId="38" hidden="1">'ROY-PL-13'!$E$45</definedName>
    <definedName name="QB_ROW_61350" localSheetId="22" hidden="1">'DGS-PL-13'!$F$29</definedName>
    <definedName name="QB_ROW_61350" localSheetId="34" hidden="1">'OCP-PL-13'!$F$43</definedName>
    <definedName name="QB_ROW_62030" localSheetId="50" hidden="1">'RP21-PL-13'!$D$17</definedName>
    <definedName name="QB_ROW_62040" localSheetId="48" hidden="1">'127PAW-PL-13'!$E$4</definedName>
    <definedName name="QB_ROW_62050" localSheetId="34" hidden="1">'OCP-PL-13'!$F$48</definedName>
    <definedName name="QB_ROW_6220" localSheetId="17" hidden="1">'BPT-BS-13'!$C$32</definedName>
    <definedName name="QB_ROW_6220" localSheetId="25" hidden="1">'NR6-BS-13'!$C$56</definedName>
    <definedName name="QB_ROW_62220" localSheetId="45" hidden="1">'21Webb-BS-13'!$C$55</definedName>
    <definedName name="QB_ROW_62240" localSheetId="30" hidden="1">'NR14-PL-13'!$E$35</definedName>
    <definedName name="QB_ROW_62240" localSheetId="32" hidden="1">'NWC-PL-13'!$E$191</definedName>
    <definedName name="QB_ROW_62240" localSheetId="38" hidden="1">'ROY-PL-13'!$E$29</definedName>
    <definedName name="QB_ROW_62260" localSheetId="16" hidden="1">'ABP-PL-13'!$G$47</definedName>
    <definedName name="QB_ROW_62260" localSheetId="18" hidden="1">'BPT-PL-13'!$G$36</definedName>
    <definedName name="QB_ROW_62260" localSheetId="20" hidden="1">'CP-PL-13'!$G$57</definedName>
    <definedName name="QB_ROW_62260" localSheetId="27" hidden="1">'NR6-OfficePL-13'!$G$55</definedName>
    <definedName name="QB_ROW_62260" localSheetId="26" hidden="1">'NR6-TotalPL-13'!$G$76</definedName>
    <definedName name="QB_ROW_62330" localSheetId="50" hidden="1">'RP21-PL-13'!$D$21</definedName>
    <definedName name="QB_ROW_62340" localSheetId="48" hidden="1">'127PAW-PL-13'!$E$6</definedName>
    <definedName name="QB_ROW_62350" localSheetId="34" hidden="1">'OCP-PL-13'!$F$54</definedName>
    <definedName name="QB_ROW_6240" localSheetId="19" hidden="1">'CP-BS-13'!$E$37</definedName>
    <definedName name="QB_ROW_6240" localSheetId="22" hidden="1">'DGS-PL-13'!$E$5</definedName>
    <definedName name="QB_ROW_6240" localSheetId="49" hidden="1">'RP21-BS-13'!$E$32</definedName>
    <definedName name="QB_ROW_6240" localSheetId="43" hidden="1">'UST-BS-13'!$E$41</definedName>
    <definedName name="QB_ROW_6250" localSheetId="32" hidden="1">'NWC-PL-13'!$F$170</definedName>
    <definedName name="QB_ROW_63020" localSheetId="45" hidden="1">'21Webb-BS-13'!$C$26</definedName>
    <definedName name="QB_ROW_63030" localSheetId="38" hidden="1">'ROY-PL-13'!$D$12</definedName>
    <definedName name="QB_ROW_63030" localSheetId="40" hidden="1">'SPC-PL-13'!$D$33</definedName>
    <definedName name="QB_ROW_63040" localSheetId="50" hidden="1">'RP21-PL-13'!$E$18</definedName>
    <definedName name="QB_ROW_63050" localSheetId="27" hidden="1">'NR6-OfficePL-13'!$F$44</definedName>
    <definedName name="QB_ROW_63050" localSheetId="28" hidden="1">'NR6-RetailPL-13'!$F$48</definedName>
    <definedName name="QB_ROW_63050" localSheetId="26" hidden="1">'NR6-TotalPL-13'!$F$65</definedName>
    <definedName name="QB_ROW_6311" localSheetId="45" hidden="1">'21Webb-BS-13'!$B$36</definedName>
    <definedName name="QB_ROW_6311" localSheetId="15" hidden="1">'ABP-BS-13'!$B$33</definedName>
    <definedName name="QB_ROW_6311" localSheetId="17" hidden="1">'BPT-BS-13'!$B$34</definedName>
    <definedName name="QB_ROW_6311" localSheetId="51" hidden="1">'BSQ-BS-13'!$B$24</definedName>
    <definedName name="QB_ROW_6311" localSheetId="19" hidden="1">'CP-BS-13'!$B$27</definedName>
    <definedName name="QB_ROW_6311" localSheetId="21" hidden="1">'DGS-BS-13'!$B$24</definedName>
    <definedName name="QB_ROW_6311" localSheetId="29" hidden="1">'NR14-BS-13'!$B$22</definedName>
    <definedName name="QB_ROW_6311" localSheetId="25" hidden="1">'NR6-BS-13'!$B$37</definedName>
    <definedName name="QB_ROW_6311" localSheetId="31" hidden="1">'NWC-BS-13'!$B$30</definedName>
    <definedName name="QB_ROW_6311" localSheetId="49" hidden="1">'RP21-BS-13'!$B$18</definedName>
    <definedName name="QB_ROW_6311" localSheetId="41" hidden="1">'TYP-BS-13'!$B$16</definedName>
    <definedName name="QB_ROW_6311" localSheetId="43" hidden="1">'UST-BS-13'!$B$31</definedName>
    <definedName name="QB_ROW_63220" localSheetId="43" hidden="1">'UST-BS-13'!$C$23</definedName>
    <definedName name="QB_ROW_63230" localSheetId="45" hidden="1">'21Webb-BS-13'!$D$28</definedName>
    <definedName name="QB_ROW_63230" localSheetId="51" hidden="1">'BSQ-BS-13'!$D$5</definedName>
    <definedName name="QB_ROW_63230" localSheetId="33" hidden="1">'OCP-BS-13'!$D$9</definedName>
    <definedName name="QB_ROW_63230" localSheetId="35" hidden="1">'OMI-BS-13'!$D$5</definedName>
    <definedName name="QB_ROW_63250" localSheetId="48" hidden="1">'127PAW-PL-13'!$F$5</definedName>
    <definedName name="QB_ROW_63250" localSheetId="18" hidden="1">'BPT-PL-13'!$F$20</definedName>
    <definedName name="QB_ROW_63260" localSheetId="16" hidden="1">'ABP-PL-13'!$G$48</definedName>
    <definedName name="QB_ROW_63260" localSheetId="20" hidden="1">'CP-PL-13'!$G$85</definedName>
    <definedName name="QB_ROW_63260" localSheetId="22" hidden="1">'DGS-PL-13'!$G$25</definedName>
    <definedName name="QB_ROW_63260" localSheetId="27" hidden="1">'NR6-OfficePL-13'!$G$51</definedName>
    <definedName name="QB_ROW_63260" localSheetId="28" hidden="1">'NR6-RetailPL-13'!$G$55</definedName>
    <definedName name="QB_ROW_63260" localSheetId="26" hidden="1">'NR6-TotalPL-13'!$G$72</definedName>
    <definedName name="QB_ROW_63320" localSheetId="45" hidden="1">'21Webb-BS-13'!$C$29</definedName>
    <definedName name="QB_ROW_63330" localSheetId="38" hidden="1">'ROY-PL-13'!$D$27</definedName>
    <definedName name="QB_ROW_63330" localSheetId="40" hidden="1">'SPC-PL-13'!$D$59</definedName>
    <definedName name="QB_ROW_63340" localSheetId="50" hidden="1">'RP21-PL-13'!$E$20</definedName>
    <definedName name="QB_ROW_63350" localSheetId="27" hidden="1">'NR6-OfficePL-13'!$F$52</definedName>
    <definedName name="QB_ROW_63350" localSheetId="28" hidden="1">'NR6-RetailPL-13'!$F$56</definedName>
    <definedName name="QB_ROW_63350" localSheetId="26" hidden="1">'NR6-TotalPL-13'!$F$73</definedName>
    <definedName name="QB_ROW_6340" localSheetId="32" hidden="1">'NWC-PL-13'!$E$171</definedName>
    <definedName name="QB_ROW_64030" localSheetId="32" hidden="1">'NWC-PL-13'!$D$33</definedName>
    <definedName name="QB_ROW_64040" localSheetId="46" hidden="1">'21Webb-PL-13'!$E$19</definedName>
    <definedName name="QB_ROW_64220" localSheetId="17" hidden="1">'BPT-BS-13'!$C$27</definedName>
    <definedName name="QB_ROW_64220" localSheetId="51" hidden="1">'BSQ-BS-13'!$C$42</definedName>
    <definedName name="QB_ROW_64220" localSheetId="43" hidden="1">'UST-BS-13'!$C$24</definedName>
    <definedName name="QB_ROW_64230" localSheetId="30" hidden="1">'NR14-PL-13'!$D$4</definedName>
    <definedName name="QB_ROW_64230" localSheetId="36" hidden="1">'OMI-PL-13'!$D$51</definedName>
    <definedName name="QB_ROW_64250" localSheetId="34" hidden="1">'OCP-PL-13'!$F$5</definedName>
    <definedName name="QB_ROW_64250" localSheetId="38" hidden="1">'ROY-PL-13'!$F$56</definedName>
    <definedName name="QB_ROW_64250" localSheetId="50" hidden="1">'RP21-PL-13'!$F$19</definedName>
    <definedName name="QB_ROW_64260" localSheetId="16" hidden="1">'ABP-PL-13'!$G$49</definedName>
    <definedName name="QB_ROW_64260" localSheetId="20" hidden="1">'CP-PL-13'!$G$86</definedName>
    <definedName name="QB_ROW_64330" localSheetId="32" hidden="1">'NWC-PL-13'!$D$108</definedName>
    <definedName name="QB_ROW_64340" localSheetId="46" hidden="1">'21Webb-PL-13'!$E$21</definedName>
    <definedName name="QB_ROW_65220" localSheetId="29" hidden="1">'NR14-BS-13'!$C$14</definedName>
    <definedName name="QB_ROW_65230" localSheetId="35" hidden="1">'OMI-BS-13'!$D$6</definedName>
    <definedName name="QB_ROW_65230" localSheetId="43" hidden="1">'UST-BS-13'!$D$46</definedName>
    <definedName name="QB_ROW_65240" localSheetId="22" hidden="1">'DGS-PL-13'!$E$112</definedName>
    <definedName name="QB_ROW_65240" localSheetId="33" hidden="1">'OCP-BS-13'!$E$27</definedName>
    <definedName name="QB_ROW_65240" localSheetId="50" hidden="1">'RP21-PL-13'!$E$7</definedName>
    <definedName name="QB_ROW_65250" localSheetId="46" hidden="1">'21Webb-PL-13'!$F$20</definedName>
    <definedName name="QB_ROW_65250" localSheetId="18" hidden="1">'BPT-PL-13'!$F$81</definedName>
    <definedName name="QB_ROW_65250" localSheetId="38" hidden="1">'ROY-PL-13'!$F$57</definedName>
    <definedName name="QB_ROW_65260" localSheetId="16" hidden="1">'ABP-PL-13'!$G$51</definedName>
    <definedName name="QB_ROW_65260" localSheetId="20" hidden="1">'CP-PL-13'!$G$87</definedName>
    <definedName name="QB_ROW_65260" localSheetId="27" hidden="1">'NR6-OfficePL-13'!$G$50</definedName>
    <definedName name="QB_ROW_65260" localSheetId="28" hidden="1">'NR6-RetailPL-13'!$G$54</definedName>
    <definedName name="QB_ROW_65260" localSheetId="26" hidden="1">'NR6-TotalPL-13'!$G$71</definedName>
    <definedName name="QB_ROW_65270" localSheetId="32" hidden="1">'NWC-PL-13'!$H$79</definedName>
    <definedName name="QB_ROW_66040" localSheetId="32" hidden="1">'NWC-PL-13'!$E$100</definedName>
    <definedName name="QB_ROW_66040" localSheetId="38" hidden="1">'ROY-PL-13'!$E$69</definedName>
    <definedName name="QB_ROW_66220" localSheetId="45" hidden="1">'21Webb-BS-13'!$C$35</definedName>
    <definedName name="QB_ROW_66220" localSheetId="49" hidden="1">'RP21-BS-13'!$C$16</definedName>
    <definedName name="QB_ROW_66230" localSheetId="29" hidden="1">'NR14-BS-13'!$D$9</definedName>
    <definedName name="QB_ROW_66230" localSheetId="35" hidden="1">'OMI-BS-13'!$D$7</definedName>
    <definedName name="QB_ROW_66240" localSheetId="22" hidden="1">'DGS-PL-13'!$E$113</definedName>
    <definedName name="QB_ROW_66250" localSheetId="40" hidden="1">'SPC-PL-13'!$F$63</definedName>
    <definedName name="QB_ROW_66260" localSheetId="16" hidden="1">'ABP-PL-13'!$G$50</definedName>
    <definedName name="QB_ROW_66260" localSheetId="20" hidden="1">'CP-PL-13'!$G$54</definedName>
    <definedName name="QB_ROW_66260" localSheetId="34" hidden="1">'OCP-PL-13'!$G$60</definedName>
    <definedName name="QB_ROW_66340" localSheetId="32" hidden="1">'NWC-PL-13'!$E$107</definedName>
    <definedName name="QB_ROW_66340" localSheetId="38" hidden="1">'ROY-PL-13'!$E$75</definedName>
    <definedName name="QB_ROW_67030" localSheetId="38" hidden="1">'ROY-PL-13'!$D$28</definedName>
    <definedName name="QB_ROW_67050" localSheetId="22" hidden="1">'DGS-PL-13'!$F$15</definedName>
    <definedName name="QB_ROW_67220" localSheetId="33" hidden="1">'OCP-BS-13'!$C$18</definedName>
    <definedName name="QB_ROW_67230" localSheetId="43" hidden="1">'UST-BS-13'!$D$8</definedName>
    <definedName name="QB_ROW_67240" localSheetId="18" hidden="1">'BPT-PL-13'!$E$9</definedName>
    <definedName name="QB_ROW_67240" localSheetId="31" hidden="1">'NWC-BS-13'!$E$36</definedName>
    <definedName name="QB_ROW_67240" localSheetId="40" hidden="1">'SPC-PL-13'!$E$94</definedName>
    <definedName name="QB_ROW_67250" localSheetId="20" hidden="1">'CP-PL-13'!$F$22</definedName>
    <definedName name="QB_ROW_67250" localSheetId="30" hidden="1">'NR14-PL-13'!$F$44</definedName>
    <definedName name="QB_ROW_67330" localSheetId="38" hidden="1">'ROY-PL-13'!$D$33</definedName>
    <definedName name="QB_ROW_67350" localSheetId="22" hidden="1">'DGS-PL-13'!$F$18</definedName>
    <definedName name="QB_ROW_67350" localSheetId="28" hidden="1">'NR6-RetailPL-13'!$F$92</definedName>
    <definedName name="QB_ROW_67350" localSheetId="26" hidden="1">'NR6-TotalPL-13'!$F$122</definedName>
    <definedName name="QB_ROW_68040" localSheetId="22" hidden="1">'DGS-PL-13'!$E$101</definedName>
    <definedName name="QB_ROW_68040" localSheetId="38" hidden="1">'ROY-PL-13'!$E$30</definedName>
    <definedName name="QB_ROW_68050" localSheetId="18" hidden="1">'BPT-PL-13'!$F$25</definedName>
    <definedName name="QB_ROW_68220" localSheetId="33" hidden="1">'OCP-BS-13'!$C$17</definedName>
    <definedName name="QB_ROW_68230" localSheetId="45" hidden="1">'21Webb-BS-13'!$D$12</definedName>
    <definedName name="QB_ROW_68230" localSheetId="51" hidden="1">'BSQ-BS-13'!$D$6</definedName>
    <definedName name="QB_ROW_68230" localSheetId="30" hidden="1">'NR14-PL-13'!$D$6</definedName>
    <definedName name="QB_ROW_68230" localSheetId="31" hidden="1">'NWC-BS-13'!$D$9</definedName>
    <definedName name="QB_ROW_68230" localSheetId="35" hidden="1">'OMI-BS-13'!$D$10</definedName>
    <definedName name="QB_ROW_68230" localSheetId="50" hidden="1">'RP21-PL-13'!$D$4</definedName>
    <definedName name="QB_ROW_68260" localSheetId="16" hidden="1">'ABP-PL-13'!$G$88</definedName>
    <definedName name="QB_ROW_68260" localSheetId="18" hidden="1">'BPT-PL-13'!$G$28</definedName>
    <definedName name="QB_ROW_68340" localSheetId="22" hidden="1">'DGS-PL-13'!$E$107</definedName>
    <definedName name="QB_ROW_68340" localSheetId="38" hidden="1">'ROY-PL-13'!$E$32</definedName>
    <definedName name="QB_ROW_68350" localSheetId="18" hidden="1">'BPT-PL-13'!$F$29</definedName>
    <definedName name="QB_ROW_69220" localSheetId="19" hidden="1">'CP-BS-13'!$C$26</definedName>
    <definedName name="QB_ROW_69230" localSheetId="45" hidden="1">'21Webb-BS-13'!$D$50</definedName>
    <definedName name="QB_ROW_69230" localSheetId="30" hidden="1">'NR14-PL-13'!$D$5</definedName>
    <definedName name="QB_ROW_69240" localSheetId="18" hidden="1">'BPT-PL-13'!$E$106</definedName>
    <definedName name="QB_ROW_69240" localSheetId="33" hidden="1">'OCP-BS-13'!$E$30</definedName>
    <definedName name="QB_ROW_69240" localSheetId="43" hidden="1">'UST-BS-13'!$E$40</definedName>
    <definedName name="QB_ROW_69250" localSheetId="40" hidden="1">'SPC-PL-13'!$F$27</definedName>
    <definedName name="QB_ROW_7001" localSheetId="47" hidden="1">'127PAW-BS-13'!$A$16</definedName>
    <definedName name="QB_ROW_7001" localSheetId="45" hidden="1">'21Webb-BS-13'!$A$38</definedName>
    <definedName name="QB_ROW_7001" localSheetId="15" hidden="1">'ABP-BS-13'!$A$35</definedName>
    <definedName name="QB_ROW_7001" localSheetId="17" hidden="1">'BPT-BS-13'!$A$36</definedName>
    <definedName name="QB_ROW_7001" localSheetId="51" hidden="1">'BSQ-BS-13'!$A$26</definedName>
    <definedName name="QB_ROW_7001" localSheetId="19" hidden="1">'CP-BS-13'!$A$29</definedName>
    <definedName name="QB_ROW_7001" localSheetId="21" hidden="1">'DGS-BS-13'!$A$26</definedName>
    <definedName name="QB_ROW_7001" localSheetId="23" hidden="1">'NDV-BS-13'!$A$20</definedName>
    <definedName name="QB_ROW_7001" localSheetId="29" hidden="1">'NR14-BS-13'!$A$24</definedName>
    <definedName name="QB_ROW_7001" localSheetId="25" hidden="1">'NR6-BS-13'!$A$39</definedName>
    <definedName name="QB_ROW_7001" localSheetId="31" hidden="1">'NWC-BS-13'!$A$32</definedName>
    <definedName name="QB_ROW_7001" localSheetId="33" hidden="1">'OCP-BS-13'!$A$23</definedName>
    <definedName name="QB_ROW_7001" localSheetId="35" hidden="1">'OMI-BS-13'!$A$31</definedName>
    <definedName name="QB_ROW_7001" localSheetId="37" hidden="1">'ROY-BS-13'!$A$27</definedName>
    <definedName name="QB_ROW_7001" localSheetId="49" hidden="1">'RP21-BS-13'!$A$20</definedName>
    <definedName name="QB_ROW_7001" localSheetId="39" hidden="1">'SPC-BS-13'!$A$25</definedName>
    <definedName name="QB_ROW_7001" localSheetId="41" hidden="1">'TYP-BS-13'!$A$18</definedName>
    <definedName name="QB_ROW_7001" localSheetId="43" hidden="1">'UST-BS-13'!$A$33</definedName>
    <definedName name="QB_ROW_7001" localSheetId="53" hidden="1">'Wood96-BS-13'!$A$12</definedName>
    <definedName name="QB_ROW_70040" localSheetId="18" hidden="1">'BPT-PL-13'!$E$107</definedName>
    <definedName name="QB_ROW_70050" localSheetId="22" hidden="1">'DGS-PL-13'!$F$68</definedName>
    <definedName name="QB_ROW_70050" localSheetId="27" hidden="1">'NR6-OfficePL-13'!$F$67</definedName>
    <definedName name="QB_ROW_70050" localSheetId="26" hidden="1">'NR6-TotalPL-13'!$F$88</definedName>
    <definedName name="QB_ROW_70230" localSheetId="30" hidden="1">'NR14-PL-13'!$D$7</definedName>
    <definedName name="QB_ROW_70230" localSheetId="40" hidden="1">'SPC-PL-13'!$D$134</definedName>
    <definedName name="QB_ROW_70230" localSheetId="43" hidden="1">'UST-BS-13'!$D$12</definedName>
    <definedName name="QB_ROW_70240" localSheetId="46" hidden="1">'21Webb-PL-13'!$E$18</definedName>
    <definedName name="QB_ROW_70240" localSheetId="20" hidden="1">'CP-PL-13'!$E$100</definedName>
    <definedName name="QB_ROW_70240" localSheetId="33" hidden="1">'OCP-BS-13'!$E$31</definedName>
    <definedName name="QB_ROW_70240" localSheetId="49" hidden="1">'RP21-BS-13'!$E$27</definedName>
    <definedName name="QB_ROW_70260" localSheetId="27" hidden="1">'NR6-OfficePL-13'!$G$70</definedName>
    <definedName name="QB_ROW_70260" localSheetId="26" hidden="1">'NR6-TotalPL-13'!$G$91</definedName>
    <definedName name="QB_ROW_70340" localSheetId="18" hidden="1">'BPT-PL-13'!$E$110</definedName>
    <definedName name="QB_ROW_70350" localSheetId="22" hidden="1">'DGS-PL-13'!$F$71</definedName>
    <definedName name="QB_ROW_70350" localSheetId="27" hidden="1">'NR6-OfficePL-13'!$F$71</definedName>
    <definedName name="QB_ROW_70350" localSheetId="28" hidden="1">'NR6-RetailPL-13'!$F$70</definedName>
    <definedName name="QB_ROW_70350" localSheetId="26" hidden="1">'NR6-TotalPL-13'!$F$92</definedName>
    <definedName name="QB_ROW_71050" localSheetId="16" hidden="1">'ABP-PL-13'!$F$96</definedName>
    <definedName name="QB_ROW_71050" localSheetId="20" hidden="1">'CP-PL-13'!$F$14</definedName>
    <definedName name="QB_ROW_71220" localSheetId="31" hidden="1">'NWC-BS-13'!$C$50</definedName>
    <definedName name="QB_ROW_71220" localSheetId="35" hidden="1">'OMI-BS-13'!$C$24</definedName>
    <definedName name="QB_ROW_71230" localSheetId="45" hidden="1">'21Webb-BS-13'!$D$15</definedName>
    <definedName name="QB_ROW_71230" localSheetId="33" hidden="1">'OCP-BS-13'!$D$35</definedName>
    <definedName name="QB_ROW_71230" localSheetId="37" hidden="1">'ROY-BS-13'!$D$8</definedName>
    <definedName name="QB_ROW_71230" localSheetId="43" hidden="1">'UST-BS-13'!$D$11</definedName>
    <definedName name="QB_ROW_71240" localSheetId="18" hidden="1">'BPT-PL-13'!$E$113</definedName>
    <definedName name="QB_ROW_71240" localSheetId="30" hidden="1">'NR14-PL-13'!$E$58</definedName>
    <definedName name="QB_ROW_71240" localSheetId="50" hidden="1">'RP21-PL-13'!$E$32</definedName>
    <definedName name="QB_ROW_71250" localSheetId="27" hidden="1">'NR6-OfficePL-13'!$F$100</definedName>
    <definedName name="QB_ROW_71250" localSheetId="26" hidden="1">'NR6-TotalPL-13'!$F$121</definedName>
    <definedName name="QB_ROW_71260" localSheetId="16" hidden="1">'ABP-PL-13'!$G$98</definedName>
    <definedName name="QB_ROW_71260" localSheetId="22" hidden="1">'DGS-PL-13'!$G$69</definedName>
    <definedName name="QB_ROW_71350" localSheetId="16" hidden="1">'ABP-PL-13'!$F$99</definedName>
    <definedName name="QB_ROW_71350" localSheetId="20" hidden="1">'CP-PL-13'!$F$17</definedName>
    <definedName name="QB_ROW_72050" localSheetId="27" hidden="1">'NR6-OfficePL-13'!$F$87</definedName>
    <definedName name="QB_ROW_72050" localSheetId="26" hidden="1">'NR6-TotalPL-13'!$F$108</definedName>
    <definedName name="QB_ROW_7220" localSheetId="45" hidden="1">'21Webb-BS-13'!$C$20</definedName>
    <definedName name="QB_ROW_72220" localSheetId="31" hidden="1">'NWC-BS-13'!$C$54</definedName>
    <definedName name="QB_ROW_72220" localSheetId="35" hidden="1">'OMI-BS-13'!$C$27</definedName>
    <definedName name="QB_ROW_72240" localSheetId="37" hidden="1">'ROY-BS-13'!$E$34</definedName>
    <definedName name="QB_ROW_72240" localSheetId="50" hidden="1">'RP21-PL-13'!$E$26</definedName>
    <definedName name="QB_ROW_72240" localSheetId="44" hidden="1">'UST-PL-13'!$E$16</definedName>
    <definedName name="QB_ROW_72250" localSheetId="40" hidden="1">'SPC-PL-13'!$F$76</definedName>
    <definedName name="QB_ROW_72260" localSheetId="46" hidden="1">'21Webb-PL-13'!$G$59</definedName>
    <definedName name="QB_ROW_72260" localSheetId="16" hidden="1">'ABP-PL-13'!$G$97</definedName>
    <definedName name="QB_ROW_72260" localSheetId="20" hidden="1">'CP-PL-13'!$G$15</definedName>
    <definedName name="QB_ROW_72260" localSheetId="22" hidden="1">'DGS-PL-13'!$G$70</definedName>
    <definedName name="QB_ROW_72260" localSheetId="27" hidden="1">'NR6-OfficePL-13'!$G$90</definedName>
    <definedName name="QB_ROW_72260" localSheetId="26" hidden="1">'NR6-TotalPL-13'!$G$111</definedName>
    <definedName name="QB_ROW_7230" localSheetId="39" hidden="1">'SPC-BS-13'!$D$8</definedName>
    <definedName name="QB_ROW_72350" localSheetId="27" hidden="1">'NR6-OfficePL-13'!$F$91</definedName>
    <definedName name="QB_ROW_72350" localSheetId="26" hidden="1">'NR6-TotalPL-13'!$F$112</definedName>
    <definedName name="QB_ROW_7240" localSheetId="20" hidden="1">'CP-PL-13'!$E$4</definedName>
    <definedName name="QB_ROW_7240" localSheetId="22" hidden="1">'DGS-PL-13'!$E$6</definedName>
    <definedName name="QB_ROW_7240" localSheetId="36" hidden="1">'OMI-PL-13'!$E$9</definedName>
    <definedName name="QB_ROW_7240" localSheetId="44" hidden="1">'UST-PL-13'!$E$13</definedName>
    <definedName name="QB_ROW_7250" localSheetId="27" hidden="1">'NR6-OfficePL-13'!$F$15</definedName>
    <definedName name="QB_ROW_7250" localSheetId="28" hidden="1">'NR6-RetailPL-13'!$F$21</definedName>
    <definedName name="QB_ROW_7250" localSheetId="26" hidden="1">'NR6-TotalPL-13'!$F$24</definedName>
    <definedName name="QB_ROW_7301" localSheetId="47" hidden="1">'127PAW-BS-13'!$A$31</definedName>
    <definedName name="QB_ROW_7301" localSheetId="45" hidden="1">'21Webb-BS-13'!$A$64</definedName>
    <definedName name="QB_ROW_7301" localSheetId="15" hidden="1">'ABP-BS-13'!$A$60</definedName>
    <definedName name="QB_ROW_7301" localSheetId="17" hidden="1">'BPT-BS-13'!$A$57</definedName>
    <definedName name="QB_ROW_7301" localSheetId="51" hidden="1">'BSQ-BS-13'!$A$46</definedName>
    <definedName name="QB_ROW_7301" localSheetId="19" hidden="1">'CP-BS-13'!$A$53</definedName>
    <definedName name="QB_ROW_7301" localSheetId="21" hidden="1">'DGS-BS-13'!$A$49</definedName>
    <definedName name="QB_ROW_7301" localSheetId="23" hidden="1">'NDV-BS-13'!$A$32</definedName>
    <definedName name="QB_ROW_7301" localSheetId="29" hidden="1">'NR14-BS-13'!$A$49</definedName>
    <definedName name="QB_ROW_7301" localSheetId="25" hidden="1">'NR6-BS-13'!$A$65</definedName>
    <definedName name="QB_ROW_7301" localSheetId="31" hidden="1">'NWC-BS-13'!$A$59</definedName>
    <definedName name="QB_ROW_7301" localSheetId="33" hidden="1">'OCP-BS-13'!$A$44</definedName>
    <definedName name="QB_ROW_7301" localSheetId="35" hidden="1">'OMI-BS-13'!$A$62</definedName>
    <definedName name="QB_ROW_7301" localSheetId="37" hidden="1">'ROY-BS-13'!$A$48</definedName>
    <definedName name="QB_ROW_7301" localSheetId="49" hidden="1">'RP21-BS-13'!$A$41</definedName>
    <definedName name="QB_ROW_7301" localSheetId="39" hidden="1">'SPC-BS-13'!$A$46</definedName>
    <definedName name="QB_ROW_7301" localSheetId="41" hidden="1">'TYP-BS-13'!$A$33</definedName>
    <definedName name="QB_ROW_7301" localSheetId="43" hidden="1">'UST-BS-13'!$A$53</definedName>
    <definedName name="QB_ROW_7301" localSheetId="53" hidden="1">'Wood96-BS-13'!$A$28</definedName>
    <definedName name="QB_ROW_73050" localSheetId="22" hidden="1">'DGS-PL-13'!$F$87</definedName>
    <definedName name="QB_ROW_73220" localSheetId="45" hidden="1">'21Webb-BS-13'!$C$62</definedName>
    <definedName name="QB_ROW_73220" localSheetId="29" hidden="1">'NR14-BS-13'!$C$40</definedName>
    <definedName name="QB_ROW_73220" localSheetId="31" hidden="1">'NWC-BS-13'!$C$48</definedName>
    <definedName name="QB_ROW_73220" localSheetId="33" hidden="1">'OCP-BS-13'!$C$20</definedName>
    <definedName name="QB_ROW_73220" localSheetId="35" hidden="1">'OMI-BS-13'!$C$21</definedName>
    <definedName name="QB_ROW_73230" localSheetId="38" hidden="1">'ROY-PL-13'!$D$6</definedName>
    <definedName name="QB_ROW_73240" localSheetId="44" hidden="1">'UST-PL-13'!$E$58</definedName>
    <definedName name="QB_ROW_73250" localSheetId="40" hidden="1">'SPC-PL-13'!$F$62</definedName>
    <definedName name="QB_ROW_73260" localSheetId="22" hidden="1">'DGS-PL-13'!$G$93</definedName>
    <definedName name="QB_ROW_73350" localSheetId="22" hidden="1">'DGS-PL-13'!$F$94</definedName>
    <definedName name="QB_ROW_74020" localSheetId="43" hidden="1">'UST-BS-13'!$C$27</definedName>
    <definedName name="QB_ROW_74050" localSheetId="16" hidden="1">'ABP-PL-13'!$F$54</definedName>
    <definedName name="QB_ROW_74050" localSheetId="18" hidden="1">'BPT-PL-13'!$F$77</definedName>
    <definedName name="QB_ROW_74050" localSheetId="27" hidden="1">'NR6-OfficePL-13'!$F$62</definedName>
    <definedName name="QB_ROW_74050" localSheetId="28" hidden="1">'NR6-RetailPL-13'!$F$65</definedName>
    <definedName name="QB_ROW_74050" localSheetId="26" hidden="1">'NR6-TotalPL-13'!$F$83</definedName>
    <definedName name="QB_ROW_74220" localSheetId="31" hidden="1">'NWC-BS-13'!$C$52</definedName>
    <definedName name="QB_ROW_74220" localSheetId="35" hidden="1">'OMI-BS-13'!$C$22</definedName>
    <definedName name="QB_ROW_74230" localSheetId="19" hidden="1">'CP-BS-13'!$D$13</definedName>
    <definedName name="QB_ROW_74230" localSheetId="38" hidden="1">'ROY-PL-13'!$D$5</definedName>
    <definedName name="QB_ROW_74230" localSheetId="43" hidden="1">'UST-BS-13'!$D$29</definedName>
    <definedName name="QB_ROW_74250" localSheetId="30" hidden="1">'NR14-PL-13'!$F$43</definedName>
    <definedName name="QB_ROW_74250" localSheetId="40" hidden="1">'SPC-PL-13'!$F$65</definedName>
    <definedName name="QB_ROW_74260" localSheetId="16" hidden="1">'ABP-PL-13'!$G$56</definedName>
    <definedName name="QB_ROW_74260" localSheetId="18" hidden="1">'BPT-PL-13'!$G$79</definedName>
    <definedName name="QB_ROW_74260" localSheetId="22" hidden="1">'DGS-PL-13'!$G$88</definedName>
    <definedName name="QB_ROW_74260" localSheetId="27" hidden="1">'NR6-OfficePL-13'!$G$65</definedName>
    <definedName name="QB_ROW_74260" localSheetId="28" hidden="1">'NR6-RetailPL-13'!$G$68</definedName>
    <definedName name="QB_ROW_74260" localSheetId="26" hidden="1">'NR6-TotalPL-13'!$G$86</definedName>
    <definedName name="QB_ROW_74320" localSheetId="43" hidden="1">'UST-BS-13'!$C$30</definedName>
    <definedName name="QB_ROW_74350" localSheetId="16" hidden="1">'ABP-PL-13'!$F$57</definedName>
    <definedName name="QB_ROW_74350" localSheetId="18" hidden="1">'BPT-PL-13'!$F$80</definedName>
    <definedName name="QB_ROW_74350" localSheetId="27" hidden="1">'NR6-OfficePL-13'!$F$66</definedName>
    <definedName name="QB_ROW_74350" localSheetId="28" hidden="1">'NR6-RetailPL-13'!$F$69</definedName>
    <definedName name="QB_ROW_74350" localSheetId="26" hidden="1">'NR6-TotalPL-13'!$F$87</definedName>
    <definedName name="QB_ROW_75050" localSheetId="18" hidden="1">'BPT-PL-13'!$F$63</definedName>
    <definedName name="QB_ROW_75220" localSheetId="35" hidden="1">'OMI-BS-13'!$C$23</definedName>
    <definedName name="QB_ROW_75230" localSheetId="30" hidden="1">'NR14-PL-13'!$D$30</definedName>
    <definedName name="QB_ROW_75230" localSheetId="31" hidden="1">'NWC-BS-13'!$D$6</definedName>
    <definedName name="QB_ROW_75230" localSheetId="38" hidden="1">'ROY-PL-13'!$D$7</definedName>
    <definedName name="QB_ROW_75240" localSheetId="51" hidden="1">'BSQ-BS-13'!$E$30</definedName>
    <definedName name="QB_ROW_75240" localSheetId="44" hidden="1">'UST-PL-13'!$E$72</definedName>
    <definedName name="QB_ROW_75250" localSheetId="40" hidden="1">'SPC-PL-13'!$F$112</definedName>
    <definedName name="QB_ROW_75260" localSheetId="16" hidden="1">'ABP-PL-13'!$G$89</definedName>
    <definedName name="QB_ROW_75260" localSheetId="22" hidden="1">'DGS-PL-13'!$G$89</definedName>
    <definedName name="QB_ROW_75260" localSheetId="27" hidden="1">'NR6-OfficePL-13'!$G$63</definedName>
    <definedName name="QB_ROW_75260" localSheetId="28" hidden="1">'NR6-RetailPL-13'!$G$66</definedName>
    <definedName name="QB_ROW_75260" localSheetId="26" hidden="1">'NR6-TotalPL-13'!$G$84</definedName>
    <definedName name="QB_ROW_75350" localSheetId="18" hidden="1">'BPT-PL-13'!$F$66</definedName>
    <definedName name="QB_ROW_75350" localSheetId="20" hidden="1">'CP-PL-13'!$F$90</definedName>
    <definedName name="QB_ROW_76030" localSheetId="30" hidden="1">'NR14-PL-13'!$D$12</definedName>
    <definedName name="QB_ROW_76040" localSheetId="40" hidden="1">'SPC-PL-13'!$E$89</definedName>
    <definedName name="QB_ROW_76040" localSheetId="44" hidden="1">'UST-PL-13'!$E$27</definedName>
    <definedName name="QB_ROW_76050" localSheetId="16" hidden="1">'ABP-PL-13'!$F$80</definedName>
    <definedName name="QB_ROW_76050" localSheetId="22" hidden="1">'DGS-PL-13'!$F$55</definedName>
    <definedName name="QB_ROW_76050" localSheetId="34" hidden="1">'OCP-PL-13'!$F$63</definedName>
    <definedName name="QB_ROW_76220" localSheetId="31" hidden="1">'NWC-BS-13'!$C$18</definedName>
    <definedName name="QB_ROW_76220" localSheetId="35" hidden="1">'OMI-BS-13'!$C$26</definedName>
    <definedName name="QB_ROW_76230" localSheetId="19" hidden="1">'CP-BS-13'!$D$12</definedName>
    <definedName name="QB_ROW_76230" localSheetId="38" hidden="1">'ROY-PL-13'!$D$8</definedName>
    <definedName name="QB_ROW_76240" localSheetId="46" hidden="1">'21Webb-PL-13'!$E$62</definedName>
    <definedName name="QB_ROW_76250" localSheetId="40" hidden="1">'SPC-PL-13'!$F$92</definedName>
    <definedName name="QB_ROW_76260" localSheetId="16" hidden="1">'ABP-PL-13'!$G$82</definedName>
    <definedName name="QB_ROW_76260" localSheetId="18" hidden="1">'BPT-PL-13'!$G$65</definedName>
    <definedName name="QB_ROW_76260" localSheetId="27" hidden="1">'NR6-OfficePL-13'!$G$64</definedName>
    <definedName name="QB_ROW_76260" localSheetId="28" hidden="1">'NR6-RetailPL-13'!$G$67</definedName>
    <definedName name="QB_ROW_76260" localSheetId="26" hidden="1">'NR6-TotalPL-13'!$G$85</definedName>
    <definedName name="QB_ROW_76260" localSheetId="34" hidden="1">'OCP-PL-13'!$G$66</definedName>
    <definedName name="QB_ROW_76330" localSheetId="30" hidden="1">'NR14-PL-13'!$D$29</definedName>
    <definedName name="QB_ROW_76340" localSheetId="40" hidden="1">'SPC-PL-13'!$E$93</definedName>
    <definedName name="QB_ROW_76340" localSheetId="44" hidden="1">'UST-PL-13'!$E$55</definedName>
    <definedName name="QB_ROW_76350" localSheetId="16" hidden="1">'ABP-PL-13'!$F$83</definedName>
    <definedName name="QB_ROW_76350" localSheetId="22" hidden="1">'DGS-PL-13'!$F$57</definedName>
    <definedName name="QB_ROW_76350" localSheetId="34" hidden="1">'OCP-PL-13'!$F$67</definedName>
    <definedName name="QB_ROW_77040" localSheetId="30" hidden="1">'NR14-PL-13'!$E$25</definedName>
    <definedName name="QB_ROW_77050" localSheetId="20" hidden="1">'CP-PL-13'!$F$65</definedName>
    <definedName name="QB_ROW_77220" localSheetId="15" hidden="1">'ABP-BS-13'!$C$55</definedName>
    <definedName name="QB_ROW_77240" localSheetId="46" hidden="1">'21Webb-PL-13'!$E$9</definedName>
    <definedName name="QB_ROW_77250" localSheetId="30" hidden="1">'NR14-PL-13'!$F$27</definedName>
    <definedName name="QB_ROW_77250" localSheetId="27" hidden="1">'NR6-OfficePL-13'!$F$76</definedName>
    <definedName name="QB_ROW_77250" localSheetId="28" hidden="1">'NR6-RetailPL-13'!$F$74</definedName>
    <definedName name="QB_ROW_77250" localSheetId="26" hidden="1">'NR6-TotalPL-13'!$F$97</definedName>
    <definedName name="QB_ROW_77250" localSheetId="32" hidden="1">'NWC-PL-13'!$F$35</definedName>
    <definedName name="QB_ROW_77250" localSheetId="40" hidden="1">'SPC-PL-13'!$F$64</definedName>
    <definedName name="QB_ROW_77250" localSheetId="44" hidden="1">'UST-PL-13'!$F$28</definedName>
    <definedName name="QB_ROW_77260" localSheetId="18" hidden="1">'BPT-PL-13'!$G$96</definedName>
    <definedName name="QB_ROW_77260" localSheetId="34" hidden="1">'OCP-PL-13'!$G$59</definedName>
    <definedName name="QB_ROW_77340" localSheetId="30" hidden="1">'NR14-PL-13'!$E$28</definedName>
    <definedName name="QB_ROW_77350" localSheetId="20" hidden="1">'CP-PL-13'!$F$68</definedName>
    <definedName name="QB_ROW_78030" localSheetId="38" hidden="1">'ROY-PL-13'!$D$34</definedName>
    <definedName name="QB_ROW_78050" localSheetId="20" hidden="1">'CP-PL-13'!$F$61</definedName>
    <definedName name="QB_ROW_78050" localSheetId="44" hidden="1">'UST-PL-13'!$F$31</definedName>
    <definedName name="QB_ROW_78220" localSheetId="29" hidden="1">'NR14-BS-13'!$C$19</definedName>
    <definedName name="QB_ROW_78220" localSheetId="25" hidden="1">'NR6-BS-13'!$C$60</definedName>
    <definedName name="QB_ROW_78220" localSheetId="35" hidden="1">'OMI-BS-13'!$C$28</definedName>
    <definedName name="QB_ROW_78230" localSheetId="32" hidden="1">'NWC-PL-13'!$D$10</definedName>
    <definedName name="QB_ROW_78250" localSheetId="40" hidden="1">'SPC-PL-13'!$F$113</definedName>
    <definedName name="QB_ROW_78260" localSheetId="18" hidden="1">'BPT-PL-13'!$G$64</definedName>
    <definedName name="QB_ROW_78260" localSheetId="34" hidden="1">'OCP-PL-13'!$G$97</definedName>
    <definedName name="QB_ROW_78260" localSheetId="44" hidden="1">'UST-PL-13'!$G$33</definedName>
    <definedName name="QB_ROW_78330" localSheetId="38" hidden="1">'ROY-PL-13'!$D$78</definedName>
    <definedName name="QB_ROW_78350" localSheetId="20" hidden="1">'CP-PL-13'!$F$64</definedName>
    <definedName name="QB_ROW_78350" localSheetId="44" hidden="1">'UST-PL-13'!$F$34</definedName>
    <definedName name="QB_ROW_79220" localSheetId="25" hidden="1">'NR6-BS-13'!$C$20</definedName>
    <definedName name="QB_ROW_79230" localSheetId="30" hidden="1">'NR14-PL-13'!$D$11</definedName>
    <definedName name="QB_ROW_79230" localSheetId="43" hidden="1">'UST-BS-13'!$D$28</definedName>
    <definedName name="QB_ROW_79240" localSheetId="46" hidden="1">'21Webb-PL-13'!$E$8</definedName>
    <definedName name="QB_ROW_79240" localSheetId="35" hidden="1">'OMI-BS-13'!$E$35</definedName>
    <definedName name="QB_ROW_80040" localSheetId="40" hidden="1">'SPC-PL-13'!$E$74</definedName>
    <definedName name="QB_ROW_8011" localSheetId="47" hidden="1">'127PAW-BS-13'!$B$17</definedName>
    <definedName name="QB_ROW_8011" localSheetId="45" hidden="1">'21Webb-BS-13'!$B$39</definedName>
    <definedName name="QB_ROW_8011" localSheetId="15" hidden="1">'ABP-BS-13'!$B$36</definedName>
    <definedName name="QB_ROW_8011" localSheetId="17" hidden="1">'BPT-BS-13'!$B$37</definedName>
    <definedName name="QB_ROW_8011" localSheetId="51" hidden="1">'BSQ-BS-13'!$B$27</definedName>
    <definedName name="QB_ROW_8011" localSheetId="19" hidden="1">'CP-BS-13'!$B$30</definedName>
    <definedName name="QB_ROW_8011" localSheetId="21" hidden="1">'DGS-BS-13'!$B$27</definedName>
    <definedName name="QB_ROW_8011" localSheetId="23" hidden="1">'NDV-BS-13'!$B$21</definedName>
    <definedName name="QB_ROW_8011" localSheetId="29" hidden="1">'NR14-BS-13'!$B$25</definedName>
    <definedName name="QB_ROW_8011" localSheetId="25" hidden="1">'NR6-BS-13'!$B$40</definedName>
    <definedName name="QB_ROW_8011" localSheetId="31" hidden="1">'NWC-BS-13'!$B$33</definedName>
    <definedName name="QB_ROW_8011" localSheetId="33" hidden="1">'OCP-BS-13'!$B$24</definedName>
    <definedName name="QB_ROW_8011" localSheetId="35" hidden="1">'OMI-BS-13'!$B$32</definedName>
    <definedName name="QB_ROW_8011" localSheetId="37" hidden="1">'ROY-BS-13'!$B$28</definedName>
    <definedName name="QB_ROW_8011" localSheetId="49" hidden="1">'RP21-BS-13'!$B$21</definedName>
    <definedName name="QB_ROW_8011" localSheetId="39" hidden="1">'SPC-BS-13'!$B$26</definedName>
    <definedName name="QB_ROW_8011" localSheetId="41" hidden="1">'TYP-BS-13'!$B$19</definedName>
    <definedName name="QB_ROW_8011" localSheetId="43" hidden="1">'UST-BS-13'!$B$34</definedName>
    <definedName name="QB_ROW_8011" localSheetId="53" hidden="1">'Wood96-BS-13'!$B$13</definedName>
    <definedName name="QB_ROW_80220" localSheetId="19" hidden="1">'CP-BS-13'!$C$47</definedName>
    <definedName name="QB_ROW_80220" localSheetId="25" hidden="1">'NR6-BS-13'!$C$21</definedName>
    <definedName name="QB_ROW_80230" localSheetId="43" hidden="1">'UST-BS-13'!$D$19</definedName>
    <definedName name="QB_ROW_80240" localSheetId="46" hidden="1">'21Webb-PL-13'!$E$6</definedName>
    <definedName name="QB_ROW_80240" localSheetId="30" hidden="1">'NR14-PL-13'!$E$51</definedName>
    <definedName name="QB_ROW_80240" localSheetId="35" hidden="1">'OMI-BS-13'!$E$40</definedName>
    <definedName name="QB_ROW_80250" localSheetId="16" hidden="1">'ABP-PL-13'!$F$105</definedName>
    <definedName name="QB_ROW_80250" localSheetId="34" hidden="1">'OCP-PL-13'!$F$36</definedName>
    <definedName name="QB_ROW_80260" localSheetId="22" hidden="1">'DGS-PL-13'!$G$56</definedName>
    <definedName name="QB_ROW_80340" localSheetId="40" hidden="1">'SPC-PL-13'!$E$77</definedName>
    <definedName name="QB_ROW_81040" localSheetId="40" hidden="1">'SPC-PL-13'!$E$70</definedName>
    <definedName name="QB_ROW_81050" localSheetId="18" hidden="1">'BPT-PL-13'!$F$82</definedName>
    <definedName name="QB_ROW_81220" localSheetId="31" hidden="1">'NWC-BS-13'!$C$17</definedName>
    <definedName name="QB_ROW_81240" localSheetId="46" hidden="1">'21Webb-PL-13'!$E$5</definedName>
    <definedName name="QB_ROW_81240" localSheetId="30" hidden="1">'NR14-PL-13'!$E$50</definedName>
    <definedName name="QB_ROW_81240" localSheetId="44" hidden="1">'UST-PL-13'!$E$17</definedName>
    <definedName name="QB_ROW_81250" localSheetId="40" hidden="1">'SPC-PL-13'!$F$72</definedName>
    <definedName name="QB_ROW_81260" localSheetId="18" hidden="1">'BPT-PL-13'!$G$84</definedName>
    <definedName name="QB_ROW_81260" localSheetId="20" hidden="1">'CP-PL-13'!$G$71</definedName>
    <definedName name="QB_ROW_81340" localSheetId="40" hidden="1">'SPC-PL-13'!$E$73</definedName>
    <definedName name="QB_ROW_81350" localSheetId="18" hidden="1">'BPT-PL-13'!$F$85</definedName>
    <definedName name="QB_ROW_82030" localSheetId="43" hidden="1">'UST-BS-13'!$D$15</definedName>
    <definedName name="QB_ROW_82050" localSheetId="18" hidden="1">'BPT-PL-13'!$F$57</definedName>
    <definedName name="QB_ROW_8220" localSheetId="31" hidden="1">'NWC-BS-13'!$C$55</definedName>
    <definedName name="QB_ROW_82230" localSheetId="34" hidden="1">'OCP-PL-13'!$D$138</definedName>
    <definedName name="QB_ROW_82230" localSheetId="37" hidden="1">'ROY-BS-13'!$D$12</definedName>
    <definedName name="QB_ROW_82240" localSheetId="16" hidden="1">'ABP-PL-13'!$E$116</definedName>
    <definedName name="QB_ROW_82240" localSheetId="30" hidden="1">'NR14-PL-13'!$E$49</definedName>
    <definedName name="QB_ROW_82240" localSheetId="43" hidden="1">'UST-BS-13'!$E$17</definedName>
    <definedName name="QB_ROW_82250" localSheetId="20" hidden="1">'CP-PL-13'!$F$20</definedName>
    <definedName name="QB_ROW_82250" localSheetId="40" hidden="1">'SPC-PL-13'!$F$47</definedName>
    <definedName name="QB_ROW_82260" localSheetId="18" hidden="1">'BPT-PL-13'!$G$61</definedName>
    <definedName name="QB_ROW_82330" localSheetId="43" hidden="1">'UST-BS-13'!$D$18</definedName>
    <definedName name="QB_ROW_82350" localSheetId="18" hidden="1">'BPT-PL-13'!$F$62</definedName>
    <definedName name="QB_ROW_8240" localSheetId="46" hidden="1">'21Webb-PL-13'!$E$4</definedName>
    <definedName name="QB_ROW_8240" localSheetId="22" hidden="1">'DGS-PL-13'!$E$7</definedName>
    <definedName name="QB_ROW_8240" localSheetId="30" hidden="1">'NR14-PL-13'!$E$40</definedName>
    <definedName name="QB_ROW_8240" localSheetId="34" hidden="1">'OCP-PL-13'!$E$12</definedName>
    <definedName name="QB_ROW_8240" localSheetId="36" hidden="1">'OMI-PL-13'!$E$10</definedName>
    <definedName name="QB_ROW_8240" localSheetId="39" hidden="1">'SPC-BS-13'!$E$29</definedName>
    <definedName name="QB_ROW_8240" localSheetId="44" hidden="1">'UST-PL-13'!$E$15</definedName>
    <definedName name="QB_ROW_8240" localSheetId="54" hidden="1">'Wood96-PL-13'!$E$4</definedName>
    <definedName name="QB_ROW_8250" localSheetId="20" hidden="1">'CP-PL-13'!$F$30</definedName>
    <definedName name="QB_ROW_83040" localSheetId="40" hidden="1">'SPC-PL-13'!$E$78</definedName>
    <definedName name="QB_ROW_8311" localSheetId="47" hidden="1">'127PAW-BS-13'!$B$23</definedName>
    <definedName name="QB_ROW_8311" localSheetId="45" hidden="1">'21Webb-BS-13'!$B$52</definedName>
    <definedName name="QB_ROW_8311" localSheetId="15" hidden="1">'ABP-BS-13'!$B$51</definedName>
    <definedName name="QB_ROW_8311" localSheetId="17" hidden="1">'BPT-BS-13'!$B$50</definedName>
    <definedName name="QB_ROW_8311" localSheetId="51" hidden="1">'BSQ-BS-13'!$B$40</definedName>
    <definedName name="QB_ROW_8311" localSheetId="19" hidden="1">'CP-BS-13'!$B$44</definedName>
    <definedName name="QB_ROW_8311" localSheetId="21" hidden="1">'DGS-BS-13'!$B$43</definedName>
    <definedName name="QB_ROW_8311" localSheetId="23" hidden="1">'NDV-BS-13'!$B$27</definedName>
    <definedName name="QB_ROW_8311" localSheetId="29" hidden="1">'NR14-BS-13'!$B$38</definedName>
    <definedName name="QB_ROW_8311" localSheetId="25" hidden="1">'NR6-BS-13'!$B$54</definedName>
    <definedName name="QB_ROW_8311" localSheetId="31" hidden="1">'NWC-BS-13'!$B$46</definedName>
    <definedName name="QB_ROW_8311" localSheetId="33" hidden="1">'OCP-BS-13'!$B$37</definedName>
    <definedName name="QB_ROW_8311" localSheetId="35" hidden="1">'OMI-BS-13'!$B$55</definedName>
    <definedName name="QB_ROW_8311" localSheetId="37" hidden="1">'ROY-BS-13'!$B$41</definedName>
    <definedName name="QB_ROW_8311" localSheetId="49" hidden="1">'RP21-BS-13'!$B$35</definedName>
    <definedName name="QB_ROW_8311" localSheetId="39" hidden="1">'SPC-BS-13'!$B$40</definedName>
    <definedName name="QB_ROW_8311" localSheetId="41" hidden="1">'TYP-BS-13'!$B$28</definedName>
    <definedName name="QB_ROW_8311" localSheetId="43" hidden="1">'UST-BS-13'!$B$48</definedName>
    <definedName name="QB_ROW_8311" localSheetId="53" hidden="1">'Wood96-BS-13'!$B$22</definedName>
    <definedName name="QB_ROW_83220" localSheetId="15" hidden="1">'ABP-BS-13'!$C$32</definedName>
    <definedName name="QB_ROW_83230" localSheetId="45" hidden="1">'21Webb-BS-13'!$D$7</definedName>
    <definedName name="QB_ROW_83240" localSheetId="30" hidden="1">'NR14-PL-13'!$E$24</definedName>
    <definedName name="QB_ROW_83250" localSheetId="20" hidden="1">'CP-PL-13'!$F$19</definedName>
    <definedName name="QB_ROW_83250" localSheetId="40" hidden="1">'SPC-PL-13'!$F$82</definedName>
    <definedName name="QB_ROW_83260" localSheetId="18" hidden="1">'BPT-PL-13'!$G$59</definedName>
    <definedName name="QB_ROW_83260" localSheetId="44" hidden="1">'UST-PL-13'!$G$79</definedName>
    <definedName name="QB_ROW_83340" localSheetId="40" hidden="1">'SPC-PL-13'!$E$83</definedName>
    <definedName name="QB_ROW_84040" localSheetId="38" hidden="1">'ROY-PL-13'!$E$51</definedName>
    <definedName name="QB_ROW_84050" localSheetId="34" hidden="1">'OCP-PL-13'!$F$83</definedName>
    <definedName name="QB_ROW_84220" localSheetId="45" hidden="1">'21Webb-BS-13'!$C$58</definedName>
    <definedName name="QB_ROW_84230" localSheetId="15" hidden="1">'ABP-BS-13'!$D$6</definedName>
    <definedName name="QB_ROW_84230" localSheetId="39" hidden="1">'SPC-BS-13'!$D$11</definedName>
    <definedName name="QB_ROW_84230" localSheetId="43" hidden="1">'UST-BS-13'!$D$13</definedName>
    <definedName name="QB_ROW_84240" localSheetId="36" hidden="1">'OMI-PL-13'!$E$12</definedName>
    <definedName name="QB_ROW_84260" localSheetId="18" hidden="1">'BPT-PL-13'!$G$60</definedName>
    <definedName name="QB_ROW_84260" localSheetId="20" hidden="1">'CP-PL-13'!$G$48</definedName>
    <definedName name="QB_ROW_84260" localSheetId="34" hidden="1">'OCP-PL-13'!$G$87</definedName>
    <definedName name="QB_ROW_84340" localSheetId="38" hidden="1">'ROY-PL-13'!$E$54</definedName>
    <definedName name="QB_ROW_84350" localSheetId="34" hidden="1">'OCP-PL-13'!$F$88</definedName>
    <definedName name="QB_ROW_85050" localSheetId="18" hidden="1">'BPT-PL-13'!$F$49</definedName>
    <definedName name="QB_ROW_85050" localSheetId="20" hidden="1">'CP-PL-13'!$F$74</definedName>
    <definedName name="QB_ROW_85230" localSheetId="45" hidden="1">'21Webb-BS-13'!$D$22</definedName>
    <definedName name="QB_ROW_85240" localSheetId="30" hidden="1">'NR14-PL-13'!$E$23</definedName>
    <definedName name="QB_ROW_85240" localSheetId="40" hidden="1">'SPC-PL-13'!$E$126</definedName>
    <definedName name="QB_ROW_85260" localSheetId="18" hidden="1">'BPT-PL-13'!$G$55</definedName>
    <definedName name="QB_ROW_85260" localSheetId="20" hidden="1">'CP-PL-13'!$G$76</definedName>
    <definedName name="QB_ROW_85260" localSheetId="44" hidden="1">'UST-PL-13'!$G$80</definedName>
    <definedName name="QB_ROW_85350" localSheetId="18" hidden="1">'BPT-PL-13'!$F$56</definedName>
    <definedName name="QB_ROW_85350" localSheetId="20" hidden="1">'CP-PL-13'!$F$77</definedName>
    <definedName name="QB_ROW_86050" localSheetId="22" hidden="1">'DGS-PL-13'!$F$77</definedName>
    <definedName name="QB_ROW_86220" localSheetId="25" hidden="1">'NR6-BS-13'!$C$34</definedName>
    <definedName name="QB_ROW_86230" localSheetId="45" hidden="1">'21Webb-BS-13'!$D$8</definedName>
    <definedName name="QB_ROW_86230" localSheetId="30" hidden="1">'NR14-PL-13'!$D$10</definedName>
    <definedName name="QB_ROW_86240" localSheetId="15" hidden="1">'ABP-BS-13'!$E$44</definedName>
    <definedName name="QB_ROW_86240" localSheetId="32" hidden="1">'NWC-PL-13'!$E$182</definedName>
    <definedName name="QB_ROW_86240" localSheetId="39" hidden="1">'SPC-BS-13'!$E$32</definedName>
    <definedName name="QB_ROW_86260" localSheetId="18" hidden="1">'BPT-PL-13'!$G$51</definedName>
    <definedName name="QB_ROW_86260" localSheetId="22" hidden="1">'DGS-PL-13'!$G$80</definedName>
    <definedName name="QB_ROW_86260" localSheetId="34" hidden="1">'OCP-PL-13'!$G$49</definedName>
    <definedName name="QB_ROW_86260" localSheetId="44" hidden="1">'UST-PL-13'!$G$81</definedName>
    <definedName name="QB_ROW_86321" localSheetId="46" hidden="1">'21Webb-PL-13'!$C$11</definedName>
    <definedName name="QB_ROW_86321" localSheetId="16" hidden="1">'ABP-PL-13'!$C$11</definedName>
    <definedName name="QB_ROW_86321" localSheetId="18" hidden="1">'BPT-PL-13'!$C$13</definedName>
    <definedName name="QB_ROW_86321" localSheetId="20" hidden="1">'CP-PL-13'!$C$11</definedName>
    <definedName name="QB_ROW_86321" localSheetId="22" hidden="1">'DGS-PL-13'!$C$10</definedName>
    <definedName name="QB_ROW_86321" localSheetId="27" hidden="1">'NR6-OfficePL-13'!$C$7</definedName>
    <definedName name="QB_ROW_86321" localSheetId="28" hidden="1">'NR6-RetailPL-13'!$C$13</definedName>
    <definedName name="QB_ROW_86321" localSheetId="26" hidden="1">'NR6-TotalPL-13'!$C$13</definedName>
    <definedName name="QB_ROW_86321" localSheetId="34" hidden="1">'OCP-PL-13'!$C$17</definedName>
    <definedName name="QB_ROW_86321" localSheetId="36" hidden="1">'OMI-PL-13'!$C$14</definedName>
    <definedName name="QB_ROW_86321" localSheetId="44" hidden="1">'UST-PL-13'!$C$11</definedName>
    <definedName name="QB_ROW_86350" localSheetId="20" hidden="1">'CP-PL-13'!$F$51</definedName>
    <definedName name="QB_ROW_86350" localSheetId="22" hidden="1">'DGS-PL-13'!$F$81</definedName>
    <definedName name="QB_ROW_87040" localSheetId="38" hidden="1">'ROY-PL-13'!$E$46</definedName>
    <definedName name="QB_ROW_87050" localSheetId="34" hidden="1">'OCP-PL-13'!$F$105</definedName>
    <definedName name="QB_ROW_87230" localSheetId="45" hidden="1">'21Webb-BS-13'!$D$27</definedName>
    <definedName name="QB_ROW_87230" localSheetId="15" hidden="1">'ABP-BS-13'!$D$48</definedName>
    <definedName name="QB_ROW_87230" localSheetId="25" hidden="1">'NR6-BS-13'!$D$14</definedName>
    <definedName name="QB_ROW_87240" localSheetId="30" hidden="1">'NR14-PL-13'!$E$22</definedName>
    <definedName name="QB_ROW_87250" localSheetId="38" hidden="1">'ROY-PL-13'!$F$49</definedName>
    <definedName name="QB_ROW_87260" localSheetId="44" hidden="1">'UST-PL-13'!$G$78</definedName>
    <definedName name="QB_ROW_87340" localSheetId="38" hidden="1">'ROY-PL-13'!$E$50</definedName>
    <definedName name="QB_ROW_87350" localSheetId="22" hidden="1">'DGS-PL-13'!$F$96</definedName>
    <definedName name="QB_ROW_87350" localSheetId="34" hidden="1">'OCP-PL-13'!$F$108</definedName>
    <definedName name="QB_ROW_88040" localSheetId="46" hidden="1">'21Webb-PL-13'!$E$39</definedName>
    <definedName name="QB_ROW_88050" localSheetId="18" hidden="1">'BPT-PL-13'!$F$101</definedName>
    <definedName name="QB_ROW_88220" localSheetId="15" hidden="1">'ABP-BS-13'!$C$30</definedName>
    <definedName name="QB_ROW_88230" localSheetId="29" hidden="1">'NR14-BS-13'!$D$8</definedName>
    <definedName name="QB_ROW_88250" localSheetId="46" hidden="1">'21Webb-PL-13'!$F$40</definedName>
    <definedName name="QB_ROW_88250" localSheetId="38" hidden="1">'ROY-PL-13'!$F$47</definedName>
    <definedName name="QB_ROW_88250" localSheetId="40" hidden="1">'SPC-PL-13'!$F$111</definedName>
    <definedName name="QB_ROW_88250" localSheetId="44" hidden="1">'UST-PL-13'!$F$52</definedName>
    <definedName name="QB_ROW_88260" localSheetId="18" hidden="1">'BPT-PL-13'!$G$103</definedName>
    <definedName name="QB_ROW_88340" localSheetId="46" hidden="1">'21Webb-PL-13'!$E$61</definedName>
    <definedName name="QB_ROW_88350" localSheetId="18" hidden="1">'BPT-PL-13'!$F$104</definedName>
    <definedName name="QB_ROW_89050" localSheetId="20" hidden="1">'CP-PL-13'!$F$44</definedName>
    <definedName name="QB_ROW_89220" localSheetId="15" hidden="1">'ABP-BS-13'!$C$31</definedName>
    <definedName name="QB_ROW_89250" localSheetId="46" hidden="1">'21Webb-PL-13'!$F$53</definedName>
    <definedName name="QB_ROW_89250" localSheetId="30" hidden="1">'NR14-PL-13'!$F$42</definedName>
    <definedName name="QB_ROW_89250" localSheetId="38" hidden="1">'ROY-PL-13'!$F$48</definedName>
    <definedName name="QB_ROW_89260" localSheetId="18" hidden="1">'BPT-PL-13'!$G$102</definedName>
    <definedName name="QB_ROW_89260" localSheetId="44" hidden="1">'UST-PL-13'!$G$50</definedName>
    <definedName name="QB_ROW_89350" localSheetId="20" hidden="1">'CP-PL-13'!$F$50</definedName>
    <definedName name="QB_ROW_90050" localSheetId="46" hidden="1">'21Webb-PL-13'!$F$47</definedName>
    <definedName name="QB_ROW_90050" localSheetId="32" hidden="1">'NWC-PL-13'!$F$72</definedName>
    <definedName name="QB_ROW_90050" localSheetId="34" hidden="1">'OCP-PL-13'!$F$95</definedName>
    <definedName name="QB_ROW_9021" localSheetId="47" hidden="1">'127PAW-BS-13'!$C$18</definedName>
    <definedName name="QB_ROW_9021" localSheetId="45" hidden="1">'21Webb-BS-13'!$C$40</definedName>
    <definedName name="QB_ROW_9021" localSheetId="15" hidden="1">'ABP-BS-13'!$C$37</definedName>
    <definedName name="QB_ROW_9021" localSheetId="17" hidden="1">'BPT-BS-13'!$C$38</definedName>
    <definedName name="QB_ROW_9021" localSheetId="51" hidden="1">'BSQ-BS-13'!$C$28</definedName>
    <definedName name="QB_ROW_9021" localSheetId="19" hidden="1">'CP-BS-13'!$C$31</definedName>
    <definedName name="QB_ROW_9021" localSheetId="21" hidden="1">'DGS-BS-13'!$C$28</definedName>
    <definedName name="QB_ROW_9021" localSheetId="23" hidden="1">'NDV-BS-13'!$C$22</definedName>
    <definedName name="QB_ROW_9021" localSheetId="29" hidden="1">'NR14-BS-13'!$C$26</definedName>
    <definedName name="QB_ROW_9021" localSheetId="25" hidden="1">'NR6-BS-13'!$C$41</definedName>
    <definedName name="QB_ROW_9021" localSheetId="31" hidden="1">'NWC-BS-13'!$C$34</definedName>
    <definedName name="QB_ROW_9021" localSheetId="33" hidden="1">'OCP-BS-13'!$C$25</definedName>
    <definedName name="QB_ROW_9021" localSheetId="35" hidden="1">'OMI-BS-13'!$C$33</definedName>
    <definedName name="QB_ROW_9021" localSheetId="37" hidden="1">'ROY-BS-13'!$C$29</definedName>
    <definedName name="QB_ROW_9021" localSheetId="49" hidden="1">'RP21-BS-13'!$C$22</definedName>
    <definedName name="QB_ROW_9021" localSheetId="39" hidden="1">'SPC-BS-13'!$C$27</definedName>
    <definedName name="QB_ROW_9021" localSheetId="41" hidden="1">'TYP-BS-13'!$C$20</definedName>
    <definedName name="QB_ROW_9021" localSheetId="43" hidden="1">'UST-BS-13'!$C$35</definedName>
    <definedName name="QB_ROW_9021" localSheetId="53" hidden="1">'Wood96-BS-13'!$C$14</definedName>
    <definedName name="QB_ROW_90240" localSheetId="16" hidden="1">'ABP-PL-13'!$E$115</definedName>
    <definedName name="QB_ROW_90240" localSheetId="30" hidden="1">'NR14-PL-13'!$E$21</definedName>
    <definedName name="QB_ROW_90240" localSheetId="38" hidden="1">'ROY-PL-13'!$E$59</definedName>
    <definedName name="QB_ROW_90250" localSheetId="44" hidden="1">'UST-PL-13'!$F$46</definedName>
    <definedName name="QB_ROW_90260" localSheetId="46" hidden="1">'21Webb-PL-13'!$G$50</definedName>
    <definedName name="QB_ROW_90260" localSheetId="20" hidden="1">'CP-PL-13'!$G$45</definedName>
    <definedName name="QB_ROW_90260" localSheetId="34" hidden="1">'OCP-PL-13'!$G$102</definedName>
    <definedName name="QB_ROW_90350" localSheetId="46" hidden="1">'21Webb-PL-13'!$F$51</definedName>
    <definedName name="QB_ROW_90350" localSheetId="32" hidden="1">'NWC-PL-13'!$F$98</definedName>
    <definedName name="QB_ROW_90350" localSheetId="34" hidden="1">'OCP-PL-13'!$F$103</definedName>
    <definedName name="QB_ROW_91040" localSheetId="16" hidden="1">'ABP-PL-13'!$E$102</definedName>
    <definedName name="QB_ROW_91040" localSheetId="40" hidden="1">'SPC-PL-13'!$E$109</definedName>
    <definedName name="QB_ROW_91050" localSheetId="18" hidden="1">'BPT-PL-13'!$F$73</definedName>
    <definedName name="QB_ROW_91050" localSheetId="22" hidden="1">'DGS-PL-13'!$F$82</definedName>
    <definedName name="QB_ROW_91050" localSheetId="44" hidden="1">'UST-PL-13'!$F$35</definedName>
    <definedName name="QB_ROW_91220" localSheetId="25" hidden="1">'NR6-BS-13'!$C$23</definedName>
    <definedName name="QB_ROW_91220" localSheetId="31" hidden="1">'NWC-BS-13'!$C$25</definedName>
    <definedName name="QB_ROW_91240" localSheetId="30" hidden="1">'NR14-PL-13'!$E$57</definedName>
    <definedName name="QB_ROW_91250" localSheetId="46" hidden="1">'21Webb-PL-13'!$F$52</definedName>
    <definedName name="QB_ROW_91250" localSheetId="40" hidden="1">'SPC-PL-13'!$F$115</definedName>
    <definedName name="QB_ROW_91260" localSheetId="20" hidden="1">'CP-PL-13'!$G$46</definedName>
    <definedName name="QB_ROW_91260" localSheetId="22" hidden="1">'DGS-PL-13'!$G$85</definedName>
    <definedName name="QB_ROW_91340" localSheetId="16" hidden="1">'ABP-PL-13'!$E$107</definedName>
    <definedName name="QB_ROW_91340" localSheetId="40" hidden="1">'SPC-PL-13'!$E$116</definedName>
    <definedName name="QB_ROW_91350" localSheetId="18" hidden="1">'BPT-PL-13'!$F$76</definedName>
    <definedName name="QB_ROW_91350" localSheetId="22" hidden="1">'DGS-PL-13'!$F$86</definedName>
    <definedName name="QB_ROW_91350" localSheetId="44" hidden="1">'UST-PL-13'!$F$37</definedName>
    <definedName name="QB_ROW_92030" localSheetId="32" hidden="1">'NWC-PL-13'!$D$109</definedName>
    <definedName name="QB_ROW_92050" localSheetId="18" hidden="1">'BPT-PL-13'!$F$91</definedName>
    <definedName name="QB_ROW_92050" localSheetId="20" hidden="1">'CP-PL-13'!$F$78</definedName>
    <definedName name="QB_ROW_92050" localSheetId="22" hidden="1">'DGS-PL-13'!$F$58</definedName>
    <definedName name="QB_ROW_9220" localSheetId="17" hidden="1">'BPT-BS-13'!$C$16</definedName>
    <definedName name="QB_ROW_9220" localSheetId="31" hidden="1">'NWC-BS-13'!$C$51</definedName>
    <definedName name="QB_ROW_9220" localSheetId="39" hidden="1">'SPC-BS-13'!$C$42</definedName>
    <definedName name="QB_ROW_92220" localSheetId="25" hidden="1">'NR6-BS-13'!$C$30</definedName>
    <definedName name="QB_ROW_92220" localSheetId="37" hidden="1">'ROY-BS-13'!$C$16</definedName>
    <definedName name="QB_ROW_92240" localSheetId="30" hidden="1">'NR14-PL-13'!$E$20</definedName>
    <definedName name="QB_ROW_92250" localSheetId="46" hidden="1">'21Webb-PL-13'!$F$15</definedName>
    <definedName name="QB_ROW_92250" localSheetId="16" hidden="1">'ABP-PL-13'!$F$106</definedName>
    <definedName name="QB_ROW_92250" localSheetId="40" hidden="1">'SPC-PL-13'!$F$90</definedName>
    <definedName name="QB_ROW_92260" localSheetId="20" hidden="1">'CP-PL-13'!$G$80</definedName>
    <definedName name="QB_ROW_92260" localSheetId="22" hidden="1">'DGS-PL-13'!$G$62</definedName>
    <definedName name="QB_ROW_92260" localSheetId="44" hidden="1">'UST-PL-13'!$G$36</definedName>
    <definedName name="QB_ROW_92330" localSheetId="32" hidden="1">'NWC-PL-13'!$D$179</definedName>
    <definedName name="QB_ROW_92340" localSheetId="36" hidden="1">'OMI-PL-13'!$E$24</definedName>
    <definedName name="QB_ROW_92350" localSheetId="18" hidden="1">'BPT-PL-13'!$F$93</definedName>
    <definedName name="QB_ROW_92350" localSheetId="20" hidden="1">'CP-PL-13'!$F$81</definedName>
    <definedName name="QB_ROW_92350" localSheetId="22" hidden="1">'DGS-PL-13'!$F$63</definedName>
    <definedName name="QB_ROW_9250" localSheetId="26" hidden="1">'NR6-TotalPL-13'!$F$141</definedName>
    <definedName name="QB_ROW_9260" localSheetId="22" hidden="1">'DGS-PL-13'!$G$26</definedName>
    <definedName name="QB_ROW_93050" localSheetId="46" hidden="1">'21Webb-PL-13'!$F$54</definedName>
    <definedName name="QB_ROW_93050" localSheetId="18" hidden="1">'BPT-PL-13'!$F$67</definedName>
    <definedName name="QB_ROW_9321" localSheetId="47" hidden="1">'127PAW-BS-13'!$C$22</definedName>
    <definedName name="QB_ROW_9321" localSheetId="45" hidden="1">'21Webb-BS-13'!$C$48</definedName>
    <definedName name="QB_ROW_9321" localSheetId="15" hidden="1">'ABP-BS-13'!$C$46</definedName>
    <definedName name="QB_ROW_9321" localSheetId="17" hidden="1">'BPT-BS-13'!$C$46</definedName>
    <definedName name="QB_ROW_9321" localSheetId="51" hidden="1">'BSQ-BS-13'!$C$39</definedName>
    <definedName name="QB_ROW_9321" localSheetId="19" hidden="1">'CP-BS-13'!$C$39</definedName>
    <definedName name="QB_ROW_9321" localSheetId="21" hidden="1">'DGS-BS-13'!$C$37</definedName>
    <definedName name="QB_ROW_9321" localSheetId="23" hidden="1">'NDV-BS-13'!$C$26</definedName>
    <definedName name="QB_ROW_9321" localSheetId="29" hidden="1">'NR14-BS-13'!$C$34</definedName>
    <definedName name="QB_ROW_9321" localSheetId="25" hidden="1">'NR6-BS-13'!$C$49</definedName>
    <definedName name="QB_ROW_9321" localSheetId="31" hidden="1">'NWC-BS-13'!$C$42</definedName>
    <definedName name="QB_ROW_9321" localSheetId="33" hidden="1">'OCP-BS-13'!$C$33</definedName>
    <definedName name="QB_ROW_9321" localSheetId="35" hidden="1">'OMI-BS-13'!$C$49</definedName>
    <definedName name="QB_ROW_9321" localSheetId="37" hidden="1">'ROY-BS-13'!$C$37</definedName>
    <definedName name="QB_ROW_9321" localSheetId="49" hidden="1">'RP21-BS-13'!$C$34</definedName>
    <definedName name="QB_ROW_9321" localSheetId="39" hidden="1">'SPC-BS-13'!$C$35</definedName>
    <definedName name="QB_ROW_9321" localSheetId="41" hidden="1">'TYP-BS-13'!$C$27</definedName>
    <definedName name="QB_ROW_9321" localSheetId="43" hidden="1">'UST-BS-13'!$C$43</definedName>
    <definedName name="QB_ROW_9321" localSheetId="53" hidden="1">'Wood96-BS-13'!$C$21</definedName>
    <definedName name="QB_ROW_93230" localSheetId="33" hidden="1">'OCP-BS-13'!$D$6</definedName>
    <definedName name="QB_ROW_93240" localSheetId="30" hidden="1">'NR14-PL-13'!$E$19</definedName>
    <definedName name="QB_ROW_93240" localSheetId="27" hidden="1">'NR6-OfficePL-13'!$E$4</definedName>
    <definedName name="QB_ROW_93240" localSheetId="28" hidden="1">'NR6-RetailPL-13'!$E$4</definedName>
    <definedName name="QB_ROW_93240" localSheetId="26" hidden="1">'NR6-TotalPL-13'!$E$4</definedName>
    <definedName name="QB_ROW_93250" localSheetId="40" hidden="1">'SPC-PL-13'!$F$91</definedName>
    <definedName name="QB_ROW_93250" localSheetId="44" hidden="1">'UST-PL-13'!$F$30</definedName>
    <definedName name="QB_ROW_93260" localSheetId="18" hidden="1">'BPT-PL-13'!$G$71</definedName>
    <definedName name="QB_ROW_93260" localSheetId="20" hidden="1">'CP-PL-13'!$G$83</definedName>
    <definedName name="QB_ROW_93260" localSheetId="22" hidden="1">'DGS-PL-13'!$G$60</definedName>
    <definedName name="QB_ROW_93350" localSheetId="46" hidden="1">'21Webb-PL-13'!$F$56</definedName>
    <definedName name="QB_ROW_93350" localSheetId="18" hidden="1">'BPT-PL-13'!$F$72</definedName>
    <definedName name="QB_ROW_94230" localSheetId="40" hidden="1">'SPC-PL-13'!$D$140</definedName>
    <definedName name="QB_ROW_94240" localSheetId="20" hidden="1">'CP-PL-13'!$E$8</definedName>
    <definedName name="QB_ROW_94240" localSheetId="30" hidden="1">'NR14-PL-13'!$E$56</definedName>
    <definedName name="QB_ROW_94240" localSheetId="25" hidden="1">'NR6-BS-13'!$E$46</definedName>
    <definedName name="QB_ROW_94260" localSheetId="46" hidden="1">'21Webb-PL-13'!$G$55</definedName>
    <definedName name="QB_ROW_94260" localSheetId="16" hidden="1">'ABP-PL-13'!$G$27</definedName>
    <definedName name="QB_ROW_94260" localSheetId="18" hidden="1">'BPT-PL-13'!$G$69</definedName>
    <definedName name="QB_ROW_94260" localSheetId="22" hidden="1">'DGS-PL-13'!$G$61</definedName>
    <definedName name="QB_ROW_94260" localSheetId="44" hidden="1">'UST-PL-13'!$G$91</definedName>
    <definedName name="QB_ROW_95030" localSheetId="30" hidden="1">'NR14-PL-13'!$D$71</definedName>
    <definedName name="QB_ROW_95220" localSheetId="15" hidden="1">'ABP-BS-13'!$C$53</definedName>
    <definedName name="QB_ROW_95220" localSheetId="37" hidden="1">'ROY-BS-13'!$C$24</definedName>
    <definedName name="QB_ROW_95220" localSheetId="39" hidden="1">'SPC-BS-13'!$C$22</definedName>
    <definedName name="QB_ROW_95230" localSheetId="25" hidden="1">'NR6-BS-13'!$D$11</definedName>
    <definedName name="QB_ROW_95240" localSheetId="32" hidden="1">'NWC-PL-13'!$E$143</definedName>
    <definedName name="QB_ROW_95250" localSheetId="22" hidden="1">'DGS-PL-13'!$F$99</definedName>
    <definedName name="QB_ROW_95260" localSheetId="46" hidden="1">'21Webb-PL-13'!$G$49</definedName>
    <definedName name="QB_ROW_95260" localSheetId="18" hidden="1">'BPT-PL-13'!$G$70</definedName>
    <definedName name="QB_ROW_95260" localSheetId="20" hidden="1">'CP-PL-13'!$G$24</definedName>
    <definedName name="QB_ROW_95260" localSheetId="44" hidden="1">'UST-PL-13'!$G$90</definedName>
    <definedName name="QB_ROW_95330" localSheetId="30" hidden="1">'NR14-PL-13'!$D$73</definedName>
    <definedName name="QB_ROW_96040" localSheetId="32" hidden="1">'NWC-PL-13'!$E$128</definedName>
    <definedName name="QB_ROW_96220" localSheetId="37" hidden="1">'ROY-BS-13'!$C$22</definedName>
    <definedName name="QB_ROW_96240" localSheetId="30" hidden="1">'NR14-PL-13'!$E$72</definedName>
    <definedName name="QB_ROW_96250" localSheetId="16" hidden="1">'ABP-PL-13'!$F$42</definedName>
    <definedName name="QB_ROW_96250" localSheetId="32" hidden="1">'NWC-PL-13'!$F$131</definedName>
    <definedName name="QB_ROW_96260" localSheetId="46" hidden="1">'21Webb-PL-13'!$G$48</definedName>
    <definedName name="QB_ROW_96260" localSheetId="18" hidden="1">'BPT-PL-13'!$G$78</definedName>
    <definedName name="QB_ROW_96260" localSheetId="20" hidden="1">'CP-PL-13'!$G$26</definedName>
    <definedName name="QB_ROW_96260" localSheetId="44" hidden="1">'UST-PL-13'!$G$24</definedName>
    <definedName name="QB_ROW_96340" localSheetId="32" hidden="1">'NWC-PL-13'!$E$132</definedName>
    <definedName name="QB_ROW_97040" localSheetId="30" hidden="1">'NR14-PL-13'!$E$13</definedName>
    <definedName name="QB_ROW_97230" localSheetId="45" hidden="1">'21Webb-BS-13'!$D$6</definedName>
    <definedName name="QB_ROW_97250" localSheetId="38" hidden="1">'ROY-PL-13'!$F$72</definedName>
    <definedName name="QB_ROW_97250" localSheetId="44" hidden="1">'UST-PL-13'!$F$54</definedName>
    <definedName name="QB_ROW_97260" localSheetId="16" hidden="1">'ABP-PL-13'!$G$59</definedName>
    <definedName name="QB_ROW_97260" localSheetId="20" hidden="1">'CP-PL-13'!$G$47</definedName>
    <definedName name="QB_ROW_97340" localSheetId="30" hidden="1">'NR14-PL-13'!$E$18</definedName>
    <definedName name="QB_ROW_98040" localSheetId="32" hidden="1">'NWC-PL-13'!$E$110</definedName>
    <definedName name="QB_ROW_98050" localSheetId="46" hidden="1">'21Webb-PL-13'!$F$29</definedName>
    <definedName name="QB_ROW_98220" localSheetId="17" hidden="1">'BPT-BS-13'!$C$28</definedName>
    <definedName name="QB_ROW_98220" localSheetId="25" hidden="1">'NR6-BS-13'!$C$29</definedName>
    <definedName name="QB_ROW_98230" localSheetId="15" hidden="1">'ABP-BS-13'!$D$14</definedName>
    <definedName name="QB_ROW_98240" localSheetId="44" hidden="1">'UST-PL-13'!$E$14</definedName>
    <definedName name="QB_ROW_98250" localSheetId="30" hidden="1">'NR14-PL-13'!$F$17</definedName>
    <definedName name="QB_ROW_98250" localSheetId="38" hidden="1">'ROY-PL-13'!$F$73</definedName>
    <definedName name="QB_ROW_98260" localSheetId="20" hidden="1">'CP-PL-13'!$G$49</definedName>
    <definedName name="QB_ROW_98340" localSheetId="32" hidden="1">'NWC-PL-13'!$E$117</definedName>
    <definedName name="QB_ROW_98350" localSheetId="46" hidden="1">'21Webb-PL-13'!$F$31</definedName>
    <definedName name="QB_ROW_99040" localSheetId="32" hidden="1">'NWC-PL-13'!$E$149</definedName>
    <definedName name="QB_ROW_99220" localSheetId="29" hidden="1">'NR14-BS-13'!$C$13</definedName>
    <definedName name="QB_ROW_99230" localSheetId="17" hidden="1">'BPT-BS-13'!$D$12</definedName>
    <definedName name="QB_ROW_99230" localSheetId="39" hidden="1">'SPC-BS-13'!$D$37</definedName>
    <definedName name="QB_ROW_99250" localSheetId="32" hidden="1">'NWC-PL-13'!$F$152</definedName>
    <definedName name="QB_ROW_99260" localSheetId="46" hidden="1">'21Webb-PL-13'!$G$30</definedName>
    <definedName name="QB_ROW_99260" localSheetId="16" hidden="1">'ABP-PL-13'!$G$38</definedName>
    <definedName name="QB_ROW_99260" localSheetId="34" hidden="1">'OCP-PL-13'!$G$92</definedName>
    <definedName name="QB_ROW_99260" localSheetId="44" hidden="1">'UST-PL-13'!$G$84</definedName>
    <definedName name="QB_ROW_99340" localSheetId="32" hidden="1">'NWC-PL-13'!$E$153</definedName>
    <definedName name="QBCANSUPPORTUPDATE" localSheetId="47">TRUE</definedName>
    <definedName name="QBCANSUPPORTUPDATE" localSheetId="48">TRUE</definedName>
    <definedName name="QBCANSUPPORTUPDATE" localSheetId="45">TRUE</definedName>
    <definedName name="QBCANSUPPORTUPDATE" localSheetId="46">TRUE</definedName>
    <definedName name="QBCANSUPPORTUPDATE" localSheetId="15">TRUE</definedName>
    <definedName name="QBCANSUPPORTUPDATE" localSheetId="16">TRUE</definedName>
    <definedName name="QBCANSUPPORTUPDATE" localSheetId="17">TRUE</definedName>
    <definedName name="QBCANSUPPORTUPDATE" localSheetId="18">TRUE</definedName>
    <definedName name="QBCANSUPPORTUPDATE" localSheetId="51">TRUE</definedName>
    <definedName name="QBCANSUPPORTUPDATE" localSheetId="52">TRUE</definedName>
    <definedName name="QBCANSUPPORTUPDATE" localSheetId="19">TRUE</definedName>
    <definedName name="QBCANSUPPORTUPDATE" localSheetId="20">TRUE</definedName>
    <definedName name="QBCANSUPPORTUPDATE" localSheetId="21">TRUE</definedName>
    <definedName name="QBCANSUPPORTUPDATE" localSheetId="22">TRUE</definedName>
    <definedName name="QBCANSUPPORTUPDATE" localSheetId="23">TRUE</definedName>
    <definedName name="QBCANSUPPORTUPDATE" localSheetId="24">TRUE</definedName>
    <definedName name="QBCANSUPPORTUPDATE" localSheetId="29">TRUE</definedName>
    <definedName name="QBCANSUPPORTUPDATE" localSheetId="30">TRUE</definedName>
    <definedName name="QBCANSUPPORTUPDATE" localSheetId="25">TRUE</definedName>
    <definedName name="QBCANSUPPORTUPDATE" localSheetId="27">TRUE</definedName>
    <definedName name="QBCANSUPPORTUPDATE" localSheetId="28">TRUE</definedName>
    <definedName name="QBCANSUPPORTUPDATE" localSheetId="26">TRUE</definedName>
    <definedName name="QBCANSUPPORTUPDATE" localSheetId="31">TRUE</definedName>
    <definedName name="QBCANSUPPORTUPDATE" localSheetId="32">TRUE</definedName>
    <definedName name="QBCANSUPPORTUPDATE" localSheetId="33">TRUE</definedName>
    <definedName name="QBCANSUPPORTUPDATE" localSheetId="34">TRUE</definedName>
    <definedName name="QBCANSUPPORTUPDATE" localSheetId="35">TRUE</definedName>
    <definedName name="QBCANSUPPORTUPDATE" localSheetId="36">TRUE</definedName>
    <definedName name="QBCANSUPPORTUPDATE" localSheetId="37">TRUE</definedName>
    <definedName name="QBCANSUPPORTUPDATE" localSheetId="38">TRUE</definedName>
    <definedName name="QBCANSUPPORTUPDATE" localSheetId="49">TRUE</definedName>
    <definedName name="QBCANSUPPORTUPDATE" localSheetId="50">TRUE</definedName>
    <definedName name="QBCANSUPPORTUPDATE" localSheetId="39">TRUE</definedName>
    <definedName name="QBCANSUPPORTUPDATE" localSheetId="40">TRUE</definedName>
    <definedName name="QBCANSUPPORTUPDATE" localSheetId="41">TRUE</definedName>
    <definedName name="QBCANSUPPORTUPDATE" localSheetId="42">TRUE</definedName>
    <definedName name="QBCANSUPPORTUPDATE" localSheetId="43">TRUE</definedName>
    <definedName name="QBCANSUPPORTUPDATE" localSheetId="44">TRUE</definedName>
    <definedName name="QBCANSUPPORTUPDATE" localSheetId="53">TRUE</definedName>
    <definedName name="QBCANSUPPORTUPDATE" localSheetId="54">TRUE</definedName>
    <definedName name="QBCOMPANYFILENAME" localSheetId="47">"T:\QB Working Files\127 PAW, LLC..QBW"</definedName>
    <definedName name="QBCOMPANYFILENAME" localSheetId="48">"T:\QB Working Files\127 PAW, LLC..QBW"</definedName>
    <definedName name="QBCOMPANYFILENAME" localSheetId="45">"T:\QB Working Files\21Webb LLC.QBW"</definedName>
    <definedName name="QBCOMPANYFILENAME" localSheetId="46">"T:\QB Working Files\21Webb LLC.QBW"</definedName>
    <definedName name="QBCOMPANYFILENAME" localSheetId="15">"T:\QB Working Files\Auburn Pointe, LLC.QBW"</definedName>
    <definedName name="QBCOMPANYFILENAME" localSheetId="16">"T:\QB Working Files\Auburn Pointe, LLC.QBW"</definedName>
    <definedName name="QBCOMPANYFILENAME" localSheetId="17">"T:\QB Working Files\BelPointe, LLC.QBW"</definedName>
    <definedName name="QBCOMPANYFILENAME" localSheetId="18">"T:\QB Working Files\BelPointe, LLC.QBW"</definedName>
    <definedName name="QBCOMPANYFILENAME" localSheetId="51">"T:\QB Working Files\Bristol Square, LLC.QBW"</definedName>
    <definedName name="QBCOMPANYFILENAME" localSheetId="52">"T:\QB Working Files\Bristol Square, LLC.QBW"</definedName>
    <definedName name="QBCOMPANYFILENAME" localSheetId="19">"T:\QB Working Files\Central Plaza, LLC.QBW"</definedName>
    <definedName name="QBCOMPANYFILENAME" localSheetId="20">"T:\QB Working Files\Central Plaza, LLC.QBW"</definedName>
    <definedName name="QBCOMPANYFILENAME" localSheetId="21">"T:\QB Working Files\Douglas, LLC.QBW"</definedName>
    <definedName name="QBCOMPANYFILENAME" localSheetId="22">"T:\QB Working Files\Douglas, LLC.QBW"</definedName>
    <definedName name="QBCOMPANYFILENAME" localSheetId="23">"T:\QB Working Files\NDV Real Estate LLC.QBW"</definedName>
    <definedName name="QBCOMPANYFILENAME" localSheetId="24">"T:\QB Working Files\NDV Real Estate LLC.QBW"</definedName>
    <definedName name="QBCOMPANYFILENAME" localSheetId="29">"T:\QB Working Files\NR 14, LLC..QBW"</definedName>
    <definedName name="QBCOMPANYFILENAME" localSheetId="30">"T:\QB Working Files\NR 14, LLC..QBW"</definedName>
    <definedName name="QBCOMPANYFILENAME" localSheetId="25">"T:\QB Working Files\NR6, LLC.QBW"</definedName>
    <definedName name="QBCOMPANYFILENAME" localSheetId="27">"T:\QB Working Files\NR6, LLC.QBW"</definedName>
    <definedName name="QBCOMPANYFILENAME" localSheetId="28">"T:\QB Working Files\NR6, LLC.QBW"</definedName>
    <definedName name="QBCOMPANYFILENAME" localSheetId="26">"T:\QB Working Files\NR6, LLC.QBW"</definedName>
    <definedName name="QBCOMPANYFILENAME" localSheetId="31">"T:\QB Working Files\Northwest Centre, LLC.qbw"</definedName>
    <definedName name="QBCOMPANYFILENAME" localSheetId="32">"T:\QB Working Files\Northwest Centre, LLC.qbw"</definedName>
    <definedName name="QBCOMPANYFILENAME" localSheetId="33">"T:\QB Working Files\Occidental Property, LLC.QBW"</definedName>
    <definedName name="QBCOMPANYFILENAME" localSheetId="34">"T:\QB Working Files\Occidental Property, LLC.QBW"</definedName>
    <definedName name="QBCOMPANYFILENAME" localSheetId="35">"T:\QB Working Files\Occidental Management.QBW"</definedName>
    <definedName name="QBCOMPANYFILENAME" localSheetId="36">"T:\QB Working Files\Occidental Management.QBW"</definedName>
    <definedName name="QBCOMPANYFILENAME" localSheetId="37">"T:\QB Working Files\Royal I, LLC.QBW"</definedName>
    <definedName name="QBCOMPANYFILENAME" localSheetId="38">"T:\QB Working Files\Royal I, LLC.QBW"</definedName>
    <definedName name="QBCOMPANYFILENAME" localSheetId="49">"T:\QB Working Files\RP 21st, LLC..QBW"</definedName>
    <definedName name="QBCOMPANYFILENAME" localSheetId="50">"T:\QB Working Files\RP 21st, LLC..QBW"</definedName>
    <definedName name="QBCOMPANYFILENAME" localSheetId="39">"T:\QB Working Files\Springcreek, LLC.QBW"</definedName>
    <definedName name="QBCOMPANYFILENAME" localSheetId="40">"T:\QB Working Files\Springcreek, LLC.QBW"</definedName>
    <definedName name="QBCOMPANYFILENAME" localSheetId="41">"T:\QB Working Files\Tyler Pointe, LLC.qbw"</definedName>
    <definedName name="QBCOMPANYFILENAME" localSheetId="42">"T:\QB Working Files\Tyler Pointe, LLC.qbw"</definedName>
    <definedName name="QBCOMPANYFILENAME" localSheetId="43">"T:\QB Working Files\Union Station, LLC.qbw"</definedName>
    <definedName name="QBCOMPANYFILENAME" localSheetId="44">"T:\QB Working Files\Union Station, LLC.qbw"</definedName>
    <definedName name="QBCOMPANYFILENAME" localSheetId="53">"T:\QB Working Files\Wood 96 LLC.QBW"</definedName>
    <definedName name="QBCOMPANYFILENAME" localSheetId="54">"T:\QB Working Files\Wood 96 LLC.QBW"</definedName>
    <definedName name="QBENDDATE" localSheetId="47">20131231</definedName>
    <definedName name="QBENDDATE" localSheetId="48">20131231</definedName>
    <definedName name="QBENDDATE" localSheetId="45">20131231</definedName>
    <definedName name="QBENDDATE" localSheetId="46">20131231</definedName>
    <definedName name="QBENDDATE" localSheetId="15">20131231</definedName>
    <definedName name="QBENDDATE" localSheetId="16">20131231</definedName>
    <definedName name="QBENDDATE" localSheetId="17">20131231</definedName>
    <definedName name="QBENDDATE" localSheetId="18">20131231</definedName>
    <definedName name="QBENDDATE" localSheetId="51">20131231</definedName>
    <definedName name="QBENDDATE" localSheetId="52">20131231</definedName>
    <definedName name="QBENDDATE" localSheetId="19">20131231</definedName>
    <definedName name="QBENDDATE" localSheetId="20">20131231</definedName>
    <definedName name="QBENDDATE" localSheetId="21">20131231</definedName>
    <definedName name="QBENDDATE" localSheetId="22">20131231</definedName>
    <definedName name="QBENDDATE" localSheetId="23">20131231</definedName>
    <definedName name="QBENDDATE" localSheetId="24">20131231</definedName>
    <definedName name="QBENDDATE" localSheetId="29">20131231</definedName>
    <definedName name="QBENDDATE" localSheetId="30">20131231</definedName>
    <definedName name="QBENDDATE" localSheetId="25">20131231</definedName>
    <definedName name="QBENDDATE" localSheetId="27">20131231</definedName>
    <definedName name="QBENDDATE" localSheetId="28">20131231</definedName>
    <definedName name="QBENDDATE" localSheetId="26">20131231</definedName>
    <definedName name="QBENDDATE" localSheetId="31">20131231</definedName>
    <definedName name="QBENDDATE" localSheetId="32">20131231</definedName>
    <definedName name="QBENDDATE" localSheetId="33">20131231</definedName>
    <definedName name="QBENDDATE" localSheetId="34">20131231</definedName>
    <definedName name="QBENDDATE" localSheetId="35">20131231</definedName>
    <definedName name="QBENDDATE" localSheetId="36">20131231</definedName>
    <definedName name="QBENDDATE" localSheetId="37">20131231</definedName>
    <definedName name="QBENDDATE" localSheetId="38">20131231</definedName>
    <definedName name="QBENDDATE" localSheetId="49">20131231</definedName>
    <definedName name="QBENDDATE" localSheetId="50">20131231</definedName>
    <definedName name="QBENDDATE" localSheetId="39">20131231</definedName>
    <definedName name="QBENDDATE" localSheetId="40">20131231</definedName>
    <definedName name="QBENDDATE" localSheetId="41">20131231</definedName>
    <definedName name="QBENDDATE" localSheetId="42">20131231</definedName>
    <definedName name="QBENDDATE" localSheetId="43">20131231</definedName>
    <definedName name="QBENDDATE" localSheetId="44">20131231</definedName>
    <definedName name="QBENDDATE" localSheetId="53">20131231</definedName>
    <definedName name="QBENDDATE" localSheetId="54">20131231</definedName>
    <definedName name="QBHEADERSONSCREEN" localSheetId="47">FALSE</definedName>
    <definedName name="QBHEADERSONSCREEN" localSheetId="48">FALSE</definedName>
    <definedName name="QBHEADERSONSCREEN" localSheetId="45">FALSE</definedName>
    <definedName name="QBHEADERSONSCREEN" localSheetId="46">FALSE</definedName>
    <definedName name="QBHEADERSONSCREEN" localSheetId="15">FALSE</definedName>
    <definedName name="QBHEADERSONSCREEN" localSheetId="16">FALSE</definedName>
    <definedName name="QBHEADERSONSCREEN" localSheetId="17">FALSE</definedName>
    <definedName name="QBHEADERSONSCREEN" localSheetId="18">FALSE</definedName>
    <definedName name="QBHEADERSONSCREEN" localSheetId="51">FALSE</definedName>
    <definedName name="QBHEADERSONSCREEN" localSheetId="52">FALSE</definedName>
    <definedName name="QBHEADERSONSCREEN" localSheetId="19">FALSE</definedName>
    <definedName name="QBHEADERSONSCREEN" localSheetId="20">FALSE</definedName>
    <definedName name="QBHEADERSONSCREEN" localSheetId="21">FALSE</definedName>
    <definedName name="QBHEADERSONSCREEN" localSheetId="22">FALSE</definedName>
    <definedName name="QBHEADERSONSCREEN" localSheetId="23">FALSE</definedName>
    <definedName name="QBHEADERSONSCREEN" localSheetId="24">FALSE</definedName>
    <definedName name="QBHEADERSONSCREEN" localSheetId="29">FALSE</definedName>
    <definedName name="QBHEADERSONSCREEN" localSheetId="30">FALSE</definedName>
    <definedName name="QBHEADERSONSCREEN" localSheetId="25">FALSE</definedName>
    <definedName name="QBHEADERSONSCREEN" localSheetId="27">FALSE</definedName>
    <definedName name="QBHEADERSONSCREEN" localSheetId="28">FALSE</definedName>
    <definedName name="QBHEADERSONSCREEN" localSheetId="26">FALSE</definedName>
    <definedName name="QBHEADERSONSCREEN" localSheetId="31">FALSE</definedName>
    <definedName name="QBHEADERSONSCREEN" localSheetId="32">FALSE</definedName>
    <definedName name="QBHEADERSONSCREEN" localSheetId="33">FALSE</definedName>
    <definedName name="QBHEADERSONSCREEN" localSheetId="34">FALSE</definedName>
    <definedName name="QBHEADERSONSCREEN" localSheetId="35">FALSE</definedName>
    <definedName name="QBHEADERSONSCREEN" localSheetId="36">FALSE</definedName>
    <definedName name="QBHEADERSONSCREEN" localSheetId="37">FALSE</definedName>
    <definedName name="QBHEADERSONSCREEN" localSheetId="38">FALSE</definedName>
    <definedName name="QBHEADERSONSCREEN" localSheetId="49">FALSE</definedName>
    <definedName name="QBHEADERSONSCREEN" localSheetId="50">FALSE</definedName>
    <definedName name="QBHEADERSONSCREEN" localSheetId="39">FALSE</definedName>
    <definedName name="QBHEADERSONSCREEN" localSheetId="40">FALSE</definedName>
    <definedName name="QBHEADERSONSCREEN" localSheetId="41">FALSE</definedName>
    <definedName name="QBHEADERSONSCREEN" localSheetId="42">FALSE</definedName>
    <definedName name="QBHEADERSONSCREEN" localSheetId="43">FALSE</definedName>
    <definedName name="QBHEADERSONSCREEN" localSheetId="44">FALSE</definedName>
    <definedName name="QBHEADERSONSCREEN" localSheetId="53">FALSE</definedName>
    <definedName name="QBHEADERSONSCREEN" localSheetId="54">FALSE</definedName>
    <definedName name="QBMETADATASIZE" localSheetId="47">5785</definedName>
    <definedName name="QBMETADATASIZE" localSheetId="48">5785</definedName>
    <definedName name="QBMETADATASIZE" localSheetId="45">5785</definedName>
    <definedName name="QBMETADATASIZE" localSheetId="46">5785</definedName>
    <definedName name="QBMETADATASIZE" localSheetId="15">5785</definedName>
    <definedName name="QBMETADATASIZE" localSheetId="16">5785</definedName>
    <definedName name="QBMETADATASIZE" localSheetId="17">5785</definedName>
    <definedName name="QBMETADATASIZE" localSheetId="18">5785</definedName>
    <definedName name="QBMETADATASIZE" localSheetId="51">5785</definedName>
    <definedName name="QBMETADATASIZE" localSheetId="52">5785</definedName>
    <definedName name="QBMETADATASIZE" localSheetId="19">5785</definedName>
    <definedName name="QBMETADATASIZE" localSheetId="20">5785</definedName>
    <definedName name="QBMETADATASIZE" localSheetId="21">5785</definedName>
    <definedName name="QBMETADATASIZE" localSheetId="22">5785</definedName>
    <definedName name="QBMETADATASIZE" localSheetId="23">5785</definedName>
    <definedName name="QBMETADATASIZE" localSheetId="24">5785</definedName>
    <definedName name="QBMETADATASIZE" localSheetId="29">5785</definedName>
    <definedName name="QBMETADATASIZE" localSheetId="30">5785</definedName>
    <definedName name="QBMETADATASIZE" localSheetId="25">5785</definedName>
    <definedName name="QBMETADATASIZE" localSheetId="27">5785</definedName>
    <definedName name="QBMETADATASIZE" localSheetId="28">5785</definedName>
    <definedName name="QBMETADATASIZE" localSheetId="26">5785</definedName>
    <definedName name="QBMETADATASIZE" localSheetId="31">5785</definedName>
    <definedName name="QBMETADATASIZE" localSheetId="32">5785</definedName>
    <definedName name="QBMETADATASIZE" localSheetId="33">5785</definedName>
    <definedName name="QBMETADATASIZE" localSheetId="34">5785</definedName>
    <definedName name="QBMETADATASIZE" localSheetId="35">5785</definedName>
    <definedName name="QBMETADATASIZE" localSheetId="36">5785</definedName>
    <definedName name="QBMETADATASIZE" localSheetId="37">5785</definedName>
    <definedName name="QBMETADATASIZE" localSheetId="38">5785</definedName>
    <definedName name="QBMETADATASIZE" localSheetId="49">5785</definedName>
    <definedName name="QBMETADATASIZE" localSheetId="50">5785</definedName>
    <definedName name="QBMETADATASIZE" localSheetId="39">5785</definedName>
    <definedName name="QBMETADATASIZE" localSheetId="40">5785</definedName>
    <definedName name="QBMETADATASIZE" localSheetId="41">5785</definedName>
    <definedName name="QBMETADATASIZE" localSheetId="42">5785</definedName>
    <definedName name="QBMETADATASIZE" localSheetId="43">5785</definedName>
    <definedName name="QBMETADATASIZE" localSheetId="44">5785</definedName>
    <definedName name="QBMETADATASIZE" localSheetId="53">5785</definedName>
    <definedName name="QBMETADATASIZE" localSheetId="54">5785</definedName>
    <definedName name="QBPRESERVECOLOR" localSheetId="47">TRUE</definedName>
    <definedName name="QBPRESERVECOLOR" localSheetId="48">TRUE</definedName>
    <definedName name="QBPRESERVECOLOR" localSheetId="45">TRUE</definedName>
    <definedName name="QBPRESERVECOLOR" localSheetId="46">TRUE</definedName>
    <definedName name="QBPRESERVECOLOR" localSheetId="15">TRUE</definedName>
    <definedName name="QBPRESERVECOLOR" localSheetId="16">TRUE</definedName>
    <definedName name="QBPRESERVECOLOR" localSheetId="17">TRUE</definedName>
    <definedName name="QBPRESERVECOLOR" localSheetId="18">TRUE</definedName>
    <definedName name="QBPRESERVECOLOR" localSheetId="51">TRUE</definedName>
    <definedName name="QBPRESERVECOLOR" localSheetId="52">TRUE</definedName>
    <definedName name="QBPRESERVECOLOR" localSheetId="19">TRUE</definedName>
    <definedName name="QBPRESERVECOLOR" localSheetId="20">TRUE</definedName>
    <definedName name="QBPRESERVECOLOR" localSheetId="21">TRUE</definedName>
    <definedName name="QBPRESERVECOLOR" localSheetId="22">TRUE</definedName>
    <definedName name="QBPRESERVECOLOR" localSheetId="23">TRUE</definedName>
    <definedName name="QBPRESERVECOLOR" localSheetId="24">TRUE</definedName>
    <definedName name="QBPRESERVECOLOR" localSheetId="29">TRUE</definedName>
    <definedName name="QBPRESERVECOLOR" localSheetId="30">TRUE</definedName>
    <definedName name="QBPRESERVECOLOR" localSheetId="25">TRUE</definedName>
    <definedName name="QBPRESERVECOLOR" localSheetId="27">TRUE</definedName>
    <definedName name="QBPRESERVECOLOR" localSheetId="28">TRUE</definedName>
    <definedName name="QBPRESERVECOLOR" localSheetId="26">TRUE</definedName>
    <definedName name="QBPRESERVECOLOR" localSheetId="31">TRUE</definedName>
    <definedName name="QBPRESERVECOLOR" localSheetId="32">TRUE</definedName>
    <definedName name="QBPRESERVECOLOR" localSheetId="33">TRUE</definedName>
    <definedName name="QBPRESERVECOLOR" localSheetId="34">TRUE</definedName>
    <definedName name="QBPRESERVECOLOR" localSheetId="35">TRUE</definedName>
    <definedName name="QBPRESERVECOLOR" localSheetId="36">TRUE</definedName>
    <definedName name="QBPRESERVECOLOR" localSheetId="37">TRUE</definedName>
    <definedName name="QBPRESERVECOLOR" localSheetId="38">TRUE</definedName>
    <definedName name="QBPRESERVECOLOR" localSheetId="49">TRUE</definedName>
    <definedName name="QBPRESERVECOLOR" localSheetId="50">TRUE</definedName>
    <definedName name="QBPRESERVECOLOR" localSheetId="39">TRUE</definedName>
    <definedName name="QBPRESERVECOLOR" localSheetId="40">TRUE</definedName>
    <definedName name="QBPRESERVECOLOR" localSheetId="41">TRUE</definedName>
    <definedName name="QBPRESERVECOLOR" localSheetId="42">TRUE</definedName>
    <definedName name="QBPRESERVECOLOR" localSheetId="43">TRUE</definedName>
    <definedName name="QBPRESERVECOLOR" localSheetId="44">TRUE</definedName>
    <definedName name="QBPRESERVECOLOR" localSheetId="53">TRUE</definedName>
    <definedName name="QBPRESERVECOLOR" localSheetId="54">TRUE</definedName>
    <definedName name="QBPRESERVEFONT" localSheetId="47">TRUE</definedName>
    <definedName name="QBPRESERVEFONT" localSheetId="48">TRUE</definedName>
    <definedName name="QBPRESERVEFONT" localSheetId="45">TRUE</definedName>
    <definedName name="QBPRESERVEFONT" localSheetId="46">TRUE</definedName>
    <definedName name="QBPRESERVEFONT" localSheetId="15">TRUE</definedName>
    <definedName name="QBPRESERVEFONT" localSheetId="16">TRUE</definedName>
    <definedName name="QBPRESERVEFONT" localSheetId="17">TRUE</definedName>
    <definedName name="QBPRESERVEFONT" localSheetId="18">TRUE</definedName>
    <definedName name="QBPRESERVEFONT" localSheetId="51">TRUE</definedName>
    <definedName name="QBPRESERVEFONT" localSheetId="52">TRUE</definedName>
    <definedName name="QBPRESERVEFONT" localSheetId="19">TRUE</definedName>
    <definedName name="QBPRESERVEFONT" localSheetId="20">TRUE</definedName>
    <definedName name="QBPRESERVEFONT" localSheetId="21">TRUE</definedName>
    <definedName name="QBPRESERVEFONT" localSheetId="22">TRUE</definedName>
    <definedName name="QBPRESERVEFONT" localSheetId="23">TRUE</definedName>
    <definedName name="QBPRESERVEFONT" localSheetId="24">TRUE</definedName>
    <definedName name="QBPRESERVEFONT" localSheetId="29">TRUE</definedName>
    <definedName name="QBPRESERVEFONT" localSheetId="30">TRUE</definedName>
    <definedName name="QBPRESERVEFONT" localSheetId="25">TRUE</definedName>
    <definedName name="QBPRESERVEFONT" localSheetId="27">TRUE</definedName>
    <definedName name="QBPRESERVEFONT" localSheetId="28">TRUE</definedName>
    <definedName name="QBPRESERVEFONT" localSheetId="26">TRUE</definedName>
    <definedName name="QBPRESERVEFONT" localSheetId="31">TRUE</definedName>
    <definedName name="QBPRESERVEFONT" localSheetId="32">TRUE</definedName>
    <definedName name="QBPRESERVEFONT" localSheetId="33">TRUE</definedName>
    <definedName name="QBPRESERVEFONT" localSheetId="34">TRUE</definedName>
    <definedName name="QBPRESERVEFONT" localSheetId="35">TRUE</definedName>
    <definedName name="QBPRESERVEFONT" localSheetId="36">TRUE</definedName>
    <definedName name="QBPRESERVEFONT" localSheetId="37">TRUE</definedName>
    <definedName name="QBPRESERVEFONT" localSheetId="38">TRUE</definedName>
    <definedName name="QBPRESERVEFONT" localSheetId="49">TRUE</definedName>
    <definedName name="QBPRESERVEFONT" localSheetId="50">TRUE</definedName>
    <definedName name="QBPRESERVEFONT" localSheetId="39">TRUE</definedName>
    <definedName name="QBPRESERVEFONT" localSheetId="40">TRUE</definedName>
    <definedName name="QBPRESERVEFONT" localSheetId="41">TRUE</definedName>
    <definedName name="QBPRESERVEFONT" localSheetId="42">TRUE</definedName>
    <definedName name="QBPRESERVEFONT" localSheetId="43">TRUE</definedName>
    <definedName name="QBPRESERVEFONT" localSheetId="44">TRUE</definedName>
    <definedName name="QBPRESERVEFONT" localSheetId="53">TRUE</definedName>
    <definedName name="QBPRESERVEFONT" localSheetId="54">TRUE</definedName>
    <definedName name="QBPRESERVEROWHEIGHT" localSheetId="47">TRUE</definedName>
    <definedName name="QBPRESERVEROWHEIGHT" localSheetId="48">TRUE</definedName>
    <definedName name="QBPRESERVEROWHEIGHT" localSheetId="45">TRUE</definedName>
    <definedName name="QBPRESERVEROWHEIGHT" localSheetId="46">TRUE</definedName>
    <definedName name="QBPRESERVEROWHEIGHT" localSheetId="15">TRUE</definedName>
    <definedName name="QBPRESERVEROWHEIGHT" localSheetId="16">TRUE</definedName>
    <definedName name="QBPRESERVEROWHEIGHT" localSheetId="17">TRUE</definedName>
    <definedName name="QBPRESERVEROWHEIGHT" localSheetId="18">TRUE</definedName>
    <definedName name="QBPRESERVEROWHEIGHT" localSheetId="51">TRUE</definedName>
    <definedName name="QBPRESERVEROWHEIGHT" localSheetId="52">TRUE</definedName>
    <definedName name="QBPRESERVEROWHEIGHT" localSheetId="19">TRUE</definedName>
    <definedName name="QBPRESERVEROWHEIGHT" localSheetId="20">TRUE</definedName>
    <definedName name="QBPRESERVEROWHEIGHT" localSheetId="21">TRUE</definedName>
    <definedName name="QBPRESERVEROWHEIGHT" localSheetId="22">TRUE</definedName>
    <definedName name="QBPRESERVEROWHEIGHT" localSheetId="23">TRUE</definedName>
    <definedName name="QBPRESERVEROWHEIGHT" localSheetId="24">TRUE</definedName>
    <definedName name="QBPRESERVEROWHEIGHT" localSheetId="29">TRUE</definedName>
    <definedName name="QBPRESERVEROWHEIGHT" localSheetId="30">TRUE</definedName>
    <definedName name="QBPRESERVEROWHEIGHT" localSheetId="25">TRUE</definedName>
    <definedName name="QBPRESERVEROWHEIGHT" localSheetId="27">TRUE</definedName>
    <definedName name="QBPRESERVEROWHEIGHT" localSheetId="28">TRUE</definedName>
    <definedName name="QBPRESERVEROWHEIGHT" localSheetId="26">TRUE</definedName>
    <definedName name="QBPRESERVEROWHEIGHT" localSheetId="31">TRUE</definedName>
    <definedName name="QBPRESERVEROWHEIGHT" localSheetId="32">TRUE</definedName>
    <definedName name="QBPRESERVEROWHEIGHT" localSheetId="33">TRUE</definedName>
    <definedName name="QBPRESERVEROWHEIGHT" localSheetId="34">TRUE</definedName>
    <definedName name="QBPRESERVEROWHEIGHT" localSheetId="35">TRUE</definedName>
    <definedName name="QBPRESERVEROWHEIGHT" localSheetId="36">TRUE</definedName>
    <definedName name="QBPRESERVEROWHEIGHT" localSheetId="37">TRUE</definedName>
    <definedName name="QBPRESERVEROWHEIGHT" localSheetId="38">TRUE</definedName>
    <definedName name="QBPRESERVEROWHEIGHT" localSheetId="49">TRUE</definedName>
    <definedName name="QBPRESERVEROWHEIGHT" localSheetId="50">TRUE</definedName>
    <definedName name="QBPRESERVEROWHEIGHT" localSheetId="39">TRUE</definedName>
    <definedName name="QBPRESERVEROWHEIGHT" localSheetId="40">TRUE</definedName>
    <definedName name="QBPRESERVEROWHEIGHT" localSheetId="41">TRUE</definedName>
    <definedName name="QBPRESERVEROWHEIGHT" localSheetId="42">TRUE</definedName>
    <definedName name="QBPRESERVEROWHEIGHT" localSheetId="43">TRUE</definedName>
    <definedName name="QBPRESERVEROWHEIGHT" localSheetId="44">TRUE</definedName>
    <definedName name="QBPRESERVEROWHEIGHT" localSheetId="53">TRUE</definedName>
    <definedName name="QBPRESERVEROWHEIGHT" localSheetId="54">TRUE</definedName>
    <definedName name="QBPRESERVESPACE" localSheetId="47">TRUE</definedName>
    <definedName name="QBPRESERVESPACE" localSheetId="48">TRUE</definedName>
    <definedName name="QBPRESERVESPACE" localSheetId="45">TRUE</definedName>
    <definedName name="QBPRESERVESPACE" localSheetId="46">TRUE</definedName>
    <definedName name="QBPRESERVESPACE" localSheetId="15">TRUE</definedName>
    <definedName name="QBPRESERVESPACE" localSheetId="16">TRUE</definedName>
    <definedName name="QBPRESERVESPACE" localSheetId="17">TRUE</definedName>
    <definedName name="QBPRESERVESPACE" localSheetId="18">TRUE</definedName>
    <definedName name="QBPRESERVESPACE" localSheetId="51">TRUE</definedName>
    <definedName name="QBPRESERVESPACE" localSheetId="52">TRUE</definedName>
    <definedName name="QBPRESERVESPACE" localSheetId="19">TRUE</definedName>
    <definedName name="QBPRESERVESPACE" localSheetId="20">TRUE</definedName>
    <definedName name="QBPRESERVESPACE" localSheetId="21">TRUE</definedName>
    <definedName name="QBPRESERVESPACE" localSheetId="22">TRUE</definedName>
    <definedName name="QBPRESERVESPACE" localSheetId="23">TRUE</definedName>
    <definedName name="QBPRESERVESPACE" localSheetId="24">TRUE</definedName>
    <definedName name="QBPRESERVESPACE" localSheetId="29">TRUE</definedName>
    <definedName name="QBPRESERVESPACE" localSheetId="30">TRUE</definedName>
    <definedName name="QBPRESERVESPACE" localSheetId="25">TRUE</definedName>
    <definedName name="QBPRESERVESPACE" localSheetId="27">TRUE</definedName>
    <definedName name="QBPRESERVESPACE" localSheetId="28">TRUE</definedName>
    <definedName name="QBPRESERVESPACE" localSheetId="26">TRUE</definedName>
    <definedName name="QBPRESERVESPACE" localSheetId="31">TRUE</definedName>
    <definedName name="QBPRESERVESPACE" localSheetId="32">TRUE</definedName>
    <definedName name="QBPRESERVESPACE" localSheetId="33">TRUE</definedName>
    <definedName name="QBPRESERVESPACE" localSheetId="34">TRUE</definedName>
    <definedName name="QBPRESERVESPACE" localSheetId="35">TRUE</definedName>
    <definedName name="QBPRESERVESPACE" localSheetId="36">TRUE</definedName>
    <definedName name="QBPRESERVESPACE" localSheetId="37">TRUE</definedName>
    <definedName name="QBPRESERVESPACE" localSheetId="38">TRUE</definedName>
    <definedName name="QBPRESERVESPACE" localSheetId="49">TRUE</definedName>
    <definedName name="QBPRESERVESPACE" localSheetId="50">TRUE</definedName>
    <definedName name="QBPRESERVESPACE" localSheetId="39">TRUE</definedName>
    <definedName name="QBPRESERVESPACE" localSheetId="40">TRUE</definedName>
    <definedName name="QBPRESERVESPACE" localSheetId="41">TRUE</definedName>
    <definedName name="QBPRESERVESPACE" localSheetId="42">TRUE</definedName>
    <definedName name="QBPRESERVESPACE" localSheetId="43">TRUE</definedName>
    <definedName name="QBPRESERVESPACE" localSheetId="44">TRUE</definedName>
    <definedName name="QBPRESERVESPACE" localSheetId="53">TRUE</definedName>
    <definedName name="QBPRESERVESPACE" localSheetId="54">TRUE</definedName>
    <definedName name="QBREPORTCOLAXIS" localSheetId="47">8</definedName>
    <definedName name="QBREPORTCOLAXIS" localSheetId="48">8</definedName>
    <definedName name="QBREPORTCOLAXIS" localSheetId="45">8</definedName>
    <definedName name="QBREPORTCOLAXIS" localSheetId="46">8</definedName>
    <definedName name="QBREPORTCOLAXIS" localSheetId="15">8</definedName>
    <definedName name="QBREPORTCOLAXIS" localSheetId="16">8</definedName>
    <definedName name="QBREPORTCOLAXIS" localSheetId="17">8</definedName>
    <definedName name="QBREPORTCOLAXIS" localSheetId="18">8</definedName>
    <definedName name="QBREPORTCOLAXIS" localSheetId="51">8</definedName>
    <definedName name="QBREPORTCOLAXIS" localSheetId="52">8</definedName>
    <definedName name="QBREPORTCOLAXIS" localSheetId="19">8</definedName>
    <definedName name="QBREPORTCOLAXIS" localSheetId="20">8</definedName>
    <definedName name="QBREPORTCOLAXIS" localSheetId="21">8</definedName>
    <definedName name="QBREPORTCOLAXIS" localSheetId="22">8</definedName>
    <definedName name="QBREPORTCOLAXIS" localSheetId="23">8</definedName>
    <definedName name="QBREPORTCOLAXIS" localSheetId="24">8</definedName>
    <definedName name="QBREPORTCOLAXIS" localSheetId="29">8</definedName>
    <definedName name="QBREPORTCOLAXIS" localSheetId="30">8</definedName>
    <definedName name="QBREPORTCOLAXIS" localSheetId="25">8</definedName>
    <definedName name="QBREPORTCOLAXIS" localSheetId="27">8</definedName>
    <definedName name="QBREPORTCOLAXIS" localSheetId="28">8</definedName>
    <definedName name="QBREPORTCOLAXIS" localSheetId="26">8</definedName>
    <definedName name="QBREPORTCOLAXIS" localSheetId="31">8</definedName>
    <definedName name="QBREPORTCOLAXIS" localSheetId="32">8</definedName>
    <definedName name="QBREPORTCOLAXIS" localSheetId="33">8</definedName>
    <definedName name="QBREPORTCOLAXIS" localSheetId="34">8</definedName>
    <definedName name="QBREPORTCOLAXIS" localSheetId="35">8</definedName>
    <definedName name="QBREPORTCOLAXIS" localSheetId="36">8</definedName>
    <definedName name="QBREPORTCOLAXIS" localSheetId="37">8</definedName>
    <definedName name="QBREPORTCOLAXIS" localSheetId="38">8</definedName>
    <definedName name="QBREPORTCOLAXIS" localSheetId="49">8</definedName>
    <definedName name="QBREPORTCOLAXIS" localSheetId="50">8</definedName>
    <definedName name="QBREPORTCOLAXIS" localSheetId="39">8</definedName>
    <definedName name="QBREPORTCOLAXIS" localSheetId="40">8</definedName>
    <definedName name="QBREPORTCOLAXIS" localSheetId="41">8</definedName>
    <definedName name="QBREPORTCOLAXIS" localSheetId="42">8</definedName>
    <definedName name="QBREPORTCOLAXIS" localSheetId="43">8</definedName>
    <definedName name="QBREPORTCOLAXIS" localSheetId="44">8</definedName>
    <definedName name="QBREPORTCOLAXIS" localSheetId="53">8</definedName>
    <definedName name="QBREPORTCOLAXIS" localSheetId="54">8</definedName>
    <definedName name="QBREPORTCOMPANYID" localSheetId="47">"825b1beac2294774a5f7b082d6726fe5"</definedName>
    <definedName name="QBREPORTCOMPANYID" localSheetId="48">"825b1beac2294774a5f7b082d6726fe5"</definedName>
    <definedName name="QBREPORTCOMPANYID" localSheetId="45">"b3f33d74069c439d98f3178509a432ec"</definedName>
    <definedName name="QBREPORTCOMPANYID" localSheetId="46">"b3f33d74069c439d98f3178509a432ec"</definedName>
    <definedName name="QBREPORTCOMPANYID" localSheetId="15">"bdefc7805d974d44a1f4fd5916d6450e"</definedName>
    <definedName name="QBREPORTCOMPANYID" localSheetId="16">"bdefc7805d974d44a1f4fd5916d6450e"</definedName>
    <definedName name="QBREPORTCOMPANYID" localSheetId="17">"d2c2d3e2d73c4547a5325d024df77b64"</definedName>
    <definedName name="QBREPORTCOMPANYID" localSheetId="18">"d2c2d3e2d73c4547a5325d024df77b64"</definedName>
    <definedName name="QBREPORTCOMPANYID" localSheetId="51">"e6bcf69430e247589d7c3df274ffdd8a"</definedName>
    <definedName name="QBREPORTCOMPANYID" localSheetId="52">"e6bcf69430e247589d7c3df274ffdd8a"</definedName>
    <definedName name="QBREPORTCOMPANYID" localSheetId="19">"dc96924aa0ef4a3990c9b4779488a036"</definedName>
    <definedName name="QBREPORTCOMPANYID" localSheetId="20">"dc96924aa0ef4a3990c9b4779488a036"</definedName>
    <definedName name="QBREPORTCOMPANYID" localSheetId="21">"e80c85009eb24a19ba9007b039463d42"</definedName>
    <definedName name="QBREPORTCOMPANYID" localSheetId="22">"e80c85009eb24a19ba9007b039463d42"</definedName>
    <definedName name="QBREPORTCOMPANYID" localSheetId="23">"a8f91632ba95425586a03724631f2c10"</definedName>
    <definedName name="QBREPORTCOMPANYID" localSheetId="24">"a8f91632ba95425586a03724631f2c10"</definedName>
    <definedName name="QBREPORTCOMPANYID" localSheetId="29">"5381c9f5033b401081496108d0cc5531"</definedName>
    <definedName name="QBREPORTCOMPANYID" localSheetId="30">"5381c9f5033b401081496108d0cc5531"</definedName>
    <definedName name="QBREPORTCOMPANYID" localSheetId="25">"02c32e3fc9df41efa567cb52c349d55a"</definedName>
    <definedName name="QBREPORTCOMPANYID" localSheetId="27">"02c32e3fc9df41efa567cb52c349d55a"</definedName>
    <definedName name="QBREPORTCOMPANYID" localSheetId="28">"02c32e3fc9df41efa567cb52c349d55a"</definedName>
    <definedName name="QBREPORTCOMPANYID" localSheetId="26">"02c32e3fc9df41efa567cb52c349d55a"</definedName>
    <definedName name="QBREPORTCOMPANYID" localSheetId="31">"dfcf828d340942fe997c511b5b7c2acc"</definedName>
    <definedName name="QBREPORTCOMPANYID" localSheetId="32">"dfcf828d340942fe997c511b5b7c2acc"</definedName>
    <definedName name="QBREPORTCOMPANYID" localSheetId="33">"d78c57956fc2436a96f601954c79572c"</definedName>
    <definedName name="QBREPORTCOMPANYID" localSheetId="34">"d78c57956fc2436a96f601954c79572c"</definedName>
    <definedName name="QBREPORTCOMPANYID" localSheetId="35">"b7ae613b435840f4897e034975c81e4d"</definedName>
    <definedName name="QBREPORTCOMPANYID" localSheetId="36">"b7ae613b435840f4897e034975c81e4d"</definedName>
    <definedName name="QBREPORTCOMPANYID" localSheetId="37">"9b543a6f6c4649b6a3b3a582b4ed61fb"</definedName>
    <definedName name="QBREPORTCOMPANYID" localSheetId="38">"9b543a6f6c4649b6a3b3a582b4ed61fb"</definedName>
    <definedName name="QBREPORTCOMPANYID" localSheetId="49">"3a9beb8d03084a0d995cf03cc96b732e"</definedName>
    <definedName name="QBREPORTCOMPANYID" localSheetId="50">"3a9beb8d03084a0d995cf03cc96b732e"</definedName>
    <definedName name="QBREPORTCOMPANYID" localSheetId="39">"c11478360b874f9aacff068592da33ce"</definedName>
    <definedName name="QBREPORTCOMPANYID" localSheetId="40">"c11478360b874f9aacff068592da33ce"</definedName>
    <definedName name="QBREPORTCOMPANYID" localSheetId="41">"74bd56a9ad2f4a9cbe5cd150653dd315"</definedName>
    <definedName name="QBREPORTCOMPANYID" localSheetId="42">"74bd56a9ad2f4a9cbe5cd150653dd315"</definedName>
    <definedName name="QBREPORTCOMPANYID" localSheetId="43">"28fbd05b98ed48de9293997bbc0f5e25"</definedName>
    <definedName name="QBREPORTCOMPANYID" localSheetId="44">"28fbd05b98ed48de9293997bbc0f5e25"</definedName>
    <definedName name="QBREPORTCOMPANYID" localSheetId="53">"b7e233436bab4d3d9c5d2bcca2fc43b0"</definedName>
    <definedName name="QBREPORTCOMPANYID" localSheetId="54">"b7e233436bab4d3d9c5d2bcca2fc43b0"</definedName>
    <definedName name="QBREPORTCOMPARECOL_ANNUALBUDGET" localSheetId="47">FALSE</definedName>
    <definedName name="QBREPORTCOMPARECOL_ANNUALBUDGET" localSheetId="48">FALSE</definedName>
    <definedName name="QBREPORTCOMPARECOL_ANNUALBUDGET" localSheetId="45">FALSE</definedName>
    <definedName name="QBREPORTCOMPARECOL_ANNUALBUDGET" localSheetId="46">FALSE</definedName>
    <definedName name="QBREPORTCOMPARECOL_ANNUALBUDGET" localSheetId="15">FALSE</definedName>
    <definedName name="QBREPORTCOMPARECOL_ANNUALBUDGET" localSheetId="16">FALSE</definedName>
    <definedName name="QBREPORTCOMPARECOL_ANNUALBUDGET" localSheetId="17">FALSE</definedName>
    <definedName name="QBREPORTCOMPARECOL_ANNUALBUDGET" localSheetId="18">FALSE</definedName>
    <definedName name="QBREPORTCOMPARECOL_ANNUALBUDGET" localSheetId="51">FALSE</definedName>
    <definedName name="QBREPORTCOMPARECOL_ANNUALBUDGET" localSheetId="52">FALSE</definedName>
    <definedName name="QBREPORTCOMPARECOL_ANNUALBUDGET" localSheetId="19">FALSE</definedName>
    <definedName name="QBREPORTCOMPARECOL_ANNUALBUDGET" localSheetId="20">FALSE</definedName>
    <definedName name="QBREPORTCOMPARECOL_ANNUALBUDGET" localSheetId="21">FALSE</definedName>
    <definedName name="QBREPORTCOMPARECOL_ANNUALBUDGET" localSheetId="22">FALSE</definedName>
    <definedName name="QBREPORTCOMPARECOL_ANNUALBUDGET" localSheetId="23">FALSE</definedName>
    <definedName name="QBREPORTCOMPARECOL_ANNUALBUDGET" localSheetId="24">FALSE</definedName>
    <definedName name="QBREPORTCOMPARECOL_ANNUALBUDGET" localSheetId="29">FALSE</definedName>
    <definedName name="QBREPORTCOMPARECOL_ANNUALBUDGET" localSheetId="30">FALSE</definedName>
    <definedName name="QBREPORTCOMPARECOL_ANNUALBUDGET" localSheetId="25">FALSE</definedName>
    <definedName name="QBREPORTCOMPARECOL_ANNUALBUDGET" localSheetId="27">FALSE</definedName>
    <definedName name="QBREPORTCOMPARECOL_ANNUALBUDGET" localSheetId="28">FALSE</definedName>
    <definedName name="QBREPORTCOMPARECOL_ANNUALBUDGET" localSheetId="26">FALSE</definedName>
    <definedName name="QBREPORTCOMPARECOL_ANNUALBUDGET" localSheetId="31">FALSE</definedName>
    <definedName name="QBREPORTCOMPARECOL_ANNUALBUDGET" localSheetId="32">FALSE</definedName>
    <definedName name="QBREPORTCOMPARECOL_ANNUALBUDGET" localSheetId="33">FALSE</definedName>
    <definedName name="QBREPORTCOMPARECOL_ANNUALBUDGET" localSheetId="34">FALSE</definedName>
    <definedName name="QBREPORTCOMPARECOL_ANNUALBUDGET" localSheetId="35">FALSE</definedName>
    <definedName name="QBREPORTCOMPARECOL_ANNUALBUDGET" localSheetId="36">FALSE</definedName>
    <definedName name="QBREPORTCOMPARECOL_ANNUALBUDGET" localSheetId="37">FALSE</definedName>
    <definedName name="QBREPORTCOMPARECOL_ANNUALBUDGET" localSheetId="38">FALSE</definedName>
    <definedName name="QBREPORTCOMPARECOL_ANNUALBUDGET" localSheetId="49">FALSE</definedName>
    <definedName name="QBREPORTCOMPARECOL_ANNUALBUDGET" localSheetId="50">FALSE</definedName>
    <definedName name="QBREPORTCOMPARECOL_ANNUALBUDGET" localSheetId="39">FALSE</definedName>
    <definedName name="QBREPORTCOMPARECOL_ANNUALBUDGET" localSheetId="40">FALSE</definedName>
    <definedName name="QBREPORTCOMPARECOL_ANNUALBUDGET" localSheetId="41">FALSE</definedName>
    <definedName name="QBREPORTCOMPARECOL_ANNUALBUDGET" localSheetId="42">FALSE</definedName>
    <definedName name="QBREPORTCOMPARECOL_ANNUALBUDGET" localSheetId="43">FALSE</definedName>
    <definedName name="QBREPORTCOMPARECOL_ANNUALBUDGET" localSheetId="44">FALSE</definedName>
    <definedName name="QBREPORTCOMPARECOL_ANNUALBUDGET" localSheetId="53">FALSE</definedName>
    <definedName name="QBREPORTCOMPARECOL_ANNUALBUDGET" localSheetId="54">FALSE</definedName>
    <definedName name="QBREPORTCOMPARECOL_AVGCOGS" localSheetId="47">FALSE</definedName>
    <definedName name="QBREPORTCOMPARECOL_AVGCOGS" localSheetId="48">FALSE</definedName>
    <definedName name="QBREPORTCOMPARECOL_AVGCOGS" localSheetId="45">FALSE</definedName>
    <definedName name="QBREPORTCOMPARECOL_AVGCOGS" localSheetId="46">FALSE</definedName>
    <definedName name="QBREPORTCOMPARECOL_AVGCOGS" localSheetId="15">FALSE</definedName>
    <definedName name="QBREPORTCOMPARECOL_AVGCOGS" localSheetId="16">FALSE</definedName>
    <definedName name="QBREPORTCOMPARECOL_AVGCOGS" localSheetId="17">FALSE</definedName>
    <definedName name="QBREPORTCOMPARECOL_AVGCOGS" localSheetId="18">FALSE</definedName>
    <definedName name="QBREPORTCOMPARECOL_AVGCOGS" localSheetId="51">FALSE</definedName>
    <definedName name="QBREPORTCOMPARECOL_AVGCOGS" localSheetId="52">FALSE</definedName>
    <definedName name="QBREPORTCOMPARECOL_AVGCOGS" localSheetId="19">FALSE</definedName>
    <definedName name="QBREPORTCOMPARECOL_AVGCOGS" localSheetId="20">FALSE</definedName>
    <definedName name="QBREPORTCOMPARECOL_AVGCOGS" localSheetId="21">FALSE</definedName>
    <definedName name="QBREPORTCOMPARECOL_AVGCOGS" localSheetId="22">FALSE</definedName>
    <definedName name="QBREPORTCOMPARECOL_AVGCOGS" localSheetId="23">FALSE</definedName>
    <definedName name="QBREPORTCOMPARECOL_AVGCOGS" localSheetId="24">FALSE</definedName>
    <definedName name="QBREPORTCOMPARECOL_AVGCOGS" localSheetId="29">FALSE</definedName>
    <definedName name="QBREPORTCOMPARECOL_AVGCOGS" localSheetId="30">FALSE</definedName>
    <definedName name="QBREPORTCOMPARECOL_AVGCOGS" localSheetId="25">FALSE</definedName>
    <definedName name="QBREPORTCOMPARECOL_AVGCOGS" localSheetId="27">FALSE</definedName>
    <definedName name="QBREPORTCOMPARECOL_AVGCOGS" localSheetId="28">FALSE</definedName>
    <definedName name="QBREPORTCOMPARECOL_AVGCOGS" localSheetId="26">FALSE</definedName>
    <definedName name="QBREPORTCOMPARECOL_AVGCOGS" localSheetId="31">FALSE</definedName>
    <definedName name="QBREPORTCOMPARECOL_AVGCOGS" localSheetId="32">FALSE</definedName>
    <definedName name="QBREPORTCOMPARECOL_AVGCOGS" localSheetId="33">FALSE</definedName>
    <definedName name="QBREPORTCOMPARECOL_AVGCOGS" localSheetId="34">FALSE</definedName>
    <definedName name="QBREPORTCOMPARECOL_AVGCOGS" localSheetId="35">FALSE</definedName>
    <definedName name="QBREPORTCOMPARECOL_AVGCOGS" localSheetId="36">FALSE</definedName>
    <definedName name="QBREPORTCOMPARECOL_AVGCOGS" localSheetId="37">FALSE</definedName>
    <definedName name="QBREPORTCOMPARECOL_AVGCOGS" localSheetId="38">FALSE</definedName>
    <definedName name="QBREPORTCOMPARECOL_AVGCOGS" localSheetId="49">FALSE</definedName>
    <definedName name="QBREPORTCOMPARECOL_AVGCOGS" localSheetId="50">FALSE</definedName>
    <definedName name="QBREPORTCOMPARECOL_AVGCOGS" localSheetId="39">FALSE</definedName>
    <definedName name="QBREPORTCOMPARECOL_AVGCOGS" localSheetId="40">FALSE</definedName>
    <definedName name="QBREPORTCOMPARECOL_AVGCOGS" localSheetId="41">FALSE</definedName>
    <definedName name="QBREPORTCOMPARECOL_AVGCOGS" localSheetId="42">FALSE</definedName>
    <definedName name="QBREPORTCOMPARECOL_AVGCOGS" localSheetId="43">FALSE</definedName>
    <definedName name="QBREPORTCOMPARECOL_AVGCOGS" localSheetId="44">FALSE</definedName>
    <definedName name="QBREPORTCOMPARECOL_AVGCOGS" localSheetId="53">FALSE</definedName>
    <definedName name="QBREPORTCOMPARECOL_AVGCOGS" localSheetId="54">FALSE</definedName>
    <definedName name="QBREPORTCOMPARECOL_AVGPRICE" localSheetId="47">FALSE</definedName>
    <definedName name="QBREPORTCOMPARECOL_AVGPRICE" localSheetId="48">FALSE</definedName>
    <definedName name="QBREPORTCOMPARECOL_AVGPRICE" localSheetId="45">FALSE</definedName>
    <definedName name="QBREPORTCOMPARECOL_AVGPRICE" localSheetId="46">FALSE</definedName>
    <definedName name="QBREPORTCOMPARECOL_AVGPRICE" localSheetId="15">FALSE</definedName>
    <definedName name="QBREPORTCOMPARECOL_AVGPRICE" localSheetId="16">FALSE</definedName>
    <definedName name="QBREPORTCOMPARECOL_AVGPRICE" localSheetId="17">FALSE</definedName>
    <definedName name="QBREPORTCOMPARECOL_AVGPRICE" localSheetId="18">FALSE</definedName>
    <definedName name="QBREPORTCOMPARECOL_AVGPRICE" localSheetId="51">FALSE</definedName>
    <definedName name="QBREPORTCOMPARECOL_AVGPRICE" localSheetId="52">FALSE</definedName>
    <definedName name="QBREPORTCOMPARECOL_AVGPRICE" localSheetId="19">FALSE</definedName>
    <definedName name="QBREPORTCOMPARECOL_AVGPRICE" localSheetId="20">FALSE</definedName>
    <definedName name="QBREPORTCOMPARECOL_AVGPRICE" localSheetId="21">FALSE</definedName>
    <definedName name="QBREPORTCOMPARECOL_AVGPRICE" localSheetId="22">FALSE</definedName>
    <definedName name="QBREPORTCOMPARECOL_AVGPRICE" localSheetId="23">FALSE</definedName>
    <definedName name="QBREPORTCOMPARECOL_AVGPRICE" localSheetId="24">FALSE</definedName>
    <definedName name="QBREPORTCOMPARECOL_AVGPRICE" localSheetId="29">FALSE</definedName>
    <definedName name="QBREPORTCOMPARECOL_AVGPRICE" localSheetId="30">FALSE</definedName>
    <definedName name="QBREPORTCOMPARECOL_AVGPRICE" localSheetId="25">FALSE</definedName>
    <definedName name="QBREPORTCOMPARECOL_AVGPRICE" localSheetId="27">FALSE</definedName>
    <definedName name="QBREPORTCOMPARECOL_AVGPRICE" localSheetId="28">FALSE</definedName>
    <definedName name="QBREPORTCOMPARECOL_AVGPRICE" localSheetId="26">FALSE</definedName>
    <definedName name="QBREPORTCOMPARECOL_AVGPRICE" localSheetId="31">FALSE</definedName>
    <definedName name="QBREPORTCOMPARECOL_AVGPRICE" localSheetId="32">FALSE</definedName>
    <definedName name="QBREPORTCOMPARECOL_AVGPRICE" localSheetId="33">FALSE</definedName>
    <definedName name="QBREPORTCOMPARECOL_AVGPRICE" localSheetId="34">FALSE</definedName>
    <definedName name="QBREPORTCOMPARECOL_AVGPRICE" localSheetId="35">FALSE</definedName>
    <definedName name="QBREPORTCOMPARECOL_AVGPRICE" localSheetId="36">FALSE</definedName>
    <definedName name="QBREPORTCOMPARECOL_AVGPRICE" localSheetId="37">FALSE</definedName>
    <definedName name="QBREPORTCOMPARECOL_AVGPRICE" localSheetId="38">FALSE</definedName>
    <definedName name="QBREPORTCOMPARECOL_AVGPRICE" localSheetId="49">FALSE</definedName>
    <definedName name="QBREPORTCOMPARECOL_AVGPRICE" localSheetId="50">FALSE</definedName>
    <definedName name="QBREPORTCOMPARECOL_AVGPRICE" localSheetId="39">FALSE</definedName>
    <definedName name="QBREPORTCOMPARECOL_AVGPRICE" localSheetId="40">FALSE</definedName>
    <definedName name="QBREPORTCOMPARECOL_AVGPRICE" localSheetId="41">FALSE</definedName>
    <definedName name="QBREPORTCOMPARECOL_AVGPRICE" localSheetId="42">FALSE</definedName>
    <definedName name="QBREPORTCOMPARECOL_AVGPRICE" localSheetId="43">FALSE</definedName>
    <definedName name="QBREPORTCOMPARECOL_AVGPRICE" localSheetId="44">FALSE</definedName>
    <definedName name="QBREPORTCOMPARECOL_AVGPRICE" localSheetId="53">FALSE</definedName>
    <definedName name="QBREPORTCOMPARECOL_AVGPRICE" localSheetId="54">FALSE</definedName>
    <definedName name="QBREPORTCOMPARECOL_BUDDIFF" localSheetId="47">FALSE</definedName>
    <definedName name="QBREPORTCOMPARECOL_BUDDIFF" localSheetId="48">FALSE</definedName>
    <definedName name="QBREPORTCOMPARECOL_BUDDIFF" localSheetId="45">FALSE</definedName>
    <definedName name="QBREPORTCOMPARECOL_BUDDIFF" localSheetId="46">FALSE</definedName>
    <definedName name="QBREPORTCOMPARECOL_BUDDIFF" localSheetId="15">FALSE</definedName>
    <definedName name="QBREPORTCOMPARECOL_BUDDIFF" localSheetId="16">FALSE</definedName>
    <definedName name="QBREPORTCOMPARECOL_BUDDIFF" localSheetId="17">FALSE</definedName>
    <definedName name="QBREPORTCOMPARECOL_BUDDIFF" localSheetId="18">FALSE</definedName>
    <definedName name="QBREPORTCOMPARECOL_BUDDIFF" localSheetId="51">FALSE</definedName>
    <definedName name="QBREPORTCOMPARECOL_BUDDIFF" localSheetId="52">FALSE</definedName>
    <definedName name="QBREPORTCOMPARECOL_BUDDIFF" localSheetId="19">FALSE</definedName>
    <definedName name="QBREPORTCOMPARECOL_BUDDIFF" localSheetId="20">FALSE</definedName>
    <definedName name="QBREPORTCOMPARECOL_BUDDIFF" localSheetId="21">FALSE</definedName>
    <definedName name="QBREPORTCOMPARECOL_BUDDIFF" localSheetId="22">FALSE</definedName>
    <definedName name="QBREPORTCOMPARECOL_BUDDIFF" localSheetId="23">FALSE</definedName>
    <definedName name="QBREPORTCOMPARECOL_BUDDIFF" localSheetId="24">FALSE</definedName>
    <definedName name="QBREPORTCOMPARECOL_BUDDIFF" localSheetId="29">FALSE</definedName>
    <definedName name="QBREPORTCOMPARECOL_BUDDIFF" localSheetId="30">FALSE</definedName>
    <definedName name="QBREPORTCOMPARECOL_BUDDIFF" localSheetId="25">FALSE</definedName>
    <definedName name="QBREPORTCOMPARECOL_BUDDIFF" localSheetId="27">FALSE</definedName>
    <definedName name="QBREPORTCOMPARECOL_BUDDIFF" localSheetId="28">FALSE</definedName>
    <definedName name="QBREPORTCOMPARECOL_BUDDIFF" localSheetId="26">FALSE</definedName>
    <definedName name="QBREPORTCOMPARECOL_BUDDIFF" localSheetId="31">FALSE</definedName>
    <definedName name="QBREPORTCOMPARECOL_BUDDIFF" localSheetId="32">FALSE</definedName>
    <definedName name="QBREPORTCOMPARECOL_BUDDIFF" localSheetId="33">FALSE</definedName>
    <definedName name="QBREPORTCOMPARECOL_BUDDIFF" localSheetId="34">FALSE</definedName>
    <definedName name="QBREPORTCOMPARECOL_BUDDIFF" localSheetId="35">FALSE</definedName>
    <definedName name="QBREPORTCOMPARECOL_BUDDIFF" localSheetId="36">FALSE</definedName>
    <definedName name="QBREPORTCOMPARECOL_BUDDIFF" localSheetId="37">FALSE</definedName>
    <definedName name="QBREPORTCOMPARECOL_BUDDIFF" localSheetId="38">FALSE</definedName>
    <definedName name="QBREPORTCOMPARECOL_BUDDIFF" localSheetId="49">FALSE</definedName>
    <definedName name="QBREPORTCOMPARECOL_BUDDIFF" localSheetId="50">FALSE</definedName>
    <definedName name="QBREPORTCOMPARECOL_BUDDIFF" localSheetId="39">FALSE</definedName>
    <definedName name="QBREPORTCOMPARECOL_BUDDIFF" localSheetId="40">FALSE</definedName>
    <definedName name="QBREPORTCOMPARECOL_BUDDIFF" localSheetId="41">FALSE</definedName>
    <definedName name="QBREPORTCOMPARECOL_BUDDIFF" localSheetId="42">FALSE</definedName>
    <definedName name="QBREPORTCOMPARECOL_BUDDIFF" localSheetId="43">FALSE</definedName>
    <definedName name="QBREPORTCOMPARECOL_BUDDIFF" localSheetId="44">FALSE</definedName>
    <definedName name="QBREPORTCOMPARECOL_BUDDIFF" localSheetId="53">FALSE</definedName>
    <definedName name="QBREPORTCOMPARECOL_BUDDIFF" localSheetId="54">FALSE</definedName>
    <definedName name="QBREPORTCOMPARECOL_BUDGET" localSheetId="47">FALSE</definedName>
    <definedName name="QBREPORTCOMPARECOL_BUDGET" localSheetId="48">FALSE</definedName>
    <definedName name="QBREPORTCOMPARECOL_BUDGET" localSheetId="45">FALSE</definedName>
    <definedName name="QBREPORTCOMPARECOL_BUDGET" localSheetId="46">FALSE</definedName>
    <definedName name="QBREPORTCOMPARECOL_BUDGET" localSheetId="15">FALSE</definedName>
    <definedName name="QBREPORTCOMPARECOL_BUDGET" localSheetId="16">FALSE</definedName>
    <definedName name="QBREPORTCOMPARECOL_BUDGET" localSheetId="17">FALSE</definedName>
    <definedName name="QBREPORTCOMPARECOL_BUDGET" localSheetId="18">FALSE</definedName>
    <definedName name="QBREPORTCOMPARECOL_BUDGET" localSheetId="51">FALSE</definedName>
    <definedName name="QBREPORTCOMPARECOL_BUDGET" localSheetId="52">FALSE</definedName>
    <definedName name="QBREPORTCOMPARECOL_BUDGET" localSheetId="19">FALSE</definedName>
    <definedName name="QBREPORTCOMPARECOL_BUDGET" localSheetId="20">FALSE</definedName>
    <definedName name="QBREPORTCOMPARECOL_BUDGET" localSheetId="21">FALSE</definedName>
    <definedName name="QBREPORTCOMPARECOL_BUDGET" localSheetId="22">FALSE</definedName>
    <definedName name="QBREPORTCOMPARECOL_BUDGET" localSheetId="23">FALSE</definedName>
    <definedName name="QBREPORTCOMPARECOL_BUDGET" localSheetId="24">FALSE</definedName>
    <definedName name="QBREPORTCOMPARECOL_BUDGET" localSheetId="29">FALSE</definedName>
    <definedName name="QBREPORTCOMPARECOL_BUDGET" localSheetId="30">FALSE</definedName>
    <definedName name="QBREPORTCOMPARECOL_BUDGET" localSheetId="25">FALSE</definedName>
    <definedName name="QBREPORTCOMPARECOL_BUDGET" localSheetId="27">FALSE</definedName>
    <definedName name="QBREPORTCOMPARECOL_BUDGET" localSheetId="28">FALSE</definedName>
    <definedName name="QBREPORTCOMPARECOL_BUDGET" localSheetId="26">FALSE</definedName>
    <definedName name="QBREPORTCOMPARECOL_BUDGET" localSheetId="31">FALSE</definedName>
    <definedName name="QBREPORTCOMPARECOL_BUDGET" localSheetId="32">FALSE</definedName>
    <definedName name="QBREPORTCOMPARECOL_BUDGET" localSheetId="33">FALSE</definedName>
    <definedName name="QBREPORTCOMPARECOL_BUDGET" localSheetId="34">FALSE</definedName>
    <definedName name="QBREPORTCOMPARECOL_BUDGET" localSheetId="35">FALSE</definedName>
    <definedName name="QBREPORTCOMPARECOL_BUDGET" localSheetId="36">FALSE</definedName>
    <definedName name="QBREPORTCOMPARECOL_BUDGET" localSheetId="37">FALSE</definedName>
    <definedName name="QBREPORTCOMPARECOL_BUDGET" localSheetId="38">FALSE</definedName>
    <definedName name="QBREPORTCOMPARECOL_BUDGET" localSheetId="49">FALSE</definedName>
    <definedName name="QBREPORTCOMPARECOL_BUDGET" localSheetId="50">FALSE</definedName>
    <definedName name="QBREPORTCOMPARECOL_BUDGET" localSheetId="39">FALSE</definedName>
    <definedName name="QBREPORTCOMPARECOL_BUDGET" localSheetId="40">FALSE</definedName>
    <definedName name="QBREPORTCOMPARECOL_BUDGET" localSheetId="41">FALSE</definedName>
    <definedName name="QBREPORTCOMPARECOL_BUDGET" localSheetId="42">FALSE</definedName>
    <definedName name="QBREPORTCOMPARECOL_BUDGET" localSheetId="43">FALSE</definedName>
    <definedName name="QBREPORTCOMPARECOL_BUDGET" localSheetId="44">FALSE</definedName>
    <definedName name="QBREPORTCOMPARECOL_BUDGET" localSheetId="53">FALSE</definedName>
    <definedName name="QBREPORTCOMPARECOL_BUDGET" localSheetId="54">FALSE</definedName>
    <definedName name="QBREPORTCOMPARECOL_BUDPCT" localSheetId="47">FALSE</definedName>
    <definedName name="QBREPORTCOMPARECOL_BUDPCT" localSheetId="48">FALSE</definedName>
    <definedName name="QBREPORTCOMPARECOL_BUDPCT" localSheetId="45">FALSE</definedName>
    <definedName name="QBREPORTCOMPARECOL_BUDPCT" localSheetId="46">FALSE</definedName>
    <definedName name="QBREPORTCOMPARECOL_BUDPCT" localSheetId="15">FALSE</definedName>
    <definedName name="QBREPORTCOMPARECOL_BUDPCT" localSheetId="16">FALSE</definedName>
    <definedName name="QBREPORTCOMPARECOL_BUDPCT" localSheetId="17">FALSE</definedName>
    <definedName name="QBREPORTCOMPARECOL_BUDPCT" localSheetId="18">FALSE</definedName>
    <definedName name="QBREPORTCOMPARECOL_BUDPCT" localSheetId="51">FALSE</definedName>
    <definedName name="QBREPORTCOMPARECOL_BUDPCT" localSheetId="52">FALSE</definedName>
    <definedName name="QBREPORTCOMPARECOL_BUDPCT" localSheetId="19">FALSE</definedName>
    <definedName name="QBREPORTCOMPARECOL_BUDPCT" localSheetId="20">FALSE</definedName>
    <definedName name="QBREPORTCOMPARECOL_BUDPCT" localSheetId="21">FALSE</definedName>
    <definedName name="QBREPORTCOMPARECOL_BUDPCT" localSheetId="22">FALSE</definedName>
    <definedName name="QBREPORTCOMPARECOL_BUDPCT" localSheetId="23">FALSE</definedName>
    <definedName name="QBREPORTCOMPARECOL_BUDPCT" localSheetId="24">FALSE</definedName>
    <definedName name="QBREPORTCOMPARECOL_BUDPCT" localSheetId="29">FALSE</definedName>
    <definedName name="QBREPORTCOMPARECOL_BUDPCT" localSheetId="30">FALSE</definedName>
    <definedName name="QBREPORTCOMPARECOL_BUDPCT" localSheetId="25">FALSE</definedName>
    <definedName name="QBREPORTCOMPARECOL_BUDPCT" localSheetId="27">FALSE</definedName>
    <definedName name="QBREPORTCOMPARECOL_BUDPCT" localSheetId="28">FALSE</definedName>
    <definedName name="QBREPORTCOMPARECOL_BUDPCT" localSheetId="26">FALSE</definedName>
    <definedName name="QBREPORTCOMPARECOL_BUDPCT" localSheetId="31">FALSE</definedName>
    <definedName name="QBREPORTCOMPARECOL_BUDPCT" localSheetId="32">FALSE</definedName>
    <definedName name="QBREPORTCOMPARECOL_BUDPCT" localSheetId="33">FALSE</definedName>
    <definedName name="QBREPORTCOMPARECOL_BUDPCT" localSheetId="34">FALSE</definedName>
    <definedName name="QBREPORTCOMPARECOL_BUDPCT" localSheetId="35">FALSE</definedName>
    <definedName name="QBREPORTCOMPARECOL_BUDPCT" localSheetId="36">FALSE</definedName>
    <definedName name="QBREPORTCOMPARECOL_BUDPCT" localSheetId="37">FALSE</definedName>
    <definedName name="QBREPORTCOMPARECOL_BUDPCT" localSheetId="38">FALSE</definedName>
    <definedName name="QBREPORTCOMPARECOL_BUDPCT" localSheetId="49">FALSE</definedName>
    <definedName name="QBREPORTCOMPARECOL_BUDPCT" localSheetId="50">FALSE</definedName>
    <definedName name="QBREPORTCOMPARECOL_BUDPCT" localSheetId="39">FALSE</definedName>
    <definedName name="QBREPORTCOMPARECOL_BUDPCT" localSheetId="40">FALSE</definedName>
    <definedName name="QBREPORTCOMPARECOL_BUDPCT" localSheetId="41">FALSE</definedName>
    <definedName name="QBREPORTCOMPARECOL_BUDPCT" localSheetId="42">FALSE</definedName>
    <definedName name="QBREPORTCOMPARECOL_BUDPCT" localSheetId="43">FALSE</definedName>
    <definedName name="QBREPORTCOMPARECOL_BUDPCT" localSheetId="44">FALSE</definedName>
    <definedName name="QBREPORTCOMPARECOL_BUDPCT" localSheetId="53">FALSE</definedName>
    <definedName name="QBREPORTCOMPARECOL_BUDPCT" localSheetId="54">FALSE</definedName>
    <definedName name="QBREPORTCOMPARECOL_COGS" localSheetId="47">FALSE</definedName>
    <definedName name="QBREPORTCOMPARECOL_COGS" localSheetId="48">FALSE</definedName>
    <definedName name="QBREPORTCOMPARECOL_COGS" localSheetId="45">FALSE</definedName>
    <definedName name="QBREPORTCOMPARECOL_COGS" localSheetId="46">FALSE</definedName>
    <definedName name="QBREPORTCOMPARECOL_COGS" localSheetId="15">FALSE</definedName>
    <definedName name="QBREPORTCOMPARECOL_COGS" localSheetId="16">FALSE</definedName>
    <definedName name="QBREPORTCOMPARECOL_COGS" localSheetId="17">FALSE</definedName>
    <definedName name="QBREPORTCOMPARECOL_COGS" localSheetId="18">FALSE</definedName>
    <definedName name="QBREPORTCOMPARECOL_COGS" localSheetId="51">FALSE</definedName>
    <definedName name="QBREPORTCOMPARECOL_COGS" localSheetId="52">FALSE</definedName>
    <definedName name="QBREPORTCOMPARECOL_COGS" localSheetId="19">FALSE</definedName>
    <definedName name="QBREPORTCOMPARECOL_COGS" localSheetId="20">FALSE</definedName>
    <definedName name="QBREPORTCOMPARECOL_COGS" localSheetId="21">FALSE</definedName>
    <definedName name="QBREPORTCOMPARECOL_COGS" localSheetId="22">FALSE</definedName>
    <definedName name="QBREPORTCOMPARECOL_COGS" localSheetId="23">FALSE</definedName>
    <definedName name="QBREPORTCOMPARECOL_COGS" localSheetId="24">FALSE</definedName>
    <definedName name="QBREPORTCOMPARECOL_COGS" localSheetId="29">FALSE</definedName>
    <definedName name="QBREPORTCOMPARECOL_COGS" localSheetId="30">FALSE</definedName>
    <definedName name="QBREPORTCOMPARECOL_COGS" localSheetId="25">FALSE</definedName>
    <definedName name="QBREPORTCOMPARECOL_COGS" localSheetId="27">FALSE</definedName>
    <definedName name="QBREPORTCOMPARECOL_COGS" localSheetId="28">FALSE</definedName>
    <definedName name="QBREPORTCOMPARECOL_COGS" localSheetId="26">FALSE</definedName>
    <definedName name="QBREPORTCOMPARECOL_COGS" localSheetId="31">FALSE</definedName>
    <definedName name="QBREPORTCOMPARECOL_COGS" localSheetId="32">FALSE</definedName>
    <definedName name="QBREPORTCOMPARECOL_COGS" localSheetId="33">FALSE</definedName>
    <definedName name="QBREPORTCOMPARECOL_COGS" localSheetId="34">FALSE</definedName>
    <definedName name="QBREPORTCOMPARECOL_COGS" localSheetId="35">FALSE</definedName>
    <definedName name="QBREPORTCOMPARECOL_COGS" localSheetId="36">FALSE</definedName>
    <definedName name="QBREPORTCOMPARECOL_COGS" localSheetId="37">FALSE</definedName>
    <definedName name="QBREPORTCOMPARECOL_COGS" localSheetId="38">FALSE</definedName>
    <definedName name="QBREPORTCOMPARECOL_COGS" localSheetId="49">FALSE</definedName>
    <definedName name="QBREPORTCOMPARECOL_COGS" localSheetId="50">FALSE</definedName>
    <definedName name="QBREPORTCOMPARECOL_COGS" localSheetId="39">FALSE</definedName>
    <definedName name="QBREPORTCOMPARECOL_COGS" localSheetId="40">FALSE</definedName>
    <definedName name="QBREPORTCOMPARECOL_COGS" localSheetId="41">FALSE</definedName>
    <definedName name="QBREPORTCOMPARECOL_COGS" localSheetId="42">FALSE</definedName>
    <definedName name="QBREPORTCOMPARECOL_COGS" localSheetId="43">FALSE</definedName>
    <definedName name="QBREPORTCOMPARECOL_COGS" localSheetId="44">FALSE</definedName>
    <definedName name="QBREPORTCOMPARECOL_COGS" localSheetId="53">FALSE</definedName>
    <definedName name="QBREPORTCOMPARECOL_COGS" localSheetId="54">FALSE</definedName>
    <definedName name="QBREPORTCOMPARECOL_EXCLUDEAMOUNT" localSheetId="47">FALSE</definedName>
    <definedName name="QBREPORTCOMPARECOL_EXCLUDEAMOUNT" localSheetId="48">FALSE</definedName>
    <definedName name="QBREPORTCOMPARECOL_EXCLUDEAMOUNT" localSheetId="45">FALSE</definedName>
    <definedName name="QBREPORTCOMPARECOL_EXCLUDEAMOUNT" localSheetId="46">FALSE</definedName>
    <definedName name="QBREPORTCOMPARECOL_EXCLUDEAMOUNT" localSheetId="15">FALSE</definedName>
    <definedName name="QBREPORTCOMPARECOL_EXCLUDEAMOUNT" localSheetId="16">FALSE</definedName>
    <definedName name="QBREPORTCOMPARECOL_EXCLUDEAMOUNT" localSheetId="17">FALSE</definedName>
    <definedName name="QBREPORTCOMPARECOL_EXCLUDEAMOUNT" localSheetId="18">FALSE</definedName>
    <definedName name="QBREPORTCOMPARECOL_EXCLUDEAMOUNT" localSheetId="51">FALSE</definedName>
    <definedName name="QBREPORTCOMPARECOL_EXCLUDEAMOUNT" localSheetId="52">FALSE</definedName>
    <definedName name="QBREPORTCOMPARECOL_EXCLUDEAMOUNT" localSheetId="19">FALSE</definedName>
    <definedName name="QBREPORTCOMPARECOL_EXCLUDEAMOUNT" localSheetId="20">FALSE</definedName>
    <definedName name="QBREPORTCOMPARECOL_EXCLUDEAMOUNT" localSheetId="21">FALSE</definedName>
    <definedName name="QBREPORTCOMPARECOL_EXCLUDEAMOUNT" localSheetId="22">FALSE</definedName>
    <definedName name="QBREPORTCOMPARECOL_EXCLUDEAMOUNT" localSheetId="23">FALSE</definedName>
    <definedName name="QBREPORTCOMPARECOL_EXCLUDEAMOUNT" localSheetId="24">FALSE</definedName>
    <definedName name="QBREPORTCOMPARECOL_EXCLUDEAMOUNT" localSheetId="29">FALSE</definedName>
    <definedName name="QBREPORTCOMPARECOL_EXCLUDEAMOUNT" localSheetId="30">FALSE</definedName>
    <definedName name="QBREPORTCOMPARECOL_EXCLUDEAMOUNT" localSheetId="25">FALSE</definedName>
    <definedName name="QBREPORTCOMPARECOL_EXCLUDEAMOUNT" localSheetId="27">FALSE</definedName>
    <definedName name="QBREPORTCOMPARECOL_EXCLUDEAMOUNT" localSheetId="28">FALSE</definedName>
    <definedName name="QBREPORTCOMPARECOL_EXCLUDEAMOUNT" localSheetId="26">FALSE</definedName>
    <definedName name="QBREPORTCOMPARECOL_EXCLUDEAMOUNT" localSheetId="31">FALSE</definedName>
    <definedName name="QBREPORTCOMPARECOL_EXCLUDEAMOUNT" localSheetId="32">FALSE</definedName>
    <definedName name="QBREPORTCOMPARECOL_EXCLUDEAMOUNT" localSheetId="33">FALSE</definedName>
    <definedName name="QBREPORTCOMPARECOL_EXCLUDEAMOUNT" localSheetId="34">FALSE</definedName>
    <definedName name="QBREPORTCOMPARECOL_EXCLUDEAMOUNT" localSheetId="35">FALSE</definedName>
    <definedName name="QBREPORTCOMPARECOL_EXCLUDEAMOUNT" localSheetId="36">FALSE</definedName>
    <definedName name="QBREPORTCOMPARECOL_EXCLUDEAMOUNT" localSheetId="37">FALSE</definedName>
    <definedName name="QBREPORTCOMPARECOL_EXCLUDEAMOUNT" localSheetId="38">FALSE</definedName>
    <definedName name="QBREPORTCOMPARECOL_EXCLUDEAMOUNT" localSheetId="49">FALSE</definedName>
    <definedName name="QBREPORTCOMPARECOL_EXCLUDEAMOUNT" localSheetId="50">FALSE</definedName>
    <definedName name="QBREPORTCOMPARECOL_EXCLUDEAMOUNT" localSheetId="39">FALSE</definedName>
    <definedName name="QBREPORTCOMPARECOL_EXCLUDEAMOUNT" localSheetId="40">FALSE</definedName>
    <definedName name="QBREPORTCOMPARECOL_EXCLUDEAMOUNT" localSheetId="41">FALSE</definedName>
    <definedName name="QBREPORTCOMPARECOL_EXCLUDEAMOUNT" localSheetId="42">FALSE</definedName>
    <definedName name="QBREPORTCOMPARECOL_EXCLUDEAMOUNT" localSheetId="43">FALSE</definedName>
    <definedName name="QBREPORTCOMPARECOL_EXCLUDEAMOUNT" localSheetId="44">FALSE</definedName>
    <definedName name="QBREPORTCOMPARECOL_EXCLUDEAMOUNT" localSheetId="53">FALSE</definedName>
    <definedName name="QBREPORTCOMPARECOL_EXCLUDEAMOUNT" localSheetId="54">FALSE</definedName>
    <definedName name="QBREPORTCOMPARECOL_EXCLUDECURPERIOD" localSheetId="47">FALSE</definedName>
    <definedName name="QBREPORTCOMPARECOL_EXCLUDECURPERIOD" localSheetId="48">FALSE</definedName>
    <definedName name="QBREPORTCOMPARECOL_EXCLUDECURPERIOD" localSheetId="45">FALSE</definedName>
    <definedName name="QBREPORTCOMPARECOL_EXCLUDECURPERIOD" localSheetId="46">FALSE</definedName>
    <definedName name="QBREPORTCOMPARECOL_EXCLUDECURPERIOD" localSheetId="15">FALSE</definedName>
    <definedName name="QBREPORTCOMPARECOL_EXCLUDECURPERIOD" localSheetId="16">FALSE</definedName>
    <definedName name="QBREPORTCOMPARECOL_EXCLUDECURPERIOD" localSheetId="17">FALSE</definedName>
    <definedName name="QBREPORTCOMPARECOL_EXCLUDECURPERIOD" localSheetId="18">FALSE</definedName>
    <definedName name="QBREPORTCOMPARECOL_EXCLUDECURPERIOD" localSheetId="51">FALSE</definedName>
    <definedName name="QBREPORTCOMPARECOL_EXCLUDECURPERIOD" localSheetId="52">FALSE</definedName>
    <definedName name="QBREPORTCOMPARECOL_EXCLUDECURPERIOD" localSheetId="19">FALSE</definedName>
    <definedName name="QBREPORTCOMPARECOL_EXCLUDECURPERIOD" localSheetId="20">FALSE</definedName>
    <definedName name="QBREPORTCOMPARECOL_EXCLUDECURPERIOD" localSheetId="21">FALSE</definedName>
    <definedName name="QBREPORTCOMPARECOL_EXCLUDECURPERIOD" localSheetId="22">FALSE</definedName>
    <definedName name="QBREPORTCOMPARECOL_EXCLUDECURPERIOD" localSheetId="23">FALSE</definedName>
    <definedName name="QBREPORTCOMPARECOL_EXCLUDECURPERIOD" localSheetId="24">FALSE</definedName>
    <definedName name="QBREPORTCOMPARECOL_EXCLUDECURPERIOD" localSheetId="29">FALSE</definedName>
    <definedName name="QBREPORTCOMPARECOL_EXCLUDECURPERIOD" localSheetId="30">FALSE</definedName>
    <definedName name="QBREPORTCOMPARECOL_EXCLUDECURPERIOD" localSheetId="25">FALSE</definedName>
    <definedName name="QBREPORTCOMPARECOL_EXCLUDECURPERIOD" localSheetId="27">FALSE</definedName>
    <definedName name="QBREPORTCOMPARECOL_EXCLUDECURPERIOD" localSheetId="28">FALSE</definedName>
    <definedName name="QBREPORTCOMPARECOL_EXCLUDECURPERIOD" localSheetId="26">FALSE</definedName>
    <definedName name="QBREPORTCOMPARECOL_EXCLUDECURPERIOD" localSheetId="31">FALSE</definedName>
    <definedName name="QBREPORTCOMPARECOL_EXCLUDECURPERIOD" localSheetId="32">FALSE</definedName>
    <definedName name="QBREPORTCOMPARECOL_EXCLUDECURPERIOD" localSheetId="33">FALSE</definedName>
    <definedName name="QBREPORTCOMPARECOL_EXCLUDECURPERIOD" localSheetId="34">FALSE</definedName>
    <definedName name="QBREPORTCOMPARECOL_EXCLUDECURPERIOD" localSheetId="35">FALSE</definedName>
    <definedName name="QBREPORTCOMPARECOL_EXCLUDECURPERIOD" localSheetId="36">FALSE</definedName>
    <definedName name="QBREPORTCOMPARECOL_EXCLUDECURPERIOD" localSheetId="37">FALSE</definedName>
    <definedName name="QBREPORTCOMPARECOL_EXCLUDECURPERIOD" localSheetId="38">FALSE</definedName>
    <definedName name="QBREPORTCOMPARECOL_EXCLUDECURPERIOD" localSheetId="49">FALSE</definedName>
    <definedName name="QBREPORTCOMPARECOL_EXCLUDECURPERIOD" localSheetId="50">FALSE</definedName>
    <definedName name="QBREPORTCOMPARECOL_EXCLUDECURPERIOD" localSheetId="39">FALSE</definedName>
    <definedName name="QBREPORTCOMPARECOL_EXCLUDECURPERIOD" localSheetId="40">FALSE</definedName>
    <definedName name="QBREPORTCOMPARECOL_EXCLUDECURPERIOD" localSheetId="41">FALSE</definedName>
    <definedName name="QBREPORTCOMPARECOL_EXCLUDECURPERIOD" localSheetId="42">FALSE</definedName>
    <definedName name="QBREPORTCOMPARECOL_EXCLUDECURPERIOD" localSheetId="43">FALSE</definedName>
    <definedName name="QBREPORTCOMPARECOL_EXCLUDECURPERIOD" localSheetId="44">FALSE</definedName>
    <definedName name="QBREPORTCOMPARECOL_EXCLUDECURPERIOD" localSheetId="53">FALSE</definedName>
    <definedName name="QBREPORTCOMPARECOL_EXCLUDECURPERIOD" localSheetId="54">FALSE</definedName>
    <definedName name="QBREPORTCOMPARECOL_FORECAST" localSheetId="47">FALSE</definedName>
    <definedName name="QBREPORTCOMPARECOL_FORECAST" localSheetId="48">FALSE</definedName>
    <definedName name="QBREPORTCOMPARECOL_FORECAST" localSheetId="45">FALSE</definedName>
    <definedName name="QBREPORTCOMPARECOL_FORECAST" localSheetId="46">FALSE</definedName>
    <definedName name="QBREPORTCOMPARECOL_FORECAST" localSheetId="15">FALSE</definedName>
    <definedName name="QBREPORTCOMPARECOL_FORECAST" localSheetId="16">FALSE</definedName>
    <definedName name="QBREPORTCOMPARECOL_FORECAST" localSheetId="17">FALSE</definedName>
    <definedName name="QBREPORTCOMPARECOL_FORECAST" localSheetId="18">FALSE</definedName>
    <definedName name="QBREPORTCOMPARECOL_FORECAST" localSheetId="51">FALSE</definedName>
    <definedName name="QBREPORTCOMPARECOL_FORECAST" localSheetId="52">FALSE</definedName>
    <definedName name="QBREPORTCOMPARECOL_FORECAST" localSheetId="19">FALSE</definedName>
    <definedName name="QBREPORTCOMPARECOL_FORECAST" localSheetId="20">FALSE</definedName>
    <definedName name="QBREPORTCOMPARECOL_FORECAST" localSheetId="21">FALSE</definedName>
    <definedName name="QBREPORTCOMPARECOL_FORECAST" localSheetId="22">FALSE</definedName>
    <definedName name="QBREPORTCOMPARECOL_FORECAST" localSheetId="23">FALSE</definedName>
    <definedName name="QBREPORTCOMPARECOL_FORECAST" localSheetId="24">FALSE</definedName>
    <definedName name="QBREPORTCOMPARECOL_FORECAST" localSheetId="29">FALSE</definedName>
    <definedName name="QBREPORTCOMPARECOL_FORECAST" localSheetId="30">FALSE</definedName>
    <definedName name="QBREPORTCOMPARECOL_FORECAST" localSheetId="25">FALSE</definedName>
    <definedName name="QBREPORTCOMPARECOL_FORECAST" localSheetId="27">FALSE</definedName>
    <definedName name="QBREPORTCOMPARECOL_FORECAST" localSheetId="28">FALSE</definedName>
    <definedName name="QBREPORTCOMPARECOL_FORECAST" localSheetId="26">FALSE</definedName>
    <definedName name="QBREPORTCOMPARECOL_FORECAST" localSheetId="31">FALSE</definedName>
    <definedName name="QBREPORTCOMPARECOL_FORECAST" localSheetId="32">FALSE</definedName>
    <definedName name="QBREPORTCOMPARECOL_FORECAST" localSheetId="33">FALSE</definedName>
    <definedName name="QBREPORTCOMPARECOL_FORECAST" localSheetId="34">FALSE</definedName>
    <definedName name="QBREPORTCOMPARECOL_FORECAST" localSheetId="35">FALSE</definedName>
    <definedName name="QBREPORTCOMPARECOL_FORECAST" localSheetId="36">FALSE</definedName>
    <definedName name="QBREPORTCOMPARECOL_FORECAST" localSheetId="37">FALSE</definedName>
    <definedName name="QBREPORTCOMPARECOL_FORECAST" localSheetId="38">FALSE</definedName>
    <definedName name="QBREPORTCOMPARECOL_FORECAST" localSheetId="49">FALSE</definedName>
    <definedName name="QBREPORTCOMPARECOL_FORECAST" localSheetId="50">FALSE</definedName>
    <definedName name="QBREPORTCOMPARECOL_FORECAST" localSheetId="39">FALSE</definedName>
    <definedName name="QBREPORTCOMPARECOL_FORECAST" localSheetId="40">FALSE</definedName>
    <definedName name="QBREPORTCOMPARECOL_FORECAST" localSheetId="41">FALSE</definedName>
    <definedName name="QBREPORTCOMPARECOL_FORECAST" localSheetId="42">FALSE</definedName>
    <definedName name="QBREPORTCOMPARECOL_FORECAST" localSheetId="43">FALSE</definedName>
    <definedName name="QBREPORTCOMPARECOL_FORECAST" localSheetId="44">FALSE</definedName>
    <definedName name="QBREPORTCOMPARECOL_FORECAST" localSheetId="53">FALSE</definedName>
    <definedName name="QBREPORTCOMPARECOL_FORECAST" localSheetId="54">FALSE</definedName>
    <definedName name="QBREPORTCOMPARECOL_GROSSMARGIN" localSheetId="47">FALSE</definedName>
    <definedName name="QBREPORTCOMPARECOL_GROSSMARGIN" localSheetId="48">FALSE</definedName>
    <definedName name="QBREPORTCOMPARECOL_GROSSMARGIN" localSheetId="45">FALSE</definedName>
    <definedName name="QBREPORTCOMPARECOL_GROSSMARGIN" localSheetId="46">FALSE</definedName>
    <definedName name="QBREPORTCOMPARECOL_GROSSMARGIN" localSheetId="15">FALSE</definedName>
    <definedName name="QBREPORTCOMPARECOL_GROSSMARGIN" localSheetId="16">FALSE</definedName>
    <definedName name="QBREPORTCOMPARECOL_GROSSMARGIN" localSheetId="17">FALSE</definedName>
    <definedName name="QBREPORTCOMPARECOL_GROSSMARGIN" localSheetId="18">FALSE</definedName>
    <definedName name="QBREPORTCOMPARECOL_GROSSMARGIN" localSheetId="51">FALSE</definedName>
    <definedName name="QBREPORTCOMPARECOL_GROSSMARGIN" localSheetId="52">FALSE</definedName>
    <definedName name="QBREPORTCOMPARECOL_GROSSMARGIN" localSheetId="19">FALSE</definedName>
    <definedName name="QBREPORTCOMPARECOL_GROSSMARGIN" localSheetId="20">FALSE</definedName>
    <definedName name="QBREPORTCOMPARECOL_GROSSMARGIN" localSheetId="21">FALSE</definedName>
    <definedName name="QBREPORTCOMPARECOL_GROSSMARGIN" localSheetId="22">FALSE</definedName>
    <definedName name="QBREPORTCOMPARECOL_GROSSMARGIN" localSheetId="23">FALSE</definedName>
    <definedName name="QBREPORTCOMPARECOL_GROSSMARGIN" localSheetId="24">FALSE</definedName>
    <definedName name="QBREPORTCOMPARECOL_GROSSMARGIN" localSheetId="29">FALSE</definedName>
    <definedName name="QBREPORTCOMPARECOL_GROSSMARGIN" localSheetId="30">FALSE</definedName>
    <definedName name="QBREPORTCOMPARECOL_GROSSMARGIN" localSheetId="25">FALSE</definedName>
    <definedName name="QBREPORTCOMPARECOL_GROSSMARGIN" localSheetId="27">FALSE</definedName>
    <definedName name="QBREPORTCOMPARECOL_GROSSMARGIN" localSheetId="28">FALSE</definedName>
    <definedName name="QBREPORTCOMPARECOL_GROSSMARGIN" localSheetId="26">FALSE</definedName>
    <definedName name="QBREPORTCOMPARECOL_GROSSMARGIN" localSheetId="31">FALSE</definedName>
    <definedName name="QBREPORTCOMPARECOL_GROSSMARGIN" localSheetId="32">FALSE</definedName>
    <definedName name="QBREPORTCOMPARECOL_GROSSMARGIN" localSheetId="33">FALSE</definedName>
    <definedName name="QBREPORTCOMPARECOL_GROSSMARGIN" localSheetId="34">FALSE</definedName>
    <definedName name="QBREPORTCOMPARECOL_GROSSMARGIN" localSheetId="35">FALSE</definedName>
    <definedName name="QBREPORTCOMPARECOL_GROSSMARGIN" localSheetId="36">FALSE</definedName>
    <definedName name="QBREPORTCOMPARECOL_GROSSMARGIN" localSheetId="37">FALSE</definedName>
    <definedName name="QBREPORTCOMPARECOL_GROSSMARGIN" localSheetId="38">FALSE</definedName>
    <definedName name="QBREPORTCOMPARECOL_GROSSMARGIN" localSheetId="49">FALSE</definedName>
    <definedName name="QBREPORTCOMPARECOL_GROSSMARGIN" localSheetId="50">FALSE</definedName>
    <definedName name="QBREPORTCOMPARECOL_GROSSMARGIN" localSheetId="39">FALSE</definedName>
    <definedName name="QBREPORTCOMPARECOL_GROSSMARGIN" localSheetId="40">FALSE</definedName>
    <definedName name="QBREPORTCOMPARECOL_GROSSMARGIN" localSheetId="41">FALSE</definedName>
    <definedName name="QBREPORTCOMPARECOL_GROSSMARGIN" localSheetId="42">FALSE</definedName>
    <definedName name="QBREPORTCOMPARECOL_GROSSMARGIN" localSheetId="43">FALSE</definedName>
    <definedName name="QBREPORTCOMPARECOL_GROSSMARGIN" localSheetId="44">FALSE</definedName>
    <definedName name="QBREPORTCOMPARECOL_GROSSMARGIN" localSheetId="53">FALSE</definedName>
    <definedName name="QBREPORTCOMPARECOL_GROSSMARGIN" localSheetId="54">FALSE</definedName>
    <definedName name="QBREPORTCOMPARECOL_GROSSMARGINPCT" localSheetId="47">FALSE</definedName>
    <definedName name="QBREPORTCOMPARECOL_GROSSMARGINPCT" localSheetId="48">FALSE</definedName>
    <definedName name="QBREPORTCOMPARECOL_GROSSMARGINPCT" localSheetId="45">FALSE</definedName>
    <definedName name="QBREPORTCOMPARECOL_GROSSMARGINPCT" localSheetId="46">FALSE</definedName>
    <definedName name="QBREPORTCOMPARECOL_GROSSMARGINPCT" localSheetId="15">FALSE</definedName>
    <definedName name="QBREPORTCOMPARECOL_GROSSMARGINPCT" localSheetId="16">FALSE</definedName>
    <definedName name="QBREPORTCOMPARECOL_GROSSMARGINPCT" localSheetId="17">FALSE</definedName>
    <definedName name="QBREPORTCOMPARECOL_GROSSMARGINPCT" localSheetId="18">FALSE</definedName>
    <definedName name="QBREPORTCOMPARECOL_GROSSMARGINPCT" localSheetId="51">FALSE</definedName>
    <definedName name="QBREPORTCOMPARECOL_GROSSMARGINPCT" localSheetId="52">FALSE</definedName>
    <definedName name="QBREPORTCOMPARECOL_GROSSMARGINPCT" localSheetId="19">FALSE</definedName>
    <definedName name="QBREPORTCOMPARECOL_GROSSMARGINPCT" localSheetId="20">FALSE</definedName>
    <definedName name="QBREPORTCOMPARECOL_GROSSMARGINPCT" localSheetId="21">FALSE</definedName>
    <definedName name="QBREPORTCOMPARECOL_GROSSMARGINPCT" localSheetId="22">FALSE</definedName>
    <definedName name="QBREPORTCOMPARECOL_GROSSMARGINPCT" localSheetId="23">FALSE</definedName>
    <definedName name="QBREPORTCOMPARECOL_GROSSMARGINPCT" localSheetId="24">FALSE</definedName>
    <definedName name="QBREPORTCOMPARECOL_GROSSMARGINPCT" localSheetId="29">FALSE</definedName>
    <definedName name="QBREPORTCOMPARECOL_GROSSMARGINPCT" localSheetId="30">FALSE</definedName>
    <definedName name="QBREPORTCOMPARECOL_GROSSMARGINPCT" localSheetId="25">FALSE</definedName>
    <definedName name="QBREPORTCOMPARECOL_GROSSMARGINPCT" localSheetId="27">FALSE</definedName>
    <definedName name="QBREPORTCOMPARECOL_GROSSMARGINPCT" localSheetId="28">FALSE</definedName>
    <definedName name="QBREPORTCOMPARECOL_GROSSMARGINPCT" localSheetId="26">FALSE</definedName>
    <definedName name="QBREPORTCOMPARECOL_GROSSMARGINPCT" localSheetId="31">FALSE</definedName>
    <definedName name="QBREPORTCOMPARECOL_GROSSMARGINPCT" localSheetId="32">FALSE</definedName>
    <definedName name="QBREPORTCOMPARECOL_GROSSMARGINPCT" localSheetId="33">FALSE</definedName>
    <definedName name="QBREPORTCOMPARECOL_GROSSMARGINPCT" localSheetId="34">FALSE</definedName>
    <definedName name="QBREPORTCOMPARECOL_GROSSMARGINPCT" localSheetId="35">FALSE</definedName>
    <definedName name="QBREPORTCOMPARECOL_GROSSMARGINPCT" localSheetId="36">FALSE</definedName>
    <definedName name="QBREPORTCOMPARECOL_GROSSMARGINPCT" localSheetId="37">FALSE</definedName>
    <definedName name="QBREPORTCOMPARECOL_GROSSMARGINPCT" localSheetId="38">FALSE</definedName>
    <definedName name="QBREPORTCOMPARECOL_GROSSMARGINPCT" localSheetId="49">FALSE</definedName>
    <definedName name="QBREPORTCOMPARECOL_GROSSMARGINPCT" localSheetId="50">FALSE</definedName>
    <definedName name="QBREPORTCOMPARECOL_GROSSMARGINPCT" localSheetId="39">FALSE</definedName>
    <definedName name="QBREPORTCOMPARECOL_GROSSMARGINPCT" localSheetId="40">FALSE</definedName>
    <definedName name="QBREPORTCOMPARECOL_GROSSMARGINPCT" localSheetId="41">FALSE</definedName>
    <definedName name="QBREPORTCOMPARECOL_GROSSMARGINPCT" localSheetId="42">FALSE</definedName>
    <definedName name="QBREPORTCOMPARECOL_GROSSMARGINPCT" localSheetId="43">FALSE</definedName>
    <definedName name="QBREPORTCOMPARECOL_GROSSMARGINPCT" localSheetId="44">FALSE</definedName>
    <definedName name="QBREPORTCOMPARECOL_GROSSMARGINPCT" localSheetId="53">FALSE</definedName>
    <definedName name="QBREPORTCOMPARECOL_GROSSMARGINPCT" localSheetId="54">FALSE</definedName>
    <definedName name="QBREPORTCOMPARECOL_HOURS" localSheetId="47">FALSE</definedName>
    <definedName name="QBREPORTCOMPARECOL_HOURS" localSheetId="48">FALSE</definedName>
    <definedName name="QBREPORTCOMPARECOL_HOURS" localSheetId="45">FALSE</definedName>
    <definedName name="QBREPORTCOMPARECOL_HOURS" localSheetId="46">FALSE</definedName>
    <definedName name="QBREPORTCOMPARECOL_HOURS" localSheetId="15">FALSE</definedName>
    <definedName name="QBREPORTCOMPARECOL_HOURS" localSheetId="16">FALSE</definedName>
    <definedName name="QBREPORTCOMPARECOL_HOURS" localSheetId="17">FALSE</definedName>
    <definedName name="QBREPORTCOMPARECOL_HOURS" localSheetId="18">FALSE</definedName>
    <definedName name="QBREPORTCOMPARECOL_HOURS" localSheetId="51">FALSE</definedName>
    <definedName name="QBREPORTCOMPARECOL_HOURS" localSheetId="52">FALSE</definedName>
    <definedName name="QBREPORTCOMPARECOL_HOURS" localSheetId="19">FALSE</definedName>
    <definedName name="QBREPORTCOMPARECOL_HOURS" localSheetId="20">FALSE</definedName>
    <definedName name="QBREPORTCOMPARECOL_HOURS" localSheetId="21">FALSE</definedName>
    <definedName name="QBREPORTCOMPARECOL_HOURS" localSheetId="22">FALSE</definedName>
    <definedName name="QBREPORTCOMPARECOL_HOURS" localSheetId="23">FALSE</definedName>
    <definedName name="QBREPORTCOMPARECOL_HOURS" localSheetId="24">FALSE</definedName>
    <definedName name="QBREPORTCOMPARECOL_HOURS" localSheetId="29">FALSE</definedName>
    <definedName name="QBREPORTCOMPARECOL_HOURS" localSheetId="30">FALSE</definedName>
    <definedName name="QBREPORTCOMPARECOL_HOURS" localSheetId="25">FALSE</definedName>
    <definedName name="QBREPORTCOMPARECOL_HOURS" localSheetId="27">FALSE</definedName>
    <definedName name="QBREPORTCOMPARECOL_HOURS" localSheetId="28">FALSE</definedName>
    <definedName name="QBREPORTCOMPARECOL_HOURS" localSheetId="26">FALSE</definedName>
    <definedName name="QBREPORTCOMPARECOL_HOURS" localSheetId="31">FALSE</definedName>
    <definedName name="QBREPORTCOMPARECOL_HOURS" localSheetId="32">FALSE</definedName>
    <definedName name="QBREPORTCOMPARECOL_HOURS" localSheetId="33">FALSE</definedName>
    <definedName name="QBREPORTCOMPARECOL_HOURS" localSheetId="34">FALSE</definedName>
    <definedName name="QBREPORTCOMPARECOL_HOURS" localSheetId="35">FALSE</definedName>
    <definedName name="QBREPORTCOMPARECOL_HOURS" localSheetId="36">FALSE</definedName>
    <definedName name="QBREPORTCOMPARECOL_HOURS" localSheetId="37">FALSE</definedName>
    <definedName name="QBREPORTCOMPARECOL_HOURS" localSheetId="38">FALSE</definedName>
    <definedName name="QBREPORTCOMPARECOL_HOURS" localSheetId="49">FALSE</definedName>
    <definedName name="QBREPORTCOMPARECOL_HOURS" localSheetId="50">FALSE</definedName>
    <definedName name="QBREPORTCOMPARECOL_HOURS" localSheetId="39">FALSE</definedName>
    <definedName name="QBREPORTCOMPARECOL_HOURS" localSheetId="40">FALSE</definedName>
    <definedName name="QBREPORTCOMPARECOL_HOURS" localSheetId="41">FALSE</definedName>
    <definedName name="QBREPORTCOMPARECOL_HOURS" localSheetId="42">FALSE</definedName>
    <definedName name="QBREPORTCOMPARECOL_HOURS" localSheetId="43">FALSE</definedName>
    <definedName name="QBREPORTCOMPARECOL_HOURS" localSheetId="44">FALSE</definedName>
    <definedName name="QBREPORTCOMPARECOL_HOURS" localSheetId="53">FALSE</definedName>
    <definedName name="QBREPORTCOMPARECOL_HOURS" localSheetId="54">FALSE</definedName>
    <definedName name="QBREPORTCOMPARECOL_PCTCOL" localSheetId="47">FALSE</definedName>
    <definedName name="QBREPORTCOMPARECOL_PCTCOL" localSheetId="48">FALSE</definedName>
    <definedName name="QBREPORTCOMPARECOL_PCTCOL" localSheetId="45">FALSE</definedName>
    <definedName name="QBREPORTCOMPARECOL_PCTCOL" localSheetId="46">FALSE</definedName>
    <definedName name="QBREPORTCOMPARECOL_PCTCOL" localSheetId="15">FALSE</definedName>
    <definedName name="QBREPORTCOMPARECOL_PCTCOL" localSheetId="16">FALSE</definedName>
    <definedName name="QBREPORTCOMPARECOL_PCTCOL" localSheetId="17">FALSE</definedName>
    <definedName name="QBREPORTCOMPARECOL_PCTCOL" localSheetId="18">FALSE</definedName>
    <definedName name="QBREPORTCOMPARECOL_PCTCOL" localSheetId="51">FALSE</definedName>
    <definedName name="QBREPORTCOMPARECOL_PCTCOL" localSheetId="52">FALSE</definedName>
    <definedName name="QBREPORTCOMPARECOL_PCTCOL" localSheetId="19">FALSE</definedName>
    <definedName name="QBREPORTCOMPARECOL_PCTCOL" localSheetId="20">FALSE</definedName>
    <definedName name="QBREPORTCOMPARECOL_PCTCOL" localSheetId="21">FALSE</definedName>
    <definedName name="QBREPORTCOMPARECOL_PCTCOL" localSheetId="22">FALSE</definedName>
    <definedName name="QBREPORTCOMPARECOL_PCTCOL" localSheetId="23">FALSE</definedName>
    <definedName name="QBREPORTCOMPARECOL_PCTCOL" localSheetId="24">FALSE</definedName>
    <definedName name="QBREPORTCOMPARECOL_PCTCOL" localSheetId="29">FALSE</definedName>
    <definedName name="QBREPORTCOMPARECOL_PCTCOL" localSheetId="30">FALSE</definedName>
    <definedName name="QBREPORTCOMPARECOL_PCTCOL" localSheetId="25">FALSE</definedName>
    <definedName name="QBREPORTCOMPARECOL_PCTCOL" localSheetId="27">FALSE</definedName>
    <definedName name="QBREPORTCOMPARECOL_PCTCOL" localSheetId="28">FALSE</definedName>
    <definedName name="QBREPORTCOMPARECOL_PCTCOL" localSheetId="26">FALSE</definedName>
    <definedName name="QBREPORTCOMPARECOL_PCTCOL" localSheetId="31">FALSE</definedName>
    <definedName name="QBREPORTCOMPARECOL_PCTCOL" localSheetId="32">FALSE</definedName>
    <definedName name="QBREPORTCOMPARECOL_PCTCOL" localSheetId="33">FALSE</definedName>
    <definedName name="QBREPORTCOMPARECOL_PCTCOL" localSheetId="34">FALSE</definedName>
    <definedName name="QBREPORTCOMPARECOL_PCTCOL" localSheetId="35">FALSE</definedName>
    <definedName name="QBREPORTCOMPARECOL_PCTCOL" localSheetId="36">FALSE</definedName>
    <definedName name="QBREPORTCOMPARECOL_PCTCOL" localSheetId="37">FALSE</definedName>
    <definedName name="QBREPORTCOMPARECOL_PCTCOL" localSheetId="38">FALSE</definedName>
    <definedName name="QBREPORTCOMPARECOL_PCTCOL" localSheetId="49">FALSE</definedName>
    <definedName name="QBREPORTCOMPARECOL_PCTCOL" localSheetId="50">FALSE</definedName>
    <definedName name="QBREPORTCOMPARECOL_PCTCOL" localSheetId="39">FALSE</definedName>
    <definedName name="QBREPORTCOMPARECOL_PCTCOL" localSheetId="40">FALSE</definedName>
    <definedName name="QBREPORTCOMPARECOL_PCTCOL" localSheetId="41">FALSE</definedName>
    <definedName name="QBREPORTCOMPARECOL_PCTCOL" localSheetId="42">FALSE</definedName>
    <definedName name="QBREPORTCOMPARECOL_PCTCOL" localSheetId="43">FALSE</definedName>
    <definedName name="QBREPORTCOMPARECOL_PCTCOL" localSheetId="44">FALSE</definedName>
    <definedName name="QBREPORTCOMPARECOL_PCTCOL" localSheetId="53">FALSE</definedName>
    <definedName name="QBREPORTCOMPARECOL_PCTCOL" localSheetId="54">FALSE</definedName>
    <definedName name="QBREPORTCOMPARECOL_PCTEXPENSE" localSheetId="47">FALSE</definedName>
    <definedName name="QBREPORTCOMPARECOL_PCTEXPENSE" localSheetId="48">FALSE</definedName>
    <definedName name="QBREPORTCOMPARECOL_PCTEXPENSE" localSheetId="45">FALSE</definedName>
    <definedName name="QBREPORTCOMPARECOL_PCTEXPENSE" localSheetId="46">FALSE</definedName>
    <definedName name="QBREPORTCOMPARECOL_PCTEXPENSE" localSheetId="15">FALSE</definedName>
    <definedName name="QBREPORTCOMPARECOL_PCTEXPENSE" localSheetId="16">FALSE</definedName>
    <definedName name="QBREPORTCOMPARECOL_PCTEXPENSE" localSheetId="17">FALSE</definedName>
    <definedName name="QBREPORTCOMPARECOL_PCTEXPENSE" localSheetId="18">FALSE</definedName>
    <definedName name="QBREPORTCOMPARECOL_PCTEXPENSE" localSheetId="51">FALSE</definedName>
    <definedName name="QBREPORTCOMPARECOL_PCTEXPENSE" localSheetId="52">FALSE</definedName>
    <definedName name="QBREPORTCOMPARECOL_PCTEXPENSE" localSheetId="19">FALSE</definedName>
    <definedName name="QBREPORTCOMPARECOL_PCTEXPENSE" localSheetId="20">FALSE</definedName>
    <definedName name="QBREPORTCOMPARECOL_PCTEXPENSE" localSheetId="21">FALSE</definedName>
    <definedName name="QBREPORTCOMPARECOL_PCTEXPENSE" localSheetId="22">FALSE</definedName>
    <definedName name="QBREPORTCOMPARECOL_PCTEXPENSE" localSheetId="23">FALSE</definedName>
    <definedName name="QBREPORTCOMPARECOL_PCTEXPENSE" localSheetId="24">FALSE</definedName>
    <definedName name="QBREPORTCOMPARECOL_PCTEXPENSE" localSheetId="29">FALSE</definedName>
    <definedName name="QBREPORTCOMPARECOL_PCTEXPENSE" localSheetId="30">FALSE</definedName>
    <definedName name="QBREPORTCOMPARECOL_PCTEXPENSE" localSheetId="25">FALSE</definedName>
    <definedName name="QBREPORTCOMPARECOL_PCTEXPENSE" localSheetId="27">FALSE</definedName>
    <definedName name="QBREPORTCOMPARECOL_PCTEXPENSE" localSheetId="28">FALSE</definedName>
    <definedName name="QBREPORTCOMPARECOL_PCTEXPENSE" localSheetId="26">FALSE</definedName>
    <definedName name="QBREPORTCOMPARECOL_PCTEXPENSE" localSheetId="31">FALSE</definedName>
    <definedName name="QBREPORTCOMPARECOL_PCTEXPENSE" localSheetId="32">FALSE</definedName>
    <definedName name="QBREPORTCOMPARECOL_PCTEXPENSE" localSheetId="33">FALSE</definedName>
    <definedName name="QBREPORTCOMPARECOL_PCTEXPENSE" localSheetId="34">FALSE</definedName>
    <definedName name="QBREPORTCOMPARECOL_PCTEXPENSE" localSheetId="35">FALSE</definedName>
    <definedName name="QBREPORTCOMPARECOL_PCTEXPENSE" localSheetId="36">FALSE</definedName>
    <definedName name="QBREPORTCOMPARECOL_PCTEXPENSE" localSheetId="37">FALSE</definedName>
    <definedName name="QBREPORTCOMPARECOL_PCTEXPENSE" localSheetId="38">FALSE</definedName>
    <definedName name="QBREPORTCOMPARECOL_PCTEXPENSE" localSheetId="49">FALSE</definedName>
    <definedName name="QBREPORTCOMPARECOL_PCTEXPENSE" localSheetId="50">FALSE</definedName>
    <definedName name="QBREPORTCOMPARECOL_PCTEXPENSE" localSheetId="39">FALSE</definedName>
    <definedName name="QBREPORTCOMPARECOL_PCTEXPENSE" localSheetId="40">FALSE</definedName>
    <definedName name="QBREPORTCOMPARECOL_PCTEXPENSE" localSheetId="41">FALSE</definedName>
    <definedName name="QBREPORTCOMPARECOL_PCTEXPENSE" localSheetId="42">FALSE</definedName>
    <definedName name="QBREPORTCOMPARECOL_PCTEXPENSE" localSheetId="43">FALSE</definedName>
    <definedName name="QBREPORTCOMPARECOL_PCTEXPENSE" localSheetId="44">FALSE</definedName>
    <definedName name="QBREPORTCOMPARECOL_PCTEXPENSE" localSheetId="53">FALSE</definedName>
    <definedName name="QBREPORTCOMPARECOL_PCTEXPENSE" localSheetId="54">FALSE</definedName>
    <definedName name="QBREPORTCOMPARECOL_PCTINCOME" localSheetId="47">FALSE</definedName>
    <definedName name="QBREPORTCOMPARECOL_PCTINCOME" localSheetId="48">FALSE</definedName>
    <definedName name="QBREPORTCOMPARECOL_PCTINCOME" localSheetId="45">FALSE</definedName>
    <definedName name="QBREPORTCOMPARECOL_PCTINCOME" localSheetId="46">FALSE</definedName>
    <definedName name="QBREPORTCOMPARECOL_PCTINCOME" localSheetId="15">FALSE</definedName>
    <definedName name="QBREPORTCOMPARECOL_PCTINCOME" localSheetId="16">FALSE</definedName>
    <definedName name="QBREPORTCOMPARECOL_PCTINCOME" localSheetId="17">FALSE</definedName>
    <definedName name="QBREPORTCOMPARECOL_PCTINCOME" localSheetId="18">FALSE</definedName>
    <definedName name="QBREPORTCOMPARECOL_PCTINCOME" localSheetId="51">FALSE</definedName>
    <definedName name="QBREPORTCOMPARECOL_PCTINCOME" localSheetId="52">FALSE</definedName>
    <definedName name="QBREPORTCOMPARECOL_PCTINCOME" localSheetId="19">FALSE</definedName>
    <definedName name="QBREPORTCOMPARECOL_PCTINCOME" localSheetId="20">FALSE</definedName>
    <definedName name="QBREPORTCOMPARECOL_PCTINCOME" localSheetId="21">FALSE</definedName>
    <definedName name="QBREPORTCOMPARECOL_PCTINCOME" localSheetId="22">FALSE</definedName>
    <definedName name="QBREPORTCOMPARECOL_PCTINCOME" localSheetId="23">FALSE</definedName>
    <definedName name="QBREPORTCOMPARECOL_PCTINCOME" localSheetId="24">FALSE</definedName>
    <definedName name="QBREPORTCOMPARECOL_PCTINCOME" localSheetId="29">FALSE</definedName>
    <definedName name="QBREPORTCOMPARECOL_PCTINCOME" localSheetId="30">FALSE</definedName>
    <definedName name="QBREPORTCOMPARECOL_PCTINCOME" localSheetId="25">FALSE</definedName>
    <definedName name="QBREPORTCOMPARECOL_PCTINCOME" localSheetId="27">FALSE</definedName>
    <definedName name="QBREPORTCOMPARECOL_PCTINCOME" localSheetId="28">FALSE</definedName>
    <definedName name="QBREPORTCOMPARECOL_PCTINCOME" localSheetId="26">FALSE</definedName>
    <definedName name="QBREPORTCOMPARECOL_PCTINCOME" localSheetId="31">FALSE</definedName>
    <definedName name="QBREPORTCOMPARECOL_PCTINCOME" localSheetId="32">FALSE</definedName>
    <definedName name="QBREPORTCOMPARECOL_PCTINCOME" localSheetId="33">FALSE</definedName>
    <definedName name="QBREPORTCOMPARECOL_PCTINCOME" localSheetId="34">FALSE</definedName>
    <definedName name="QBREPORTCOMPARECOL_PCTINCOME" localSheetId="35">FALSE</definedName>
    <definedName name="QBREPORTCOMPARECOL_PCTINCOME" localSheetId="36">FALSE</definedName>
    <definedName name="QBREPORTCOMPARECOL_PCTINCOME" localSheetId="37">FALSE</definedName>
    <definedName name="QBREPORTCOMPARECOL_PCTINCOME" localSheetId="38">FALSE</definedName>
    <definedName name="QBREPORTCOMPARECOL_PCTINCOME" localSheetId="49">FALSE</definedName>
    <definedName name="QBREPORTCOMPARECOL_PCTINCOME" localSheetId="50">FALSE</definedName>
    <definedName name="QBREPORTCOMPARECOL_PCTINCOME" localSheetId="39">FALSE</definedName>
    <definedName name="QBREPORTCOMPARECOL_PCTINCOME" localSheetId="40">FALSE</definedName>
    <definedName name="QBREPORTCOMPARECOL_PCTINCOME" localSheetId="41">FALSE</definedName>
    <definedName name="QBREPORTCOMPARECOL_PCTINCOME" localSheetId="42">FALSE</definedName>
    <definedName name="QBREPORTCOMPARECOL_PCTINCOME" localSheetId="43">FALSE</definedName>
    <definedName name="QBREPORTCOMPARECOL_PCTINCOME" localSheetId="44">FALSE</definedName>
    <definedName name="QBREPORTCOMPARECOL_PCTINCOME" localSheetId="53">FALSE</definedName>
    <definedName name="QBREPORTCOMPARECOL_PCTINCOME" localSheetId="54">FALSE</definedName>
    <definedName name="QBREPORTCOMPARECOL_PCTOFSALES" localSheetId="47">FALSE</definedName>
    <definedName name="QBREPORTCOMPARECOL_PCTOFSALES" localSheetId="48">FALSE</definedName>
    <definedName name="QBREPORTCOMPARECOL_PCTOFSALES" localSheetId="45">FALSE</definedName>
    <definedName name="QBREPORTCOMPARECOL_PCTOFSALES" localSheetId="46">FALSE</definedName>
    <definedName name="QBREPORTCOMPARECOL_PCTOFSALES" localSheetId="15">FALSE</definedName>
    <definedName name="QBREPORTCOMPARECOL_PCTOFSALES" localSheetId="16">FALSE</definedName>
    <definedName name="QBREPORTCOMPARECOL_PCTOFSALES" localSheetId="17">FALSE</definedName>
    <definedName name="QBREPORTCOMPARECOL_PCTOFSALES" localSheetId="18">FALSE</definedName>
    <definedName name="QBREPORTCOMPARECOL_PCTOFSALES" localSheetId="51">FALSE</definedName>
    <definedName name="QBREPORTCOMPARECOL_PCTOFSALES" localSheetId="52">FALSE</definedName>
    <definedName name="QBREPORTCOMPARECOL_PCTOFSALES" localSheetId="19">FALSE</definedName>
    <definedName name="QBREPORTCOMPARECOL_PCTOFSALES" localSheetId="20">FALSE</definedName>
    <definedName name="QBREPORTCOMPARECOL_PCTOFSALES" localSheetId="21">FALSE</definedName>
    <definedName name="QBREPORTCOMPARECOL_PCTOFSALES" localSheetId="22">FALSE</definedName>
    <definedName name="QBREPORTCOMPARECOL_PCTOFSALES" localSheetId="23">FALSE</definedName>
    <definedName name="QBREPORTCOMPARECOL_PCTOFSALES" localSheetId="24">FALSE</definedName>
    <definedName name="QBREPORTCOMPARECOL_PCTOFSALES" localSheetId="29">FALSE</definedName>
    <definedName name="QBREPORTCOMPARECOL_PCTOFSALES" localSheetId="30">FALSE</definedName>
    <definedName name="QBREPORTCOMPARECOL_PCTOFSALES" localSheetId="25">FALSE</definedName>
    <definedName name="QBREPORTCOMPARECOL_PCTOFSALES" localSheetId="27">FALSE</definedName>
    <definedName name="QBREPORTCOMPARECOL_PCTOFSALES" localSheetId="28">FALSE</definedName>
    <definedName name="QBREPORTCOMPARECOL_PCTOFSALES" localSheetId="26">FALSE</definedName>
    <definedName name="QBREPORTCOMPARECOL_PCTOFSALES" localSheetId="31">FALSE</definedName>
    <definedName name="QBREPORTCOMPARECOL_PCTOFSALES" localSheetId="32">FALSE</definedName>
    <definedName name="QBREPORTCOMPARECOL_PCTOFSALES" localSheetId="33">FALSE</definedName>
    <definedName name="QBREPORTCOMPARECOL_PCTOFSALES" localSheetId="34">FALSE</definedName>
    <definedName name="QBREPORTCOMPARECOL_PCTOFSALES" localSheetId="35">FALSE</definedName>
    <definedName name="QBREPORTCOMPARECOL_PCTOFSALES" localSheetId="36">FALSE</definedName>
    <definedName name="QBREPORTCOMPARECOL_PCTOFSALES" localSheetId="37">FALSE</definedName>
    <definedName name="QBREPORTCOMPARECOL_PCTOFSALES" localSheetId="38">FALSE</definedName>
    <definedName name="QBREPORTCOMPARECOL_PCTOFSALES" localSheetId="49">FALSE</definedName>
    <definedName name="QBREPORTCOMPARECOL_PCTOFSALES" localSheetId="50">FALSE</definedName>
    <definedName name="QBREPORTCOMPARECOL_PCTOFSALES" localSheetId="39">FALSE</definedName>
    <definedName name="QBREPORTCOMPARECOL_PCTOFSALES" localSheetId="40">FALSE</definedName>
    <definedName name="QBREPORTCOMPARECOL_PCTOFSALES" localSheetId="41">FALSE</definedName>
    <definedName name="QBREPORTCOMPARECOL_PCTOFSALES" localSheetId="42">FALSE</definedName>
    <definedName name="QBREPORTCOMPARECOL_PCTOFSALES" localSheetId="43">FALSE</definedName>
    <definedName name="QBREPORTCOMPARECOL_PCTOFSALES" localSheetId="44">FALSE</definedName>
    <definedName name="QBREPORTCOMPARECOL_PCTOFSALES" localSheetId="53">FALSE</definedName>
    <definedName name="QBREPORTCOMPARECOL_PCTOFSALES" localSheetId="54">FALSE</definedName>
    <definedName name="QBREPORTCOMPARECOL_PCTROW" localSheetId="47">FALSE</definedName>
    <definedName name="QBREPORTCOMPARECOL_PCTROW" localSheetId="48">FALSE</definedName>
    <definedName name="QBREPORTCOMPARECOL_PCTROW" localSheetId="45">FALSE</definedName>
    <definedName name="QBREPORTCOMPARECOL_PCTROW" localSheetId="46">FALSE</definedName>
    <definedName name="QBREPORTCOMPARECOL_PCTROW" localSheetId="15">FALSE</definedName>
    <definedName name="QBREPORTCOMPARECOL_PCTROW" localSheetId="16">FALSE</definedName>
    <definedName name="QBREPORTCOMPARECOL_PCTROW" localSheetId="17">FALSE</definedName>
    <definedName name="QBREPORTCOMPARECOL_PCTROW" localSheetId="18">FALSE</definedName>
    <definedName name="QBREPORTCOMPARECOL_PCTROW" localSheetId="51">FALSE</definedName>
    <definedName name="QBREPORTCOMPARECOL_PCTROW" localSheetId="52">FALSE</definedName>
    <definedName name="QBREPORTCOMPARECOL_PCTROW" localSheetId="19">FALSE</definedName>
    <definedName name="QBREPORTCOMPARECOL_PCTROW" localSheetId="20">FALSE</definedName>
    <definedName name="QBREPORTCOMPARECOL_PCTROW" localSheetId="21">FALSE</definedName>
    <definedName name="QBREPORTCOMPARECOL_PCTROW" localSheetId="22">FALSE</definedName>
    <definedName name="QBREPORTCOMPARECOL_PCTROW" localSheetId="23">FALSE</definedName>
    <definedName name="QBREPORTCOMPARECOL_PCTROW" localSheetId="24">FALSE</definedName>
    <definedName name="QBREPORTCOMPARECOL_PCTROW" localSheetId="29">FALSE</definedName>
    <definedName name="QBREPORTCOMPARECOL_PCTROW" localSheetId="30">FALSE</definedName>
    <definedName name="QBREPORTCOMPARECOL_PCTROW" localSheetId="25">FALSE</definedName>
    <definedName name="QBREPORTCOMPARECOL_PCTROW" localSheetId="27">FALSE</definedName>
    <definedName name="QBREPORTCOMPARECOL_PCTROW" localSheetId="28">FALSE</definedName>
    <definedName name="QBREPORTCOMPARECOL_PCTROW" localSheetId="26">FALSE</definedName>
    <definedName name="QBREPORTCOMPARECOL_PCTROW" localSheetId="31">FALSE</definedName>
    <definedName name="QBREPORTCOMPARECOL_PCTROW" localSheetId="32">FALSE</definedName>
    <definedName name="QBREPORTCOMPARECOL_PCTROW" localSheetId="33">FALSE</definedName>
    <definedName name="QBREPORTCOMPARECOL_PCTROW" localSheetId="34">FALSE</definedName>
    <definedName name="QBREPORTCOMPARECOL_PCTROW" localSheetId="35">FALSE</definedName>
    <definedName name="QBREPORTCOMPARECOL_PCTROW" localSheetId="36">FALSE</definedName>
    <definedName name="QBREPORTCOMPARECOL_PCTROW" localSheetId="37">FALSE</definedName>
    <definedName name="QBREPORTCOMPARECOL_PCTROW" localSheetId="38">FALSE</definedName>
    <definedName name="QBREPORTCOMPARECOL_PCTROW" localSheetId="49">FALSE</definedName>
    <definedName name="QBREPORTCOMPARECOL_PCTROW" localSheetId="50">FALSE</definedName>
    <definedName name="QBREPORTCOMPARECOL_PCTROW" localSheetId="39">FALSE</definedName>
    <definedName name="QBREPORTCOMPARECOL_PCTROW" localSheetId="40">FALSE</definedName>
    <definedName name="QBREPORTCOMPARECOL_PCTROW" localSheetId="41">FALSE</definedName>
    <definedName name="QBREPORTCOMPARECOL_PCTROW" localSheetId="42">FALSE</definedName>
    <definedName name="QBREPORTCOMPARECOL_PCTROW" localSheetId="43">FALSE</definedName>
    <definedName name="QBREPORTCOMPARECOL_PCTROW" localSheetId="44">FALSE</definedName>
    <definedName name="QBREPORTCOMPARECOL_PCTROW" localSheetId="53">FALSE</definedName>
    <definedName name="QBREPORTCOMPARECOL_PCTROW" localSheetId="54">FALSE</definedName>
    <definedName name="QBREPORTCOMPARECOL_PPDIFF" localSheetId="47">FALSE</definedName>
    <definedName name="QBREPORTCOMPARECOL_PPDIFF" localSheetId="48">FALSE</definedName>
    <definedName name="QBREPORTCOMPARECOL_PPDIFF" localSheetId="45">FALSE</definedName>
    <definedName name="QBREPORTCOMPARECOL_PPDIFF" localSheetId="46">FALSE</definedName>
    <definedName name="QBREPORTCOMPARECOL_PPDIFF" localSheetId="15">FALSE</definedName>
    <definedName name="QBREPORTCOMPARECOL_PPDIFF" localSheetId="16">FALSE</definedName>
    <definedName name="QBREPORTCOMPARECOL_PPDIFF" localSheetId="17">FALSE</definedName>
    <definedName name="QBREPORTCOMPARECOL_PPDIFF" localSheetId="18">FALSE</definedName>
    <definedName name="QBREPORTCOMPARECOL_PPDIFF" localSheetId="51">FALSE</definedName>
    <definedName name="QBREPORTCOMPARECOL_PPDIFF" localSheetId="52">FALSE</definedName>
    <definedName name="QBREPORTCOMPARECOL_PPDIFF" localSheetId="19">FALSE</definedName>
    <definedName name="QBREPORTCOMPARECOL_PPDIFF" localSheetId="20">FALSE</definedName>
    <definedName name="QBREPORTCOMPARECOL_PPDIFF" localSheetId="21">FALSE</definedName>
    <definedName name="QBREPORTCOMPARECOL_PPDIFF" localSheetId="22">FALSE</definedName>
    <definedName name="QBREPORTCOMPARECOL_PPDIFF" localSheetId="23">FALSE</definedName>
    <definedName name="QBREPORTCOMPARECOL_PPDIFF" localSheetId="24">FALSE</definedName>
    <definedName name="QBREPORTCOMPARECOL_PPDIFF" localSheetId="29">FALSE</definedName>
    <definedName name="QBREPORTCOMPARECOL_PPDIFF" localSheetId="30">FALSE</definedName>
    <definedName name="QBREPORTCOMPARECOL_PPDIFF" localSheetId="25">FALSE</definedName>
    <definedName name="QBREPORTCOMPARECOL_PPDIFF" localSheetId="27">FALSE</definedName>
    <definedName name="QBREPORTCOMPARECOL_PPDIFF" localSheetId="28">FALSE</definedName>
    <definedName name="QBREPORTCOMPARECOL_PPDIFF" localSheetId="26">FALSE</definedName>
    <definedName name="QBREPORTCOMPARECOL_PPDIFF" localSheetId="31">FALSE</definedName>
    <definedName name="QBREPORTCOMPARECOL_PPDIFF" localSheetId="32">FALSE</definedName>
    <definedName name="QBREPORTCOMPARECOL_PPDIFF" localSheetId="33">FALSE</definedName>
    <definedName name="QBREPORTCOMPARECOL_PPDIFF" localSheetId="34">FALSE</definedName>
    <definedName name="QBREPORTCOMPARECOL_PPDIFF" localSheetId="35">FALSE</definedName>
    <definedName name="QBREPORTCOMPARECOL_PPDIFF" localSheetId="36">FALSE</definedName>
    <definedName name="QBREPORTCOMPARECOL_PPDIFF" localSheetId="37">FALSE</definedName>
    <definedName name="QBREPORTCOMPARECOL_PPDIFF" localSheetId="38">FALSE</definedName>
    <definedName name="QBREPORTCOMPARECOL_PPDIFF" localSheetId="49">FALSE</definedName>
    <definedName name="QBREPORTCOMPARECOL_PPDIFF" localSheetId="50">FALSE</definedName>
    <definedName name="QBREPORTCOMPARECOL_PPDIFF" localSheetId="39">FALSE</definedName>
    <definedName name="QBREPORTCOMPARECOL_PPDIFF" localSheetId="40">FALSE</definedName>
    <definedName name="QBREPORTCOMPARECOL_PPDIFF" localSheetId="41">FALSE</definedName>
    <definedName name="QBREPORTCOMPARECOL_PPDIFF" localSheetId="42">FALSE</definedName>
    <definedName name="QBREPORTCOMPARECOL_PPDIFF" localSheetId="43">FALSE</definedName>
    <definedName name="QBREPORTCOMPARECOL_PPDIFF" localSheetId="44">FALSE</definedName>
    <definedName name="QBREPORTCOMPARECOL_PPDIFF" localSheetId="53">FALSE</definedName>
    <definedName name="QBREPORTCOMPARECOL_PPDIFF" localSheetId="54">FALSE</definedName>
    <definedName name="QBREPORTCOMPARECOL_PPPCT" localSheetId="47">FALSE</definedName>
    <definedName name="QBREPORTCOMPARECOL_PPPCT" localSheetId="48">FALSE</definedName>
    <definedName name="QBREPORTCOMPARECOL_PPPCT" localSheetId="45">FALSE</definedName>
    <definedName name="QBREPORTCOMPARECOL_PPPCT" localSheetId="46">FALSE</definedName>
    <definedName name="QBREPORTCOMPARECOL_PPPCT" localSheetId="15">FALSE</definedName>
    <definedName name="QBREPORTCOMPARECOL_PPPCT" localSheetId="16">FALSE</definedName>
    <definedName name="QBREPORTCOMPARECOL_PPPCT" localSheetId="17">FALSE</definedName>
    <definedName name="QBREPORTCOMPARECOL_PPPCT" localSheetId="18">FALSE</definedName>
    <definedName name="QBREPORTCOMPARECOL_PPPCT" localSheetId="51">FALSE</definedName>
    <definedName name="QBREPORTCOMPARECOL_PPPCT" localSheetId="52">FALSE</definedName>
    <definedName name="QBREPORTCOMPARECOL_PPPCT" localSheetId="19">FALSE</definedName>
    <definedName name="QBREPORTCOMPARECOL_PPPCT" localSheetId="20">FALSE</definedName>
    <definedName name="QBREPORTCOMPARECOL_PPPCT" localSheetId="21">FALSE</definedName>
    <definedName name="QBREPORTCOMPARECOL_PPPCT" localSheetId="22">FALSE</definedName>
    <definedName name="QBREPORTCOMPARECOL_PPPCT" localSheetId="23">FALSE</definedName>
    <definedName name="QBREPORTCOMPARECOL_PPPCT" localSheetId="24">FALSE</definedName>
    <definedName name="QBREPORTCOMPARECOL_PPPCT" localSheetId="29">FALSE</definedName>
    <definedName name="QBREPORTCOMPARECOL_PPPCT" localSheetId="30">FALSE</definedName>
    <definedName name="QBREPORTCOMPARECOL_PPPCT" localSheetId="25">FALSE</definedName>
    <definedName name="QBREPORTCOMPARECOL_PPPCT" localSheetId="27">FALSE</definedName>
    <definedName name="QBREPORTCOMPARECOL_PPPCT" localSheetId="28">FALSE</definedName>
    <definedName name="QBREPORTCOMPARECOL_PPPCT" localSheetId="26">FALSE</definedName>
    <definedName name="QBREPORTCOMPARECOL_PPPCT" localSheetId="31">FALSE</definedName>
    <definedName name="QBREPORTCOMPARECOL_PPPCT" localSheetId="32">FALSE</definedName>
    <definedName name="QBREPORTCOMPARECOL_PPPCT" localSheetId="33">FALSE</definedName>
    <definedName name="QBREPORTCOMPARECOL_PPPCT" localSheetId="34">FALSE</definedName>
    <definedName name="QBREPORTCOMPARECOL_PPPCT" localSheetId="35">FALSE</definedName>
    <definedName name="QBREPORTCOMPARECOL_PPPCT" localSheetId="36">FALSE</definedName>
    <definedName name="QBREPORTCOMPARECOL_PPPCT" localSheetId="37">FALSE</definedName>
    <definedName name="QBREPORTCOMPARECOL_PPPCT" localSheetId="38">FALSE</definedName>
    <definedName name="QBREPORTCOMPARECOL_PPPCT" localSheetId="49">FALSE</definedName>
    <definedName name="QBREPORTCOMPARECOL_PPPCT" localSheetId="50">FALSE</definedName>
    <definedName name="QBREPORTCOMPARECOL_PPPCT" localSheetId="39">FALSE</definedName>
    <definedName name="QBREPORTCOMPARECOL_PPPCT" localSheetId="40">FALSE</definedName>
    <definedName name="QBREPORTCOMPARECOL_PPPCT" localSheetId="41">FALSE</definedName>
    <definedName name="QBREPORTCOMPARECOL_PPPCT" localSheetId="42">FALSE</definedName>
    <definedName name="QBREPORTCOMPARECOL_PPPCT" localSheetId="43">FALSE</definedName>
    <definedName name="QBREPORTCOMPARECOL_PPPCT" localSheetId="44">FALSE</definedName>
    <definedName name="QBREPORTCOMPARECOL_PPPCT" localSheetId="53">FALSE</definedName>
    <definedName name="QBREPORTCOMPARECOL_PPPCT" localSheetId="54">FALSE</definedName>
    <definedName name="QBREPORTCOMPARECOL_PREVPERIOD" localSheetId="47">FALSE</definedName>
    <definedName name="QBREPORTCOMPARECOL_PREVPERIOD" localSheetId="48">FALSE</definedName>
    <definedName name="QBREPORTCOMPARECOL_PREVPERIOD" localSheetId="45">FALSE</definedName>
    <definedName name="QBREPORTCOMPARECOL_PREVPERIOD" localSheetId="46">FALSE</definedName>
    <definedName name="QBREPORTCOMPARECOL_PREVPERIOD" localSheetId="15">FALSE</definedName>
    <definedName name="QBREPORTCOMPARECOL_PREVPERIOD" localSheetId="16">FALSE</definedName>
    <definedName name="QBREPORTCOMPARECOL_PREVPERIOD" localSheetId="17">FALSE</definedName>
    <definedName name="QBREPORTCOMPARECOL_PREVPERIOD" localSheetId="18">FALSE</definedName>
    <definedName name="QBREPORTCOMPARECOL_PREVPERIOD" localSheetId="51">FALSE</definedName>
    <definedName name="QBREPORTCOMPARECOL_PREVPERIOD" localSheetId="52">FALSE</definedName>
    <definedName name="QBREPORTCOMPARECOL_PREVPERIOD" localSheetId="19">FALSE</definedName>
    <definedName name="QBREPORTCOMPARECOL_PREVPERIOD" localSheetId="20">FALSE</definedName>
    <definedName name="QBREPORTCOMPARECOL_PREVPERIOD" localSheetId="21">FALSE</definedName>
    <definedName name="QBREPORTCOMPARECOL_PREVPERIOD" localSheetId="22">FALSE</definedName>
    <definedName name="QBREPORTCOMPARECOL_PREVPERIOD" localSheetId="23">FALSE</definedName>
    <definedName name="QBREPORTCOMPARECOL_PREVPERIOD" localSheetId="24">FALSE</definedName>
    <definedName name="QBREPORTCOMPARECOL_PREVPERIOD" localSheetId="29">FALSE</definedName>
    <definedName name="QBREPORTCOMPARECOL_PREVPERIOD" localSheetId="30">FALSE</definedName>
    <definedName name="QBREPORTCOMPARECOL_PREVPERIOD" localSheetId="25">FALSE</definedName>
    <definedName name="QBREPORTCOMPARECOL_PREVPERIOD" localSheetId="27">FALSE</definedName>
    <definedName name="QBREPORTCOMPARECOL_PREVPERIOD" localSheetId="28">FALSE</definedName>
    <definedName name="QBREPORTCOMPARECOL_PREVPERIOD" localSheetId="26">FALSE</definedName>
    <definedName name="QBREPORTCOMPARECOL_PREVPERIOD" localSheetId="31">FALSE</definedName>
    <definedName name="QBREPORTCOMPARECOL_PREVPERIOD" localSheetId="32">FALSE</definedName>
    <definedName name="QBREPORTCOMPARECOL_PREVPERIOD" localSheetId="33">FALSE</definedName>
    <definedName name="QBREPORTCOMPARECOL_PREVPERIOD" localSheetId="34">FALSE</definedName>
    <definedName name="QBREPORTCOMPARECOL_PREVPERIOD" localSheetId="35">FALSE</definedName>
    <definedName name="QBREPORTCOMPARECOL_PREVPERIOD" localSheetId="36">FALSE</definedName>
    <definedName name="QBREPORTCOMPARECOL_PREVPERIOD" localSheetId="37">FALSE</definedName>
    <definedName name="QBREPORTCOMPARECOL_PREVPERIOD" localSheetId="38">FALSE</definedName>
    <definedName name="QBREPORTCOMPARECOL_PREVPERIOD" localSheetId="49">FALSE</definedName>
    <definedName name="QBREPORTCOMPARECOL_PREVPERIOD" localSheetId="50">FALSE</definedName>
    <definedName name="QBREPORTCOMPARECOL_PREVPERIOD" localSheetId="39">FALSE</definedName>
    <definedName name="QBREPORTCOMPARECOL_PREVPERIOD" localSheetId="40">FALSE</definedName>
    <definedName name="QBREPORTCOMPARECOL_PREVPERIOD" localSheetId="41">FALSE</definedName>
    <definedName name="QBREPORTCOMPARECOL_PREVPERIOD" localSheetId="42">FALSE</definedName>
    <definedName name="QBREPORTCOMPARECOL_PREVPERIOD" localSheetId="43">FALSE</definedName>
    <definedName name="QBREPORTCOMPARECOL_PREVPERIOD" localSheetId="44">FALSE</definedName>
    <definedName name="QBREPORTCOMPARECOL_PREVPERIOD" localSheetId="53">FALSE</definedName>
    <definedName name="QBREPORTCOMPARECOL_PREVPERIOD" localSheetId="54">FALSE</definedName>
    <definedName name="QBREPORTCOMPARECOL_PREVYEAR" localSheetId="47">FALSE</definedName>
    <definedName name="QBREPORTCOMPARECOL_PREVYEAR" localSheetId="48">FALSE</definedName>
    <definedName name="QBREPORTCOMPARECOL_PREVYEAR" localSheetId="45">FALSE</definedName>
    <definedName name="QBREPORTCOMPARECOL_PREVYEAR" localSheetId="46">FALSE</definedName>
    <definedName name="QBREPORTCOMPARECOL_PREVYEAR" localSheetId="15">FALSE</definedName>
    <definedName name="QBREPORTCOMPARECOL_PREVYEAR" localSheetId="16">FALSE</definedName>
    <definedName name="QBREPORTCOMPARECOL_PREVYEAR" localSheetId="17">FALSE</definedName>
    <definedName name="QBREPORTCOMPARECOL_PREVYEAR" localSheetId="18">FALSE</definedName>
    <definedName name="QBREPORTCOMPARECOL_PREVYEAR" localSheetId="51">FALSE</definedName>
    <definedName name="QBREPORTCOMPARECOL_PREVYEAR" localSheetId="52">FALSE</definedName>
    <definedName name="QBREPORTCOMPARECOL_PREVYEAR" localSheetId="19">FALSE</definedName>
    <definedName name="QBREPORTCOMPARECOL_PREVYEAR" localSheetId="20">FALSE</definedName>
    <definedName name="QBREPORTCOMPARECOL_PREVYEAR" localSheetId="21">FALSE</definedName>
    <definedName name="QBREPORTCOMPARECOL_PREVYEAR" localSheetId="22">FALSE</definedName>
    <definedName name="QBREPORTCOMPARECOL_PREVYEAR" localSheetId="23">FALSE</definedName>
    <definedName name="QBREPORTCOMPARECOL_PREVYEAR" localSheetId="24">FALSE</definedName>
    <definedName name="QBREPORTCOMPARECOL_PREVYEAR" localSheetId="29">FALSE</definedName>
    <definedName name="QBREPORTCOMPARECOL_PREVYEAR" localSheetId="30">FALSE</definedName>
    <definedName name="QBREPORTCOMPARECOL_PREVYEAR" localSheetId="25">FALSE</definedName>
    <definedName name="QBREPORTCOMPARECOL_PREVYEAR" localSheetId="27">FALSE</definedName>
    <definedName name="QBREPORTCOMPARECOL_PREVYEAR" localSheetId="28">FALSE</definedName>
    <definedName name="QBREPORTCOMPARECOL_PREVYEAR" localSheetId="26">FALSE</definedName>
    <definedName name="QBREPORTCOMPARECOL_PREVYEAR" localSheetId="31">FALSE</definedName>
    <definedName name="QBREPORTCOMPARECOL_PREVYEAR" localSheetId="32">FALSE</definedName>
    <definedName name="QBREPORTCOMPARECOL_PREVYEAR" localSheetId="33">FALSE</definedName>
    <definedName name="QBREPORTCOMPARECOL_PREVYEAR" localSheetId="34">FALSE</definedName>
    <definedName name="QBREPORTCOMPARECOL_PREVYEAR" localSheetId="35">FALSE</definedName>
    <definedName name="QBREPORTCOMPARECOL_PREVYEAR" localSheetId="36">FALSE</definedName>
    <definedName name="QBREPORTCOMPARECOL_PREVYEAR" localSheetId="37">FALSE</definedName>
    <definedName name="QBREPORTCOMPARECOL_PREVYEAR" localSheetId="38">FALSE</definedName>
    <definedName name="QBREPORTCOMPARECOL_PREVYEAR" localSheetId="49">FALSE</definedName>
    <definedName name="QBREPORTCOMPARECOL_PREVYEAR" localSheetId="50">FALSE</definedName>
    <definedName name="QBREPORTCOMPARECOL_PREVYEAR" localSheetId="39">FALSE</definedName>
    <definedName name="QBREPORTCOMPARECOL_PREVYEAR" localSheetId="40">FALSE</definedName>
    <definedName name="QBREPORTCOMPARECOL_PREVYEAR" localSheetId="41">FALSE</definedName>
    <definedName name="QBREPORTCOMPARECOL_PREVYEAR" localSheetId="42">FALSE</definedName>
    <definedName name="QBREPORTCOMPARECOL_PREVYEAR" localSheetId="43">FALSE</definedName>
    <definedName name="QBREPORTCOMPARECOL_PREVYEAR" localSheetId="44">FALSE</definedName>
    <definedName name="QBREPORTCOMPARECOL_PREVYEAR" localSheetId="53">FALSE</definedName>
    <definedName name="QBREPORTCOMPARECOL_PREVYEAR" localSheetId="54">FALSE</definedName>
    <definedName name="QBREPORTCOMPARECOL_PYDIFF" localSheetId="47">FALSE</definedName>
    <definedName name="QBREPORTCOMPARECOL_PYDIFF" localSheetId="48">FALSE</definedName>
    <definedName name="QBREPORTCOMPARECOL_PYDIFF" localSheetId="45">FALSE</definedName>
    <definedName name="QBREPORTCOMPARECOL_PYDIFF" localSheetId="46">FALSE</definedName>
    <definedName name="QBREPORTCOMPARECOL_PYDIFF" localSheetId="15">FALSE</definedName>
    <definedName name="QBREPORTCOMPARECOL_PYDIFF" localSheetId="16">FALSE</definedName>
    <definedName name="QBREPORTCOMPARECOL_PYDIFF" localSheetId="17">FALSE</definedName>
    <definedName name="QBREPORTCOMPARECOL_PYDIFF" localSheetId="18">FALSE</definedName>
    <definedName name="QBREPORTCOMPARECOL_PYDIFF" localSheetId="51">FALSE</definedName>
    <definedName name="QBREPORTCOMPARECOL_PYDIFF" localSheetId="52">FALSE</definedName>
    <definedName name="QBREPORTCOMPARECOL_PYDIFF" localSheetId="19">FALSE</definedName>
    <definedName name="QBREPORTCOMPARECOL_PYDIFF" localSheetId="20">FALSE</definedName>
    <definedName name="QBREPORTCOMPARECOL_PYDIFF" localSheetId="21">FALSE</definedName>
    <definedName name="QBREPORTCOMPARECOL_PYDIFF" localSheetId="22">FALSE</definedName>
    <definedName name="QBREPORTCOMPARECOL_PYDIFF" localSheetId="23">FALSE</definedName>
    <definedName name="QBREPORTCOMPARECOL_PYDIFF" localSheetId="24">FALSE</definedName>
    <definedName name="QBREPORTCOMPARECOL_PYDIFF" localSheetId="29">FALSE</definedName>
    <definedName name="QBREPORTCOMPARECOL_PYDIFF" localSheetId="30">FALSE</definedName>
    <definedName name="QBREPORTCOMPARECOL_PYDIFF" localSheetId="25">FALSE</definedName>
    <definedName name="QBREPORTCOMPARECOL_PYDIFF" localSheetId="27">FALSE</definedName>
    <definedName name="QBREPORTCOMPARECOL_PYDIFF" localSheetId="28">FALSE</definedName>
    <definedName name="QBREPORTCOMPARECOL_PYDIFF" localSheetId="26">FALSE</definedName>
    <definedName name="QBREPORTCOMPARECOL_PYDIFF" localSheetId="31">FALSE</definedName>
    <definedName name="QBREPORTCOMPARECOL_PYDIFF" localSheetId="32">FALSE</definedName>
    <definedName name="QBREPORTCOMPARECOL_PYDIFF" localSheetId="33">FALSE</definedName>
    <definedName name="QBREPORTCOMPARECOL_PYDIFF" localSheetId="34">FALSE</definedName>
    <definedName name="QBREPORTCOMPARECOL_PYDIFF" localSheetId="35">FALSE</definedName>
    <definedName name="QBREPORTCOMPARECOL_PYDIFF" localSheetId="36">FALSE</definedName>
    <definedName name="QBREPORTCOMPARECOL_PYDIFF" localSheetId="37">FALSE</definedName>
    <definedName name="QBREPORTCOMPARECOL_PYDIFF" localSheetId="38">FALSE</definedName>
    <definedName name="QBREPORTCOMPARECOL_PYDIFF" localSheetId="49">FALSE</definedName>
    <definedName name="QBREPORTCOMPARECOL_PYDIFF" localSheetId="50">FALSE</definedName>
    <definedName name="QBREPORTCOMPARECOL_PYDIFF" localSheetId="39">FALSE</definedName>
    <definedName name="QBREPORTCOMPARECOL_PYDIFF" localSheetId="40">FALSE</definedName>
    <definedName name="QBREPORTCOMPARECOL_PYDIFF" localSheetId="41">FALSE</definedName>
    <definedName name="QBREPORTCOMPARECOL_PYDIFF" localSheetId="42">FALSE</definedName>
    <definedName name="QBREPORTCOMPARECOL_PYDIFF" localSheetId="43">FALSE</definedName>
    <definedName name="QBREPORTCOMPARECOL_PYDIFF" localSheetId="44">FALSE</definedName>
    <definedName name="QBREPORTCOMPARECOL_PYDIFF" localSheetId="53">FALSE</definedName>
    <definedName name="QBREPORTCOMPARECOL_PYDIFF" localSheetId="54">FALSE</definedName>
    <definedName name="QBREPORTCOMPARECOL_PYPCT" localSheetId="47">FALSE</definedName>
    <definedName name="QBREPORTCOMPARECOL_PYPCT" localSheetId="48">FALSE</definedName>
    <definedName name="QBREPORTCOMPARECOL_PYPCT" localSheetId="45">FALSE</definedName>
    <definedName name="QBREPORTCOMPARECOL_PYPCT" localSheetId="46">FALSE</definedName>
    <definedName name="QBREPORTCOMPARECOL_PYPCT" localSheetId="15">FALSE</definedName>
    <definedName name="QBREPORTCOMPARECOL_PYPCT" localSheetId="16">FALSE</definedName>
    <definedName name="QBREPORTCOMPARECOL_PYPCT" localSheetId="17">FALSE</definedName>
    <definedName name="QBREPORTCOMPARECOL_PYPCT" localSheetId="18">FALSE</definedName>
    <definedName name="QBREPORTCOMPARECOL_PYPCT" localSheetId="51">FALSE</definedName>
    <definedName name="QBREPORTCOMPARECOL_PYPCT" localSheetId="52">FALSE</definedName>
    <definedName name="QBREPORTCOMPARECOL_PYPCT" localSheetId="19">FALSE</definedName>
    <definedName name="QBREPORTCOMPARECOL_PYPCT" localSheetId="20">FALSE</definedName>
    <definedName name="QBREPORTCOMPARECOL_PYPCT" localSheetId="21">FALSE</definedName>
    <definedName name="QBREPORTCOMPARECOL_PYPCT" localSheetId="22">FALSE</definedName>
    <definedName name="QBREPORTCOMPARECOL_PYPCT" localSheetId="23">FALSE</definedName>
    <definedName name="QBREPORTCOMPARECOL_PYPCT" localSheetId="24">FALSE</definedName>
    <definedName name="QBREPORTCOMPARECOL_PYPCT" localSheetId="29">FALSE</definedName>
    <definedName name="QBREPORTCOMPARECOL_PYPCT" localSheetId="30">FALSE</definedName>
    <definedName name="QBREPORTCOMPARECOL_PYPCT" localSheetId="25">FALSE</definedName>
    <definedName name="QBREPORTCOMPARECOL_PYPCT" localSheetId="27">FALSE</definedName>
    <definedName name="QBREPORTCOMPARECOL_PYPCT" localSheetId="28">FALSE</definedName>
    <definedName name="QBREPORTCOMPARECOL_PYPCT" localSheetId="26">FALSE</definedName>
    <definedName name="QBREPORTCOMPARECOL_PYPCT" localSheetId="31">FALSE</definedName>
    <definedName name="QBREPORTCOMPARECOL_PYPCT" localSheetId="32">FALSE</definedName>
    <definedName name="QBREPORTCOMPARECOL_PYPCT" localSheetId="33">FALSE</definedName>
    <definedName name="QBREPORTCOMPARECOL_PYPCT" localSheetId="34">FALSE</definedName>
    <definedName name="QBREPORTCOMPARECOL_PYPCT" localSheetId="35">FALSE</definedName>
    <definedName name="QBREPORTCOMPARECOL_PYPCT" localSheetId="36">FALSE</definedName>
    <definedName name="QBREPORTCOMPARECOL_PYPCT" localSheetId="37">FALSE</definedName>
    <definedName name="QBREPORTCOMPARECOL_PYPCT" localSheetId="38">FALSE</definedName>
    <definedName name="QBREPORTCOMPARECOL_PYPCT" localSheetId="49">FALSE</definedName>
    <definedName name="QBREPORTCOMPARECOL_PYPCT" localSheetId="50">FALSE</definedName>
    <definedName name="QBREPORTCOMPARECOL_PYPCT" localSheetId="39">FALSE</definedName>
    <definedName name="QBREPORTCOMPARECOL_PYPCT" localSheetId="40">FALSE</definedName>
    <definedName name="QBREPORTCOMPARECOL_PYPCT" localSheetId="41">FALSE</definedName>
    <definedName name="QBREPORTCOMPARECOL_PYPCT" localSheetId="42">FALSE</definedName>
    <definedName name="QBREPORTCOMPARECOL_PYPCT" localSheetId="43">FALSE</definedName>
    <definedName name="QBREPORTCOMPARECOL_PYPCT" localSheetId="44">FALSE</definedName>
    <definedName name="QBREPORTCOMPARECOL_PYPCT" localSheetId="53">FALSE</definedName>
    <definedName name="QBREPORTCOMPARECOL_PYPCT" localSheetId="54">FALSE</definedName>
    <definedName name="QBREPORTCOMPARECOL_QTY" localSheetId="47">FALSE</definedName>
    <definedName name="QBREPORTCOMPARECOL_QTY" localSheetId="48">FALSE</definedName>
    <definedName name="QBREPORTCOMPARECOL_QTY" localSheetId="45">FALSE</definedName>
    <definedName name="QBREPORTCOMPARECOL_QTY" localSheetId="46">FALSE</definedName>
    <definedName name="QBREPORTCOMPARECOL_QTY" localSheetId="15">FALSE</definedName>
    <definedName name="QBREPORTCOMPARECOL_QTY" localSheetId="16">FALSE</definedName>
    <definedName name="QBREPORTCOMPARECOL_QTY" localSheetId="17">FALSE</definedName>
    <definedName name="QBREPORTCOMPARECOL_QTY" localSheetId="18">FALSE</definedName>
    <definedName name="QBREPORTCOMPARECOL_QTY" localSheetId="51">FALSE</definedName>
    <definedName name="QBREPORTCOMPARECOL_QTY" localSheetId="52">FALSE</definedName>
    <definedName name="QBREPORTCOMPARECOL_QTY" localSheetId="19">FALSE</definedName>
    <definedName name="QBREPORTCOMPARECOL_QTY" localSheetId="20">FALSE</definedName>
    <definedName name="QBREPORTCOMPARECOL_QTY" localSheetId="21">FALSE</definedName>
    <definedName name="QBREPORTCOMPARECOL_QTY" localSheetId="22">FALSE</definedName>
    <definedName name="QBREPORTCOMPARECOL_QTY" localSheetId="23">FALSE</definedName>
    <definedName name="QBREPORTCOMPARECOL_QTY" localSheetId="24">FALSE</definedName>
    <definedName name="QBREPORTCOMPARECOL_QTY" localSheetId="29">FALSE</definedName>
    <definedName name="QBREPORTCOMPARECOL_QTY" localSheetId="30">FALSE</definedName>
    <definedName name="QBREPORTCOMPARECOL_QTY" localSheetId="25">FALSE</definedName>
    <definedName name="QBREPORTCOMPARECOL_QTY" localSheetId="27">FALSE</definedName>
    <definedName name="QBREPORTCOMPARECOL_QTY" localSheetId="28">FALSE</definedName>
    <definedName name="QBREPORTCOMPARECOL_QTY" localSheetId="26">FALSE</definedName>
    <definedName name="QBREPORTCOMPARECOL_QTY" localSheetId="31">FALSE</definedName>
    <definedName name="QBREPORTCOMPARECOL_QTY" localSheetId="32">FALSE</definedName>
    <definedName name="QBREPORTCOMPARECOL_QTY" localSheetId="33">FALSE</definedName>
    <definedName name="QBREPORTCOMPARECOL_QTY" localSheetId="34">FALSE</definedName>
    <definedName name="QBREPORTCOMPARECOL_QTY" localSheetId="35">FALSE</definedName>
    <definedName name="QBREPORTCOMPARECOL_QTY" localSheetId="36">FALSE</definedName>
    <definedName name="QBREPORTCOMPARECOL_QTY" localSheetId="37">FALSE</definedName>
    <definedName name="QBREPORTCOMPARECOL_QTY" localSheetId="38">FALSE</definedName>
    <definedName name="QBREPORTCOMPARECOL_QTY" localSheetId="49">FALSE</definedName>
    <definedName name="QBREPORTCOMPARECOL_QTY" localSheetId="50">FALSE</definedName>
    <definedName name="QBREPORTCOMPARECOL_QTY" localSheetId="39">FALSE</definedName>
    <definedName name="QBREPORTCOMPARECOL_QTY" localSheetId="40">FALSE</definedName>
    <definedName name="QBREPORTCOMPARECOL_QTY" localSheetId="41">FALSE</definedName>
    <definedName name="QBREPORTCOMPARECOL_QTY" localSheetId="42">FALSE</definedName>
    <definedName name="QBREPORTCOMPARECOL_QTY" localSheetId="43">FALSE</definedName>
    <definedName name="QBREPORTCOMPARECOL_QTY" localSheetId="44">FALSE</definedName>
    <definedName name="QBREPORTCOMPARECOL_QTY" localSheetId="53">FALSE</definedName>
    <definedName name="QBREPORTCOMPARECOL_QTY" localSheetId="54">FALSE</definedName>
    <definedName name="QBREPORTCOMPARECOL_RATE" localSheetId="47">FALSE</definedName>
    <definedName name="QBREPORTCOMPARECOL_RATE" localSheetId="48">FALSE</definedName>
    <definedName name="QBREPORTCOMPARECOL_RATE" localSheetId="45">FALSE</definedName>
    <definedName name="QBREPORTCOMPARECOL_RATE" localSheetId="46">FALSE</definedName>
    <definedName name="QBREPORTCOMPARECOL_RATE" localSheetId="15">FALSE</definedName>
    <definedName name="QBREPORTCOMPARECOL_RATE" localSheetId="16">FALSE</definedName>
    <definedName name="QBREPORTCOMPARECOL_RATE" localSheetId="17">FALSE</definedName>
    <definedName name="QBREPORTCOMPARECOL_RATE" localSheetId="18">FALSE</definedName>
    <definedName name="QBREPORTCOMPARECOL_RATE" localSheetId="51">FALSE</definedName>
    <definedName name="QBREPORTCOMPARECOL_RATE" localSheetId="52">FALSE</definedName>
    <definedName name="QBREPORTCOMPARECOL_RATE" localSheetId="19">FALSE</definedName>
    <definedName name="QBREPORTCOMPARECOL_RATE" localSheetId="20">FALSE</definedName>
    <definedName name="QBREPORTCOMPARECOL_RATE" localSheetId="21">FALSE</definedName>
    <definedName name="QBREPORTCOMPARECOL_RATE" localSheetId="22">FALSE</definedName>
    <definedName name="QBREPORTCOMPARECOL_RATE" localSheetId="23">FALSE</definedName>
    <definedName name="QBREPORTCOMPARECOL_RATE" localSheetId="24">FALSE</definedName>
    <definedName name="QBREPORTCOMPARECOL_RATE" localSheetId="29">FALSE</definedName>
    <definedName name="QBREPORTCOMPARECOL_RATE" localSheetId="30">FALSE</definedName>
    <definedName name="QBREPORTCOMPARECOL_RATE" localSheetId="25">FALSE</definedName>
    <definedName name="QBREPORTCOMPARECOL_RATE" localSheetId="27">FALSE</definedName>
    <definedName name="QBREPORTCOMPARECOL_RATE" localSheetId="28">FALSE</definedName>
    <definedName name="QBREPORTCOMPARECOL_RATE" localSheetId="26">FALSE</definedName>
    <definedName name="QBREPORTCOMPARECOL_RATE" localSheetId="31">FALSE</definedName>
    <definedName name="QBREPORTCOMPARECOL_RATE" localSheetId="32">FALSE</definedName>
    <definedName name="QBREPORTCOMPARECOL_RATE" localSheetId="33">FALSE</definedName>
    <definedName name="QBREPORTCOMPARECOL_RATE" localSheetId="34">FALSE</definedName>
    <definedName name="QBREPORTCOMPARECOL_RATE" localSheetId="35">FALSE</definedName>
    <definedName name="QBREPORTCOMPARECOL_RATE" localSheetId="36">FALSE</definedName>
    <definedName name="QBREPORTCOMPARECOL_RATE" localSheetId="37">FALSE</definedName>
    <definedName name="QBREPORTCOMPARECOL_RATE" localSheetId="38">FALSE</definedName>
    <definedName name="QBREPORTCOMPARECOL_RATE" localSheetId="49">FALSE</definedName>
    <definedName name="QBREPORTCOMPARECOL_RATE" localSheetId="50">FALSE</definedName>
    <definedName name="QBREPORTCOMPARECOL_RATE" localSheetId="39">FALSE</definedName>
    <definedName name="QBREPORTCOMPARECOL_RATE" localSheetId="40">FALSE</definedName>
    <definedName name="QBREPORTCOMPARECOL_RATE" localSheetId="41">FALSE</definedName>
    <definedName name="QBREPORTCOMPARECOL_RATE" localSheetId="42">FALSE</definedName>
    <definedName name="QBREPORTCOMPARECOL_RATE" localSheetId="43">FALSE</definedName>
    <definedName name="QBREPORTCOMPARECOL_RATE" localSheetId="44">FALSE</definedName>
    <definedName name="QBREPORTCOMPARECOL_RATE" localSheetId="53">FALSE</definedName>
    <definedName name="QBREPORTCOMPARECOL_RATE" localSheetId="54">FALSE</definedName>
    <definedName name="QBREPORTCOMPARECOL_TRIPBILLEDMILES" localSheetId="47">FALSE</definedName>
    <definedName name="QBREPORTCOMPARECOL_TRIPBILLEDMILES" localSheetId="48">FALSE</definedName>
    <definedName name="QBREPORTCOMPARECOL_TRIPBILLEDMILES" localSheetId="45">FALSE</definedName>
    <definedName name="QBREPORTCOMPARECOL_TRIPBILLEDMILES" localSheetId="46">FALSE</definedName>
    <definedName name="QBREPORTCOMPARECOL_TRIPBILLEDMILES" localSheetId="15">FALSE</definedName>
    <definedName name="QBREPORTCOMPARECOL_TRIPBILLEDMILES" localSheetId="16">FALSE</definedName>
    <definedName name="QBREPORTCOMPARECOL_TRIPBILLEDMILES" localSheetId="17">FALSE</definedName>
    <definedName name="QBREPORTCOMPARECOL_TRIPBILLEDMILES" localSheetId="18">FALSE</definedName>
    <definedName name="QBREPORTCOMPARECOL_TRIPBILLEDMILES" localSheetId="51">FALSE</definedName>
    <definedName name="QBREPORTCOMPARECOL_TRIPBILLEDMILES" localSheetId="52">FALSE</definedName>
    <definedName name="QBREPORTCOMPARECOL_TRIPBILLEDMILES" localSheetId="19">FALSE</definedName>
    <definedName name="QBREPORTCOMPARECOL_TRIPBILLEDMILES" localSheetId="20">FALSE</definedName>
    <definedName name="QBREPORTCOMPARECOL_TRIPBILLEDMILES" localSheetId="21">FALSE</definedName>
    <definedName name="QBREPORTCOMPARECOL_TRIPBILLEDMILES" localSheetId="22">FALSE</definedName>
    <definedName name="QBREPORTCOMPARECOL_TRIPBILLEDMILES" localSheetId="23">FALSE</definedName>
    <definedName name="QBREPORTCOMPARECOL_TRIPBILLEDMILES" localSheetId="24">FALSE</definedName>
    <definedName name="QBREPORTCOMPARECOL_TRIPBILLEDMILES" localSheetId="29">FALSE</definedName>
    <definedName name="QBREPORTCOMPARECOL_TRIPBILLEDMILES" localSheetId="30">FALSE</definedName>
    <definedName name="QBREPORTCOMPARECOL_TRIPBILLEDMILES" localSheetId="25">FALSE</definedName>
    <definedName name="QBREPORTCOMPARECOL_TRIPBILLEDMILES" localSheetId="27">FALSE</definedName>
    <definedName name="QBREPORTCOMPARECOL_TRIPBILLEDMILES" localSheetId="28">FALSE</definedName>
    <definedName name="QBREPORTCOMPARECOL_TRIPBILLEDMILES" localSheetId="26">FALSE</definedName>
    <definedName name="QBREPORTCOMPARECOL_TRIPBILLEDMILES" localSheetId="31">FALSE</definedName>
    <definedName name="QBREPORTCOMPARECOL_TRIPBILLEDMILES" localSheetId="32">FALSE</definedName>
    <definedName name="QBREPORTCOMPARECOL_TRIPBILLEDMILES" localSheetId="33">FALSE</definedName>
    <definedName name="QBREPORTCOMPARECOL_TRIPBILLEDMILES" localSheetId="34">FALSE</definedName>
    <definedName name="QBREPORTCOMPARECOL_TRIPBILLEDMILES" localSheetId="35">FALSE</definedName>
    <definedName name="QBREPORTCOMPARECOL_TRIPBILLEDMILES" localSheetId="36">FALSE</definedName>
    <definedName name="QBREPORTCOMPARECOL_TRIPBILLEDMILES" localSheetId="37">FALSE</definedName>
    <definedName name="QBREPORTCOMPARECOL_TRIPBILLEDMILES" localSheetId="38">FALSE</definedName>
    <definedName name="QBREPORTCOMPARECOL_TRIPBILLEDMILES" localSheetId="49">FALSE</definedName>
    <definedName name="QBREPORTCOMPARECOL_TRIPBILLEDMILES" localSheetId="50">FALSE</definedName>
    <definedName name="QBREPORTCOMPARECOL_TRIPBILLEDMILES" localSheetId="39">FALSE</definedName>
    <definedName name="QBREPORTCOMPARECOL_TRIPBILLEDMILES" localSheetId="40">FALSE</definedName>
    <definedName name="QBREPORTCOMPARECOL_TRIPBILLEDMILES" localSheetId="41">FALSE</definedName>
    <definedName name="QBREPORTCOMPARECOL_TRIPBILLEDMILES" localSheetId="42">FALSE</definedName>
    <definedName name="QBREPORTCOMPARECOL_TRIPBILLEDMILES" localSheetId="43">FALSE</definedName>
    <definedName name="QBREPORTCOMPARECOL_TRIPBILLEDMILES" localSheetId="44">FALSE</definedName>
    <definedName name="QBREPORTCOMPARECOL_TRIPBILLEDMILES" localSheetId="53">FALSE</definedName>
    <definedName name="QBREPORTCOMPARECOL_TRIPBILLEDMILES" localSheetId="54">FALSE</definedName>
    <definedName name="QBREPORTCOMPARECOL_TRIPBILLINGAMOUNT" localSheetId="47">FALSE</definedName>
    <definedName name="QBREPORTCOMPARECOL_TRIPBILLINGAMOUNT" localSheetId="48">FALSE</definedName>
    <definedName name="QBREPORTCOMPARECOL_TRIPBILLINGAMOUNT" localSheetId="45">FALSE</definedName>
    <definedName name="QBREPORTCOMPARECOL_TRIPBILLINGAMOUNT" localSheetId="46">FALSE</definedName>
    <definedName name="QBREPORTCOMPARECOL_TRIPBILLINGAMOUNT" localSheetId="15">FALSE</definedName>
    <definedName name="QBREPORTCOMPARECOL_TRIPBILLINGAMOUNT" localSheetId="16">FALSE</definedName>
    <definedName name="QBREPORTCOMPARECOL_TRIPBILLINGAMOUNT" localSheetId="17">FALSE</definedName>
    <definedName name="QBREPORTCOMPARECOL_TRIPBILLINGAMOUNT" localSheetId="18">FALSE</definedName>
    <definedName name="QBREPORTCOMPARECOL_TRIPBILLINGAMOUNT" localSheetId="51">FALSE</definedName>
    <definedName name="QBREPORTCOMPARECOL_TRIPBILLINGAMOUNT" localSheetId="52">FALSE</definedName>
    <definedName name="QBREPORTCOMPARECOL_TRIPBILLINGAMOUNT" localSheetId="19">FALSE</definedName>
    <definedName name="QBREPORTCOMPARECOL_TRIPBILLINGAMOUNT" localSheetId="20">FALSE</definedName>
    <definedName name="QBREPORTCOMPARECOL_TRIPBILLINGAMOUNT" localSheetId="21">FALSE</definedName>
    <definedName name="QBREPORTCOMPARECOL_TRIPBILLINGAMOUNT" localSheetId="22">FALSE</definedName>
    <definedName name="QBREPORTCOMPARECOL_TRIPBILLINGAMOUNT" localSheetId="23">FALSE</definedName>
    <definedName name="QBREPORTCOMPARECOL_TRIPBILLINGAMOUNT" localSheetId="24">FALSE</definedName>
    <definedName name="QBREPORTCOMPARECOL_TRIPBILLINGAMOUNT" localSheetId="29">FALSE</definedName>
    <definedName name="QBREPORTCOMPARECOL_TRIPBILLINGAMOUNT" localSheetId="30">FALSE</definedName>
    <definedName name="QBREPORTCOMPARECOL_TRIPBILLINGAMOUNT" localSheetId="25">FALSE</definedName>
    <definedName name="QBREPORTCOMPARECOL_TRIPBILLINGAMOUNT" localSheetId="27">FALSE</definedName>
    <definedName name="QBREPORTCOMPARECOL_TRIPBILLINGAMOUNT" localSheetId="28">FALSE</definedName>
    <definedName name="QBREPORTCOMPARECOL_TRIPBILLINGAMOUNT" localSheetId="26">FALSE</definedName>
    <definedName name="QBREPORTCOMPARECOL_TRIPBILLINGAMOUNT" localSheetId="31">FALSE</definedName>
    <definedName name="QBREPORTCOMPARECOL_TRIPBILLINGAMOUNT" localSheetId="32">FALSE</definedName>
    <definedName name="QBREPORTCOMPARECOL_TRIPBILLINGAMOUNT" localSheetId="33">FALSE</definedName>
    <definedName name="QBREPORTCOMPARECOL_TRIPBILLINGAMOUNT" localSheetId="34">FALSE</definedName>
    <definedName name="QBREPORTCOMPARECOL_TRIPBILLINGAMOUNT" localSheetId="35">FALSE</definedName>
    <definedName name="QBREPORTCOMPARECOL_TRIPBILLINGAMOUNT" localSheetId="36">FALSE</definedName>
    <definedName name="QBREPORTCOMPARECOL_TRIPBILLINGAMOUNT" localSheetId="37">FALSE</definedName>
    <definedName name="QBREPORTCOMPARECOL_TRIPBILLINGAMOUNT" localSheetId="38">FALSE</definedName>
    <definedName name="QBREPORTCOMPARECOL_TRIPBILLINGAMOUNT" localSheetId="49">FALSE</definedName>
    <definedName name="QBREPORTCOMPARECOL_TRIPBILLINGAMOUNT" localSheetId="50">FALSE</definedName>
    <definedName name="QBREPORTCOMPARECOL_TRIPBILLINGAMOUNT" localSheetId="39">FALSE</definedName>
    <definedName name="QBREPORTCOMPARECOL_TRIPBILLINGAMOUNT" localSheetId="40">FALSE</definedName>
    <definedName name="QBREPORTCOMPARECOL_TRIPBILLINGAMOUNT" localSheetId="41">FALSE</definedName>
    <definedName name="QBREPORTCOMPARECOL_TRIPBILLINGAMOUNT" localSheetId="42">FALSE</definedName>
    <definedName name="QBREPORTCOMPARECOL_TRIPBILLINGAMOUNT" localSheetId="43">FALSE</definedName>
    <definedName name="QBREPORTCOMPARECOL_TRIPBILLINGAMOUNT" localSheetId="44">FALSE</definedName>
    <definedName name="QBREPORTCOMPARECOL_TRIPBILLINGAMOUNT" localSheetId="53">FALSE</definedName>
    <definedName name="QBREPORTCOMPARECOL_TRIPBILLINGAMOUNT" localSheetId="54">FALSE</definedName>
    <definedName name="QBREPORTCOMPARECOL_TRIPMILES" localSheetId="47">FALSE</definedName>
    <definedName name="QBREPORTCOMPARECOL_TRIPMILES" localSheetId="48">FALSE</definedName>
    <definedName name="QBREPORTCOMPARECOL_TRIPMILES" localSheetId="45">FALSE</definedName>
    <definedName name="QBREPORTCOMPARECOL_TRIPMILES" localSheetId="46">FALSE</definedName>
    <definedName name="QBREPORTCOMPARECOL_TRIPMILES" localSheetId="15">FALSE</definedName>
    <definedName name="QBREPORTCOMPARECOL_TRIPMILES" localSheetId="16">FALSE</definedName>
    <definedName name="QBREPORTCOMPARECOL_TRIPMILES" localSheetId="17">FALSE</definedName>
    <definedName name="QBREPORTCOMPARECOL_TRIPMILES" localSheetId="18">FALSE</definedName>
    <definedName name="QBREPORTCOMPARECOL_TRIPMILES" localSheetId="51">FALSE</definedName>
    <definedName name="QBREPORTCOMPARECOL_TRIPMILES" localSheetId="52">FALSE</definedName>
    <definedName name="QBREPORTCOMPARECOL_TRIPMILES" localSheetId="19">FALSE</definedName>
    <definedName name="QBREPORTCOMPARECOL_TRIPMILES" localSheetId="20">FALSE</definedName>
    <definedName name="QBREPORTCOMPARECOL_TRIPMILES" localSheetId="21">FALSE</definedName>
    <definedName name="QBREPORTCOMPARECOL_TRIPMILES" localSheetId="22">FALSE</definedName>
    <definedName name="QBREPORTCOMPARECOL_TRIPMILES" localSheetId="23">FALSE</definedName>
    <definedName name="QBREPORTCOMPARECOL_TRIPMILES" localSheetId="24">FALSE</definedName>
    <definedName name="QBREPORTCOMPARECOL_TRIPMILES" localSheetId="29">FALSE</definedName>
    <definedName name="QBREPORTCOMPARECOL_TRIPMILES" localSheetId="30">FALSE</definedName>
    <definedName name="QBREPORTCOMPARECOL_TRIPMILES" localSheetId="25">FALSE</definedName>
    <definedName name="QBREPORTCOMPARECOL_TRIPMILES" localSheetId="27">FALSE</definedName>
    <definedName name="QBREPORTCOMPARECOL_TRIPMILES" localSheetId="28">FALSE</definedName>
    <definedName name="QBREPORTCOMPARECOL_TRIPMILES" localSheetId="26">FALSE</definedName>
    <definedName name="QBREPORTCOMPARECOL_TRIPMILES" localSheetId="31">FALSE</definedName>
    <definedName name="QBREPORTCOMPARECOL_TRIPMILES" localSheetId="32">FALSE</definedName>
    <definedName name="QBREPORTCOMPARECOL_TRIPMILES" localSheetId="33">FALSE</definedName>
    <definedName name="QBREPORTCOMPARECOL_TRIPMILES" localSheetId="34">FALSE</definedName>
    <definedName name="QBREPORTCOMPARECOL_TRIPMILES" localSheetId="35">FALSE</definedName>
    <definedName name="QBREPORTCOMPARECOL_TRIPMILES" localSheetId="36">FALSE</definedName>
    <definedName name="QBREPORTCOMPARECOL_TRIPMILES" localSheetId="37">FALSE</definedName>
    <definedName name="QBREPORTCOMPARECOL_TRIPMILES" localSheetId="38">FALSE</definedName>
    <definedName name="QBREPORTCOMPARECOL_TRIPMILES" localSheetId="49">FALSE</definedName>
    <definedName name="QBREPORTCOMPARECOL_TRIPMILES" localSheetId="50">FALSE</definedName>
    <definedName name="QBREPORTCOMPARECOL_TRIPMILES" localSheetId="39">FALSE</definedName>
    <definedName name="QBREPORTCOMPARECOL_TRIPMILES" localSheetId="40">FALSE</definedName>
    <definedName name="QBREPORTCOMPARECOL_TRIPMILES" localSheetId="41">FALSE</definedName>
    <definedName name="QBREPORTCOMPARECOL_TRIPMILES" localSheetId="42">FALSE</definedName>
    <definedName name="QBREPORTCOMPARECOL_TRIPMILES" localSheetId="43">FALSE</definedName>
    <definedName name="QBREPORTCOMPARECOL_TRIPMILES" localSheetId="44">FALSE</definedName>
    <definedName name="QBREPORTCOMPARECOL_TRIPMILES" localSheetId="53">FALSE</definedName>
    <definedName name="QBREPORTCOMPARECOL_TRIPMILES" localSheetId="54">FALSE</definedName>
    <definedName name="QBREPORTCOMPARECOL_TRIPNOTBILLABLEMILES" localSheetId="47">FALSE</definedName>
    <definedName name="QBREPORTCOMPARECOL_TRIPNOTBILLABLEMILES" localSheetId="48">FALSE</definedName>
    <definedName name="QBREPORTCOMPARECOL_TRIPNOTBILLABLEMILES" localSheetId="45">FALSE</definedName>
    <definedName name="QBREPORTCOMPARECOL_TRIPNOTBILLABLEMILES" localSheetId="46">FALSE</definedName>
    <definedName name="QBREPORTCOMPARECOL_TRIPNOTBILLABLEMILES" localSheetId="15">FALSE</definedName>
    <definedName name="QBREPORTCOMPARECOL_TRIPNOTBILLABLEMILES" localSheetId="16">FALSE</definedName>
    <definedName name="QBREPORTCOMPARECOL_TRIPNOTBILLABLEMILES" localSheetId="17">FALSE</definedName>
    <definedName name="QBREPORTCOMPARECOL_TRIPNOTBILLABLEMILES" localSheetId="18">FALSE</definedName>
    <definedName name="QBREPORTCOMPARECOL_TRIPNOTBILLABLEMILES" localSheetId="51">FALSE</definedName>
    <definedName name="QBREPORTCOMPARECOL_TRIPNOTBILLABLEMILES" localSheetId="52">FALSE</definedName>
    <definedName name="QBREPORTCOMPARECOL_TRIPNOTBILLABLEMILES" localSheetId="19">FALSE</definedName>
    <definedName name="QBREPORTCOMPARECOL_TRIPNOTBILLABLEMILES" localSheetId="20">FALSE</definedName>
    <definedName name="QBREPORTCOMPARECOL_TRIPNOTBILLABLEMILES" localSheetId="21">FALSE</definedName>
    <definedName name="QBREPORTCOMPARECOL_TRIPNOTBILLABLEMILES" localSheetId="22">FALSE</definedName>
    <definedName name="QBREPORTCOMPARECOL_TRIPNOTBILLABLEMILES" localSheetId="23">FALSE</definedName>
    <definedName name="QBREPORTCOMPARECOL_TRIPNOTBILLABLEMILES" localSheetId="24">FALSE</definedName>
    <definedName name="QBREPORTCOMPARECOL_TRIPNOTBILLABLEMILES" localSheetId="29">FALSE</definedName>
    <definedName name="QBREPORTCOMPARECOL_TRIPNOTBILLABLEMILES" localSheetId="30">FALSE</definedName>
    <definedName name="QBREPORTCOMPARECOL_TRIPNOTBILLABLEMILES" localSheetId="25">FALSE</definedName>
    <definedName name="QBREPORTCOMPARECOL_TRIPNOTBILLABLEMILES" localSheetId="27">FALSE</definedName>
    <definedName name="QBREPORTCOMPARECOL_TRIPNOTBILLABLEMILES" localSheetId="28">FALSE</definedName>
    <definedName name="QBREPORTCOMPARECOL_TRIPNOTBILLABLEMILES" localSheetId="26">FALSE</definedName>
    <definedName name="QBREPORTCOMPARECOL_TRIPNOTBILLABLEMILES" localSheetId="31">FALSE</definedName>
    <definedName name="QBREPORTCOMPARECOL_TRIPNOTBILLABLEMILES" localSheetId="32">FALSE</definedName>
    <definedName name="QBREPORTCOMPARECOL_TRIPNOTBILLABLEMILES" localSheetId="33">FALSE</definedName>
    <definedName name="QBREPORTCOMPARECOL_TRIPNOTBILLABLEMILES" localSheetId="34">FALSE</definedName>
    <definedName name="QBREPORTCOMPARECOL_TRIPNOTBILLABLEMILES" localSheetId="35">FALSE</definedName>
    <definedName name="QBREPORTCOMPARECOL_TRIPNOTBILLABLEMILES" localSheetId="36">FALSE</definedName>
    <definedName name="QBREPORTCOMPARECOL_TRIPNOTBILLABLEMILES" localSheetId="37">FALSE</definedName>
    <definedName name="QBREPORTCOMPARECOL_TRIPNOTBILLABLEMILES" localSheetId="38">FALSE</definedName>
    <definedName name="QBREPORTCOMPARECOL_TRIPNOTBILLABLEMILES" localSheetId="49">FALSE</definedName>
    <definedName name="QBREPORTCOMPARECOL_TRIPNOTBILLABLEMILES" localSheetId="50">FALSE</definedName>
    <definedName name="QBREPORTCOMPARECOL_TRIPNOTBILLABLEMILES" localSheetId="39">FALSE</definedName>
    <definedName name="QBREPORTCOMPARECOL_TRIPNOTBILLABLEMILES" localSheetId="40">FALSE</definedName>
    <definedName name="QBREPORTCOMPARECOL_TRIPNOTBILLABLEMILES" localSheetId="41">FALSE</definedName>
    <definedName name="QBREPORTCOMPARECOL_TRIPNOTBILLABLEMILES" localSheetId="42">FALSE</definedName>
    <definedName name="QBREPORTCOMPARECOL_TRIPNOTBILLABLEMILES" localSheetId="43">FALSE</definedName>
    <definedName name="QBREPORTCOMPARECOL_TRIPNOTBILLABLEMILES" localSheetId="44">FALSE</definedName>
    <definedName name="QBREPORTCOMPARECOL_TRIPNOTBILLABLEMILES" localSheetId="53">FALSE</definedName>
    <definedName name="QBREPORTCOMPARECOL_TRIPNOTBILLABLEMILES" localSheetId="54">FALSE</definedName>
    <definedName name="QBREPORTCOMPARECOL_TRIPTAXDEDUCTIBLEAMOUNT" localSheetId="47">FALSE</definedName>
    <definedName name="QBREPORTCOMPARECOL_TRIPTAXDEDUCTIBLEAMOUNT" localSheetId="48">FALSE</definedName>
    <definedName name="QBREPORTCOMPARECOL_TRIPTAXDEDUCTIBLEAMOUNT" localSheetId="45">FALSE</definedName>
    <definedName name="QBREPORTCOMPARECOL_TRIPTAXDEDUCTIBLEAMOUNT" localSheetId="46">FALSE</definedName>
    <definedName name="QBREPORTCOMPARECOL_TRIPTAXDEDUCTIBLEAMOUNT" localSheetId="15">FALSE</definedName>
    <definedName name="QBREPORTCOMPARECOL_TRIPTAXDEDUCTIBLEAMOUNT" localSheetId="16">FALSE</definedName>
    <definedName name="QBREPORTCOMPARECOL_TRIPTAXDEDUCTIBLEAMOUNT" localSheetId="17">FALSE</definedName>
    <definedName name="QBREPORTCOMPARECOL_TRIPTAXDEDUCTIBLEAMOUNT" localSheetId="18">FALSE</definedName>
    <definedName name="QBREPORTCOMPARECOL_TRIPTAXDEDUCTIBLEAMOUNT" localSheetId="51">FALSE</definedName>
    <definedName name="QBREPORTCOMPARECOL_TRIPTAXDEDUCTIBLEAMOUNT" localSheetId="52">FALSE</definedName>
    <definedName name="QBREPORTCOMPARECOL_TRIPTAXDEDUCTIBLEAMOUNT" localSheetId="19">FALSE</definedName>
    <definedName name="QBREPORTCOMPARECOL_TRIPTAXDEDUCTIBLEAMOUNT" localSheetId="20">FALSE</definedName>
    <definedName name="QBREPORTCOMPARECOL_TRIPTAXDEDUCTIBLEAMOUNT" localSheetId="21">FALSE</definedName>
    <definedName name="QBREPORTCOMPARECOL_TRIPTAXDEDUCTIBLEAMOUNT" localSheetId="22">FALSE</definedName>
    <definedName name="QBREPORTCOMPARECOL_TRIPTAXDEDUCTIBLEAMOUNT" localSheetId="23">FALSE</definedName>
    <definedName name="QBREPORTCOMPARECOL_TRIPTAXDEDUCTIBLEAMOUNT" localSheetId="24">FALSE</definedName>
    <definedName name="QBREPORTCOMPARECOL_TRIPTAXDEDUCTIBLEAMOUNT" localSheetId="29">FALSE</definedName>
    <definedName name="QBREPORTCOMPARECOL_TRIPTAXDEDUCTIBLEAMOUNT" localSheetId="30">FALSE</definedName>
    <definedName name="QBREPORTCOMPARECOL_TRIPTAXDEDUCTIBLEAMOUNT" localSheetId="25">FALSE</definedName>
    <definedName name="QBREPORTCOMPARECOL_TRIPTAXDEDUCTIBLEAMOUNT" localSheetId="27">FALSE</definedName>
    <definedName name="QBREPORTCOMPARECOL_TRIPTAXDEDUCTIBLEAMOUNT" localSheetId="28">FALSE</definedName>
    <definedName name="QBREPORTCOMPARECOL_TRIPTAXDEDUCTIBLEAMOUNT" localSheetId="26">FALSE</definedName>
    <definedName name="QBREPORTCOMPARECOL_TRIPTAXDEDUCTIBLEAMOUNT" localSheetId="31">FALSE</definedName>
    <definedName name="QBREPORTCOMPARECOL_TRIPTAXDEDUCTIBLEAMOUNT" localSheetId="32">FALSE</definedName>
    <definedName name="QBREPORTCOMPARECOL_TRIPTAXDEDUCTIBLEAMOUNT" localSheetId="33">FALSE</definedName>
    <definedName name="QBREPORTCOMPARECOL_TRIPTAXDEDUCTIBLEAMOUNT" localSheetId="34">FALSE</definedName>
    <definedName name="QBREPORTCOMPARECOL_TRIPTAXDEDUCTIBLEAMOUNT" localSheetId="35">FALSE</definedName>
    <definedName name="QBREPORTCOMPARECOL_TRIPTAXDEDUCTIBLEAMOUNT" localSheetId="36">FALSE</definedName>
    <definedName name="QBREPORTCOMPARECOL_TRIPTAXDEDUCTIBLEAMOUNT" localSheetId="37">FALSE</definedName>
    <definedName name="QBREPORTCOMPARECOL_TRIPTAXDEDUCTIBLEAMOUNT" localSheetId="38">FALSE</definedName>
    <definedName name="QBREPORTCOMPARECOL_TRIPTAXDEDUCTIBLEAMOUNT" localSheetId="49">FALSE</definedName>
    <definedName name="QBREPORTCOMPARECOL_TRIPTAXDEDUCTIBLEAMOUNT" localSheetId="50">FALSE</definedName>
    <definedName name="QBREPORTCOMPARECOL_TRIPTAXDEDUCTIBLEAMOUNT" localSheetId="39">FALSE</definedName>
    <definedName name="QBREPORTCOMPARECOL_TRIPTAXDEDUCTIBLEAMOUNT" localSheetId="40">FALSE</definedName>
    <definedName name="QBREPORTCOMPARECOL_TRIPTAXDEDUCTIBLEAMOUNT" localSheetId="41">FALSE</definedName>
    <definedName name="QBREPORTCOMPARECOL_TRIPTAXDEDUCTIBLEAMOUNT" localSheetId="42">FALSE</definedName>
    <definedName name="QBREPORTCOMPARECOL_TRIPTAXDEDUCTIBLEAMOUNT" localSheetId="43">FALSE</definedName>
    <definedName name="QBREPORTCOMPARECOL_TRIPTAXDEDUCTIBLEAMOUNT" localSheetId="44">FALSE</definedName>
    <definedName name="QBREPORTCOMPARECOL_TRIPTAXDEDUCTIBLEAMOUNT" localSheetId="53">FALSE</definedName>
    <definedName name="QBREPORTCOMPARECOL_TRIPTAXDEDUCTIBLEAMOUNT" localSheetId="54">FALSE</definedName>
    <definedName name="QBREPORTCOMPARECOL_TRIPUNBILLEDMILES" localSheetId="47">FALSE</definedName>
    <definedName name="QBREPORTCOMPARECOL_TRIPUNBILLEDMILES" localSheetId="48">FALSE</definedName>
    <definedName name="QBREPORTCOMPARECOL_TRIPUNBILLEDMILES" localSheetId="45">FALSE</definedName>
    <definedName name="QBREPORTCOMPARECOL_TRIPUNBILLEDMILES" localSheetId="46">FALSE</definedName>
    <definedName name="QBREPORTCOMPARECOL_TRIPUNBILLEDMILES" localSheetId="15">FALSE</definedName>
    <definedName name="QBREPORTCOMPARECOL_TRIPUNBILLEDMILES" localSheetId="16">FALSE</definedName>
    <definedName name="QBREPORTCOMPARECOL_TRIPUNBILLEDMILES" localSheetId="17">FALSE</definedName>
    <definedName name="QBREPORTCOMPARECOL_TRIPUNBILLEDMILES" localSheetId="18">FALSE</definedName>
    <definedName name="QBREPORTCOMPARECOL_TRIPUNBILLEDMILES" localSheetId="51">FALSE</definedName>
    <definedName name="QBREPORTCOMPARECOL_TRIPUNBILLEDMILES" localSheetId="52">FALSE</definedName>
    <definedName name="QBREPORTCOMPARECOL_TRIPUNBILLEDMILES" localSheetId="19">FALSE</definedName>
    <definedName name="QBREPORTCOMPARECOL_TRIPUNBILLEDMILES" localSheetId="20">FALSE</definedName>
    <definedName name="QBREPORTCOMPARECOL_TRIPUNBILLEDMILES" localSheetId="21">FALSE</definedName>
    <definedName name="QBREPORTCOMPARECOL_TRIPUNBILLEDMILES" localSheetId="22">FALSE</definedName>
    <definedName name="QBREPORTCOMPARECOL_TRIPUNBILLEDMILES" localSheetId="23">FALSE</definedName>
    <definedName name="QBREPORTCOMPARECOL_TRIPUNBILLEDMILES" localSheetId="24">FALSE</definedName>
    <definedName name="QBREPORTCOMPARECOL_TRIPUNBILLEDMILES" localSheetId="29">FALSE</definedName>
    <definedName name="QBREPORTCOMPARECOL_TRIPUNBILLEDMILES" localSheetId="30">FALSE</definedName>
    <definedName name="QBREPORTCOMPARECOL_TRIPUNBILLEDMILES" localSheetId="25">FALSE</definedName>
    <definedName name="QBREPORTCOMPARECOL_TRIPUNBILLEDMILES" localSheetId="27">FALSE</definedName>
    <definedName name="QBREPORTCOMPARECOL_TRIPUNBILLEDMILES" localSheetId="28">FALSE</definedName>
    <definedName name="QBREPORTCOMPARECOL_TRIPUNBILLEDMILES" localSheetId="26">FALSE</definedName>
    <definedName name="QBREPORTCOMPARECOL_TRIPUNBILLEDMILES" localSheetId="31">FALSE</definedName>
    <definedName name="QBREPORTCOMPARECOL_TRIPUNBILLEDMILES" localSheetId="32">FALSE</definedName>
    <definedName name="QBREPORTCOMPARECOL_TRIPUNBILLEDMILES" localSheetId="33">FALSE</definedName>
    <definedName name="QBREPORTCOMPARECOL_TRIPUNBILLEDMILES" localSheetId="34">FALSE</definedName>
    <definedName name="QBREPORTCOMPARECOL_TRIPUNBILLEDMILES" localSheetId="35">FALSE</definedName>
    <definedName name="QBREPORTCOMPARECOL_TRIPUNBILLEDMILES" localSheetId="36">FALSE</definedName>
    <definedName name="QBREPORTCOMPARECOL_TRIPUNBILLEDMILES" localSheetId="37">FALSE</definedName>
    <definedName name="QBREPORTCOMPARECOL_TRIPUNBILLEDMILES" localSheetId="38">FALSE</definedName>
    <definedName name="QBREPORTCOMPARECOL_TRIPUNBILLEDMILES" localSheetId="49">FALSE</definedName>
    <definedName name="QBREPORTCOMPARECOL_TRIPUNBILLEDMILES" localSheetId="50">FALSE</definedName>
    <definedName name="QBREPORTCOMPARECOL_TRIPUNBILLEDMILES" localSheetId="39">FALSE</definedName>
    <definedName name="QBREPORTCOMPARECOL_TRIPUNBILLEDMILES" localSheetId="40">FALSE</definedName>
    <definedName name="QBREPORTCOMPARECOL_TRIPUNBILLEDMILES" localSheetId="41">FALSE</definedName>
    <definedName name="QBREPORTCOMPARECOL_TRIPUNBILLEDMILES" localSheetId="42">FALSE</definedName>
    <definedName name="QBREPORTCOMPARECOL_TRIPUNBILLEDMILES" localSheetId="43">FALSE</definedName>
    <definedName name="QBREPORTCOMPARECOL_TRIPUNBILLEDMILES" localSheetId="44">FALSE</definedName>
    <definedName name="QBREPORTCOMPARECOL_TRIPUNBILLEDMILES" localSheetId="53">FALSE</definedName>
    <definedName name="QBREPORTCOMPARECOL_TRIPUNBILLEDMILES" localSheetId="54">FALSE</definedName>
    <definedName name="QBREPORTCOMPARECOL_YTD" localSheetId="47">FALSE</definedName>
    <definedName name="QBREPORTCOMPARECOL_YTD" localSheetId="48">FALSE</definedName>
    <definedName name="QBREPORTCOMPARECOL_YTD" localSheetId="45">FALSE</definedName>
    <definedName name="QBREPORTCOMPARECOL_YTD" localSheetId="46">FALSE</definedName>
    <definedName name="QBREPORTCOMPARECOL_YTD" localSheetId="15">FALSE</definedName>
    <definedName name="QBREPORTCOMPARECOL_YTD" localSheetId="16">FALSE</definedName>
    <definedName name="QBREPORTCOMPARECOL_YTD" localSheetId="17">FALSE</definedName>
    <definedName name="QBREPORTCOMPARECOL_YTD" localSheetId="18">FALSE</definedName>
    <definedName name="QBREPORTCOMPARECOL_YTD" localSheetId="51">FALSE</definedName>
    <definedName name="QBREPORTCOMPARECOL_YTD" localSheetId="52">FALSE</definedName>
    <definedName name="QBREPORTCOMPARECOL_YTD" localSheetId="19">FALSE</definedName>
    <definedName name="QBREPORTCOMPARECOL_YTD" localSheetId="20">FALSE</definedName>
    <definedName name="QBREPORTCOMPARECOL_YTD" localSheetId="21">FALSE</definedName>
    <definedName name="QBREPORTCOMPARECOL_YTD" localSheetId="22">FALSE</definedName>
    <definedName name="QBREPORTCOMPARECOL_YTD" localSheetId="23">FALSE</definedName>
    <definedName name="QBREPORTCOMPARECOL_YTD" localSheetId="24">FALSE</definedName>
    <definedName name="QBREPORTCOMPARECOL_YTD" localSheetId="29">FALSE</definedName>
    <definedName name="QBREPORTCOMPARECOL_YTD" localSheetId="30">FALSE</definedName>
    <definedName name="QBREPORTCOMPARECOL_YTD" localSheetId="25">FALSE</definedName>
    <definedName name="QBREPORTCOMPARECOL_YTD" localSheetId="27">FALSE</definedName>
    <definedName name="QBREPORTCOMPARECOL_YTD" localSheetId="28">FALSE</definedName>
    <definedName name="QBREPORTCOMPARECOL_YTD" localSheetId="26">FALSE</definedName>
    <definedName name="QBREPORTCOMPARECOL_YTD" localSheetId="31">FALSE</definedName>
    <definedName name="QBREPORTCOMPARECOL_YTD" localSheetId="32">FALSE</definedName>
    <definedName name="QBREPORTCOMPARECOL_YTD" localSheetId="33">FALSE</definedName>
    <definedName name="QBREPORTCOMPARECOL_YTD" localSheetId="34">FALSE</definedName>
    <definedName name="QBREPORTCOMPARECOL_YTD" localSheetId="35">FALSE</definedName>
    <definedName name="QBREPORTCOMPARECOL_YTD" localSheetId="36">FALSE</definedName>
    <definedName name="QBREPORTCOMPARECOL_YTD" localSheetId="37">FALSE</definedName>
    <definedName name="QBREPORTCOMPARECOL_YTD" localSheetId="38">FALSE</definedName>
    <definedName name="QBREPORTCOMPARECOL_YTD" localSheetId="49">FALSE</definedName>
    <definedName name="QBREPORTCOMPARECOL_YTD" localSheetId="50">FALSE</definedName>
    <definedName name="QBREPORTCOMPARECOL_YTD" localSheetId="39">FALSE</definedName>
    <definedName name="QBREPORTCOMPARECOL_YTD" localSheetId="40">FALSE</definedName>
    <definedName name="QBREPORTCOMPARECOL_YTD" localSheetId="41">FALSE</definedName>
    <definedName name="QBREPORTCOMPARECOL_YTD" localSheetId="42">FALSE</definedName>
    <definedName name="QBREPORTCOMPARECOL_YTD" localSheetId="43">FALSE</definedName>
    <definedName name="QBREPORTCOMPARECOL_YTD" localSheetId="44">FALSE</definedName>
    <definedName name="QBREPORTCOMPARECOL_YTD" localSheetId="53">FALSE</definedName>
    <definedName name="QBREPORTCOMPARECOL_YTD" localSheetId="54">FALSE</definedName>
    <definedName name="QBREPORTCOMPARECOL_YTDBUDGET" localSheetId="47">FALSE</definedName>
    <definedName name="QBREPORTCOMPARECOL_YTDBUDGET" localSheetId="48">FALSE</definedName>
    <definedName name="QBREPORTCOMPARECOL_YTDBUDGET" localSheetId="45">FALSE</definedName>
    <definedName name="QBREPORTCOMPARECOL_YTDBUDGET" localSheetId="46">FALSE</definedName>
    <definedName name="QBREPORTCOMPARECOL_YTDBUDGET" localSheetId="15">FALSE</definedName>
    <definedName name="QBREPORTCOMPARECOL_YTDBUDGET" localSheetId="16">FALSE</definedName>
    <definedName name="QBREPORTCOMPARECOL_YTDBUDGET" localSheetId="17">FALSE</definedName>
    <definedName name="QBREPORTCOMPARECOL_YTDBUDGET" localSheetId="18">FALSE</definedName>
    <definedName name="QBREPORTCOMPARECOL_YTDBUDGET" localSheetId="51">FALSE</definedName>
    <definedName name="QBREPORTCOMPARECOL_YTDBUDGET" localSheetId="52">FALSE</definedName>
    <definedName name="QBREPORTCOMPARECOL_YTDBUDGET" localSheetId="19">FALSE</definedName>
    <definedName name="QBREPORTCOMPARECOL_YTDBUDGET" localSheetId="20">FALSE</definedName>
    <definedName name="QBREPORTCOMPARECOL_YTDBUDGET" localSheetId="21">FALSE</definedName>
    <definedName name="QBREPORTCOMPARECOL_YTDBUDGET" localSheetId="22">FALSE</definedName>
    <definedName name="QBREPORTCOMPARECOL_YTDBUDGET" localSheetId="23">FALSE</definedName>
    <definedName name="QBREPORTCOMPARECOL_YTDBUDGET" localSheetId="24">FALSE</definedName>
    <definedName name="QBREPORTCOMPARECOL_YTDBUDGET" localSheetId="29">FALSE</definedName>
    <definedName name="QBREPORTCOMPARECOL_YTDBUDGET" localSheetId="30">FALSE</definedName>
    <definedName name="QBREPORTCOMPARECOL_YTDBUDGET" localSheetId="25">FALSE</definedName>
    <definedName name="QBREPORTCOMPARECOL_YTDBUDGET" localSheetId="27">FALSE</definedName>
    <definedName name="QBREPORTCOMPARECOL_YTDBUDGET" localSheetId="28">FALSE</definedName>
    <definedName name="QBREPORTCOMPARECOL_YTDBUDGET" localSheetId="26">FALSE</definedName>
    <definedName name="QBREPORTCOMPARECOL_YTDBUDGET" localSheetId="31">FALSE</definedName>
    <definedName name="QBREPORTCOMPARECOL_YTDBUDGET" localSheetId="32">FALSE</definedName>
    <definedName name="QBREPORTCOMPARECOL_YTDBUDGET" localSheetId="33">FALSE</definedName>
    <definedName name="QBREPORTCOMPARECOL_YTDBUDGET" localSheetId="34">FALSE</definedName>
    <definedName name="QBREPORTCOMPARECOL_YTDBUDGET" localSheetId="35">FALSE</definedName>
    <definedName name="QBREPORTCOMPARECOL_YTDBUDGET" localSheetId="36">FALSE</definedName>
    <definedName name="QBREPORTCOMPARECOL_YTDBUDGET" localSheetId="37">FALSE</definedName>
    <definedName name="QBREPORTCOMPARECOL_YTDBUDGET" localSheetId="38">FALSE</definedName>
    <definedName name="QBREPORTCOMPARECOL_YTDBUDGET" localSheetId="49">FALSE</definedName>
    <definedName name="QBREPORTCOMPARECOL_YTDBUDGET" localSheetId="50">FALSE</definedName>
    <definedName name="QBREPORTCOMPARECOL_YTDBUDGET" localSheetId="39">FALSE</definedName>
    <definedName name="QBREPORTCOMPARECOL_YTDBUDGET" localSheetId="40">FALSE</definedName>
    <definedName name="QBREPORTCOMPARECOL_YTDBUDGET" localSheetId="41">FALSE</definedName>
    <definedName name="QBREPORTCOMPARECOL_YTDBUDGET" localSheetId="42">FALSE</definedName>
    <definedName name="QBREPORTCOMPARECOL_YTDBUDGET" localSheetId="43">FALSE</definedName>
    <definedName name="QBREPORTCOMPARECOL_YTDBUDGET" localSheetId="44">FALSE</definedName>
    <definedName name="QBREPORTCOMPARECOL_YTDBUDGET" localSheetId="53">FALSE</definedName>
    <definedName name="QBREPORTCOMPARECOL_YTDBUDGET" localSheetId="54">FALSE</definedName>
    <definedName name="QBREPORTCOMPARECOL_YTDPCT" localSheetId="47">FALSE</definedName>
    <definedName name="QBREPORTCOMPARECOL_YTDPCT" localSheetId="48">FALSE</definedName>
    <definedName name="QBREPORTCOMPARECOL_YTDPCT" localSheetId="45">FALSE</definedName>
    <definedName name="QBREPORTCOMPARECOL_YTDPCT" localSheetId="46">FALSE</definedName>
    <definedName name="QBREPORTCOMPARECOL_YTDPCT" localSheetId="15">FALSE</definedName>
    <definedName name="QBREPORTCOMPARECOL_YTDPCT" localSheetId="16">FALSE</definedName>
    <definedName name="QBREPORTCOMPARECOL_YTDPCT" localSheetId="17">FALSE</definedName>
    <definedName name="QBREPORTCOMPARECOL_YTDPCT" localSheetId="18">FALSE</definedName>
    <definedName name="QBREPORTCOMPARECOL_YTDPCT" localSheetId="51">FALSE</definedName>
    <definedName name="QBREPORTCOMPARECOL_YTDPCT" localSheetId="52">FALSE</definedName>
    <definedName name="QBREPORTCOMPARECOL_YTDPCT" localSheetId="19">FALSE</definedName>
    <definedName name="QBREPORTCOMPARECOL_YTDPCT" localSheetId="20">FALSE</definedName>
    <definedName name="QBREPORTCOMPARECOL_YTDPCT" localSheetId="21">FALSE</definedName>
    <definedName name="QBREPORTCOMPARECOL_YTDPCT" localSheetId="22">FALSE</definedName>
    <definedName name="QBREPORTCOMPARECOL_YTDPCT" localSheetId="23">FALSE</definedName>
    <definedName name="QBREPORTCOMPARECOL_YTDPCT" localSheetId="24">FALSE</definedName>
    <definedName name="QBREPORTCOMPARECOL_YTDPCT" localSheetId="29">FALSE</definedName>
    <definedName name="QBREPORTCOMPARECOL_YTDPCT" localSheetId="30">FALSE</definedName>
    <definedName name="QBREPORTCOMPARECOL_YTDPCT" localSheetId="25">FALSE</definedName>
    <definedName name="QBREPORTCOMPARECOL_YTDPCT" localSheetId="27">FALSE</definedName>
    <definedName name="QBREPORTCOMPARECOL_YTDPCT" localSheetId="28">FALSE</definedName>
    <definedName name="QBREPORTCOMPARECOL_YTDPCT" localSheetId="26">FALSE</definedName>
    <definedName name="QBREPORTCOMPARECOL_YTDPCT" localSheetId="31">FALSE</definedName>
    <definedName name="QBREPORTCOMPARECOL_YTDPCT" localSheetId="32">FALSE</definedName>
    <definedName name="QBREPORTCOMPARECOL_YTDPCT" localSheetId="33">FALSE</definedName>
    <definedName name="QBREPORTCOMPARECOL_YTDPCT" localSheetId="34">FALSE</definedName>
    <definedName name="QBREPORTCOMPARECOL_YTDPCT" localSheetId="35">FALSE</definedName>
    <definedName name="QBREPORTCOMPARECOL_YTDPCT" localSheetId="36">FALSE</definedName>
    <definedName name="QBREPORTCOMPARECOL_YTDPCT" localSheetId="37">FALSE</definedName>
    <definedName name="QBREPORTCOMPARECOL_YTDPCT" localSheetId="38">FALSE</definedName>
    <definedName name="QBREPORTCOMPARECOL_YTDPCT" localSheetId="49">FALSE</definedName>
    <definedName name="QBREPORTCOMPARECOL_YTDPCT" localSheetId="50">FALSE</definedName>
    <definedName name="QBREPORTCOMPARECOL_YTDPCT" localSheetId="39">FALSE</definedName>
    <definedName name="QBREPORTCOMPARECOL_YTDPCT" localSheetId="40">FALSE</definedName>
    <definedName name="QBREPORTCOMPARECOL_YTDPCT" localSheetId="41">FALSE</definedName>
    <definedName name="QBREPORTCOMPARECOL_YTDPCT" localSheetId="42">FALSE</definedName>
    <definedName name="QBREPORTCOMPARECOL_YTDPCT" localSheetId="43">FALSE</definedName>
    <definedName name="QBREPORTCOMPARECOL_YTDPCT" localSheetId="44">FALSE</definedName>
    <definedName name="QBREPORTCOMPARECOL_YTDPCT" localSheetId="53">FALSE</definedName>
    <definedName name="QBREPORTCOMPARECOL_YTDPCT" localSheetId="54">FALSE</definedName>
    <definedName name="QBREPORTROWAXIS" localSheetId="47">9</definedName>
    <definedName name="QBREPORTROWAXIS" localSheetId="48">11</definedName>
    <definedName name="QBREPORTROWAXIS" localSheetId="45">9</definedName>
    <definedName name="QBREPORTROWAXIS" localSheetId="46">11</definedName>
    <definedName name="QBREPORTROWAXIS" localSheetId="15">9</definedName>
    <definedName name="QBREPORTROWAXIS" localSheetId="16">11</definedName>
    <definedName name="QBREPORTROWAXIS" localSheetId="17">9</definedName>
    <definedName name="QBREPORTROWAXIS" localSheetId="18">11</definedName>
    <definedName name="QBREPORTROWAXIS" localSheetId="51">9</definedName>
    <definedName name="QBREPORTROWAXIS" localSheetId="52">11</definedName>
    <definedName name="QBREPORTROWAXIS" localSheetId="19">9</definedName>
    <definedName name="QBREPORTROWAXIS" localSheetId="20">11</definedName>
    <definedName name="QBREPORTROWAXIS" localSheetId="21">9</definedName>
    <definedName name="QBREPORTROWAXIS" localSheetId="22">11</definedName>
    <definedName name="QBREPORTROWAXIS" localSheetId="23">9</definedName>
    <definedName name="QBREPORTROWAXIS" localSheetId="24">11</definedName>
    <definedName name="QBREPORTROWAXIS" localSheetId="29">9</definedName>
    <definedName name="QBREPORTROWAXIS" localSheetId="30">11</definedName>
    <definedName name="QBREPORTROWAXIS" localSheetId="25">9</definedName>
    <definedName name="QBREPORTROWAXIS" localSheetId="27">11</definedName>
    <definedName name="QBREPORTROWAXIS" localSheetId="28">11</definedName>
    <definedName name="QBREPORTROWAXIS" localSheetId="26">11</definedName>
    <definedName name="QBREPORTROWAXIS" localSheetId="31">9</definedName>
    <definedName name="QBREPORTROWAXIS" localSheetId="32">11</definedName>
    <definedName name="QBREPORTROWAXIS" localSheetId="33">9</definedName>
    <definedName name="QBREPORTROWAXIS" localSheetId="34">11</definedName>
    <definedName name="QBREPORTROWAXIS" localSheetId="35">9</definedName>
    <definedName name="QBREPORTROWAXIS" localSheetId="36">11</definedName>
    <definedName name="QBREPORTROWAXIS" localSheetId="37">9</definedName>
    <definedName name="QBREPORTROWAXIS" localSheetId="38">11</definedName>
    <definedName name="QBREPORTROWAXIS" localSheetId="49">9</definedName>
    <definedName name="QBREPORTROWAXIS" localSheetId="50">11</definedName>
    <definedName name="QBREPORTROWAXIS" localSheetId="39">9</definedName>
    <definedName name="QBREPORTROWAXIS" localSheetId="40">11</definedName>
    <definedName name="QBREPORTROWAXIS" localSheetId="41">9</definedName>
    <definedName name="QBREPORTROWAXIS" localSheetId="42">11</definedName>
    <definedName name="QBREPORTROWAXIS" localSheetId="43">9</definedName>
    <definedName name="QBREPORTROWAXIS" localSheetId="44">11</definedName>
    <definedName name="QBREPORTROWAXIS" localSheetId="53">9</definedName>
    <definedName name="QBREPORTROWAXIS" localSheetId="54">11</definedName>
    <definedName name="QBREPORTSUBCOLAXIS" localSheetId="47">0</definedName>
    <definedName name="QBREPORTSUBCOLAXIS" localSheetId="48">0</definedName>
    <definedName name="QBREPORTSUBCOLAXIS" localSheetId="45">0</definedName>
    <definedName name="QBREPORTSUBCOLAXIS" localSheetId="46">0</definedName>
    <definedName name="QBREPORTSUBCOLAXIS" localSheetId="15">0</definedName>
    <definedName name="QBREPORTSUBCOLAXIS" localSheetId="16">0</definedName>
    <definedName name="QBREPORTSUBCOLAXIS" localSheetId="17">0</definedName>
    <definedName name="QBREPORTSUBCOLAXIS" localSheetId="18">0</definedName>
    <definedName name="QBREPORTSUBCOLAXIS" localSheetId="51">0</definedName>
    <definedName name="QBREPORTSUBCOLAXIS" localSheetId="52">0</definedName>
    <definedName name="QBREPORTSUBCOLAXIS" localSheetId="19">0</definedName>
    <definedName name="QBREPORTSUBCOLAXIS" localSheetId="20">0</definedName>
    <definedName name="QBREPORTSUBCOLAXIS" localSheetId="21">0</definedName>
    <definedName name="QBREPORTSUBCOLAXIS" localSheetId="22">0</definedName>
    <definedName name="QBREPORTSUBCOLAXIS" localSheetId="23">0</definedName>
    <definedName name="QBREPORTSUBCOLAXIS" localSheetId="24">0</definedName>
    <definedName name="QBREPORTSUBCOLAXIS" localSheetId="29">0</definedName>
    <definedName name="QBREPORTSUBCOLAXIS" localSheetId="30">0</definedName>
    <definedName name="QBREPORTSUBCOLAXIS" localSheetId="25">0</definedName>
    <definedName name="QBREPORTSUBCOLAXIS" localSheetId="27">0</definedName>
    <definedName name="QBREPORTSUBCOLAXIS" localSheetId="28">0</definedName>
    <definedName name="QBREPORTSUBCOLAXIS" localSheetId="26">0</definedName>
    <definedName name="QBREPORTSUBCOLAXIS" localSheetId="31">0</definedName>
    <definedName name="QBREPORTSUBCOLAXIS" localSheetId="32">0</definedName>
    <definedName name="QBREPORTSUBCOLAXIS" localSheetId="33">0</definedName>
    <definedName name="QBREPORTSUBCOLAXIS" localSheetId="34">0</definedName>
    <definedName name="QBREPORTSUBCOLAXIS" localSheetId="35">0</definedName>
    <definedName name="QBREPORTSUBCOLAXIS" localSheetId="36">0</definedName>
    <definedName name="QBREPORTSUBCOLAXIS" localSheetId="37">0</definedName>
    <definedName name="QBREPORTSUBCOLAXIS" localSheetId="38">0</definedName>
    <definedName name="QBREPORTSUBCOLAXIS" localSheetId="49">0</definedName>
    <definedName name="QBREPORTSUBCOLAXIS" localSheetId="50">0</definedName>
    <definedName name="QBREPORTSUBCOLAXIS" localSheetId="39">0</definedName>
    <definedName name="QBREPORTSUBCOLAXIS" localSheetId="40">0</definedName>
    <definedName name="QBREPORTSUBCOLAXIS" localSheetId="41">0</definedName>
    <definedName name="QBREPORTSUBCOLAXIS" localSheetId="42">0</definedName>
    <definedName name="QBREPORTSUBCOLAXIS" localSheetId="43">0</definedName>
    <definedName name="QBREPORTSUBCOLAXIS" localSheetId="44">0</definedName>
    <definedName name="QBREPORTSUBCOLAXIS" localSheetId="53">0</definedName>
    <definedName name="QBREPORTSUBCOLAXIS" localSheetId="54">0</definedName>
    <definedName name="QBREPORTTYPE" localSheetId="47">5</definedName>
    <definedName name="QBREPORTTYPE" localSheetId="48">0</definedName>
    <definedName name="QBREPORTTYPE" localSheetId="45">5</definedName>
    <definedName name="QBREPORTTYPE" localSheetId="46">0</definedName>
    <definedName name="QBREPORTTYPE" localSheetId="15">5</definedName>
    <definedName name="QBREPORTTYPE" localSheetId="16">0</definedName>
    <definedName name="QBREPORTTYPE" localSheetId="17">5</definedName>
    <definedName name="QBREPORTTYPE" localSheetId="18">0</definedName>
    <definedName name="QBREPORTTYPE" localSheetId="51">5</definedName>
    <definedName name="QBREPORTTYPE" localSheetId="52">1</definedName>
    <definedName name="QBREPORTTYPE" localSheetId="19">5</definedName>
    <definedName name="QBREPORTTYPE" localSheetId="20">0</definedName>
    <definedName name="QBREPORTTYPE" localSheetId="21">5</definedName>
    <definedName name="QBREPORTTYPE" localSheetId="22">0</definedName>
    <definedName name="QBREPORTTYPE" localSheetId="23">5</definedName>
    <definedName name="QBREPORTTYPE" localSheetId="24">0</definedName>
    <definedName name="QBREPORTTYPE" localSheetId="29">5</definedName>
    <definedName name="QBREPORTTYPE" localSheetId="30">0</definedName>
    <definedName name="QBREPORTTYPE" localSheetId="25">6</definedName>
    <definedName name="QBREPORTTYPE" localSheetId="27">0</definedName>
    <definedName name="QBREPORTTYPE" localSheetId="28">0</definedName>
    <definedName name="QBREPORTTYPE" localSheetId="26">0</definedName>
    <definedName name="QBREPORTTYPE" localSheetId="31">5</definedName>
    <definedName name="QBREPORTTYPE" localSheetId="32">0</definedName>
    <definedName name="QBREPORTTYPE" localSheetId="33">5</definedName>
    <definedName name="QBREPORTTYPE" localSheetId="34">0</definedName>
    <definedName name="QBREPORTTYPE" localSheetId="35">5</definedName>
    <definedName name="QBREPORTTYPE" localSheetId="36">1</definedName>
    <definedName name="QBREPORTTYPE" localSheetId="37">5</definedName>
    <definedName name="QBREPORTTYPE" localSheetId="38">0</definedName>
    <definedName name="QBREPORTTYPE" localSheetId="49">5</definedName>
    <definedName name="QBREPORTTYPE" localSheetId="50">0</definedName>
    <definedName name="QBREPORTTYPE" localSheetId="39">5</definedName>
    <definedName name="QBREPORTTYPE" localSheetId="40">0</definedName>
    <definedName name="QBREPORTTYPE" localSheetId="41">5</definedName>
    <definedName name="QBREPORTTYPE" localSheetId="42">0</definedName>
    <definedName name="QBREPORTTYPE" localSheetId="43">5</definedName>
    <definedName name="QBREPORTTYPE" localSheetId="44">0</definedName>
    <definedName name="QBREPORTTYPE" localSheetId="53">5</definedName>
    <definedName name="QBREPORTTYPE" localSheetId="54">0</definedName>
    <definedName name="QBROWHEADERS" localSheetId="47">5</definedName>
    <definedName name="QBROWHEADERS" localSheetId="48">7</definedName>
    <definedName name="QBROWHEADERS" localSheetId="45">5</definedName>
    <definedName name="QBROWHEADERS" localSheetId="46">7</definedName>
    <definedName name="QBROWHEADERS" localSheetId="15">5</definedName>
    <definedName name="QBROWHEADERS" localSheetId="16">7</definedName>
    <definedName name="QBROWHEADERS" localSheetId="17">5</definedName>
    <definedName name="QBROWHEADERS" localSheetId="18">7</definedName>
    <definedName name="QBROWHEADERS" localSheetId="51">5</definedName>
    <definedName name="QBROWHEADERS" localSheetId="52">4</definedName>
    <definedName name="QBROWHEADERS" localSheetId="19">5</definedName>
    <definedName name="QBROWHEADERS" localSheetId="20">7</definedName>
    <definedName name="QBROWHEADERS" localSheetId="21">5</definedName>
    <definedName name="QBROWHEADERS" localSheetId="22">7</definedName>
    <definedName name="QBROWHEADERS" localSheetId="23">5</definedName>
    <definedName name="QBROWHEADERS" localSheetId="24">5</definedName>
    <definedName name="QBROWHEADERS" localSheetId="29">5</definedName>
    <definedName name="QBROWHEADERS" localSheetId="30">6</definedName>
    <definedName name="QBROWHEADERS" localSheetId="25">5</definedName>
    <definedName name="QBROWHEADERS" localSheetId="27">7</definedName>
    <definedName name="QBROWHEADERS" localSheetId="28">7</definedName>
    <definedName name="QBROWHEADERS" localSheetId="26">7</definedName>
    <definedName name="QBROWHEADERS" localSheetId="31">5</definedName>
    <definedName name="QBROWHEADERS" localSheetId="32">8</definedName>
    <definedName name="QBROWHEADERS" localSheetId="33">5</definedName>
    <definedName name="QBROWHEADERS" localSheetId="34">7</definedName>
    <definedName name="QBROWHEADERS" localSheetId="35">5</definedName>
    <definedName name="QBROWHEADERS" localSheetId="36">5</definedName>
    <definedName name="QBROWHEADERS" localSheetId="37">5</definedName>
    <definedName name="QBROWHEADERS" localSheetId="38">6</definedName>
    <definedName name="QBROWHEADERS" localSheetId="49">5</definedName>
    <definedName name="QBROWHEADERS" localSheetId="50">6</definedName>
    <definedName name="QBROWHEADERS" localSheetId="39">5</definedName>
    <definedName name="QBROWHEADERS" localSheetId="40">6</definedName>
    <definedName name="QBROWHEADERS" localSheetId="41">5</definedName>
    <definedName name="QBROWHEADERS" localSheetId="42">6</definedName>
    <definedName name="QBROWHEADERS" localSheetId="43">5</definedName>
    <definedName name="QBROWHEADERS" localSheetId="44">7</definedName>
    <definedName name="QBROWHEADERS" localSheetId="53">5</definedName>
    <definedName name="QBROWHEADERS" localSheetId="54">6</definedName>
    <definedName name="QBSTARTDATE" localSheetId="47">20110101</definedName>
    <definedName name="QBSTARTDATE" localSheetId="48">20110101</definedName>
    <definedName name="QBSTARTDATE" localSheetId="45">20110101</definedName>
    <definedName name="QBSTARTDATE" localSheetId="46">20110101</definedName>
    <definedName name="QBSTARTDATE" localSheetId="15">20110101</definedName>
    <definedName name="QBSTARTDATE" localSheetId="16">20110101</definedName>
    <definedName name="QBSTARTDATE" localSheetId="17">20110101</definedName>
    <definedName name="QBSTARTDATE" localSheetId="18">20110101</definedName>
    <definedName name="QBSTARTDATE" localSheetId="51">20110101</definedName>
    <definedName name="QBSTARTDATE" localSheetId="52">20110101</definedName>
    <definedName name="QBSTARTDATE" localSheetId="19">20110101</definedName>
    <definedName name="QBSTARTDATE" localSheetId="20">20110101</definedName>
    <definedName name="QBSTARTDATE" localSheetId="21">20110101</definedName>
    <definedName name="QBSTARTDATE" localSheetId="22">20110101</definedName>
    <definedName name="QBSTARTDATE" localSheetId="23">20110101</definedName>
    <definedName name="QBSTARTDATE" localSheetId="24">20110101</definedName>
    <definedName name="QBSTARTDATE" localSheetId="29">20110101</definedName>
    <definedName name="QBSTARTDATE" localSheetId="30">20110101</definedName>
    <definedName name="QBSTARTDATE" localSheetId="25">20110101</definedName>
    <definedName name="QBSTARTDATE" localSheetId="27">20110101</definedName>
    <definedName name="QBSTARTDATE" localSheetId="28">20110101</definedName>
    <definedName name="QBSTARTDATE" localSheetId="26">20110101</definedName>
    <definedName name="QBSTARTDATE" localSheetId="31">20110101</definedName>
    <definedName name="QBSTARTDATE" localSheetId="32">20110101</definedName>
    <definedName name="QBSTARTDATE" localSheetId="33">20110101</definedName>
    <definedName name="QBSTARTDATE" localSheetId="34">20110101</definedName>
    <definedName name="QBSTARTDATE" localSheetId="35">20110101</definedName>
    <definedName name="QBSTARTDATE" localSheetId="36">20110101</definedName>
    <definedName name="QBSTARTDATE" localSheetId="37">20110101</definedName>
    <definedName name="QBSTARTDATE" localSheetId="38">20110101</definedName>
    <definedName name="QBSTARTDATE" localSheetId="49">20110101</definedName>
    <definedName name="QBSTARTDATE" localSheetId="50">20110101</definedName>
    <definedName name="QBSTARTDATE" localSheetId="39">20110101</definedName>
    <definedName name="QBSTARTDATE" localSheetId="40">20110101</definedName>
    <definedName name="QBSTARTDATE" localSheetId="41">20110101</definedName>
    <definedName name="QBSTARTDATE" localSheetId="42">20110101</definedName>
    <definedName name="QBSTARTDATE" localSheetId="43">20110101</definedName>
    <definedName name="QBSTARTDATE" localSheetId="44">20110101</definedName>
    <definedName name="QBSTARTDATE" localSheetId="53">20110101</definedName>
    <definedName name="QBSTARTDATE" localSheetId="54">20110101</definedName>
  </definedNames>
  <calcPr calcId="181029"/>
</workbook>
</file>

<file path=xl/calcChain.xml><?xml version="1.0" encoding="utf-8"?>
<calcChain xmlns="http://schemas.openxmlformats.org/spreadsheetml/2006/main">
  <c r="C37" i="11" l="1"/>
  <c r="C35" i="11"/>
  <c r="C57" i="11"/>
  <c r="S25" i="56"/>
  <c r="T25" i="56" s="1"/>
  <c r="O25" i="56"/>
  <c r="K25" i="56"/>
  <c r="F25" i="56"/>
  <c r="C25" i="56"/>
  <c r="T24" i="56"/>
  <c r="R24" i="56"/>
  <c r="S24" i="56" s="1"/>
  <c r="O24" i="56"/>
  <c r="H24" i="56"/>
  <c r="I24" i="56" s="1"/>
  <c r="K24" i="56" s="1"/>
  <c r="B24" i="56" s="1"/>
  <c r="D24" i="56"/>
  <c r="C24" i="56"/>
  <c r="T23" i="56"/>
  <c r="R23" i="56"/>
  <c r="S23" i="56" s="1"/>
  <c r="O23" i="56"/>
  <c r="D23" i="56" s="1"/>
  <c r="K23" i="56"/>
  <c r="C23" i="56"/>
  <c r="B23" i="56"/>
  <c r="B25" i="56" s="1"/>
  <c r="T22" i="56"/>
  <c r="E22" i="56" s="1"/>
  <c r="S22" i="56"/>
  <c r="O22" i="56"/>
  <c r="D22" i="56" s="1"/>
  <c r="J22" i="56"/>
  <c r="H22" i="56"/>
  <c r="I22" i="56" s="1"/>
  <c r="K22" i="56" s="1"/>
  <c r="B22" i="56" s="1"/>
  <c r="C22" i="56"/>
  <c r="S21" i="56"/>
  <c r="O21" i="56"/>
  <c r="K21" i="56"/>
  <c r="F21" i="56"/>
  <c r="C21" i="56"/>
  <c r="B21" i="56"/>
  <c r="T20" i="56"/>
  <c r="E20" i="56" s="1"/>
  <c r="S20" i="56"/>
  <c r="O20" i="56"/>
  <c r="D20" i="56" s="1"/>
  <c r="M20" i="56"/>
  <c r="H20" i="56"/>
  <c r="I20" i="56" s="1"/>
  <c r="K20" i="56" s="1"/>
  <c r="B20" i="56" s="1"/>
  <c r="C20" i="56"/>
  <c r="T19" i="56"/>
  <c r="R19" i="56"/>
  <c r="S19" i="56" s="1"/>
  <c r="O19" i="56"/>
  <c r="D19" i="56" s="1"/>
  <c r="H19" i="56"/>
  <c r="I19" i="56" s="1"/>
  <c r="K19" i="56" s="1"/>
  <c r="B19" i="56" s="1"/>
  <c r="C19" i="56"/>
  <c r="T18" i="56"/>
  <c r="S18" i="56"/>
  <c r="R18" i="56"/>
  <c r="O18" i="56"/>
  <c r="D18" i="56" s="1"/>
  <c r="H18" i="56"/>
  <c r="I18" i="56" s="1"/>
  <c r="K18" i="56" s="1"/>
  <c r="B18" i="56" s="1"/>
  <c r="C18" i="56"/>
  <c r="T17" i="56"/>
  <c r="E17" i="56" s="1"/>
  <c r="S17" i="56"/>
  <c r="O17" i="56"/>
  <c r="I17" i="56"/>
  <c r="K17" i="56" s="1"/>
  <c r="B17" i="56" s="1"/>
  <c r="D17" i="56"/>
  <c r="C17" i="56"/>
  <c r="T16" i="56"/>
  <c r="E16" i="56" s="1"/>
  <c r="S16" i="56"/>
  <c r="P16" i="56"/>
  <c r="O16" i="56"/>
  <c r="D16" i="56" s="1"/>
  <c r="N16" i="56"/>
  <c r="M16" i="56"/>
  <c r="C16" i="56" s="1"/>
  <c r="H16" i="56"/>
  <c r="I16" i="56" s="1"/>
  <c r="K16" i="56" s="1"/>
  <c r="B16" i="56" s="1"/>
  <c r="T15" i="56"/>
  <c r="E15" i="56" s="1"/>
  <c r="S15" i="56"/>
  <c r="P15" i="56"/>
  <c r="O15" i="56"/>
  <c r="D15" i="56" s="1"/>
  <c r="N15" i="56"/>
  <c r="M15" i="56"/>
  <c r="H15" i="56"/>
  <c r="I15" i="56" s="1"/>
  <c r="K15" i="56" s="1"/>
  <c r="B15" i="56" s="1"/>
  <c r="C15" i="56"/>
  <c r="T14" i="56"/>
  <c r="S14" i="56"/>
  <c r="O14" i="56"/>
  <c r="D14" i="56" s="1"/>
  <c r="M14" i="56"/>
  <c r="C14" i="56" s="1"/>
  <c r="H14" i="56"/>
  <c r="I14" i="56" s="1"/>
  <c r="K14" i="56" s="1"/>
  <c r="B14" i="56" s="1"/>
  <c r="T13" i="56"/>
  <c r="R13" i="56"/>
  <c r="S13" i="56" s="1"/>
  <c r="E13" i="56" s="1"/>
  <c r="O13" i="56"/>
  <c r="D13" i="56" s="1"/>
  <c r="K13" i="56"/>
  <c r="C13" i="56"/>
  <c r="B13" i="56"/>
  <c r="T12" i="56"/>
  <c r="E12" i="56" s="1"/>
  <c r="S12" i="56"/>
  <c r="O12" i="56"/>
  <c r="H12" i="56"/>
  <c r="I12" i="56" s="1"/>
  <c r="K12" i="56" s="1"/>
  <c r="B12" i="56" s="1"/>
  <c r="D12" i="56"/>
  <c r="C53" i="11" s="1"/>
  <c r="C12" i="56"/>
  <c r="T11" i="56"/>
  <c r="S11" i="56"/>
  <c r="O11" i="56"/>
  <c r="D11" i="56" s="1"/>
  <c r="H11" i="56"/>
  <c r="I11" i="56" s="1"/>
  <c r="K11" i="56" s="1"/>
  <c r="B11" i="56" s="1"/>
  <c r="C11" i="56"/>
  <c r="T10" i="56"/>
  <c r="S10" i="56"/>
  <c r="O10" i="56"/>
  <c r="D10" i="56" s="1"/>
  <c r="H10" i="56"/>
  <c r="I10" i="56" s="1"/>
  <c r="K10" i="56" s="1"/>
  <c r="B10" i="56" s="1"/>
  <c r="F10" i="56"/>
  <c r="C10" i="56" s="1"/>
  <c r="T9" i="56"/>
  <c r="E9" i="56" s="1"/>
  <c r="S9" i="56"/>
  <c r="O9" i="56"/>
  <c r="M9" i="56"/>
  <c r="C9" i="56" s="1"/>
  <c r="H9" i="56"/>
  <c r="I9" i="56" s="1"/>
  <c r="K9" i="56" s="1"/>
  <c r="B9" i="56" s="1"/>
  <c r="D9" i="56"/>
  <c r="T8" i="56"/>
  <c r="S8" i="56"/>
  <c r="P8" i="56"/>
  <c r="O8" i="56"/>
  <c r="M8" i="56"/>
  <c r="K8" i="56"/>
  <c r="F8" i="56"/>
  <c r="C8" i="56"/>
  <c r="B8" i="56"/>
  <c r="T7" i="56"/>
  <c r="R7" i="56"/>
  <c r="S7" i="56" s="1"/>
  <c r="O7" i="56"/>
  <c r="K7" i="56"/>
  <c r="B7" i="56" s="1"/>
  <c r="D7" i="56"/>
  <c r="C7" i="56"/>
  <c r="E23" i="56" l="1"/>
  <c r="E24" i="56"/>
  <c r="E7" i="56"/>
  <c r="E18" i="56"/>
  <c r="E11" i="56"/>
  <c r="E10" i="56"/>
  <c r="E14" i="56"/>
  <c r="E19" i="56"/>
  <c r="D8" i="56"/>
  <c r="D21" i="56"/>
  <c r="D25" i="56"/>
  <c r="E8" i="56"/>
  <c r="E21" i="56"/>
  <c r="E25" i="56"/>
  <c r="E12" i="11" l="1"/>
  <c r="C47" i="11"/>
  <c r="C31" i="11" l="1"/>
  <c r="M14" i="13"/>
  <c r="C4" i="57" l="1"/>
  <c r="A20" i="62"/>
  <c r="A21" i="62" s="1"/>
  <c r="C8" i="62"/>
  <c r="B19" i="62"/>
  <c r="D19" i="62" l="1"/>
  <c r="F19" i="62" s="1"/>
  <c r="B20" i="62" s="1"/>
  <c r="C19" i="62"/>
  <c r="C21" i="62"/>
  <c r="A22" i="62"/>
  <c r="D21" i="62"/>
  <c r="C20" i="62"/>
  <c r="D20" i="62"/>
  <c r="E19" i="62" l="1"/>
  <c r="F20" i="62"/>
  <c r="B21" i="62" s="1"/>
  <c r="F21" i="62" s="1"/>
  <c r="B22" i="62" s="1"/>
  <c r="E21" i="62"/>
  <c r="G21" i="62" s="1"/>
  <c r="E20" i="62"/>
  <c r="G20" i="62" s="1"/>
  <c r="A23" i="62"/>
  <c r="D22" i="62"/>
  <c r="F22" i="62" s="1"/>
  <c r="B23" i="62" s="1"/>
  <c r="C22" i="62"/>
  <c r="G19" i="62" l="1"/>
  <c r="E22" i="62"/>
  <c r="G22" i="62" s="1"/>
  <c r="C23" i="62"/>
  <c r="A24" i="62"/>
  <c r="D23" i="62"/>
  <c r="F23" i="62" s="1"/>
  <c r="B24" i="62" s="1"/>
  <c r="A25" i="62" l="1"/>
  <c r="D24" i="62"/>
  <c r="F24" i="62" s="1"/>
  <c r="B25" i="62" s="1"/>
  <c r="C24" i="62"/>
  <c r="E23" i="62"/>
  <c r="G23" i="62" s="1"/>
  <c r="E24" i="62" l="1"/>
  <c r="G24" i="62" s="1"/>
  <c r="C25" i="62"/>
  <c r="A26" i="62"/>
  <c r="D25" i="62"/>
  <c r="F25" i="62" s="1"/>
  <c r="B26" i="62" s="1"/>
  <c r="A27" i="62" l="1"/>
  <c r="D26" i="62"/>
  <c r="F26" i="62" s="1"/>
  <c r="B27" i="62" s="1"/>
  <c r="C26" i="62"/>
  <c r="E25" i="62"/>
  <c r="G25" i="62" s="1"/>
  <c r="E26" i="62" l="1"/>
  <c r="G26" i="62" s="1"/>
  <c r="C27" i="62"/>
  <c r="A28" i="62"/>
  <c r="D27" i="62"/>
  <c r="F27" i="62" s="1"/>
  <c r="B28" i="62" s="1"/>
  <c r="A29" i="62" l="1"/>
  <c r="D28" i="62"/>
  <c r="F28" i="62" s="1"/>
  <c r="B29" i="62" s="1"/>
  <c r="C28" i="62"/>
  <c r="E27" i="62"/>
  <c r="G27" i="62" s="1"/>
  <c r="E28" i="62" l="1"/>
  <c r="G28" i="62" s="1"/>
  <c r="A30" i="62"/>
  <c r="D29" i="62"/>
  <c r="F29" i="62" s="1"/>
  <c r="B30" i="62" s="1"/>
  <c r="C29" i="62"/>
  <c r="E29" i="62" s="1"/>
  <c r="G29" i="62" s="1"/>
  <c r="C30" i="62" l="1"/>
  <c r="A31" i="62"/>
  <c r="D30" i="62"/>
  <c r="F30" i="62" s="1"/>
  <c r="B31" i="62" s="1"/>
  <c r="E30" i="62" l="1"/>
  <c r="G30" i="62" s="1"/>
  <c r="A32" i="62"/>
  <c r="D31" i="62"/>
  <c r="F31" i="62" s="1"/>
  <c r="B32" i="62" s="1"/>
  <c r="C31" i="62"/>
  <c r="E31" i="62" s="1"/>
  <c r="G31" i="62" s="1"/>
  <c r="C32" i="62" l="1"/>
  <c r="A33" i="62"/>
  <c r="D32" i="62"/>
  <c r="F32" i="62" s="1"/>
  <c r="B33" i="62" s="1"/>
  <c r="E32" i="62" l="1"/>
  <c r="G32" i="62" s="1"/>
  <c r="A34" i="62"/>
  <c r="D33" i="62"/>
  <c r="F33" i="62" s="1"/>
  <c r="B34" i="62" s="1"/>
  <c r="C33" i="62"/>
  <c r="E33" i="62" s="1"/>
  <c r="G33" i="62" s="1"/>
  <c r="C34" i="62" l="1"/>
  <c r="A35" i="62"/>
  <c r="D34" i="62"/>
  <c r="F34" i="62" s="1"/>
  <c r="B35" i="62" s="1"/>
  <c r="E34" i="62" l="1"/>
  <c r="G34" i="62" s="1"/>
  <c r="A36" i="62"/>
  <c r="D35" i="62"/>
  <c r="F35" i="62" s="1"/>
  <c r="B36" i="62" s="1"/>
  <c r="C35" i="62"/>
  <c r="E35" i="62" s="1"/>
  <c r="G35" i="62" s="1"/>
  <c r="C36" i="62" l="1"/>
  <c r="A37" i="62"/>
  <c r="D36" i="62"/>
  <c r="F36" i="62" s="1"/>
  <c r="B37" i="62" s="1"/>
  <c r="E36" i="62" l="1"/>
  <c r="G36" i="62" s="1"/>
  <c r="A38" i="62"/>
  <c r="D37" i="62"/>
  <c r="F37" i="62" s="1"/>
  <c r="B38" i="62" s="1"/>
  <c r="C37" i="62"/>
  <c r="E37" i="62" s="1"/>
  <c r="G37" i="62" s="1"/>
  <c r="C38" i="62" l="1"/>
  <c r="A39" i="62"/>
  <c r="D38" i="62"/>
  <c r="F38" i="62" s="1"/>
  <c r="B39" i="62" s="1"/>
  <c r="E38" i="62" l="1"/>
  <c r="G38" i="62" s="1"/>
  <c r="A40" i="62"/>
  <c r="D39" i="62"/>
  <c r="F39" i="62" s="1"/>
  <c r="B40" i="62" s="1"/>
  <c r="C39" i="62"/>
  <c r="E39" i="62" s="1"/>
  <c r="G39" i="62" s="1"/>
  <c r="C40" i="62" l="1"/>
  <c r="A41" i="62"/>
  <c r="D40" i="62"/>
  <c r="F40" i="62" s="1"/>
  <c r="B41" i="62" s="1"/>
  <c r="E40" i="62" l="1"/>
  <c r="G40" i="62" s="1"/>
  <c r="A42" i="62"/>
  <c r="D41" i="62"/>
  <c r="F41" i="62" s="1"/>
  <c r="B42" i="62" s="1"/>
  <c r="C41" i="62"/>
  <c r="E41" i="62" s="1"/>
  <c r="G41" i="62" s="1"/>
  <c r="C42" i="62" l="1"/>
  <c r="A43" i="62"/>
  <c r="D42" i="62"/>
  <c r="F42" i="62" s="1"/>
  <c r="B43" i="62" s="1"/>
  <c r="E42" i="62" l="1"/>
  <c r="G42" i="62" s="1"/>
  <c r="A44" i="62"/>
  <c r="D43" i="62"/>
  <c r="F43" i="62" s="1"/>
  <c r="B44" i="62" s="1"/>
  <c r="C43" i="62"/>
  <c r="E43" i="62" l="1"/>
  <c r="G43" i="62" s="1"/>
  <c r="C44" i="62"/>
  <c r="A45" i="62"/>
  <c r="D44" i="62"/>
  <c r="F44" i="62" s="1"/>
  <c r="B45" i="62" s="1"/>
  <c r="E44" i="62" l="1"/>
  <c r="G44" i="62" s="1"/>
  <c r="A46" i="62"/>
  <c r="D45" i="62"/>
  <c r="F45" i="62" s="1"/>
  <c r="B46" i="62" s="1"/>
  <c r="C45" i="62"/>
  <c r="E45" i="62" s="1"/>
  <c r="G45" i="62" s="1"/>
  <c r="C46" i="62" l="1"/>
  <c r="A47" i="62"/>
  <c r="D46" i="62"/>
  <c r="F46" i="62" s="1"/>
  <c r="B47" i="62" s="1"/>
  <c r="E46" i="62" l="1"/>
  <c r="G46" i="62" s="1"/>
  <c r="A48" i="62"/>
  <c r="D47" i="62"/>
  <c r="F47" i="62" s="1"/>
  <c r="B48" i="62" s="1"/>
  <c r="C47" i="62"/>
  <c r="E47" i="62" s="1"/>
  <c r="G47" i="62" s="1"/>
  <c r="C48" i="62" l="1"/>
  <c r="A49" i="62"/>
  <c r="D48" i="62"/>
  <c r="F48" i="62" s="1"/>
  <c r="B49" i="62" s="1"/>
  <c r="E48" i="62" l="1"/>
  <c r="G48" i="62" s="1"/>
  <c r="A50" i="62"/>
  <c r="D49" i="62"/>
  <c r="F49" i="62" s="1"/>
  <c r="B50" i="62" s="1"/>
  <c r="C49" i="62"/>
  <c r="E49" i="62" s="1"/>
  <c r="G49" i="62" s="1"/>
  <c r="C50" i="62" l="1"/>
  <c r="A51" i="62"/>
  <c r="D50" i="62"/>
  <c r="F50" i="62" s="1"/>
  <c r="B51" i="62" s="1"/>
  <c r="E50" i="62" l="1"/>
  <c r="G50" i="62" s="1"/>
  <c r="A52" i="62"/>
  <c r="D51" i="62"/>
  <c r="F51" i="62" s="1"/>
  <c r="B52" i="62" s="1"/>
  <c r="C51" i="62"/>
  <c r="E51" i="62" s="1"/>
  <c r="G51" i="62" s="1"/>
  <c r="C52" i="62" l="1"/>
  <c r="A53" i="62"/>
  <c r="D52" i="62"/>
  <c r="F52" i="62" s="1"/>
  <c r="B53" i="62" s="1"/>
  <c r="E52" i="62" l="1"/>
  <c r="G52" i="62" s="1"/>
  <c r="A54" i="62"/>
  <c r="D53" i="62"/>
  <c r="F53" i="62" s="1"/>
  <c r="B54" i="62" s="1"/>
  <c r="C53" i="62"/>
  <c r="E53" i="62" s="1"/>
  <c r="G53" i="62" s="1"/>
  <c r="C54" i="62" l="1"/>
  <c r="A55" i="62"/>
  <c r="D54" i="62"/>
  <c r="F54" i="62" s="1"/>
  <c r="B55" i="62" s="1"/>
  <c r="E54" i="62" l="1"/>
  <c r="G54" i="62" s="1"/>
  <c r="A56" i="62"/>
  <c r="D55" i="62"/>
  <c r="F55" i="62" s="1"/>
  <c r="B56" i="62" s="1"/>
  <c r="C55" i="62"/>
  <c r="E55" i="62" s="1"/>
  <c r="G55" i="62" s="1"/>
  <c r="C56" i="62" l="1"/>
  <c r="A57" i="62"/>
  <c r="D56" i="62"/>
  <c r="F56" i="62" s="1"/>
  <c r="B57" i="62" s="1"/>
  <c r="E56" i="62" l="1"/>
  <c r="G56" i="62" s="1"/>
  <c r="A58" i="62"/>
  <c r="D57" i="62"/>
  <c r="F57" i="62" s="1"/>
  <c r="B58" i="62" s="1"/>
  <c r="C57" i="62"/>
  <c r="E57" i="62" s="1"/>
  <c r="G57" i="62" s="1"/>
  <c r="C58" i="62" l="1"/>
  <c r="A59" i="62"/>
  <c r="D58" i="62"/>
  <c r="F58" i="62" s="1"/>
  <c r="B59" i="62" s="1"/>
  <c r="E58" i="62" l="1"/>
  <c r="G58" i="62" s="1"/>
  <c r="A60" i="62"/>
  <c r="D59" i="62"/>
  <c r="F59" i="62" s="1"/>
  <c r="B60" i="62" s="1"/>
  <c r="C59" i="62"/>
  <c r="E59" i="62" s="1"/>
  <c r="G59" i="62" s="1"/>
  <c r="C60" i="62" l="1"/>
  <c r="A61" i="62"/>
  <c r="D60" i="62"/>
  <c r="F60" i="62" s="1"/>
  <c r="B61" i="62" s="1"/>
  <c r="E60" i="62" l="1"/>
  <c r="G60" i="62" s="1"/>
  <c r="A62" i="62"/>
  <c r="D61" i="62"/>
  <c r="F61" i="62" s="1"/>
  <c r="B62" i="62" s="1"/>
  <c r="C61" i="62"/>
  <c r="E61" i="62" s="1"/>
  <c r="G61" i="62" s="1"/>
  <c r="C62" i="62" l="1"/>
  <c r="A63" i="62"/>
  <c r="D62" i="62"/>
  <c r="F62" i="62" s="1"/>
  <c r="B63" i="62" s="1"/>
  <c r="E62" i="62" l="1"/>
  <c r="G62" i="62" s="1"/>
  <c r="A64" i="62"/>
  <c r="D63" i="62"/>
  <c r="F63" i="62" s="1"/>
  <c r="B64" i="62" s="1"/>
  <c r="C63" i="62"/>
  <c r="E63" i="62" s="1"/>
  <c r="G63" i="62" s="1"/>
  <c r="C64" i="62" l="1"/>
  <c r="A65" i="62"/>
  <c r="D64" i="62"/>
  <c r="F64" i="62" s="1"/>
  <c r="B65" i="62" s="1"/>
  <c r="E64" i="62" l="1"/>
  <c r="G64" i="62" s="1"/>
  <c r="A66" i="62"/>
  <c r="D65" i="62"/>
  <c r="F65" i="62" s="1"/>
  <c r="B66" i="62" s="1"/>
  <c r="C65" i="62"/>
  <c r="E65" i="62" l="1"/>
  <c r="G65" i="62" s="1"/>
  <c r="C66" i="62"/>
  <c r="A67" i="62"/>
  <c r="D66" i="62"/>
  <c r="F66" i="62" s="1"/>
  <c r="B67" i="62" s="1"/>
  <c r="E66" i="62" l="1"/>
  <c r="G66" i="62" s="1"/>
  <c r="A68" i="62"/>
  <c r="D67" i="62"/>
  <c r="F67" i="62" s="1"/>
  <c r="B68" i="62" s="1"/>
  <c r="C67" i="62"/>
  <c r="E67" i="62" s="1"/>
  <c r="G67" i="62" s="1"/>
  <c r="C68" i="62" l="1"/>
  <c r="A69" i="62"/>
  <c r="D68" i="62"/>
  <c r="F68" i="62" s="1"/>
  <c r="B69" i="62" s="1"/>
  <c r="E68" i="62" l="1"/>
  <c r="G68" i="62" s="1"/>
  <c r="A70" i="62"/>
  <c r="D69" i="62"/>
  <c r="F69" i="62" s="1"/>
  <c r="B70" i="62" s="1"/>
  <c r="C69" i="62"/>
  <c r="E69" i="62" s="1"/>
  <c r="G69" i="62" s="1"/>
  <c r="C70" i="62" l="1"/>
  <c r="A71" i="62"/>
  <c r="D70" i="62"/>
  <c r="F70" i="62" s="1"/>
  <c r="B71" i="62" s="1"/>
  <c r="E70" i="62" l="1"/>
  <c r="G70" i="62" s="1"/>
  <c r="A72" i="62"/>
  <c r="D71" i="62"/>
  <c r="F71" i="62" s="1"/>
  <c r="B72" i="62" s="1"/>
  <c r="C71" i="62"/>
  <c r="E71" i="62" s="1"/>
  <c r="G71" i="62" s="1"/>
  <c r="C72" i="62" l="1"/>
  <c r="A73" i="62"/>
  <c r="D72" i="62"/>
  <c r="F72" i="62" s="1"/>
  <c r="B73" i="62" s="1"/>
  <c r="E72" i="62" l="1"/>
  <c r="G72" i="62" s="1"/>
  <c r="A74" i="62"/>
  <c r="D73" i="62"/>
  <c r="F73" i="62" s="1"/>
  <c r="B74" i="62" s="1"/>
  <c r="C73" i="62"/>
  <c r="E73" i="62" s="1"/>
  <c r="G73" i="62" s="1"/>
  <c r="C74" i="62" l="1"/>
  <c r="A75" i="62"/>
  <c r="D74" i="62"/>
  <c r="F74" i="62" s="1"/>
  <c r="B75" i="62" s="1"/>
  <c r="E74" i="62" l="1"/>
  <c r="G74" i="62" s="1"/>
  <c r="A76" i="62"/>
  <c r="D75" i="62"/>
  <c r="F75" i="62" s="1"/>
  <c r="B76" i="62" s="1"/>
  <c r="C75" i="62"/>
  <c r="E75" i="62" s="1"/>
  <c r="G75" i="62" s="1"/>
  <c r="C76" i="62" l="1"/>
  <c r="A77" i="62"/>
  <c r="D76" i="62"/>
  <c r="F76" i="62" s="1"/>
  <c r="B77" i="62" s="1"/>
  <c r="E76" i="62" l="1"/>
  <c r="G76" i="62" s="1"/>
  <c r="A78" i="62"/>
  <c r="D77" i="62"/>
  <c r="F77" i="62" s="1"/>
  <c r="B78" i="62" s="1"/>
  <c r="C77" i="62"/>
  <c r="E77" i="62" s="1"/>
  <c r="G77" i="62" s="1"/>
  <c r="C78" i="62" l="1"/>
  <c r="A79" i="62"/>
  <c r="D78" i="62"/>
  <c r="F78" i="62" s="1"/>
  <c r="B79" i="62" s="1"/>
  <c r="E78" i="62" l="1"/>
  <c r="G78" i="62" s="1"/>
  <c r="A80" i="62"/>
  <c r="D79" i="62"/>
  <c r="F79" i="62" s="1"/>
  <c r="B80" i="62" s="1"/>
  <c r="C79" i="62"/>
  <c r="E79" i="62" s="1"/>
  <c r="G79" i="62" s="1"/>
  <c r="C80" i="62" l="1"/>
  <c r="A81" i="62"/>
  <c r="D80" i="62"/>
  <c r="F80" i="62" s="1"/>
  <c r="B81" i="62" s="1"/>
  <c r="E80" i="62" l="1"/>
  <c r="G80" i="62" s="1"/>
  <c r="A82" i="62"/>
  <c r="D81" i="62"/>
  <c r="F81" i="62" s="1"/>
  <c r="B82" i="62" s="1"/>
  <c r="C81" i="62"/>
  <c r="E81" i="62" s="1"/>
  <c r="G81" i="62" s="1"/>
  <c r="C82" i="62" l="1"/>
  <c r="A83" i="62"/>
  <c r="D82" i="62"/>
  <c r="F82" i="62" s="1"/>
  <c r="B83" i="62" s="1"/>
  <c r="E82" i="62" l="1"/>
  <c r="G82" i="62" s="1"/>
  <c r="A84" i="62"/>
  <c r="D83" i="62"/>
  <c r="F83" i="62" s="1"/>
  <c r="B84" i="62" s="1"/>
  <c r="C83" i="62"/>
  <c r="E83" i="62" s="1"/>
  <c r="G83" i="62" s="1"/>
  <c r="C84" i="62" l="1"/>
  <c r="A85" i="62"/>
  <c r="D84" i="62"/>
  <c r="F84" i="62" s="1"/>
  <c r="B85" i="62" s="1"/>
  <c r="E84" i="62" l="1"/>
  <c r="G84" i="62" s="1"/>
  <c r="A86" i="62"/>
  <c r="D85" i="62"/>
  <c r="F85" i="62" s="1"/>
  <c r="B86" i="62" s="1"/>
  <c r="C85" i="62"/>
  <c r="E85" i="62" s="1"/>
  <c r="G85" i="62" s="1"/>
  <c r="C86" i="62" l="1"/>
  <c r="A87" i="62"/>
  <c r="D86" i="62"/>
  <c r="F86" i="62" s="1"/>
  <c r="B87" i="62" s="1"/>
  <c r="E86" i="62" l="1"/>
  <c r="G86" i="62" s="1"/>
  <c r="A88" i="62"/>
  <c r="D87" i="62"/>
  <c r="F87" i="62" s="1"/>
  <c r="B88" i="62" s="1"/>
  <c r="C87" i="62"/>
  <c r="E87" i="62" s="1"/>
  <c r="G87" i="62" s="1"/>
  <c r="C88" i="62" l="1"/>
  <c r="A89" i="62"/>
  <c r="D88" i="62"/>
  <c r="F88" i="62" s="1"/>
  <c r="B89" i="62" s="1"/>
  <c r="E88" i="62" l="1"/>
  <c r="G88" i="62" s="1"/>
  <c r="A90" i="62"/>
  <c r="D89" i="62"/>
  <c r="F89" i="62" s="1"/>
  <c r="B90" i="62" s="1"/>
  <c r="C89" i="62"/>
  <c r="E89" i="62" s="1"/>
  <c r="G89" i="62" s="1"/>
  <c r="C90" i="62" l="1"/>
  <c r="A91" i="62"/>
  <c r="D90" i="62"/>
  <c r="F90" i="62" s="1"/>
  <c r="B91" i="62" s="1"/>
  <c r="E90" i="62" l="1"/>
  <c r="G90" i="62" s="1"/>
  <c r="A92" i="62"/>
  <c r="D91" i="62"/>
  <c r="F91" i="62" s="1"/>
  <c r="B92" i="62" s="1"/>
  <c r="C91" i="62"/>
  <c r="E91" i="62" s="1"/>
  <c r="G91" i="62" s="1"/>
  <c r="C92" i="62" l="1"/>
  <c r="A93" i="62"/>
  <c r="D92" i="62"/>
  <c r="F92" i="62" s="1"/>
  <c r="B93" i="62" s="1"/>
  <c r="E92" i="62" l="1"/>
  <c r="G92" i="62" s="1"/>
  <c r="A94" i="62"/>
  <c r="D93" i="62"/>
  <c r="F93" i="62" s="1"/>
  <c r="B94" i="62" s="1"/>
  <c r="C93" i="62"/>
  <c r="E93" i="62" s="1"/>
  <c r="G93" i="62" s="1"/>
  <c r="C94" i="62" l="1"/>
  <c r="A95" i="62"/>
  <c r="D94" i="62"/>
  <c r="F94" i="62" s="1"/>
  <c r="B95" i="62" s="1"/>
  <c r="E94" i="62" l="1"/>
  <c r="G94" i="62" s="1"/>
  <c r="A96" i="62"/>
  <c r="D95" i="62"/>
  <c r="F95" i="62" s="1"/>
  <c r="B96" i="62" s="1"/>
  <c r="C95" i="62"/>
  <c r="E95" i="62" l="1"/>
  <c r="G95" i="62" s="1"/>
  <c r="C96" i="62"/>
  <c r="A97" i="62"/>
  <c r="D96" i="62"/>
  <c r="F96" i="62" s="1"/>
  <c r="B97" i="62" s="1"/>
  <c r="E96" i="62" l="1"/>
  <c r="G96" i="62" s="1"/>
  <c r="A98" i="62"/>
  <c r="D97" i="62"/>
  <c r="F97" i="62" s="1"/>
  <c r="B98" i="62" s="1"/>
  <c r="C97" i="62"/>
  <c r="E97" i="62" s="1"/>
  <c r="G97" i="62" s="1"/>
  <c r="C98" i="62" l="1"/>
  <c r="A99" i="62"/>
  <c r="D98" i="62"/>
  <c r="F98" i="62" s="1"/>
  <c r="B99" i="62" s="1"/>
  <c r="E98" i="62" l="1"/>
  <c r="G98" i="62" s="1"/>
  <c r="A100" i="62"/>
  <c r="D99" i="62"/>
  <c r="F99" i="62" s="1"/>
  <c r="B100" i="62" s="1"/>
  <c r="C99" i="62"/>
  <c r="E99" i="62" s="1"/>
  <c r="G99" i="62" s="1"/>
  <c r="C100" i="62" l="1"/>
  <c r="A101" i="62"/>
  <c r="D100" i="62"/>
  <c r="F100" i="62" s="1"/>
  <c r="B101" i="62" s="1"/>
  <c r="E100" i="62" l="1"/>
  <c r="G100" i="62" s="1"/>
  <c r="A102" i="62"/>
  <c r="D101" i="62"/>
  <c r="F101" i="62" s="1"/>
  <c r="B102" i="62" s="1"/>
  <c r="C101" i="62"/>
  <c r="E101" i="62" s="1"/>
  <c r="G101" i="62" s="1"/>
  <c r="C102" i="62" l="1"/>
  <c r="A103" i="62"/>
  <c r="D102" i="62"/>
  <c r="F102" i="62" s="1"/>
  <c r="B103" i="62" s="1"/>
  <c r="E102" i="62" l="1"/>
  <c r="G102" i="62" s="1"/>
  <c r="A104" i="62"/>
  <c r="D103" i="62"/>
  <c r="F103" i="62" s="1"/>
  <c r="B104" i="62" s="1"/>
  <c r="C103" i="62"/>
  <c r="E103" i="62" s="1"/>
  <c r="G103" i="62" s="1"/>
  <c r="C104" i="62" l="1"/>
  <c r="A105" i="62"/>
  <c r="D104" i="62"/>
  <c r="F104" i="62" s="1"/>
  <c r="B105" i="62" s="1"/>
  <c r="E104" i="62" l="1"/>
  <c r="G104" i="62" s="1"/>
  <c r="A106" i="62"/>
  <c r="D105" i="62"/>
  <c r="F105" i="62" s="1"/>
  <c r="B106" i="62" s="1"/>
  <c r="C105" i="62"/>
  <c r="E105" i="62" s="1"/>
  <c r="G105" i="62" s="1"/>
  <c r="C106" i="62" l="1"/>
  <c r="A107" i="62"/>
  <c r="D106" i="62"/>
  <c r="F106" i="62" s="1"/>
  <c r="B107" i="62" s="1"/>
  <c r="E106" i="62" l="1"/>
  <c r="G106" i="62" s="1"/>
  <c r="A108" i="62"/>
  <c r="D107" i="62"/>
  <c r="F107" i="62" s="1"/>
  <c r="B108" i="62" s="1"/>
  <c r="C107" i="62"/>
  <c r="E107" i="62" l="1"/>
  <c r="G107" i="62" s="1"/>
  <c r="C108" i="62"/>
  <c r="A109" i="62"/>
  <c r="D108" i="62"/>
  <c r="F108" i="62" s="1"/>
  <c r="B109" i="62" s="1"/>
  <c r="E108" i="62" l="1"/>
  <c r="G108" i="62" s="1"/>
  <c r="A110" i="62"/>
  <c r="D109" i="62"/>
  <c r="F109" i="62" s="1"/>
  <c r="B110" i="62" s="1"/>
  <c r="C109" i="62"/>
  <c r="E109" i="62" s="1"/>
  <c r="G109" i="62" s="1"/>
  <c r="C110" i="62" l="1"/>
  <c r="A111" i="62"/>
  <c r="D110" i="62"/>
  <c r="F110" i="62" s="1"/>
  <c r="B111" i="62" s="1"/>
  <c r="E110" i="62" l="1"/>
  <c r="G110" i="62" s="1"/>
  <c r="A112" i="62"/>
  <c r="D111" i="62"/>
  <c r="F111" i="62" s="1"/>
  <c r="B112" i="62" s="1"/>
  <c r="C111" i="62"/>
  <c r="E111" i="62" s="1"/>
  <c r="G111" i="62" s="1"/>
  <c r="C112" i="62" l="1"/>
  <c r="A113" i="62"/>
  <c r="D112" i="62"/>
  <c r="F112" i="62" s="1"/>
  <c r="B113" i="62" s="1"/>
  <c r="E112" i="62" l="1"/>
  <c r="G112" i="62" s="1"/>
  <c r="A114" i="62"/>
  <c r="D113" i="62"/>
  <c r="F113" i="62" s="1"/>
  <c r="B114" i="62" s="1"/>
  <c r="C113" i="62"/>
  <c r="E113" i="62" s="1"/>
  <c r="G113" i="62" s="1"/>
  <c r="C114" i="62" l="1"/>
  <c r="A115" i="62"/>
  <c r="D114" i="62"/>
  <c r="F114" i="62" s="1"/>
  <c r="B115" i="62" s="1"/>
  <c r="E114" i="62" l="1"/>
  <c r="G114" i="62" s="1"/>
  <c r="A116" i="62"/>
  <c r="D115" i="62"/>
  <c r="F115" i="62" s="1"/>
  <c r="B116" i="62" s="1"/>
  <c r="C115" i="62"/>
  <c r="E115" i="62" l="1"/>
  <c r="G115" i="62" s="1"/>
  <c r="C116" i="62"/>
  <c r="A117" i="62"/>
  <c r="D116" i="62"/>
  <c r="F116" i="62" s="1"/>
  <c r="B117" i="62" s="1"/>
  <c r="E116" i="62" l="1"/>
  <c r="G116" i="62" s="1"/>
  <c r="A118" i="62"/>
  <c r="D117" i="62"/>
  <c r="F117" i="62" s="1"/>
  <c r="B118" i="62" s="1"/>
  <c r="C117" i="62"/>
  <c r="E117" i="62" s="1"/>
  <c r="G117" i="62" s="1"/>
  <c r="C118" i="62" l="1"/>
  <c r="A119" i="62"/>
  <c r="D118" i="62"/>
  <c r="F118" i="62" s="1"/>
  <c r="B119" i="62" s="1"/>
  <c r="E118" i="62" l="1"/>
  <c r="G118" i="62" s="1"/>
  <c r="A120" i="62"/>
  <c r="D119" i="62"/>
  <c r="F119" i="62" s="1"/>
  <c r="B120" i="62" s="1"/>
  <c r="C119" i="62"/>
  <c r="E119" i="62" l="1"/>
  <c r="G119" i="62" s="1"/>
  <c r="C120" i="62"/>
  <c r="A121" i="62"/>
  <c r="D120" i="62"/>
  <c r="F120" i="62" s="1"/>
  <c r="B121" i="62" s="1"/>
  <c r="E120" i="62" l="1"/>
  <c r="G120" i="62" s="1"/>
  <c r="A122" i="62"/>
  <c r="D121" i="62"/>
  <c r="F121" i="62" s="1"/>
  <c r="B122" i="62" s="1"/>
  <c r="C121" i="62"/>
  <c r="E121" i="62" l="1"/>
  <c r="G121" i="62" s="1"/>
  <c r="C122" i="62"/>
  <c r="A123" i="62"/>
  <c r="D122" i="62"/>
  <c r="F122" i="62" s="1"/>
  <c r="B123" i="62" s="1"/>
  <c r="E122" i="62" l="1"/>
  <c r="G122" i="62" s="1"/>
  <c r="A124" i="62"/>
  <c r="D123" i="62"/>
  <c r="F123" i="62" s="1"/>
  <c r="B124" i="62" s="1"/>
  <c r="C123" i="62"/>
  <c r="E123" i="62" s="1"/>
  <c r="G123" i="62" s="1"/>
  <c r="C124" i="62" l="1"/>
  <c r="A125" i="62"/>
  <c r="D124" i="62"/>
  <c r="F124" i="62" s="1"/>
  <c r="B125" i="62" s="1"/>
  <c r="E124" i="62" l="1"/>
  <c r="G124" i="62" s="1"/>
  <c r="A126" i="62"/>
  <c r="D125" i="62"/>
  <c r="F125" i="62" s="1"/>
  <c r="B126" i="62" s="1"/>
  <c r="C125" i="62"/>
  <c r="E125" i="62" l="1"/>
  <c r="G125" i="62" s="1"/>
  <c r="A127" i="62"/>
  <c r="C126" i="62"/>
  <c r="D126" i="62"/>
  <c r="F126" i="62" s="1"/>
  <c r="B127" i="62" s="1"/>
  <c r="E126" i="62" l="1"/>
  <c r="G126" i="62" s="1"/>
  <c r="A128" i="62"/>
  <c r="D127" i="62"/>
  <c r="F127" i="62" s="1"/>
  <c r="B128" i="62" s="1"/>
  <c r="C127" i="62"/>
  <c r="E127" i="62" l="1"/>
  <c r="G127" i="62" s="1"/>
  <c r="C128" i="62"/>
  <c r="A129" i="62"/>
  <c r="D128" i="62"/>
  <c r="F128" i="62" s="1"/>
  <c r="B129" i="62" s="1"/>
  <c r="E128" i="62" l="1"/>
  <c r="G128" i="62" s="1"/>
  <c r="A130" i="62"/>
  <c r="D129" i="62"/>
  <c r="F129" i="62" s="1"/>
  <c r="B130" i="62" s="1"/>
  <c r="C129" i="62"/>
  <c r="E129" i="62" l="1"/>
  <c r="G129" i="62" s="1"/>
  <c r="C130" i="62"/>
  <c r="A131" i="62"/>
  <c r="D130" i="62"/>
  <c r="F130" i="62" s="1"/>
  <c r="B131" i="62" s="1"/>
  <c r="A132" i="62" l="1"/>
  <c r="D131" i="62"/>
  <c r="F131" i="62" s="1"/>
  <c r="B132" i="62" s="1"/>
  <c r="C131" i="62"/>
  <c r="E130" i="62"/>
  <c r="G130" i="62" s="1"/>
  <c r="E131" i="62" l="1"/>
  <c r="G131" i="62" s="1"/>
  <c r="C132" i="62"/>
  <c r="A133" i="62"/>
  <c r="D132" i="62"/>
  <c r="F132" i="62" s="1"/>
  <c r="B133" i="62" s="1"/>
  <c r="E132" i="62" l="1"/>
  <c r="G132" i="62" s="1"/>
  <c r="A134" i="62"/>
  <c r="D133" i="62"/>
  <c r="F133" i="62" s="1"/>
  <c r="B134" i="62" s="1"/>
  <c r="C133" i="62"/>
  <c r="E133" i="62" l="1"/>
  <c r="G133" i="62" s="1"/>
  <c r="C134" i="62"/>
  <c r="A135" i="62"/>
  <c r="D134" i="62"/>
  <c r="F134" i="62" s="1"/>
  <c r="B135" i="62" s="1"/>
  <c r="E134" i="62" l="1"/>
  <c r="G134" i="62" s="1"/>
  <c r="A136" i="62"/>
  <c r="D135" i="62"/>
  <c r="F135" i="62" s="1"/>
  <c r="B136" i="62" s="1"/>
  <c r="C135" i="62"/>
  <c r="E135" i="62" s="1"/>
  <c r="G135" i="62" s="1"/>
  <c r="C136" i="62" l="1"/>
  <c r="A137" i="62"/>
  <c r="D136" i="62"/>
  <c r="F136" i="62" s="1"/>
  <c r="B137" i="62" s="1"/>
  <c r="E136" i="62" l="1"/>
  <c r="G136" i="62" s="1"/>
  <c r="A138" i="62"/>
  <c r="D137" i="62"/>
  <c r="F137" i="62" s="1"/>
  <c r="B138" i="62" s="1"/>
  <c r="C137" i="62"/>
  <c r="E137" i="62" l="1"/>
  <c r="G137" i="62" s="1"/>
  <c r="C138" i="62"/>
  <c r="A139" i="62"/>
  <c r="D138" i="62"/>
  <c r="F138" i="62" s="1"/>
  <c r="B139" i="62" s="1"/>
  <c r="E138" i="62" l="1"/>
  <c r="G138" i="62" s="1"/>
  <c r="A140" i="62"/>
  <c r="D139" i="62"/>
  <c r="F139" i="62" s="1"/>
  <c r="B140" i="62" s="1"/>
  <c r="C139" i="62"/>
  <c r="E139" i="62" s="1"/>
  <c r="G139" i="62" s="1"/>
  <c r="C140" i="62" l="1"/>
  <c r="A141" i="62"/>
  <c r="D140" i="62"/>
  <c r="F140" i="62" s="1"/>
  <c r="B141" i="62" s="1"/>
  <c r="E140" i="62" l="1"/>
  <c r="G140" i="62" s="1"/>
  <c r="A142" i="62"/>
  <c r="D141" i="62"/>
  <c r="F141" i="62" s="1"/>
  <c r="B142" i="62" s="1"/>
  <c r="C141" i="62"/>
  <c r="E141" i="62" s="1"/>
  <c r="G141" i="62" s="1"/>
  <c r="C142" i="62" l="1"/>
  <c r="A143" i="62"/>
  <c r="D142" i="62"/>
  <c r="F142" i="62" s="1"/>
  <c r="B143" i="62" s="1"/>
  <c r="E142" i="62" l="1"/>
  <c r="G142" i="62" s="1"/>
  <c r="A144" i="62"/>
  <c r="D143" i="62"/>
  <c r="F143" i="62" s="1"/>
  <c r="B144" i="62" s="1"/>
  <c r="C143" i="62"/>
  <c r="E143" i="62" s="1"/>
  <c r="G143" i="62" s="1"/>
  <c r="C144" i="62" l="1"/>
  <c r="A145" i="62"/>
  <c r="D144" i="62"/>
  <c r="F144" i="62" s="1"/>
  <c r="B145" i="62" s="1"/>
  <c r="E144" i="62" l="1"/>
  <c r="G144" i="62" s="1"/>
  <c r="A146" i="62"/>
  <c r="D145" i="62"/>
  <c r="F145" i="62" s="1"/>
  <c r="B146" i="62" s="1"/>
  <c r="C145" i="62"/>
  <c r="E145" i="62" s="1"/>
  <c r="G145" i="62" s="1"/>
  <c r="C146" i="62" l="1"/>
  <c r="A147" i="62"/>
  <c r="D146" i="62"/>
  <c r="F146" i="62" s="1"/>
  <c r="B147" i="62" s="1"/>
  <c r="E146" i="62" l="1"/>
  <c r="G146" i="62" s="1"/>
  <c r="A148" i="62"/>
  <c r="D147" i="62"/>
  <c r="F147" i="62" s="1"/>
  <c r="B148" i="62" s="1"/>
  <c r="C147" i="62"/>
  <c r="E147" i="62" l="1"/>
  <c r="G147" i="62" s="1"/>
  <c r="C148" i="62"/>
  <c r="A149" i="62"/>
  <c r="D148" i="62"/>
  <c r="F148" i="62" s="1"/>
  <c r="B149" i="62" s="1"/>
  <c r="E148" i="62" l="1"/>
  <c r="G148" i="62" s="1"/>
  <c r="A150" i="62"/>
  <c r="D149" i="62"/>
  <c r="F149" i="62" s="1"/>
  <c r="B150" i="62" s="1"/>
  <c r="C149" i="62"/>
  <c r="E149" i="62" s="1"/>
  <c r="G149" i="62" s="1"/>
  <c r="C150" i="62" l="1"/>
  <c r="D150" i="62"/>
  <c r="F150" i="62" s="1"/>
  <c r="E150" i="62" l="1"/>
  <c r="G150" i="62" s="1"/>
  <c r="C4" i="60" l="1"/>
  <c r="C4" i="61" l="1"/>
  <c r="A20" i="61"/>
  <c r="C8" i="61"/>
  <c r="B19" i="61" l="1"/>
  <c r="C19" i="61" s="1"/>
  <c r="D19" i="61"/>
  <c r="F19" i="61" s="1"/>
  <c r="B20" i="61" s="1"/>
  <c r="A21" i="61"/>
  <c r="D20" i="61"/>
  <c r="C20" i="61"/>
  <c r="E20" i="61" l="1"/>
  <c r="G20" i="61" s="1"/>
  <c r="F20" i="61"/>
  <c r="B21" i="61" s="1"/>
  <c r="C21" i="61"/>
  <c r="A22" i="61"/>
  <c r="D21" i="61"/>
  <c r="E19" i="61"/>
  <c r="G19" i="61" l="1"/>
  <c r="F21" i="61"/>
  <c r="B22" i="61" s="1"/>
  <c r="E21" i="61"/>
  <c r="G21" i="61" s="1"/>
  <c r="A23" i="61"/>
  <c r="D22" i="61"/>
  <c r="F22" i="61" s="1"/>
  <c r="B23" i="61" s="1"/>
  <c r="C22" i="61"/>
  <c r="E22" i="61" l="1"/>
  <c r="G22" i="61" s="1"/>
  <c r="C23" i="61"/>
  <c r="A24" i="61"/>
  <c r="D23" i="61"/>
  <c r="F23" i="61" s="1"/>
  <c r="B24" i="61" s="1"/>
  <c r="A25" i="61" l="1"/>
  <c r="D24" i="61"/>
  <c r="F24" i="61" s="1"/>
  <c r="B25" i="61" s="1"/>
  <c r="C24" i="61"/>
  <c r="E23" i="61"/>
  <c r="G23" i="61" s="1"/>
  <c r="E24" i="61" l="1"/>
  <c r="G24" i="61" s="1"/>
  <c r="C25" i="61"/>
  <c r="A26" i="61"/>
  <c r="D25" i="61"/>
  <c r="F25" i="61" s="1"/>
  <c r="B26" i="61" s="1"/>
  <c r="E25" i="61" l="1"/>
  <c r="G25" i="61" s="1"/>
  <c r="A27" i="61"/>
  <c r="D26" i="61"/>
  <c r="F26" i="61" s="1"/>
  <c r="B27" i="61" s="1"/>
  <c r="C26" i="61"/>
  <c r="E26" i="61" l="1"/>
  <c r="G26" i="61" s="1"/>
  <c r="C27" i="61"/>
  <c r="A28" i="61"/>
  <c r="D27" i="61"/>
  <c r="F27" i="61" s="1"/>
  <c r="B28" i="61" s="1"/>
  <c r="A29" i="61" l="1"/>
  <c r="D28" i="61"/>
  <c r="F28" i="61" s="1"/>
  <c r="B29" i="61" s="1"/>
  <c r="C28" i="61"/>
  <c r="E27" i="61"/>
  <c r="G27" i="61" s="1"/>
  <c r="E28" i="61" l="1"/>
  <c r="G28" i="61" s="1"/>
  <c r="C29" i="61"/>
  <c r="A30" i="61"/>
  <c r="D29" i="61"/>
  <c r="F29" i="61" s="1"/>
  <c r="B30" i="61" s="1"/>
  <c r="E29" i="61" l="1"/>
  <c r="G29" i="61" s="1"/>
  <c r="A31" i="61"/>
  <c r="D30" i="61"/>
  <c r="F30" i="61" s="1"/>
  <c r="B31" i="61" s="1"/>
  <c r="C30" i="61"/>
  <c r="E30" i="61" l="1"/>
  <c r="G30" i="61" s="1"/>
  <c r="C31" i="61"/>
  <c r="A32" i="61"/>
  <c r="D31" i="61"/>
  <c r="F31" i="61" s="1"/>
  <c r="B32" i="61" s="1"/>
  <c r="A33" i="61" l="1"/>
  <c r="D32" i="61"/>
  <c r="F32" i="61" s="1"/>
  <c r="B33" i="61" s="1"/>
  <c r="C32" i="61"/>
  <c r="E31" i="61"/>
  <c r="G31" i="61" s="1"/>
  <c r="E32" i="61" l="1"/>
  <c r="G32" i="61" s="1"/>
  <c r="C33" i="61"/>
  <c r="A34" i="61"/>
  <c r="D33" i="61"/>
  <c r="F33" i="61" s="1"/>
  <c r="B34" i="61" s="1"/>
  <c r="E33" i="61" l="1"/>
  <c r="G33" i="61" s="1"/>
  <c r="A35" i="61"/>
  <c r="D34" i="61"/>
  <c r="F34" i="61" s="1"/>
  <c r="B35" i="61" s="1"/>
  <c r="C34" i="61"/>
  <c r="E34" i="61" l="1"/>
  <c r="G34" i="61" s="1"/>
  <c r="C35" i="61"/>
  <c r="A36" i="61"/>
  <c r="D35" i="61"/>
  <c r="F35" i="61" s="1"/>
  <c r="B36" i="61" s="1"/>
  <c r="A37" i="61" l="1"/>
  <c r="D36" i="61"/>
  <c r="F36" i="61" s="1"/>
  <c r="B37" i="61" s="1"/>
  <c r="C36" i="61"/>
  <c r="E35" i="61"/>
  <c r="G35" i="61" s="1"/>
  <c r="E36" i="61" l="1"/>
  <c r="G36" i="61" s="1"/>
  <c r="C37" i="61"/>
  <c r="A38" i="61"/>
  <c r="D37" i="61"/>
  <c r="F37" i="61" s="1"/>
  <c r="B38" i="61" s="1"/>
  <c r="E37" i="61" l="1"/>
  <c r="G37" i="61" s="1"/>
  <c r="A39" i="61"/>
  <c r="D38" i="61"/>
  <c r="F38" i="61" s="1"/>
  <c r="B39" i="61" s="1"/>
  <c r="C38" i="61"/>
  <c r="E38" i="61" l="1"/>
  <c r="G38" i="61" s="1"/>
  <c r="C39" i="61"/>
  <c r="A40" i="61"/>
  <c r="D39" i="61"/>
  <c r="F39" i="61" s="1"/>
  <c r="B40" i="61" s="1"/>
  <c r="A41" i="61" l="1"/>
  <c r="D40" i="61"/>
  <c r="F40" i="61" s="1"/>
  <c r="B41" i="61" s="1"/>
  <c r="C40" i="61"/>
  <c r="E39" i="61"/>
  <c r="G39" i="61" s="1"/>
  <c r="E40" i="61" l="1"/>
  <c r="G40" i="61" s="1"/>
  <c r="C41" i="61"/>
  <c r="A42" i="61"/>
  <c r="D41" i="61"/>
  <c r="F41" i="61" s="1"/>
  <c r="B42" i="61" s="1"/>
  <c r="E41" i="61" l="1"/>
  <c r="G41" i="61" s="1"/>
  <c r="A43" i="61"/>
  <c r="D42" i="61"/>
  <c r="F42" i="61" s="1"/>
  <c r="B43" i="61" s="1"/>
  <c r="C42" i="61"/>
  <c r="E42" i="61" l="1"/>
  <c r="G42" i="61" s="1"/>
  <c r="C43" i="61"/>
  <c r="A44" i="61"/>
  <c r="D43" i="61"/>
  <c r="F43" i="61" s="1"/>
  <c r="B44" i="61" s="1"/>
  <c r="A45" i="61" l="1"/>
  <c r="D44" i="61"/>
  <c r="F44" i="61" s="1"/>
  <c r="B45" i="61" s="1"/>
  <c r="C44" i="61"/>
  <c r="E43" i="61"/>
  <c r="G43" i="61" s="1"/>
  <c r="E44" i="61" l="1"/>
  <c r="G44" i="61" s="1"/>
  <c r="C45" i="61"/>
  <c r="A46" i="61"/>
  <c r="D45" i="61"/>
  <c r="F45" i="61" s="1"/>
  <c r="B46" i="61" s="1"/>
  <c r="E45" i="61" l="1"/>
  <c r="G45" i="61" s="1"/>
  <c r="A47" i="61"/>
  <c r="D46" i="61"/>
  <c r="F46" i="61" s="1"/>
  <c r="B47" i="61" s="1"/>
  <c r="C46" i="61"/>
  <c r="E46" i="61" l="1"/>
  <c r="G46" i="61" s="1"/>
  <c r="C47" i="61"/>
  <c r="A48" i="61"/>
  <c r="D47" i="61"/>
  <c r="F47" i="61" s="1"/>
  <c r="B48" i="61" s="1"/>
  <c r="A49" i="61" l="1"/>
  <c r="D48" i="61"/>
  <c r="F48" i="61" s="1"/>
  <c r="B49" i="61" s="1"/>
  <c r="C48" i="61"/>
  <c r="E47" i="61"/>
  <c r="G47" i="61" s="1"/>
  <c r="E48" i="61" l="1"/>
  <c r="G48" i="61" s="1"/>
  <c r="C49" i="61"/>
  <c r="A50" i="61"/>
  <c r="D49" i="61"/>
  <c r="F49" i="61" s="1"/>
  <c r="B50" i="61" s="1"/>
  <c r="E49" i="61" l="1"/>
  <c r="G49" i="61" s="1"/>
  <c r="A51" i="61"/>
  <c r="D50" i="61"/>
  <c r="F50" i="61" s="1"/>
  <c r="B51" i="61" s="1"/>
  <c r="C50" i="61"/>
  <c r="E50" i="61" l="1"/>
  <c r="G50" i="61" s="1"/>
  <c r="C51" i="61"/>
  <c r="A52" i="61"/>
  <c r="D51" i="61"/>
  <c r="F51" i="61" s="1"/>
  <c r="B52" i="61" s="1"/>
  <c r="A53" i="61" l="1"/>
  <c r="D52" i="61"/>
  <c r="F52" i="61" s="1"/>
  <c r="B53" i="61" s="1"/>
  <c r="C52" i="61"/>
  <c r="E51" i="61"/>
  <c r="G51" i="61" s="1"/>
  <c r="E52" i="61" l="1"/>
  <c r="G52" i="61" s="1"/>
  <c r="C53" i="61"/>
  <c r="A54" i="61"/>
  <c r="D53" i="61"/>
  <c r="F53" i="61" s="1"/>
  <c r="B54" i="61" s="1"/>
  <c r="E53" i="61" l="1"/>
  <c r="G53" i="61" s="1"/>
  <c r="A55" i="61"/>
  <c r="D54" i="61"/>
  <c r="F54" i="61" s="1"/>
  <c r="B55" i="61" s="1"/>
  <c r="C54" i="61"/>
  <c r="E54" i="61" l="1"/>
  <c r="G54" i="61" s="1"/>
  <c r="C55" i="61"/>
  <c r="A56" i="61"/>
  <c r="D55" i="61"/>
  <c r="F55" i="61" s="1"/>
  <c r="B56" i="61" s="1"/>
  <c r="A57" i="61" l="1"/>
  <c r="D56" i="61"/>
  <c r="F56" i="61" s="1"/>
  <c r="B57" i="61" s="1"/>
  <c r="C56" i="61"/>
  <c r="E55" i="61"/>
  <c r="G55" i="61" s="1"/>
  <c r="E56" i="61" l="1"/>
  <c r="G56" i="61" s="1"/>
  <c r="C57" i="61"/>
  <c r="A58" i="61"/>
  <c r="D57" i="61"/>
  <c r="F57" i="61" s="1"/>
  <c r="B58" i="61" s="1"/>
  <c r="E57" i="61" l="1"/>
  <c r="G57" i="61" s="1"/>
  <c r="A59" i="61"/>
  <c r="D58" i="61"/>
  <c r="F58" i="61" s="1"/>
  <c r="B59" i="61" s="1"/>
  <c r="C58" i="61"/>
  <c r="E58" i="61" l="1"/>
  <c r="G58" i="61" s="1"/>
  <c r="C59" i="61"/>
  <c r="A60" i="61"/>
  <c r="D59" i="61"/>
  <c r="F59" i="61" s="1"/>
  <c r="B60" i="61" s="1"/>
  <c r="A61" i="61" l="1"/>
  <c r="D60" i="61"/>
  <c r="F60" i="61" s="1"/>
  <c r="B61" i="61" s="1"/>
  <c r="C60" i="61"/>
  <c r="E59" i="61"/>
  <c r="G59" i="61" s="1"/>
  <c r="E60" i="61" l="1"/>
  <c r="G60" i="61" s="1"/>
  <c r="C61" i="61"/>
  <c r="A62" i="61"/>
  <c r="D61" i="61"/>
  <c r="F61" i="61" s="1"/>
  <c r="B62" i="61" s="1"/>
  <c r="E61" i="61" l="1"/>
  <c r="G61" i="61" s="1"/>
  <c r="A63" i="61"/>
  <c r="D62" i="61"/>
  <c r="F62" i="61" s="1"/>
  <c r="B63" i="61" s="1"/>
  <c r="C62" i="61"/>
  <c r="E62" i="61" l="1"/>
  <c r="G62" i="61" s="1"/>
  <c r="C63" i="61"/>
  <c r="A64" i="61"/>
  <c r="D63" i="61"/>
  <c r="F63" i="61" s="1"/>
  <c r="B64" i="61" s="1"/>
  <c r="A65" i="61" l="1"/>
  <c r="D64" i="61"/>
  <c r="F64" i="61" s="1"/>
  <c r="B65" i="61" s="1"/>
  <c r="C64" i="61"/>
  <c r="E63" i="61"/>
  <c r="G63" i="61" s="1"/>
  <c r="E64" i="61" l="1"/>
  <c r="G64" i="61" s="1"/>
  <c r="C65" i="61"/>
  <c r="A66" i="61"/>
  <c r="D65" i="61"/>
  <c r="F65" i="61" s="1"/>
  <c r="B66" i="61" s="1"/>
  <c r="E65" i="61" l="1"/>
  <c r="G65" i="61" s="1"/>
  <c r="A67" i="61"/>
  <c r="D66" i="61"/>
  <c r="F66" i="61" s="1"/>
  <c r="B67" i="61" s="1"/>
  <c r="C66" i="61"/>
  <c r="E66" i="61" l="1"/>
  <c r="G66" i="61" s="1"/>
  <c r="C67" i="61"/>
  <c r="A68" i="61"/>
  <c r="D67" i="61"/>
  <c r="F67" i="61" s="1"/>
  <c r="B68" i="61" s="1"/>
  <c r="A69" i="61" l="1"/>
  <c r="D68" i="61"/>
  <c r="F68" i="61" s="1"/>
  <c r="B69" i="61" s="1"/>
  <c r="C68" i="61"/>
  <c r="E67" i="61"/>
  <c r="G67" i="61" s="1"/>
  <c r="E68" i="61" l="1"/>
  <c r="G68" i="61" s="1"/>
  <c r="C69" i="61"/>
  <c r="A70" i="61"/>
  <c r="D69" i="61"/>
  <c r="F69" i="61" s="1"/>
  <c r="B70" i="61" s="1"/>
  <c r="E69" i="61" l="1"/>
  <c r="G69" i="61" s="1"/>
  <c r="A71" i="61"/>
  <c r="D70" i="61"/>
  <c r="F70" i="61" s="1"/>
  <c r="B71" i="61" s="1"/>
  <c r="C70" i="61"/>
  <c r="E70" i="61" l="1"/>
  <c r="G70" i="61" s="1"/>
  <c r="C71" i="61"/>
  <c r="A72" i="61"/>
  <c r="D71" i="61"/>
  <c r="F71" i="61" s="1"/>
  <c r="B72" i="61" s="1"/>
  <c r="A73" i="61" l="1"/>
  <c r="D72" i="61"/>
  <c r="F72" i="61" s="1"/>
  <c r="B73" i="61" s="1"/>
  <c r="C72" i="61"/>
  <c r="E71" i="61"/>
  <c r="G71" i="61" s="1"/>
  <c r="E72" i="61" l="1"/>
  <c r="G72" i="61" s="1"/>
  <c r="C73" i="61"/>
  <c r="A74" i="61"/>
  <c r="D73" i="61"/>
  <c r="F73" i="61" s="1"/>
  <c r="B74" i="61" s="1"/>
  <c r="E73" i="61" l="1"/>
  <c r="G73" i="61" s="1"/>
  <c r="A75" i="61"/>
  <c r="D74" i="61"/>
  <c r="F74" i="61" s="1"/>
  <c r="B75" i="61" s="1"/>
  <c r="C74" i="61"/>
  <c r="E74" i="61" l="1"/>
  <c r="G74" i="61" s="1"/>
  <c r="C75" i="61"/>
  <c r="A76" i="61"/>
  <c r="D75" i="61"/>
  <c r="F75" i="61" s="1"/>
  <c r="B76" i="61" s="1"/>
  <c r="A77" i="61" l="1"/>
  <c r="D76" i="61"/>
  <c r="F76" i="61" s="1"/>
  <c r="B77" i="61" s="1"/>
  <c r="C76" i="61"/>
  <c r="E75" i="61"/>
  <c r="G75" i="61" s="1"/>
  <c r="E76" i="61" l="1"/>
  <c r="G76" i="61" s="1"/>
  <c r="C77" i="61"/>
  <c r="A78" i="61"/>
  <c r="D77" i="61"/>
  <c r="F77" i="61" s="1"/>
  <c r="B78" i="61" s="1"/>
  <c r="E77" i="61" l="1"/>
  <c r="G77" i="61" s="1"/>
  <c r="A79" i="61"/>
  <c r="D78" i="61"/>
  <c r="F78" i="61" s="1"/>
  <c r="B79" i="61" s="1"/>
  <c r="C78" i="61"/>
  <c r="E78" i="61" l="1"/>
  <c r="G78" i="61" s="1"/>
  <c r="C79" i="61"/>
  <c r="A80" i="61"/>
  <c r="D79" i="61"/>
  <c r="F79" i="61" s="1"/>
  <c r="B80" i="61" s="1"/>
  <c r="A81" i="61" l="1"/>
  <c r="D80" i="61"/>
  <c r="F80" i="61" s="1"/>
  <c r="B81" i="61" s="1"/>
  <c r="C80" i="61"/>
  <c r="E79" i="61"/>
  <c r="G79" i="61" s="1"/>
  <c r="E80" i="61" l="1"/>
  <c r="G80" i="61" s="1"/>
  <c r="C81" i="61"/>
  <c r="A82" i="61"/>
  <c r="D81" i="61"/>
  <c r="F81" i="61" s="1"/>
  <c r="B82" i="61" s="1"/>
  <c r="E81" i="61" l="1"/>
  <c r="G81" i="61" s="1"/>
  <c r="A83" i="61"/>
  <c r="D82" i="61"/>
  <c r="F82" i="61" s="1"/>
  <c r="B83" i="61" s="1"/>
  <c r="C82" i="61"/>
  <c r="E82" i="61" l="1"/>
  <c r="G82" i="61" s="1"/>
  <c r="C83" i="61"/>
  <c r="A84" i="61"/>
  <c r="D83" i="61"/>
  <c r="F83" i="61" s="1"/>
  <c r="B84" i="61" s="1"/>
  <c r="A85" i="61" l="1"/>
  <c r="D84" i="61"/>
  <c r="F84" i="61" s="1"/>
  <c r="B85" i="61" s="1"/>
  <c r="C84" i="61"/>
  <c r="E83" i="61"/>
  <c r="G83" i="61" s="1"/>
  <c r="E84" i="61" l="1"/>
  <c r="G84" i="61" s="1"/>
  <c r="C85" i="61"/>
  <c r="A86" i="61"/>
  <c r="D85" i="61"/>
  <c r="F85" i="61" s="1"/>
  <c r="B86" i="61" s="1"/>
  <c r="E85" i="61" l="1"/>
  <c r="G85" i="61" s="1"/>
  <c r="A87" i="61"/>
  <c r="D86" i="61"/>
  <c r="F86" i="61" s="1"/>
  <c r="B87" i="61" s="1"/>
  <c r="C86" i="61"/>
  <c r="E86" i="61" l="1"/>
  <c r="G86" i="61" s="1"/>
  <c r="C87" i="61"/>
  <c r="A88" i="61"/>
  <c r="D87" i="61"/>
  <c r="F87" i="61" s="1"/>
  <c r="B88" i="61" s="1"/>
  <c r="A89" i="61" l="1"/>
  <c r="D88" i="61"/>
  <c r="F88" i="61" s="1"/>
  <c r="B89" i="61" s="1"/>
  <c r="C88" i="61"/>
  <c r="E87" i="61"/>
  <c r="G87" i="61" s="1"/>
  <c r="E88" i="61" l="1"/>
  <c r="G88" i="61" s="1"/>
  <c r="C89" i="61"/>
  <c r="A90" i="61"/>
  <c r="D89" i="61"/>
  <c r="F89" i="61" s="1"/>
  <c r="B90" i="61" s="1"/>
  <c r="E89" i="61" l="1"/>
  <c r="G89" i="61" s="1"/>
  <c r="A91" i="61"/>
  <c r="D90" i="61"/>
  <c r="F90" i="61" s="1"/>
  <c r="B91" i="61" s="1"/>
  <c r="C90" i="61"/>
  <c r="E90" i="61" l="1"/>
  <c r="G90" i="61" s="1"/>
  <c r="C91" i="61"/>
  <c r="A92" i="61"/>
  <c r="D91" i="61"/>
  <c r="F91" i="61" s="1"/>
  <c r="B92" i="61" s="1"/>
  <c r="A93" i="61" l="1"/>
  <c r="D92" i="61"/>
  <c r="F92" i="61" s="1"/>
  <c r="B93" i="61" s="1"/>
  <c r="C92" i="61"/>
  <c r="E91" i="61"/>
  <c r="G91" i="61" s="1"/>
  <c r="E92" i="61" l="1"/>
  <c r="G92" i="61" s="1"/>
  <c r="C93" i="61"/>
  <c r="A94" i="61"/>
  <c r="D93" i="61"/>
  <c r="F93" i="61" s="1"/>
  <c r="B94" i="61" s="1"/>
  <c r="E93" i="61" l="1"/>
  <c r="G93" i="61" s="1"/>
  <c r="A95" i="61"/>
  <c r="D94" i="61"/>
  <c r="F94" i="61" s="1"/>
  <c r="B95" i="61" s="1"/>
  <c r="C94" i="61"/>
  <c r="E94" i="61" l="1"/>
  <c r="G94" i="61" s="1"/>
  <c r="C95" i="61"/>
  <c r="D95" i="61"/>
  <c r="F95" i="61" s="1"/>
  <c r="B96" i="61" s="1"/>
  <c r="A96" i="61"/>
  <c r="A97" i="61" l="1"/>
  <c r="D96" i="61"/>
  <c r="F96" i="61" s="1"/>
  <c r="B97" i="61" s="1"/>
  <c r="C96" i="61"/>
  <c r="E95" i="61"/>
  <c r="G95" i="61" s="1"/>
  <c r="E96" i="61" l="1"/>
  <c r="G96" i="61" s="1"/>
  <c r="C97" i="61"/>
  <c r="A98" i="61"/>
  <c r="D97" i="61"/>
  <c r="F97" i="61" s="1"/>
  <c r="B98" i="61" s="1"/>
  <c r="E97" i="61" l="1"/>
  <c r="G97" i="61" s="1"/>
  <c r="A99" i="61"/>
  <c r="D98" i="61"/>
  <c r="F98" i="61" s="1"/>
  <c r="B99" i="61" s="1"/>
  <c r="C98" i="61"/>
  <c r="E98" i="61" l="1"/>
  <c r="G98" i="61" s="1"/>
  <c r="C99" i="61"/>
  <c r="A100" i="61"/>
  <c r="D99" i="61"/>
  <c r="F99" i="61" s="1"/>
  <c r="B100" i="61" s="1"/>
  <c r="A101" i="61" l="1"/>
  <c r="D100" i="61"/>
  <c r="F100" i="61" s="1"/>
  <c r="B101" i="61" s="1"/>
  <c r="C100" i="61"/>
  <c r="E99" i="61"/>
  <c r="G99" i="61" s="1"/>
  <c r="E100" i="61" l="1"/>
  <c r="G100" i="61" s="1"/>
  <c r="C101" i="61"/>
  <c r="A102" i="61"/>
  <c r="D101" i="61"/>
  <c r="F101" i="61" s="1"/>
  <c r="B102" i="61" s="1"/>
  <c r="E101" i="61" l="1"/>
  <c r="G101" i="61" s="1"/>
  <c r="A103" i="61"/>
  <c r="D102" i="61"/>
  <c r="F102" i="61" s="1"/>
  <c r="B103" i="61" s="1"/>
  <c r="C102" i="61"/>
  <c r="E102" i="61" l="1"/>
  <c r="G102" i="61" s="1"/>
  <c r="C103" i="61"/>
  <c r="D103" i="61"/>
  <c r="F103" i="61" s="1"/>
  <c r="B104" i="61" s="1"/>
  <c r="A104" i="61"/>
  <c r="A105" i="61" l="1"/>
  <c r="D104" i="61"/>
  <c r="F104" i="61" s="1"/>
  <c r="B105" i="61" s="1"/>
  <c r="C104" i="61"/>
  <c r="E103" i="61"/>
  <c r="G103" i="61" s="1"/>
  <c r="E104" i="61" l="1"/>
  <c r="G104" i="61" s="1"/>
  <c r="C105" i="61"/>
  <c r="A106" i="61"/>
  <c r="D105" i="61"/>
  <c r="F105" i="61" s="1"/>
  <c r="B106" i="61" s="1"/>
  <c r="E105" i="61" l="1"/>
  <c r="G105" i="61" s="1"/>
  <c r="A107" i="61"/>
  <c r="D106" i="61"/>
  <c r="F106" i="61" s="1"/>
  <c r="B107" i="61" s="1"/>
  <c r="C106" i="61"/>
  <c r="E106" i="61" l="1"/>
  <c r="G106" i="61" s="1"/>
  <c r="C107" i="61"/>
  <c r="A108" i="61"/>
  <c r="D107" i="61"/>
  <c r="F107" i="61" s="1"/>
  <c r="B108" i="61" s="1"/>
  <c r="A109" i="61" l="1"/>
  <c r="D108" i="61"/>
  <c r="F108" i="61" s="1"/>
  <c r="B109" i="61" s="1"/>
  <c r="C108" i="61"/>
  <c r="E107" i="61"/>
  <c r="G107" i="61" s="1"/>
  <c r="E108" i="61" l="1"/>
  <c r="G108" i="61" s="1"/>
  <c r="C109" i="61"/>
  <c r="A110" i="61"/>
  <c r="D109" i="61"/>
  <c r="F109" i="61" s="1"/>
  <c r="B110" i="61" s="1"/>
  <c r="E109" i="61" l="1"/>
  <c r="G109" i="61" s="1"/>
  <c r="A111" i="61"/>
  <c r="D110" i="61"/>
  <c r="F110" i="61" s="1"/>
  <c r="B111" i="61" s="1"/>
  <c r="C110" i="61"/>
  <c r="E110" i="61" l="1"/>
  <c r="G110" i="61" s="1"/>
  <c r="C111" i="61"/>
  <c r="D111" i="61"/>
  <c r="F111" i="61" s="1"/>
  <c r="B112" i="61" s="1"/>
  <c r="A112" i="61"/>
  <c r="A113" i="61" l="1"/>
  <c r="D112" i="61"/>
  <c r="F112" i="61" s="1"/>
  <c r="B113" i="61" s="1"/>
  <c r="C112" i="61"/>
  <c r="E111" i="61"/>
  <c r="G111" i="61" s="1"/>
  <c r="E112" i="61" l="1"/>
  <c r="G112" i="61" s="1"/>
  <c r="C113" i="61"/>
  <c r="A114" i="61"/>
  <c r="D113" i="61"/>
  <c r="F113" i="61" s="1"/>
  <c r="B114" i="61" s="1"/>
  <c r="E113" i="61" l="1"/>
  <c r="G113" i="61" s="1"/>
  <c r="A115" i="61"/>
  <c r="D114" i="61"/>
  <c r="F114" i="61" s="1"/>
  <c r="B115" i="61" s="1"/>
  <c r="C114" i="61"/>
  <c r="E114" i="61" l="1"/>
  <c r="G114" i="61" s="1"/>
  <c r="C115" i="61"/>
  <c r="A116" i="61"/>
  <c r="D115" i="61"/>
  <c r="F115" i="61" s="1"/>
  <c r="B116" i="61" s="1"/>
  <c r="A117" i="61" l="1"/>
  <c r="D116" i="61"/>
  <c r="F116" i="61" s="1"/>
  <c r="B117" i="61" s="1"/>
  <c r="C116" i="61"/>
  <c r="E115" i="61"/>
  <c r="G115" i="61" s="1"/>
  <c r="E116" i="61" l="1"/>
  <c r="G116" i="61" s="1"/>
  <c r="C117" i="61"/>
  <c r="A118" i="61"/>
  <c r="D117" i="61"/>
  <c r="F117" i="61" s="1"/>
  <c r="B118" i="61" s="1"/>
  <c r="E117" i="61" l="1"/>
  <c r="G117" i="61" s="1"/>
  <c r="A119" i="61"/>
  <c r="D118" i="61"/>
  <c r="F118" i="61" s="1"/>
  <c r="B119" i="61" s="1"/>
  <c r="C118" i="61"/>
  <c r="E118" i="61" l="1"/>
  <c r="G118" i="61" s="1"/>
  <c r="C119" i="61"/>
  <c r="D119" i="61"/>
  <c r="F119" i="61" s="1"/>
  <c r="B120" i="61" s="1"/>
  <c r="A120" i="61"/>
  <c r="A121" i="61" l="1"/>
  <c r="D120" i="61"/>
  <c r="F120" i="61" s="1"/>
  <c r="B121" i="61" s="1"/>
  <c r="C120" i="61"/>
  <c r="E119" i="61"/>
  <c r="G119" i="61" s="1"/>
  <c r="E120" i="61" l="1"/>
  <c r="G120" i="61" s="1"/>
  <c r="C121" i="61"/>
  <c r="A122" i="61"/>
  <c r="D121" i="61"/>
  <c r="F121" i="61" s="1"/>
  <c r="B122" i="61" s="1"/>
  <c r="E121" i="61" l="1"/>
  <c r="G121" i="61" s="1"/>
  <c r="A123" i="61"/>
  <c r="D122" i="61"/>
  <c r="F122" i="61" s="1"/>
  <c r="B123" i="61" s="1"/>
  <c r="C122" i="61"/>
  <c r="E122" i="61" l="1"/>
  <c r="G122" i="61" s="1"/>
  <c r="C123" i="61"/>
  <c r="A124" i="61"/>
  <c r="D123" i="61"/>
  <c r="F123" i="61" s="1"/>
  <c r="B124" i="61" s="1"/>
  <c r="A125" i="61" l="1"/>
  <c r="D124" i="61"/>
  <c r="F124" i="61" s="1"/>
  <c r="B125" i="61" s="1"/>
  <c r="C124" i="61"/>
  <c r="E123" i="61"/>
  <c r="G123" i="61" s="1"/>
  <c r="E124" i="61" l="1"/>
  <c r="G124" i="61" s="1"/>
  <c r="C125" i="61"/>
  <c r="A126" i="61"/>
  <c r="D125" i="61"/>
  <c r="F125" i="61" s="1"/>
  <c r="B126" i="61" s="1"/>
  <c r="E125" i="61" l="1"/>
  <c r="G125" i="61" s="1"/>
  <c r="D126" i="61"/>
  <c r="F126" i="61" s="1"/>
  <c r="B127" i="61" s="1"/>
  <c r="C126" i="61"/>
  <c r="A127" i="61"/>
  <c r="E126" i="61" l="1"/>
  <c r="G126" i="61" s="1"/>
  <c r="A128" i="61"/>
  <c r="D127" i="61"/>
  <c r="F127" i="61" s="1"/>
  <c r="B128" i="61" s="1"/>
  <c r="C127" i="61"/>
  <c r="E127" i="61" s="1"/>
  <c r="G127" i="61" s="1"/>
  <c r="C128" i="61" l="1"/>
  <c r="A129" i="61"/>
  <c r="D128" i="61"/>
  <c r="F128" i="61" s="1"/>
  <c r="B129" i="61" s="1"/>
  <c r="E128" i="61" l="1"/>
  <c r="G128" i="61" s="1"/>
  <c r="A130" i="61"/>
  <c r="D129" i="61"/>
  <c r="F129" i="61" s="1"/>
  <c r="B130" i="61" s="1"/>
  <c r="C129" i="61"/>
  <c r="E129" i="61" l="1"/>
  <c r="G129" i="61" s="1"/>
  <c r="C130" i="61"/>
  <c r="A131" i="61"/>
  <c r="D130" i="61"/>
  <c r="F130" i="61" s="1"/>
  <c r="B131" i="61" s="1"/>
  <c r="A132" i="61" l="1"/>
  <c r="D131" i="61"/>
  <c r="F131" i="61" s="1"/>
  <c r="B132" i="61" s="1"/>
  <c r="C131" i="61"/>
  <c r="E130" i="61"/>
  <c r="G130" i="61" s="1"/>
  <c r="E131" i="61" l="1"/>
  <c r="G131" i="61" s="1"/>
  <c r="C132" i="61"/>
  <c r="A133" i="61"/>
  <c r="D132" i="61"/>
  <c r="F132" i="61" s="1"/>
  <c r="B133" i="61" s="1"/>
  <c r="E132" i="61" l="1"/>
  <c r="G132" i="61" s="1"/>
  <c r="A134" i="61"/>
  <c r="D133" i="61"/>
  <c r="F133" i="61" s="1"/>
  <c r="B134" i="61" s="1"/>
  <c r="C133" i="61"/>
  <c r="E133" i="61" l="1"/>
  <c r="G133" i="61" s="1"/>
  <c r="C134" i="61"/>
  <c r="D134" i="61"/>
  <c r="F134" i="61" s="1"/>
  <c r="B135" i="61" s="1"/>
  <c r="A135" i="61"/>
  <c r="A136" i="61" l="1"/>
  <c r="D135" i="61"/>
  <c r="F135" i="61" s="1"/>
  <c r="B136" i="61" s="1"/>
  <c r="C135" i="61"/>
  <c r="E134" i="61"/>
  <c r="G134" i="61" s="1"/>
  <c r="E135" i="61" l="1"/>
  <c r="G135" i="61" s="1"/>
  <c r="C136" i="61"/>
  <c r="A137" i="61"/>
  <c r="D136" i="61"/>
  <c r="F136" i="61" s="1"/>
  <c r="B137" i="61" s="1"/>
  <c r="E136" i="61" l="1"/>
  <c r="G136" i="61" s="1"/>
  <c r="A138" i="61"/>
  <c r="D137" i="61"/>
  <c r="F137" i="61" s="1"/>
  <c r="B138" i="61" s="1"/>
  <c r="C137" i="61"/>
  <c r="E137" i="61" l="1"/>
  <c r="G137" i="61" s="1"/>
  <c r="C138" i="61"/>
  <c r="A139" i="61"/>
  <c r="D138" i="61"/>
  <c r="F138" i="61" s="1"/>
  <c r="B139" i="61" s="1"/>
  <c r="A140" i="61" l="1"/>
  <c r="D139" i="61"/>
  <c r="F139" i="61" s="1"/>
  <c r="B140" i="61" s="1"/>
  <c r="C139" i="61"/>
  <c r="E138" i="61"/>
  <c r="G138" i="61" s="1"/>
  <c r="E139" i="61" l="1"/>
  <c r="G139" i="61" s="1"/>
  <c r="C140" i="61"/>
  <c r="A141" i="61"/>
  <c r="D140" i="61"/>
  <c r="F140" i="61" s="1"/>
  <c r="B141" i="61" s="1"/>
  <c r="E140" i="61" l="1"/>
  <c r="G140" i="61" s="1"/>
  <c r="A142" i="61"/>
  <c r="D141" i="61"/>
  <c r="F141" i="61" s="1"/>
  <c r="B142" i="61" s="1"/>
  <c r="C141" i="61"/>
  <c r="E141" i="61" l="1"/>
  <c r="G141" i="61" s="1"/>
  <c r="C142" i="61"/>
  <c r="D142" i="61"/>
  <c r="F142" i="61" s="1"/>
  <c r="B143" i="61" s="1"/>
  <c r="A143" i="61"/>
  <c r="A144" i="61" l="1"/>
  <c r="D143" i="61"/>
  <c r="F143" i="61" s="1"/>
  <c r="B144" i="61" s="1"/>
  <c r="C143" i="61"/>
  <c r="E142" i="61"/>
  <c r="G142" i="61" s="1"/>
  <c r="E143" i="61" l="1"/>
  <c r="G143" i="61" s="1"/>
  <c r="C144" i="61"/>
  <c r="A145" i="61"/>
  <c r="D144" i="61"/>
  <c r="F144" i="61" s="1"/>
  <c r="B145" i="61" s="1"/>
  <c r="E144" i="61" l="1"/>
  <c r="G144" i="61" s="1"/>
  <c r="A146" i="61"/>
  <c r="D145" i="61"/>
  <c r="F145" i="61" s="1"/>
  <c r="B146" i="61" s="1"/>
  <c r="C145" i="61"/>
  <c r="E145" i="61" l="1"/>
  <c r="G145" i="61" s="1"/>
  <c r="C146" i="61"/>
  <c r="A147" i="61"/>
  <c r="D146" i="61"/>
  <c r="F146" i="61" s="1"/>
  <c r="B147" i="61" s="1"/>
  <c r="A148" i="61" l="1"/>
  <c r="D147" i="61"/>
  <c r="F147" i="61" s="1"/>
  <c r="B148" i="61" s="1"/>
  <c r="C147" i="61"/>
  <c r="E146" i="61"/>
  <c r="G146" i="61" s="1"/>
  <c r="E147" i="61" l="1"/>
  <c r="G147" i="61" s="1"/>
  <c r="C148" i="61"/>
  <c r="A149" i="61"/>
  <c r="D148" i="61"/>
  <c r="F148" i="61" s="1"/>
  <c r="B149" i="61" s="1"/>
  <c r="E148" i="61" l="1"/>
  <c r="G148" i="61" s="1"/>
  <c r="A150" i="61"/>
  <c r="D149" i="61"/>
  <c r="F149" i="61" s="1"/>
  <c r="B150" i="61" s="1"/>
  <c r="C149" i="61"/>
  <c r="E149" i="61" l="1"/>
  <c r="G149" i="61" s="1"/>
  <c r="C150" i="61"/>
  <c r="D150" i="61"/>
  <c r="F150" i="61" s="1"/>
  <c r="E150" i="61" l="1"/>
  <c r="G150" i="61" s="1"/>
  <c r="A20" i="60" l="1"/>
  <c r="B19" i="60"/>
  <c r="C8" i="60"/>
  <c r="C8" i="57"/>
  <c r="A20" i="59"/>
  <c r="A21" i="59" s="1"/>
  <c r="A22" i="59" s="1"/>
  <c r="A23" i="59" s="1"/>
  <c r="A24" i="59" s="1"/>
  <c r="A25" i="59" s="1"/>
  <c r="C10" i="59"/>
  <c r="C8" i="59"/>
  <c r="C6" i="59"/>
  <c r="A20" i="58"/>
  <c r="A21" i="58" s="1"/>
  <c r="A22" i="58" s="1"/>
  <c r="A23" i="58" s="1"/>
  <c r="A24" i="58" s="1"/>
  <c r="A25" i="58" s="1"/>
  <c r="B19" i="58"/>
  <c r="A20" i="57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A53" i="57" s="1"/>
  <c r="A54" i="57" s="1"/>
  <c r="A55" i="57" s="1"/>
  <c r="A56" i="57" s="1"/>
  <c r="A57" i="57" s="1"/>
  <c r="A58" i="57" s="1"/>
  <c r="A59" i="57" s="1"/>
  <c r="A60" i="57" s="1"/>
  <c r="A61" i="57" s="1"/>
  <c r="A62" i="57" s="1"/>
  <c r="A63" i="57" s="1"/>
  <c r="A64" i="57" s="1"/>
  <c r="A65" i="57" s="1"/>
  <c r="A66" i="57" s="1"/>
  <c r="A67" i="57" s="1"/>
  <c r="A68" i="57" s="1"/>
  <c r="A69" i="57" s="1"/>
  <c r="A70" i="57" s="1"/>
  <c r="A71" i="57" s="1"/>
  <c r="A72" i="57" s="1"/>
  <c r="A73" i="57" s="1"/>
  <c r="A74" i="57" s="1"/>
  <c r="A75" i="57" s="1"/>
  <c r="A76" i="57" s="1"/>
  <c r="A77" i="57" s="1"/>
  <c r="A78" i="57" s="1"/>
  <c r="A79" i="57" s="1"/>
  <c r="A80" i="57" s="1"/>
  <c r="A81" i="57" s="1"/>
  <c r="A82" i="57" s="1"/>
  <c r="A83" i="57" s="1"/>
  <c r="A84" i="57" s="1"/>
  <c r="A85" i="57" s="1"/>
  <c r="A86" i="57" s="1"/>
  <c r="A87" i="57" s="1"/>
  <c r="A88" i="57" s="1"/>
  <c r="A89" i="57" s="1"/>
  <c r="A90" i="57" s="1"/>
  <c r="A91" i="57" s="1"/>
  <c r="A92" i="57" s="1"/>
  <c r="A93" i="57" s="1"/>
  <c r="A94" i="57" s="1"/>
  <c r="A95" i="57" s="1"/>
  <c r="A96" i="57" s="1"/>
  <c r="A97" i="57" s="1"/>
  <c r="A98" i="57" s="1"/>
  <c r="A99" i="57" s="1"/>
  <c r="A100" i="57" s="1"/>
  <c r="A101" i="57" s="1"/>
  <c r="A102" i="57" s="1"/>
  <c r="A103" i="57" s="1"/>
  <c r="A104" i="57" s="1"/>
  <c r="A105" i="57" s="1"/>
  <c r="A106" i="57" s="1"/>
  <c r="A107" i="57" s="1"/>
  <c r="A108" i="57" s="1"/>
  <c r="A109" i="57" s="1"/>
  <c r="A110" i="57" s="1"/>
  <c r="A111" i="57" s="1"/>
  <c r="A112" i="57" s="1"/>
  <c r="A113" i="57" s="1"/>
  <c r="A114" i="57" s="1"/>
  <c r="A115" i="57" s="1"/>
  <c r="A116" i="57" s="1"/>
  <c r="A117" i="57" s="1"/>
  <c r="A118" i="57" s="1"/>
  <c r="A119" i="57" s="1"/>
  <c r="A120" i="57" s="1"/>
  <c r="A121" i="57" s="1"/>
  <c r="A122" i="57" s="1"/>
  <c r="A123" i="57" s="1"/>
  <c r="A124" i="57" s="1"/>
  <c r="A125" i="57" s="1"/>
  <c r="A126" i="57" s="1"/>
  <c r="A127" i="57" s="1"/>
  <c r="A128" i="57" s="1"/>
  <c r="A129" i="57" s="1"/>
  <c r="A130" i="57" s="1"/>
  <c r="A131" i="57" s="1"/>
  <c r="A132" i="57" s="1"/>
  <c r="A133" i="57" s="1"/>
  <c r="A134" i="57" s="1"/>
  <c r="A135" i="57" s="1"/>
  <c r="A136" i="57" s="1"/>
  <c r="A137" i="57" s="1"/>
  <c r="A138" i="57" s="1"/>
  <c r="A139" i="57" s="1"/>
  <c r="A140" i="57" s="1"/>
  <c r="A141" i="57" s="1"/>
  <c r="A142" i="57" s="1"/>
  <c r="A143" i="57" s="1"/>
  <c r="A144" i="57" s="1"/>
  <c r="A145" i="57" s="1"/>
  <c r="A146" i="57" s="1"/>
  <c r="A147" i="57" s="1"/>
  <c r="A148" i="57" s="1"/>
  <c r="A149" i="57" s="1"/>
  <c r="A150" i="57" s="1"/>
  <c r="B19" i="57"/>
  <c r="D19" i="60" l="1"/>
  <c r="F19" i="60" s="1"/>
  <c r="B20" i="60" s="1"/>
  <c r="C20" i="60"/>
  <c r="C19" i="60"/>
  <c r="E19" i="60" s="1"/>
  <c r="D20" i="60"/>
  <c r="A21" i="60"/>
  <c r="A26" i="59"/>
  <c r="A26" i="58"/>
  <c r="C25" i="58"/>
  <c r="C19" i="58"/>
  <c r="C21" i="58"/>
  <c r="D22" i="58"/>
  <c r="D25" i="58"/>
  <c r="C24" i="58"/>
  <c r="D23" i="58"/>
  <c r="C22" i="58"/>
  <c r="D21" i="58"/>
  <c r="C20" i="58"/>
  <c r="D19" i="58"/>
  <c r="F19" i="58" s="1"/>
  <c r="B20" i="58" s="1"/>
  <c r="D20" i="58"/>
  <c r="C23" i="58"/>
  <c r="E23" i="58" s="1"/>
  <c r="G23" i="58" s="1"/>
  <c r="D24" i="58"/>
  <c r="C150" i="57"/>
  <c r="D149" i="57"/>
  <c r="C148" i="57"/>
  <c r="D147" i="57"/>
  <c r="C146" i="57"/>
  <c r="D145" i="57"/>
  <c r="C144" i="57"/>
  <c r="D143" i="57"/>
  <c r="C142" i="57"/>
  <c r="D141" i="57"/>
  <c r="C140" i="57"/>
  <c r="D139" i="57"/>
  <c r="C138" i="57"/>
  <c r="D137" i="57"/>
  <c r="C136" i="57"/>
  <c r="D135" i="57"/>
  <c r="C134" i="57"/>
  <c r="D133" i="57"/>
  <c r="C132" i="57"/>
  <c r="D131" i="57"/>
  <c r="C130" i="57"/>
  <c r="D129" i="57"/>
  <c r="C128" i="57"/>
  <c r="D127" i="57"/>
  <c r="D150" i="57"/>
  <c r="C149" i="57"/>
  <c r="E149" i="57" s="1"/>
  <c r="G149" i="57" s="1"/>
  <c r="D148" i="57"/>
  <c r="C147" i="57"/>
  <c r="E147" i="57" s="1"/>
  <c r="G147" i="57" s="1"/>
  <c r="D146" i="57"/>
  <c r="C145" i="57"/>
  <c r="E145" i="57" s="1"/>
  <c r="G145" i="57" s="1"/>
  <c r="D144" i="57"/>
  <c r="C143" i="57"/>
  <c r="E143" i="57" s="1"/>
  <c r="G143" i="57" s="1"/>
  <c r="D142" i="57"/>
  <c r="C141" i="57"/>
  <c r="E141" i="57" s="1"/>
  <c r="G141" i="57" s="1"/>
  <c r="D140" i="57"/>
  <c r="C139" i="57"/>
  <c r="E139" i="57" s="1"/>
  <c r="G139" i="57" s="1"/>
  <c r="D138" i="57"/>
  <c r="C137" i="57"/>
  <c r="E137" i="57" s="1"/>
  <c r="G137" i="57" s="1"/>
  <c r="D136" i="57"/>
  <c r="C135" i="57"/>
  <c r="E135" i="57" s="1"/>
  <c r="G135" i="57" s="1"/>
  <c r="D134" i="57"/>
  <c r="C133" i="57"/>
  <c r="E133" i="57" s="1"/>
  <c r="G133" i="57" s="1"/>
  <c r="D132" i="57"/>
  <c r="C131" i="57"/>
  <c r="E131" i="57" s="1"/>
  <c r="G131" i="57" s="1"/>
  <c r="D130" i="57"/>
  <c r="C129" i="57"/>
  <c r="E129" i="57" s="1"/>
  <c r="G129" i="57" s="1"/>
  <c r="D128" i="57"/>
  <c r="C127" i="57"/>
  <c r="E127" i="57" s="1"/>
  <c r="G127" i="57" s="1"/>
  <c r="C126" i="57"/>
  <c r="D125" i="57"/>
  <c r="C124" i="57"/>
  <c r="D123" i="57"/>
  <c r="C122" i="57"/>
  <c r="D121" i="57"/>
  <c r="C120" i="57"/>
  <c r="D119" i="57"/>
  <c r="C118" i="57"/>
  <c r="D117" i="57"/>
  <c r="C116" i="57"/>
  <c r="D115" i="57"/>
  <c r="C114" i="57"/>
  <c r="D113" i="57"/>
  <c r="C112" i="57"/>
  <c r="D111" i="57"/>
  <c r="C110" i="57"/>
  <c r="D109" i="57"/>
  <c r="C108" i="57"/>
  <c r="D107" i="57"/>
  <c r="C106" i="57"/>
  <c r="D105" i="57"/>
  <c r="C104" i="57"/>
  <c r="D103" i="57"/>
  <c r="D126" i="57"/>
  <c r="C125" i="57"/>
  <c r="E125" i="57" s="1"/>
  <c r="G125" i="57" s="1"/>
  <c r="D124" i="57"/>
  <c r="C123" i="57"/>
  <c r="E123" i="57" s="1"/>
  <c r="G123" i="57" s="1"/>
  <c r="D122" i="57"/>
  <c r="C121" i="57"/>
  <c r="E121" i="57" s="1"/>
  <c r="G121" i="57" s="1"/>
  <c r="D120" i="57"/>
  <c r="C119" i="57"/>
  <c r="E119" i="57" s="1"/>
  <c r="G119" i="57" s="1"/>
  <c r="D118" i="57"/>
  <c r="C117" i="57"/>
  <c r="E117" i="57" s="1"/>
  <c r="G117" i="57" s="1"/>
  <c r="D116" i="57"/>
  <c r="C115" i="57"/>
  <c r="E115" i="57" s="1"/>
  <c r="G115" i="57" s="1"/>
  <c r="D114" i="57"/>
  <c r="C113" i="57"/>
  <c r="E113" i="57" s="1"/>
  <c r="G113" i="57" s="1"/>
  <c r="D112" i="57"/>
  <c r="C111" i="57"/>
  <c r="E111" i="57" s="1"/>
  <c r="G111" i="57" s="1"/>
  <c r="D110" i="57"/>
  <c r="C109" i="57"/>
  <c r="E109" i="57" s="1"/>
  <c r="G109" i="57" s="1"/>
  <c r="D108" i="57"/>
  <c r="C107" i="57"/>
  <c r="D106" i="57"/>
  <c r="C105" i="57"/>
  <c r="E105" i="57" s="1"/>
  <c r="G105" i="57" s="1"/>
  <c r="D104" i="57"/>
  <c r="C103" i="57"/>
  <c r="E103" i="57" s="1"/>
  <c r="G103" i="57" s="1"/>
  <c r="D102" i="57"/>
  <c r="C102" i="57"/>
  <c r="E102" i="57" s="1"/>
  <c r="G102" i="57" s="1"/>
  <c r="D101" i="57"/>
  <c r="C100" i="57"/>
  <c r="D99" i="57"/>
  <c r="C98" i="57"/>
  <c r="D97" i="57"/>
  <c r="C96" i="57"/>
  <c r="D95" i="57"/>
  <c r="C94" i="57"/>
  <c r="D93" i="57"/>
  <c r="C92" i="57"/>
  <c r="D91" i="57"/>
  <c r="C90" i="57"/>
  <c r="D89" i="57"/>
  <c r="C88" i="57"/>
  <c r="D87" i="57"/>
  <c r="C86" i="57"/>
  <c r="D85" i="57"/>
  <c r="C84" i="57"/>
  <c r="D83" i="57"/>
  <c r="C82" i="57"/>
  <c r="D81" i="57"/>
  <c r="C80" i="57"/>
  <c r="D79" i="57"/>
  <c r="C78" i="57"/>
  <c r="D77" i="57"/>
  <c r="C76" i="57"/>
  <c r="D75" i="57"/>
  <c r="C74" i="57"/>
  <c r="D73" i="57"/>
  <c r="C72" i="57"/>
  <c r="D71" i="57"/>
  <c r="C70" i="57"/>
  <c r="D69" i="57"/>
  <c r="C68" i="57"/>
  <c r="D67" i="57"/>
  <c r="C66" i="57"/>
  <c r="D65" i="57"/>
  <c r="C64" i="57"/>
  <c r="D63" i="57"/>
  <c r="C62" i="57"/>
  <c r="D61" i="57"/>
  <c r="C60" i="57"/>
  <c r="D59" i="57"/>
  <c r="C58" i="57"/>
  <c r="D57" i="57"/>
  <c r="C56" i="57"/>
  <c r="D55" i="57"/>
  <c r="C54" i="57"/>
  <c r="C101" i="57"/>
  <c r="E101" i="57" s="1"/>
  <c r="G101" i="57" s="1"/>
  <c r="D100" i="57"/>
  <c r="C99" i="57"/>
  <c r="E99" i="57" s="1"/>
  <c r="G99" i="57" s="1"/>
  <c r="D98" i="57"/>
  <c r="C97" i="57"/>
  <c r="E97" i="57" s="1"/>
  <c r="G97" i="57" s="1"/>
  <c r="D96" i="57"/>
  <c r="C95" i="57"/>
  <c r="E95" i="57" s="1"/>
  <c r="G95" i="57" s="1"/>
  <c r="D94" i="57"/>
  <c r="C93" i="57"/>
  <c r="E93" i="57" s="1"/>
  <c r="G93" i="57" s="1"/>
  <c r="D92" i="57"/>
  <c r="C91" i="57"/>
  <c r="E91" i="57" s="1"/>
  <c r="G91" i="57" s="1"/>
  <c r="D90" i="57"/>
  <c r="C89" i="57"/>
  <c r="E89" i="57" s="1"/>
  <c r="G89" i="57" s="1"/>
  <c r="D88" i="57"/>
  <c r="C87" i="57"/>
  <c r="E87" i="57" s="1"/>
  <c r="G87" i="57" s="1"/>
  <c r="D86" i="57"/>
  <c r="C85" i="57"/>
  <c r="E85" i="57" s="1"/>
  <c r="G85" i="57" s="1"/>
  <c r="D84" i="57"/>
  <c r="C83" i="57"/>
  <c r="E83" i="57" s="1"/>
  <c r="G83" i="57" s="1"/>
  <c r="D82" i="57"/>
  <c r="C81" i="57"/>
  <c r="E81" i="57" s="1"/>
  <c r="G81" i="57" s="1"/>
  <c r="D80" i="57"/>
  <c r="C79" i="57"/>
  <c r="E79" i="57" s="1"/>
  <c r="G79" i="57" s="1"/>
  <c r="D78" i="57"/>
  <c r="C77" i="57"/>
  <c r="E77" i="57" s="1"/>
  <c r="G77" i="57" s="1"/>
  <c r="D76" i="57"/>
  <c r="C75" i="57"/>
  <c r="E75" i="57" s="1"/>
  <c r="G75" i="57" s="1"/>
  <c r="D74" i="57"/>
  <c r="C73" i="57"/>
  <c r="E73" i="57" s="1"/>
  <c r="G73" i="57" s="1"/>
  <c r="D72" i="57"/>
  <c r="C71" i="57"/>
  <c r="E71" i="57" s="1"/>
  <c r="G71" i="57" s="1"/>
  <c r="D70" i="57"/>
  <c r="C69" i="57"/>
  <c r="E69" i="57" s="1"/>
  <c r="G69" i="57" s="1"/>
  <c r="D68" i="57"/>
  <c r="C67" i="57"/>
  <c r="E67" i="57" s="1"/>
  <c r="G67" i="57" s="1"/>
  <c r="D66" i="57"/>
  <c r="C65" i="57"/>
  <c r="E65" i="57" s="1"/>
  <c r="G65" i="57" s="1"/>
  <c r="D64" i="57"/>
  <c r="C63" i="57"/>
  <c r="E63" i="57" s="1"/>
  <c r="G63" i="57" s="1"/>
  <c r="D62" i="57"/>
  <c r="C61" i="57"/>
  <c r="E61" i="57" s="1"/>
  <c r="G61" i="57" s="1"/>
  <c r="D60" i="57"/>
  <c r="C59" i="57"/>
  <c r="E59" i="57" s="1"/>
  <c r="G59" i="57" s="1"/>
  <c r="D58" i="57"/>
  <c r="C57" i="57"/>
  <c r="E57" i="57" s="1"/>
  <c r="G57" i="57" s="1"/>
  <c r="D56" i="57"/>
  <c r="C55" i="57"/>
  <c r="E55" i="57" s="1"/>
  <c r="G55" i="57" s="1"/>
  <c r="D54" i="57"/>
  <c r="C19" i="57"/>
  <c r="D20" i="57"/>
  <c r="C21" i="57"/>
  <c r="D22" i="57"/>
  <c r="C23" i="57"/>
  <c r="D24" i="57"/>
  <c r="C25" i="57"/>
  <c r="D26" i="57"/>
  <c r="C27" i="57"/>
  <c r="D28" i="57"/>
  <c r="C29" i="57"/>
  <c r="D30" i="57"/>
  <c r="C31" i="57"/>
  <c r="D32" i="57"/>
  <c r="C33" i="57"/>
  <c r="D34" i="57"/>
  <c r="C35" i="57"/>
  <c r="D36" i="57"/>
  <c r="C37" i="57"/>
  <c r="D38" i="57"/>
  <c r="C39" i="57"/>
  <c r="D40" i="57"/>
  <c r="C41" i="57"/>
  <c r="D42" i="57"/>
  <c r="C43" i="57"/>
  <c r="D44" i="57"/>
  <c r="C45" i="57"/>
  <c r="D46" i="57"/>
  <c r="C47" i="57"/>
  <c r="D48" i="57"/>
  <c r="C49" i="57"/>
  <c r="D50" i="57"/>
  <c r="C51" i="57"/>
  <c r="D52" i="57"/>
  <c r="C53" i="57"/>
  <c r="D19" i="57"/>
  <c r="F19" i="57" s="1"/>
  <c r="B20" i="57" s="1"/>
  <c r="C20" i="57"/>
  <c r="D21" i="57"/>
  <c r="C22" i="57"/>
  <c r="D23" i="57"/>
  <c r="C24" i="57"/>
  <c r="D25" i="57"/>
  <c r="C26" i="57"/>
  <c r="D27" i="57"/>
  <c r="C28" i="57"/>
  <c r="D29" i="57"/>
  <c r="C30" i="57"/>
  <c r="D31" i="57"/>
  <c r="C32" i="57"/>
  <c r="D33" i="57"/>
  <c r="C34" i="57"/>
  <c r="D35" i="57"/>
  <c r="C36" i="57"/>
  <c r="D37" i="57"/>
  <c r="C38" i="57"/>
  <c r="D39" i="57"/>
  <c r="C40" i="57"/>
  <c r="D41" i="57"/>
  <c r="C42" i="57"/>
  <c r="D43" i="57"/>
  <c r="C44" i="57"/>
  <c r="D45" i="57"/>
  <c r="C46" i="57"/>
  <c r="D47" i="57"/>
  <c r="C48" i="57"/>
  <c r="D49" i="57"/>
  <c r="C50" i="57"/>
  <c r="D51" i="57"/>
  <c r="C52" i="57"/>
  <c r="D53" i="57"/>
  <c r="E22" i="58" l="1"/>
  <c r="G22" i="58" s="1"/>
  <c r="F20" i="57"/>
  <c r="B21" i="57" s="1"/>
  <c r="E107" i="57"/>
  <c r="G107" i="57" s="1"/>
  <c r="G19" i="60"/>
  <c r="E20" i="60"/>
  <c r="G20" i="60" s="1"/>
  <c r="A22" i="60"/>
  <c r="D21" i="60"/>
  <c r="C21" i="60"/>
  <c r="F20" i="60"/>
  <c r="B21" i="60" s="1"/>
  <c r="E52" i="57"/>
  <c r="G52" i="57" s="1"/>
  <c r="E50" i="57"/>
  <c r="G50" i="57" s="1"/>
  <c r="E48" i="57"/>
  <c r="G48" i="57" s="1"/>
  <c r="E46" i="57"/>
  <c r="G46" i="57" s="1"/>
  <c r="E44" i="57"/>
  <c r="G44" i="57" s="1"/>
  <c r="E42" i="57"/>
  <c r="G42" i="57" s="1"/>
  <c r="E40" i="57"/>
  <c r="G40" i="57" s="1"/>
  <c r="E38" i="57"/>
  <c r="G38" i="57" s="1"/>
  <c r="E36" i="57"/>
  <c r="G36" i="57" s="1"/>
  <c r="E34" i="57"/>
  <c r="G34" i="57" s="1"/>
  <c r="E32" i="57"/>
  <c r="G32" i="57" s="1"/>
  <c r="E30" i="57"/>
  <c r="G30" i="57" s="1"/>
  <c r="E28" i="57"/>
  <c r="G28" i="57" s="1"/>
  <c r="E26" i="57"/>
  <c r="G26" i="57" s="1"/>
  <c r="E24" i="57"/>
  <c r="G24" i="57" s="1"/>
  <c r="E22" i="57"/>
  <c r="G22" i="57" s="1"/>
  <c r="E20" i="57"/>
  <c r="G20" i="57" s="1"/>
  <c r="F21" i="57"/>
  <c r="B22" i="57" s="1"/>
  <c r="F22" i="57" s="1"/>
  <c r="B23" i="57" s="1"/>
  <c r="F23" i="57" s="1"/>
  <c r="B24" i="57" s="1"/>
  <c r="F24" i="57" s="1"/>
  <c r="B25" i="57" s="1"/>
  <c r="F25" i="57" s="1"/>
  <c r="B26" i="57" s="1"/>
  <c r="F26" i="57" s="1"/>
  <c r="B27" i="57" s="1"/>
  <c r="F27" i="57" s="1"/>
  <c r="B28" i="57" s="1"/>
  <c r="F28" i="57" s="1"/>
  <c r="B29" i="57" s="1"/>
  <c r="F29" i="57" s="1"/>
  <c r="B30" i="57" s="1"/>
  <c r="F30" i="57" s="1"/>
  <c r="B31" i="57" s="1"/>
  <c r="F31" i="57" s="1"/>
  <c r="B32" i="57" s="1"/>
  <c r="F32" i="57" s="1"/>
  <c r="B33" i="57" s="1"/>
  <c r="F33" i="57" s="1"/>
  <c r="B34" i="57" s="1"/>
  <c r="F34" i="57" s="1"/>
  <c r="B35" i="57" s="1"/>
  <c r="F35" i="57" s="1"/>
  <c r="B36" i="57" s="1"/>
  <c r="F36" i="57" s="1"/>
  <c r="B37" i="57" s="1"/>
  <c r="F37" i="57" s="1"/>
  <c r="B38" i="57" s="1"/>
  <c r="F38" i="57" s="1"/>
  <c r="B39" i="57" s="1"/>
  <c r="F39" i="57" s="1"/>
  <c r="B40" i="57" s="1"/>
  <c r="F40" i="57" s="1"/>
  <c r="B41" i="57" s="1"/>
  <c r="F41" i="57" s="1"/>
  <c r="B42" i="57" s="1"/>
  <c r="F42" i="57" s="1"/>
  <c r="B43" i="57" s="1"/>
  <c r="F43" i="57" s="1"/>
  <c r="B44" i="57" s="1"/>
  <c r="F44" i="57" s="1"/>
  <c r="B45" i="57" s="1"/>
  <c r="F45" i="57" s="1"/>
  <c r="B46" i="57" s="1"/>
  <c r="F46" i="57" s="1"/>
  <c r="B47" i="57" s="1"/>
  <c r="F47" i="57" s="1"/>
  <c r="B48" i="57" s="1"/>
  <c r="F48" i="57" s="1"/>
  <c r="B49" i="57" s="1"/>
  <c r="F49" i="57" s="1"/>
  <c r="B50" i="57" s="1"/>
  <c r="F50" i="57" s="1"/>
  <c r="B51" i="57" s="1"/>
  <c r="F51" i="57" s="1"/>
  <c r="B52" i="57" s="1"/>
  <c r="F52" i="57" s="1"/>
  <c r="B53" i="57" s="1"/>
  <c r="F53" i="57" s="1"/>
  <c r="B54" i="57" s="1"/>
  <c r="F54" i="57" s="1"/>
  <c r="B55" i="57" s="1"/>
  <c r="F55" i="57" s="1"/>
  <c r="B56" i="57" s="1"/>
  <c r="F56" i="57" s="1"/>
  <c r="B57" i="57" s="1"/>
  <c r="F57" i="57" s="1"/>
  <c r="B58" i="57" s="1"/>
  <c r="F58" i="57" s="1"/>
  <c r="B59" i="57" s="1"/>
  <c r="F59" i="57" s="1"/>
  <c r="B60" i="57" s="1"/>
  <c r="F60" i="57" s="1"/>
  <c r="B61" i="57" s="1"/>
  <c r="F61" i="57" s="1"/>
  <c r="B62" i="57" s="1"/>
  <c r="F62" i="57" s="1"/>
  <c r="B63" i="57" s="1"/>
  <c r="F63" i="57" s="1"/>
  <c r="B64" i="57" s="1"/>
  <c r="F64" i="57" s="1"/>
  <c r="B65" i="57" s="1"/>
  <c r="F65" i="57" s="1"/>
  <c r="B66" i="57" s="1"/>
  <c r="F66" i="57" s="1"/>
  <c r="B67" i="57" s="1"/>
  <c r="F67" i="57" s="1"/>
  <c r="B68" i="57" s="1"/>
  <c r="F68" i="57" s="1"/>
  <c r="B69" i="57" s="1"/>
  <c r="F69" i="57" s="1"/>
  <c r="B70" i="57" s="1"/>
  <c r="F70" i="57" s="1"/>
  <c r="B71" i="57" s="1"/>
  <c r="F71" i="57" s="1"/>
  <c r="B72" i="57" s="1"/>
  <c r="F72" i="57" s="1"/>
  <c r="B73" i="57" s="1"/>
  <c r="F73" i="57" s="1"/>
  <c r="B74" i="57" s="1"/>
  <c r="F74" i="57" s="1"/>
  <c r="B75" i="57" s="1"/>
  <c r="F75" i="57" s="1"/>
  <c r="B76" i="57" s="1"/>
  <c r="F76" i="57" s="1"/>
  <c r="B77" i="57" s="1"/>
  <c r="F77" i="57" s="1"/>
  <c r="B78" i="57" s="1"/>
  <c r="F78" i="57" s="1"/>
  <c r="B79" i="57" s="1"/>
  <c r="F79" i="57" s="1"/>
  <c r="B80" i="57" s="1"/>
  <c r="F80" i="57" s="1"/>
  <c r="B81" i="57" s="1"/>
  <c r="F81" i="57" s="1"/>
  <c r="B82" i="57" s="1"/>
  <c r="F82" i="57" s="1"/>
  <c r="B83" i="57" s="1"/>
  <c r="F83" i="57" s="1"/>
  <c r="B84" i="57" s="1"/>
  <c r="F84" i="57" s="1"/>
  <c r="B85" i="57" s="1"/>
  <c r="F85" i="57" s="1"/>
  <c r="B86" i="57" s="1"/>
  <c r="F86" i="57" s="1"/>
  <c r="B87" i="57" s="1"/>
  <c r="F87" i="57" s="1"/>
  <c r="B88" i="57" s="1"/>
  <c r="F88" i="57" s="1"/>
  <c r="B89" i="57" s="1"/>
  <c r="F89" i="57" s="1"/>
  <c r="B90" i="57" s="1"/>
  <c r="F90" i="57" s="1"/>
  <c r="B91" i="57" s="1"/>
  <c r="F91" i="57" s="1"/>
  <c r="B92" i="57" s="1"/>
  <c r="F92" i="57" s="1"/>
  <c r="B93" i="57" s="1"/>
  <c r="F93" i="57" s="1"/>
  <c r="B94" i="57" s="1"/>
  <c r="F94" i="57" s="1"/>
  <c r="B95" i="57" s="1"/>
  <c r="F95" i="57" s="1"/>
  <c r="B96" i="57" s="1"/>
  <c r="F96" i="57" s="1"/>
  <c r="B97" i="57" s="1"/>
  <c r="F97" i="57" s="1"/>
  <c r="B98" i="57" s="1"/>
  <c r="F98" i="57" s="1"/>
  <c r="B99" i="57" s="1"/>
  <c r="F99" i="57" s="1"/>
  <c r="B100" i="57" s="1"/>
  <c r="F100" i="57" s="1"/>
  <c r="B101" i="57" s="1"/>
  <c r="F101" i="57" s="1"/>
  <c r="B102" i="57" s="1"/>
  <c r="F102" i="57" s="1"/>
  <c r="B103" i="57" s="1"/>
  <c r="F103" i="57" s="1"/>
  <c r="B104" i="57" s="1"/>
  <c r="F104" i="57" s="1"/>
  <c r="B105" i="57" s="1"/>
  <c r="F105" i="57" s="1"/>
  <c r="B106" i="57" s="1"/>
  <c r="F106" i="57" s="1"/>
  <c r="B107" i="57" s="1"/>
  <c r="F107" i="57" s="1"/>
  <c r="B108" i="57" s="1"/>
  <c r="F108" i="57" s="1"/>
  <c r="B109" i="57" s="1"/>
  <c r="F109" i="57" s="1"/>
  <c r="B110" i="57" s="1"/>
  <c r="F110" i="57" s="1"/>
  <c r="B111" i="57" s="1"/>
  <c r="F111" i="57" s="1"/>
  <c r="B112" i="57" s="1"/>
  <c r="F112" i="57" s="1"/>
  <c r="B113" i="57" s="1"/>
  <c r="F113" i="57" s="1"/>
  <c r="B114" i="57" s="1"/>
  <c r="F114" i="57" s="1"/>
  <c r="B115" i="57" s="1"/>
  <c r="F115" i="57" s="1"/>
  <c r="B116" i="57" s="1"/>
  <c r="F116" i="57" s="1"/>
  <c r="B117" i="57" s="1"/>
  <c r="F117" i="57" s="1"/>
  <c r="B118" i="57" s="1"/>
  <c r="F118" i="57" s="1"/>
  <c r="B119" i="57" s="1"/>
  <c r="F119" i="57" s="1"/>
  <c r="B120" i="57" s="1"/>
  <c r="F120" i="57" s="1"/>
  <c r="B121" i="57" s="1"/>
  <c r="F121" i="57" s="1"/>
  <c r="B122" i="57" s="1"/>
  <c r="F122" i="57" s="1"/>
  <c r="B123" i="57" s="1"/>
  <c r="F123" i="57" s="1"/>
  <c r="B124" i="57" s="1"/>
  <c r="F124" i="57" s="1"/>
  <c r="B125" i="57" s="1"/>
  <c r="F125" i="57" s="1"/>
  <c r="B126" i="57" s="1"/>
  <c r="F126" i="57" s="1"/>
  <c r="B127" i="57" s="1"/>
  <c r="F127" i="57" s="1"/>
  <c r="B128" i="57" s="1"/>
  <c r="F128" i="57" s="1"/>
  <c r="B129" i="57" s="1"/>
  <c r="F129" i="57" s="1"/>
  <c r="B130" i="57" s="1"/>
  <c r="F130" i="57" s="1"/>
  <c r="B131" i="57" s="1"/>
  <c r="F131" i="57" s="1"/>
  <c r="B132" i="57" s="1"/>
  <c r="F132" i="57" s="1"/>
  <c r="B133" i="57" s="1"/>
  <c r="F133" i="57" s="1"/>
  <c r="B134" i="57" s="1"/>
  <c r="F134" i="57" s="1"/>
  <c r="B135" i="57" s="1"/>
  <c r="F135" i="57" s="1"/>
  <c r="B136" i="57" s="1"/>
  <c r="F136" i="57" s="1"/>
  <c r="B137" i="57" s="1"/>
  <c r="F137" i="57" s="1"/>
  <c r="B138" i="57" s="1"/>
  <c r="F138" i="57" s="1"/>
  <c r="B139" i="57" s="1"/>
  <c r="F139" i="57" s="1"/>
  <c r="B140" i="57" s="1"/>
  <c r="F140" i="57" s="1"/>
  <c r="B141" i="57" s="1"/>
  <c r="F141" i="57" s="1"/>
  <c r="B142" i="57" s="1"/>
  <c r="F142" i="57" s="1"/>
  <c r="B143" i="57" s="1"/>
  <c r="F143" i="57" s="1"/>
  <c r="B144" i="57" s="1"/>
  <c r="F144" i="57" s="1"/>
  <c r="B145" i="57" s="1"/>
  <c r="F145" i="57" s="1"/>
  <c r="B146" i="57" s="1"/>
  <c r="F146" i="57" s="1"/>
  <c r="B147" i="57" s="1"/>
  <c r="F147" i="57" s="1"/>
  <c r="B148" i="57" s="1"/>
  <c r="F148" i="57" s="1"/>
  <c r="B149" i="57" s="1"/>
  <c r="F149" i="57" s="1"/>
  <c r="B150" i="57" s="1"/>
  <c r="F150" i="57" s="1"/>
  <c r="F20" i="58"/>
  <c r="B21" i="58" s="1"/>
  <c r="F21" i="58" s="1"/>
  <c r="B22" i="58" s="1"/>
  <c r="F22" i="58" s="1"/>
  <c r="B23" i="58" s="1"/>
  <c r="F23" i="58" s="1"/>
  <c r="B24" i="58" s="1"/>
  <c r="F24" i="58" s="1"/>
  <c r="B25" i="58" s="1"/>
  <c r="F25" i="58" s="1"/>
  <c r="B26" i="58" s="1"/>
  <c r="A27" i="59"/>
  <c r="E21" i="58"/>
  <c r="G21" i="58" s="1"/>
  <c r="A27" i="58"/>
  <c r="D26" i="58"/>
  <c r="E20" i="58"/>
  <c r="G20" i="58" s="1"/>
  <c r="E24" i="58"/>
  <c r="G24" i="58" s="1"/>
  <c r="C26" i="58"/>
  <c r="E19" i="58"/>
  <c r="E25" i="58"/>
  <c r="G25" i="58" s="1"/>
  <c r="E53" i="57"/>
  <c r="G53" i="57" s="1"/>
  <c r="E51" i="57"/>
  <c r="G51" i="57" s="1"/>
  <c r="E49" i="57"/>
  <c r="G49" i="57" s="1"/>
  <c r="E47" i="57"/>
  <c r="G47" i="57" s="1"/>
  <c r="E45" i="57"/>
  <c r="G45" i="57" s="1"/>
  <c r="E43" i="57"/>
  <c r="G43" i="57" s="1"/>
  <c r="E41" i="57"/>
  <c r="G41" i="57" s="1"/>
  <c r="E39" i="57"/>
  <c r="G39" i="57" s="1"/>
  <c r="E37" i="57"/>
  <c r="G37" i="57" s="1"/>
  <c r="E35" i="57"/>
  <c r="G35" i="57" s="1"/>
  <c r="E33" i="57"/>
  <c r="G33" i="57" s="1"/>
  <c r="E31" i="57"/>
  <c r="G31" i="57" s="1"/>
  <c r="E29" i="57"/>
  <c r="G29" i="57" s="1"/>
  <c r="E27" i="57"/>
  <c r="G27" i="57" s="1"/>
  <c r="E25" i="57"/>
  <c r="G25" i="57" s="1"/>
  <c r="E23" i="57"/>
  <c r="G23" i="57" s="1"/>
  <c r="E21" i="57"/>
  <c r="G21" i="57" s="1"/>
  <c r="E19" i="57"/>
  <c r="E104" i="57"/>
  <c r="G104" i="57" s="1"/>
  <c r="E106" i="57"/>
  <c r="G106" i="57" s="1"/>
  <c r="E108" i="57"/>
  <c r="G108" i="57" s="1"/>
  <c r="E110" i="57"/>
  <c r="G110" i="57" s="1"/>
  <c r="E112" i="57"/>
  <c r="G112" i="57" s="1"/>
  <c r="E114" i="57"/>
  <c r="G114" i="57" s="1"/>
  <c r="E116" i="57"/>
  <c r="G116" i="57" s="1"/>
  <c r="E118" i="57"/>
  <c r="G118" i="57" s="1"/>
  <c r="E120" i="57"/>
  <c r="G120" i="57" s="1"/>
  <c r="E122" i="57"/>
  <c r="G122" i="57" s="1"/>
  <c r="E124" i="57"/>
  <c r="G124" i="57" s="1"/>
  <c r="E126" i="57"/>
  <c r="G126" i="57" s="1"/>
  <c r="E128" i="57"/>
  <c r="G128" i="57" s="1"/>
  <c r="E130" i="57"/>
  <c r="G130" i="57" s="1"/>
  <c r="E132" i="57"/>
  <c r="G132" i="57" s="1"/>
  <c r="E134" i="57"/>
  <c r="G134" i="57" s="1"/>
  <c r="E136" i="57"/>
  <c r="G136" i="57" s="1"/>
  <c r="E138" i="57"/>
  <c r="G138" i="57" s="1"/>
  <c r="E140" i="57"/>
  <c r="G140" i="57" s="1"/>
  <c r="E142" i="57"/>
  <c r="G142" i="57" s="1"/>
  <c r="E144" i="57"/>
  <c r="G144" i="57" s="1"/>
  <c r="E146" i="57"/>
  <c r="G146" i="57" s="1"/>
  <c r="E148" i="57"/>
  <c r="G148" i="57" s="1"/>
  <c r="E150" i="57"/>
  <c r="G150" i="57" s="1"/>
  <c r="E54" i="57"/>
  <c r="G54" i="57" s="1"/>
  <c r="E56" i="57"/>
  <c r="G56" i="57" s="1"/>
  <c r="E58" i="57"/>
  <c r="G58" i="57" s="1"/>
  <c r="E60" i="57"/>
  <c r="G60" i="57" s="1"/>
  <c r="E62" i="57"/>
  <c r="G62" i="57" s="1"/>
  <c r="E64" i="57"/>
  <c r="G64" i="57" s="1"/>
  <c r="E66" i="57"/>
  <c r="G66" i="57" s="1"/>
  <c r="E68" i="57"/>
  <c r="G68" i="57" s="1"/>
  <c r="E70" i="57"/>
  <c r="G70" i="57" s="1"/>
  <c r="E72" i="57"/>
  <c r="G72" i="57" s="1"/>
  <c r="E74" i="57"/>
  <c r="G74" i="57" s="1"/>
  <c r="E76" i="57"/>
  <c r="G76" i="57" s="1"/>
  <c r="E78" i="57"/>
  <c r="G78" i="57" s="1"/>
  <c r="E80" i="57"/>
  <c r="G80" i="57" s="1"/>
  <c r="E82" i="57"/>
  <c r="G82" i="57" s="1"/>
  <c r="E84" i="57"/>
  <c r="G84" i="57" s="1"/>
  <c r="E86" i="57"/>
  <c r="G86" i="57" s="1"/>
  <c r="E88" i="57"/>
  <c r="G88" i="57" s="1"/>
  <c r="E90" i="57"/>
  <c r="G90" i="57" s="1"/>
  <c r="E92" i="57"/>
  <c r="G92" i="57" s="1"/>
  <c r="E94" i="57"/>
  <c r="G94" i="57" s="1"/>
  <c r="E96" i="57"/>
  <c r="G96" i="57" s="1"/>
  <c r="E98" i="57"/>
  <c r="G98" i="57" s="1"/>
  <c r="E100" i="57"/>
  <c r="G100" i="57" s="1"/>
  <c r="F21" i="60" l="1"/>
  <c r="B22" i="60" s="1"/>
  <c r="G19" i="57"/>
  <c r="G19" i="58"/>
  <c r="E21" i="60"/>
  <c r="G21" i="60" s="1"/>
  <c r="C22" i="60"/>
  <c r="A23" i="60"/>
  <c r="D22" i="60"/>
  <c r="F22" i="60" s="1"/>
  <c r="B23" i="60" s="1"/>
  <c r="F26" i="58"/>
  <c r="B27" i="58" s="1"/>
  <c r="E26" i="58"/>
  <c r="G26" i="58" s="1"/>
  <c r="A28" i="59"/>
  <c r="A28" i="58"/>
  <c r="D27" i="58"/>
  <c r="F27" i="58" s="1"/>
  <c r="B28" i="58" s="1"/>
  <c r="C27" i="58"/>
  <c r="E27" i="58" l="1"/>
  <c r="G27" i="58" s="1"/>
  <c r="E22" i="60"/>
  <c r="G22" i="60" s="1"/>
  <c r="A24" i="60"/>
  <c r="D23" i="60"/>
  <c r="F23" i="60" s="1"/>
  <c r="B24" i="60" s="1"/>
  <c r="C23" i="60"/>
  <c r="A29" i="59"/>
  <c r="A29" i="58"/>
  <c r="C28" i="58"/>
  <c r="D28" i="58"/>
  <c r="F28" i="58" s="1"/>
  <c r="B29" i="58" s="1"/>
  <c r="E23" i="60" l="1"/>
  <c r="G23" i="60" s="1"/>
  <c r="C24" i="60"/>
  <c r="A25" i="60"/>
  <c r="D24" i="60"/>
  <c r="F24" i="60" s="1"/>
  <c r="B25" i="60" s="1"/>
  <c r="A30" i="59"/>
  <c r="A30" i="58"/>
  <c r="C29" i="58"/>
  <c r="D29" i="58"/>
  <c r="F29" i="58" s="1"/>
  <c r="B30" i="58" s="1"/>
  <c r="E28" i="58"/>
  <c r="G28" i="58" s="1"/>
  <c r="E24" i="60" l="1"/>
  <c r="G24" i="60" s="1"/>
  <c r="A26" i="60"/>
  <c r="D25" i="60"/>
  <c r="F25" i="60" s="1"/>
  <c r="B26" i="60" s="1"/>
  <c r="C25" i="60"/>
  <c r="E29" i="58"/>
  <c r="G29" i="58" s="1"/>
  <c r="A31" i="59"/>
  <c r="A31" i="58"/>
  <c r="D30" i="58"/>
  <c r="F30" i="58" s="1"/>
  <c r="B31" i="58" s="1"/>
  <c r="C30" i="58"/>
  <c r="E25" i="60" l="1"/>
  <c r="G25" i="60" s="1"/>
  <c r="C26" i="60"/>
  <c r="A27" i="60"/>
  <c r="D26" i="60"/>
  <c r="F26" i="60" s="1"/>
  <c r="B27" i="60" s="1"/>
  <c r="A32" i="59"/>
  <c r="E30" i="58"/>
  <c r="G30" i="58" s="1"/>
  <c r="A32" i="58"/>
  <c r="D31" i="58"/>
  <c r="F31" i="58" s="1"/>
  <c r="B32" i="58" s="1"/>
  <c r="C31" i="58"/>
  <c r="D37" i="11"/>
  <c r="E26" i="60" l="1"/>
  <c r="G26" i="60" s="1"/>
  <c r="A28" i="60"/>
  <c r="D27" i="60"/>
  <c r="F27" i="60" s="1"/>
  <c r="B28" i="60" s="1"/>
  <c r="C27" i="60"/>
  <c r="E31" i="58"/>
  <c r="G31" i="58" s="1"/>
  <c r="A33" i="59"/>
  <c r="A33" i="58"/>
  <c r="C32" i="58"/>
  <c r="D32" i="58"/>
  <c r="F32" i="58" s="1"/>
  <c r="B33" i="58" s="1"/>
  <c r="E27" i="60" l="1"/>
  <c r="G27" i="60" s="1"/>
  <c r="C28" i="60"/>
  <c r="A29" i="60"/>
  <c r="D28" i="60"/>
  <c r="F28" i="60" s="1"/>
  <c r="B29" i="60" s="1"/>
  <c r="A34" i="59"/>
  <c r="A34" i="58"/>
  <c r="C33" i="58"/>
  <c r="D33" i="58"/>
  <c r="F33" i="58" s="1"/>
  <c r="B34" i="58" s="1"/>
  <c r="E32" i="58"/>
  <c r="G32" i="58" s="1"/>
  <c r="G33" i="7"/>
  <c r="G33" i="6"/>
  <c r="D5" i="5"/>
  <c r="D5" i="8"/>
  <c r="G35" i="8"/>
  <c r="G33" i="5" s="1"/>
  <c r="E28" i="60" l="1"/>
  <c r="G28" i="60" s="1"/>
  <c r="A30" i="60"/>
  <c r="D29" i="60"/>
  <c r="F29" i="60" s="1"/>
  <c r="B30" i="60" s="1"/>
  <c r="C29" i="60"/>
  <c r="E33" i="58"/>
  <c r="G33" i="58" s="1"/>
  <c r="A35" i="59"/>
  <c r="A35" i="58"/>
  <c r="D34" i="58"/>
  <c r="F34" i="58" s="1"/>
  <c r="B35" i="58" s="1"/>
  <c r="C34" i="58"/>
  <c r="E29" i="60" l="1"/>
  <c r="G29" i="60" s="1"/>
  <c r="C30" i="60"/>
  <c r="A31" i="60"/>
  <c r="D30" i="60"/>
  <c r="F30" i="60" s="1"/>
  <c r="B31" i="60" s="1"/>
  <c r="A36" i="59"/>
  <c r="E34" i="58"/>
  <c r="G34" i="58" s="1"/>
  <c r="A36" i="58"/>
  <c r="D35" i="58"/>
  <c r="F35" i="58" s="1"/>
  <c r="B36" i="58" s="1"/>
  <c r="C35" i="58"/>
  <c r="C8" i="12"/>
  <c r="C10" i="12"/>
  <c r="K24" i="54"/>
  <c r="I24" i="54"/>
  <c r="G24" i="54"/>
  <c r="M23" i="54"/>
  <c r="M22" i="54"/>
  <c r="M21" i="54"/>
  <c r="M19" i="54"/>
  <c r="K18" i="54"/>
  <c r="I18" i="54"/>
  <c r="G18" i="54"/>
  <c r="M17" i="54"/>
  <c r="M16" i="54"/>
  <c r="M14" i="54"/>
  <c r="M13" i="54"/>
  <c r="M12" i="54"/>
  <c r="K11" i="54"/>
  <c r="I11" i="54"/>
  <c r="G11" i="54"/>
  <c r="M10" i="54"/>
  <c r="K8" i="54"/>
  <c r="I8" i="54"/>
  <c r="G8" i="54"/>
  <c r="M7" i="54"/>
  <c r="M5" i="54"/>
  <c r="M4" i="54"/>
  <c r="J27" i="53"/>
  <c r="H27" i="53"/>
  <c r="F27" i="53"/>
  <c r="J20" i="53"/>
  <c r="H20" i="53"/>
  <c r="F20" i="53"/>
  <c r="J17" i="53"/>
  <c r="H17" i="53"/>
  <c r="F17" i="53"/>
  <c r="J10" i="53"/>
  <c r="H10" i="53"/>
  <c r="F10" i="53"/>
  <c r="J6" i="53"/>
  <c r="J7" i="53" s="1"/>
  <c r="H6" i="53"/>
  <c r="H7" i="53" s="1"/>
  <c r="H11" i="53" s="1"/>
  <c r="F6" i="53"/>
  <c r="F7" i="53" s="1"/>
  <c r="I19" i="52"/>
  <c r="I20" i="52" s="1"/>
  <c r="G19" i="52"/>
  <c r="G20" i="52" s="1"/>
  <c r="E19" i="52"/>
  <c r="K18" i="52"/>
  <c r="K17" i="52"/>
  <c r="K16" i="52"/>
  <c r="I12" i="52"/>
  <c r="I13" i="52" s="1"/>
  <c r="I21" i="52" s="1"/>
  <c r="G12" i="52"/>
  <c r="G13" i="52" s="1"/>
  <c r="E12" i="52"/>
  <c r="E13" i="52" s="1"/>
  <c r="K11" i="52"/>
  <c r="K10" i="52"/>
  <c r="K9" i="52"/>
  <c r="K8" i="52"/>
  <c r="K7" i="52"/>
  <c r="K6" i="52"/>
  <c r="K5" i="52"/>
  <c r="K4" i="52"/>
  <c r="J45" i="51"/>
  <c r="H45" i="51"/>
  <c r="F45" i="51"/>
  <c r="J38" i="51"/>
  <c r="H38" i="51"/>
  <c r="F38" i="51"/>
  <c r="J31" i="51"/>
  <c r="H31" i="51"/>
  <c r="F31" i="51"/>
  <c r="J24" i="51"/>
  <c r="H24" i="51"/>
  <c r="F24" i="51"/>
  <c r="J17" i="51"/>
  <c r="J18" i="51" s="1"/>
  <c r="J19" i="51" s="1"/>
  <c r="H17" i="51"/>
  <c r="H18" i="51" s="1"/>
  <c r="H19" i="51" s="1"/>
  <c r="F17" i="51"/>
  <c r="F18" i="51" s="1"/>
  <c r="F19" i="51" s="1"/>
  <c r="J10" i="51"/>
  <c r="H10" i="51"/>
  <c r="F10" i="51"/>
  <c r="J7" i="51"/>
  <c r="H7" i="51"/>
  <c r="F7" i="51"/>
  <c r="K35" i="50"/>
  <c r="I35" i="50"/>
  <c r="G35" i="50"/>
  <c r="M34" i="50"/>
  <c r="M33" i="50"/>
  <c r="M32" i="50"/>
  <c r="M30" i="50"/>
  <c r="K29" i="50"/>
  <c r="I29" i="50"/>
  <c r="G29" i="50"/>
  <c r="M28" i="50"/>
  <c r="M27" i="50"/>
  <c r="M26" i="50"/>
  <c r="K24" i="50"/>
  <c r="I24" i="50"/>
  <c r="G24" i="50"/>
  <c r="M23" i="50"/>
  <c r="K20" i="50"/>
  <c r="K21" i="50" s="1"/>
  <c r="I20" i="50"/>
  <c r="I21" i="50" s="1"/>
  <c r="G20" i="50"/>
  <c r="G21" i="50" s="1"/>
  <c r="M19" i="50"/>
  <c r="M15" i="50"/>
  <c r="K14" i="50"/>
  <c r="K16" i="50" s="1"/>
  <c r="I14" i="50"/>
  <c r="I16" i="50" s="1"/>
  <c r="G14" i="50"/>
  <c r="G16" i="50" s="1"/>
  <c r="M13" i="50"/>
  <c r="M12" i="50"/>
  <c r="M10" i="50"/>
  <c r="M9" i="50"/>
  <c r="M8" i="50"/>
  <c r="M7" i="50"/>
  <c r="M5" i="50"/>
  <c r="M4" i="50"/>
  <c r="J40" i="49"/>
  <c r="H40" i="49"/>
  <c r="F40" i="49"/>
  <c r="J33" i="49"/>
  <c r="H33" i="49"/>
  <c r="F33" i="49"/>
  <c r="J25" i="49"/>
  <c r="H25" i="49"/>
  <c r="H34" i="49" s="1"/>
  <c r="H35" i="49" s="1"/>
  <c r="H41" i="49" s="1"/>
  <c r="F25" i="49"/>
  <c r="J18" i="49"/>
  <c r="H18" i="49"/>
  <c r="F18" i="49"/>
  <c r="J14" i="49"/>
  <c r="H14" i="49"/>
  <c r="F14" i="49"/>
  <c r="J9" i="49"/>
  <c r="H9" i="49"/>
  <c r="F9" i="49"/>
  <c r="J6" i="49"/>
  <c r="H6" i="49"/>
  <c r="H10" i="49" s="1"/>
  <c r="F6" i="49"/>
  <c r="L36" i="48"/>
  <c r="L37" i="48" s="1"/>
  <c r="L38" i="48" s="1"/>
  <c r="J36" i="48"/>
  <c r="J37" i="48" s="1"/>
  <c r="J38" i="48" s="1"/>
  <c r="H36" i="48"/>
  <c r="H37" i="48" s="1"/>
  <c r="N35" i="48"/>
  <c r="N34" i="48"/>
  <c r="N33" i="48"/>
  <c r="L27" i="48"/>
  <c r="J27" i="48"/>
  <c r="H27" i="48"/>
  <c r="N26" i="48"/>
  <c r="N25" i="48"/>
  <c r="N24" i="48"/>
  <c r="N22" i="48"/>
  <c r="L20" i="48"/>
  <c r="L21" i="48" s="1"/>
  <c r="J20" i="48"/>
  <c r="J21" i="48" s="1"/>
  <c r="H20" i="48"/>
  <c r="N19" i="48"/>
  <c r="L15" i="48"/>
  <c r="L16" i="48" s="1"/>
  <c r="J15" i="48"/>
  <c r="J16" i="48" s="1"/>
  <c r="J28" i="48" s="1"/>
  <c r="J29" i="48" s="1"/>
  <c r="H15" i="48"/>
  <c r="H16" i="48" s="1"/>
  <c r="N14" i="48"/>
  <c r="N13" i="48"/>
  <c r="N11" i="48"/>
  <c r="N10" i="48"/>
  <c r="N9" i="48"/>
  <c r="N7" i="48"/>
  <c r="L6" i="48"/>
  <c r="J6" i="48"/>
  <c r="H6" i="48"/>
  <c r="N5" i="48"/>
  <c r="J30" i="47"/>
  <c r="H30" i="47"/>
  <c r="F30" i="47"/>
  <c r="J21" i="47"/>
  <c r="J22" i="47" s="1"/>
  <c r="J23" i="47" s="1"/>
  <c r="H21" i="47"/>
  <c r="H22" i="47" s="1"/>
  <c r="H23" i="47" s="1"/>
  <c r="H31" i="47" s="1"/>
  <c r="F21" i="47"/>
  <c r="F22" i="47" s="1"/>
  <c r="F23" i="47" s="1"/>
  <c r="J14" i="47"/>
  <c r="H14" i="47"/>
  <c r="F14" i="47"/>
  <c r="J9" i="47"/>
  <c r="H9" i="47"/>
  <c r="F9" i="47"/>
  <c r="J6" i="47"/>
  <c r="J10" i="47" s="1"/>
  <c r="J15" i="47" s="1"/>
  <c r="H6" i="47"/>
  <c r="F6" i="47"/>
  <c r="L96" i="46"/>
  <c r="J96" i="46"/>
  <c r="H96" i="46"/>
  <c r="N95" i="46"/>
  <c r="L92" i="46"/>
  <c r="J92" i="46"/>
  <c r="J93" i="46" s="1"/>
  <c r="J97" i="46" s="1"/>
  <c r="H92" i="46"/>
  <c r="N91" i="46"/>
  <c r="N89" i="46"/>
  <c r="L88" i="46"/>
  <c r="J88" i="46"/>
  <c r="H88" i="46"/>
  <c r="N87" i="46"/>
  <c r="L80" i="46"/>
  <c r="J80" i="46"/>
  <c r="H80" i="46"/>
  <c r="N79" i="46"/>
  <c r="L77" i="46"/>
  <c r="J77" i="46"/>
  <c r="J81" i="46" s="1"/>
  <c r="H77" i="46"/>
  <c r="H81" i="46" s="1"/>
  <c r="N76" i="46"/>
  <c r="N75" i="46"/>
  <c r="N74" i="46"/>
  <c r="N73" i="46"/>
  <c r="N71" i="46"/>
  <c r="N70" i="46"/>
  <c r="N69" i="46"/>
  <c r="N68" i="46"/>
  <c r="N67" i="46"/>
  <c r="N66" i="46"/>
  <c r="N64" i="46"/>
  <c r="N63" i="46"/>
  <c r="N62" i="46"/>
  <c r="L60" i="46"/>
  <c r="J60" i="46"/>
  <c r="H60" i="46"/>
  <c r="N59" i="46"/>
  <c r="N58" i="46"/>
  <c r="L56" i="46"/>
  <c r="J56" i="46"/>
  <c r="H56" i="46"/>
  <c r="N55" i="46"/>
  <c r="N53" i="46"/>
  <c r="N52" i="46"/>
  <c r="L51" i="46"/>
  <c r="J51" i="46"/>
  <c r="H51" i="46"/>
  <c r="N50" i="46"/>
  <c r="N49" i="46"/>
  <c r="N48" i="46"/>
  <c r="L46" i="46"/>
  <c r="J46" i="46"/>
  <c r="H46" i="46"/>
  <c r="N45" i="46"/>
  <c r="N44" i="46"/>
  <c r="N42" i="46"/>
  <c r="N41" i="46"/>
  <c r="N40" i="46"/>
  <c r="L37" i="46"/>
  <c r="J37" i="46"/>
  <c r="H37" i="46"/>
  <c r="N36" i="46"/>
  <c r="N35" i="46"/>
  <c r="N34" i="46"/>
  <c r="N32" i="46"/>
  <c r="L31" i="46"/>
  <c r="J31" i="46"/>
  <c r="H31" i="46"/>
  <c r="N30" i="46"/>
  <c r="L27" i="46"/>
  <c r="J27" i="46"/>
  <c r="H27" i="46"/>
  <c r="N26" i="46"/>
  <c r="N25" i="46"/>
  <c r="N23" i="46"/>
  <c r="N22" i="46"/>
  <c r="L21" i="46"/>
  <c r="J21" i="46"/>
  <c r="H21" i="46"/>
  <c r="N20" i="46"/>
  <c r="N18" i="46"/>
  <c r="L17" i="46"/>
  <c r="J17" i="46"/>
  <c r="H17" i="46"/>
  <c r="N16" i="46"/>
  <c r="N15" i="46"/>
  <c r="N14" i="46"/>
  <c r="L10" i="46"/>
  <c r="L11" i="46" s="1"/>
  <c r="J10" i="46"/>
  <c r="J11" i="46" s="1"/>
  <c r="H10" i="46"/>
  <c r="H11" i="46" s="1"/>
  <c r="N9" i="46"/>
  <c r="N8" i="46"/>
  <c r="N7" i="46"/>
  <c r="N6" i="46"/>
  <c r="N5" i="46"/>
  <c r="N4" i="46"/>
  <c r="J63" i="45"/>
  <c r="H63" i="45"/>
  <c r="F63" i="45"/>
  <c r="J51" i="45"/>
  <c r="H51" i="45"/>
  <c r="F51" i="45"/>
  <c r="J47" i="45"/>
  <c r="H47" i="45"/>
  <c r="F47" i="45"/>
  <c r="J44" i="45"/>
  <c r="H44" i="45"/>
  <c r="F44" i="45"/>
  <c r="J36" i="45"/>
  <c r="H36" i="45"/>
  <c r="F36" i="45"/>
  <c r="J29" i="45"/>
  <c r="H29" i="45"/>
  <c r="F29" i="45"/>
  <c r="J24" i="45"/>
  <c r="H24" i="45"/>
  <c r="F24" i="45"/>
  <c r="J17" i="45"/>
  <c r="H17" i="45"/>
  <c r="F17" i="45"/>
  <c r="J13" i="45"/>
  <c r="H13" i="45"/>
  <c r="F13" i="45"/>
  <c r="J9" i="45"/>
  <c r="H9" i="45"/>
  <c r="F9" i="45"/>
  <c r="L99" i="44"/>
  <c r="L100" i="44" s="1"/>
  <c r="J99" i="44"/>
  <c r="J100" i="44" s="1"/>
  <c r="H99" i="44"/>
  <c r="H100" i="44" s="1"/>
  <c r="N98" i="44"/>
  <c r="L92" i="44"/>
  <c r="J92" i="44"/>
  <c r="H92" i="44"/>
  <c r="N91" i="44"/>
  <c r="N90" i="44"/>
  <c r="L88" i="44"/>
  <c r="J88" i="44"/>
  <c r="H88" i="44"/>
  <c r="N87" i="44"/>
  <c r="N86" i="44"/>
  <c r="N85" i="44"/>
  <c r="N84" i="44"/>
  <c r="L82" i="44"/>
  <c r="J82" i="44"/>
  <c r="H82" i="44"/>
  <c r="N81" i="44"/>
  <c r="N80" i="44"/>
  <c r="N79" i="44"/>
  <c r="N78" i="44"/>
  <c r="N75" i="44"/>
  <c r="N74" i="44"/>
  <c r="N73" i="44"/>
  <c r="N72" i="44"/>
  <c r="N71" i="44"/>
  <c r="N70" i="44"/>
  <c r="N69" i="44"/>
  <c r="N68" i="44"/>
  <c r="L67" i="44"/>
  <c r="J67" i="44"/>
  <c r="H67" i="44"/>
  <c r="N66" i="44"/>
  <c r="N65" i="44"/>
  <c r="N64" i="44"/>
  <c r="N63" i="44"/>
  <c r="N62" i="44"/>
  <c r="N61" i="44"/>
  <c r="N59" i="44"/>
  <c r="N58" i="44"/>
  <c r="N57" i="44"/>
  <c r="N56" i="44"/>
  <c r="N54" i="44"/>
  <c r="N53" i="44"/>
  <c r="N52" i="44"/>
  <c r="L51" i="44"/>
  <c r="J51" i="44"/>
  <c r="H51" i="44"/>
  <c r="N50" i="44"/>
  <c r="N49" i="44"/>
  <c r="N47" i="44"/>
  <c r="N46" i="44"/>
  <c r="N45" i="44"/>
  <c r="L44" i="44"/>
  <c r="J44" i="44"/>
  <c r="H44" i="44"/>
  <c r="N43" i="44"/>
  <c r="N42" i="44"/>
  <c r="N41" i="44"/>
  <c r="N40" i="44"/>
  <c r="N38" i="44"/>
  <c r="L37" i="44"/>
  <c r="J37" i="44"/>
  <c r="H37" i="44"/>
  <c r="N36" i="44"/>
  <c r="L34" i="44"/>
  <c r="J34" i="44"/>
  <c r="J55" i="44" s="1"/>
  <c r="H34" i="44"/>
  <c r="N33" i="44"/>
  <c r="N32" i="44"/>
  <c r="N30" i="44"/>
  <c r="N29" i="44"/>
  <c r="N28" i="44"/>
  <c r="L25" i="44"/>
  <c r="L26" i="44" s="1"/>
  <c r="J25" i="44"/>
  <c r="J26" i="44" s="1"/>
  <c r="H25" i="44"/>
  <c r="H26" i="44" s="1"/>
  <c r="N24" i="44"/>
  <c r="N21" i="44"/>
  <c r="L20" i="44"/>
  <c r="J20" i="44"/>
  <c r="H20" i="44"/>
  <c r="N19" i="44"/>
  <c r="N17" i="44"/>
  <c r="N16" i="44"/>
  <c r="N15" i="44"/>
  <c r="N14" i="44"/>
  <c r="N13" i="44"/>
  <c r="N9" i="44"/>
  <c r="L8" i="44"/>
  <c r="L10" i="44" s="1"/>
  <c r="L11" i="44" s="1"/>
  <c r="J8" i="44"/>
  <c r="J10" i="44" s="1"/>
  <c r="J11" i="44" s="1"/>
  <c r="H8" i="44"/>
  <c r="H10" i="44" s="1"/>
  <c r="N7" i="44"/>
  <c r="N6" i="44"/>
  <c r="N4" i="44"/>
  <c r="J52" i="43"/>
  <c r="H52" i="43"/>
  <c r="F52" i="43"/>
  <c r="J47" i="43"/>
  <c r="H47" i="43"/>
  <c r="F47" i="43"/>
  <c r="J42" i="43"/>
  <c r="H42" i="43"/>
  <c r="F42" i="43"/>
  <c r="J38" i="43"/>
  <c r="H38" i="43"/>
  <c r="F38" i="43"/>
  <c r="F43" i="43" s="1"/>
  <c r="F48" i="43" s="1"/>
  <c r="J30" i="43"/>
  <c r="J31" i="43" s="1"/>
  <c r="H30" i="43"/>
  <c r="H31" i="43" s="1"/>
  <c r="F30" i="43"/>
  <c r="F31" i="43" s="1"/>
  <c r="J25" i="43"/>
  <c r="H25" i="43"/>
  <c r="F25" i="43"/>
  <c r="J18" i="43"/>
  <c r="J20" i="43" s="1"/>
  <c r="H18" i="43"/>
  <c r="H20" i="43" s="1"/>
  <c r="F18" i="43"/>
  <c r="F20" i="43" s="1"/>
  <c r="J9" i="43"/>
  <c r="H9" i="43"/>
  <c r="F9" i="43"/>
  <c r="J6" i="43"/>
  <c r="H6" i="43"/>
  <c r="F6" i="43"/>
  <c r="K22" i="42"/>
  <c r="K23" i="42" s="1"/>
  <c r="I22" i="42"/>
  <c r="I23" i="42" s="1"/>
  <c r="G22" i="42"/>
  <c r="G23" i="42" s="1"/>
  <c r="M21" i="42"/>
  <c r="K16" i="42"/>
  <c r="I16" i="42"/>
  <c r="G16" i="42"/>
  <c r="M15" i="42"/>
  <c r="M13" i="42"/>
  <c r="K12" i="42"/>
  <c r="I12" i="42"/>
  <c r="G12" i="42"/>
  <c r="M11" i="42"/>
  <c r="M9" i="42"/>
  <c r="K8" i="42"/>
  <c r="I8" i="42"/>
  <c r="G8" i="42"/>
  <c r="M7" i="42"/>
  <c r="M6" i="42"/>
  <c r="M4" i="42"/>
  <c r="J32" i="41"/>
  <c r="H32" i="41"/>
  <c r="F32" i="41"/>
  <c r="J26" i="41"/>
  <c r="H26" i="41"/>
  <c r="F26" i="41"/>
  <c r="J23" i="41"/>
  <c r="H23" i="41"/>
  <c r="F23" i="41"/>
  <c r="F27" i="41" s="1"/>
  <c r="F28" i="41" s="1"/>
  <c r="F33" i="41" s="1"/>
  <c r="J16" i="41"/>
  <c r="H16" i="41"/>
  <c r="F16" i="41"/>
  <c r="J12" i="41"/>
  <c r="J13" i="41" s="1"/>
  <c r="H12" i="41"/>
  <c r="H13" i="41" s="1"/>
  <c r="F12" i="41"/>
  <c r="F13" i="41" s="1"/>
  <c r="J6" i="41"/>
  <c r="J7" i="41" s="1"/>
  <c r="H6" i="41"/>
  <c r="H7" i="41" s="1"/>
  <c r="H17" i="41" s="1"/>
  <c r="F6" i="41"/>
  <c r="F7" i="41" s="1"/>
  <c r="K146" i="40"/>
  <c r="K147" i="40" s="1"/>
  <c r="I146" i="40"/>
  <c r="I147" i="40" s="1"/>
  <c r="G146" i="40"/>
  <c r="G147" i="40" s="1"/>
  <c r="M145" i="40"/>
  <c r="M140" i="40"/>
  <c r="K139" i="40"/>
  <c r="I139" i="40"/>
  <c r="G139" i="40"/>
  <c r="M138" i="40"/>
  <c r="M137" i="40"/>
  <c r="M136" i="40"/>
  <c r="M134" i="40"/>
  <c r="K133" i="40"/>
  <c r="I133" i="40"/>
  <c r="G133" i="40"/>
  <c r="M132" i="40"/>
  <c r="M131" i="40"/>
  <c r="M130" i="40"/>
  <c r="M129" i="40"/>
  <c r="K127" i="40"/>
  <c r="I127" i="40"/>
  <c r="G127" i="40"/>
  <c r="M126" i="40"/>
  <c r="K123" i="40"/>
  <c r="I123" i="40"/>
  <c r="G123" i="40"/>
  <c r="M122" i="40"/>
  <c r="M121" i="40"/>
  <c r="K119" i="40"/>
  <c r="I119" i="40"/>
  <c r="G119" i="40"/>
  <c r="M118" i="40"/>
  <c r="K116" i="40"/>
  <c r="I116" i="40"/>
  <c r="G116" i="40"/>
  <c r="M115" i="40"/>
  <c r="M114" i="40"/>
  <c r="M113" i="40"/>
  <c r="M112" i="40"/>
  <c r="M111" i="40"/>
  <c r="M110" i="40"/>
  <c r="K108" i="40"/>
  <c r="I108" i="40"/>
  <c r="G108" i="40"/>
  <c r="M107" i="40"/>
  <c r="M106" i="40"/>
  <c r="K104" i="40"/>
  <c r="I104" i="40"/>
  <c r="G104" i="40"/>
  <c r="M103" i="40"/>
  <c r="M102" i="40"/>
  <c r="M101" i="40"/>
  <c r="K99" i="40"/>
  <c r="I99" i="40"/>
  <c r="G99" i="40"/>
  <c r="M98" i="40"/>
  <c r="M97" i="40"/>
  <c r="M96" i="40"/>
  <c r="M94" i="40"/>
  <c r="K93" i="40"/>
  <c r="I93" i="40"/>
  <c r="G93" i="40"/>
  <c r="M92" i="40"/>
  <c r="M91" i="40"/>
  <c r="M90" i="40"/>
  <c r="K88" i="40"/>
  <c r="I88" i="40"/>
  <c r="G88" i="40"/>
  <c r="M87" i="40"/>
  <c r="M86" i="40"/>
  <c r="M85" i="40"/>
  <c r="K83" i="40"/>
  <c r="I83" i="40"/>
  <c r="G83" i="40"/>
  <c r="M82" i="40"/>
  <c r="M81" i="40"/>
  <c r="M80" i="40"/>
  <c r="M79" i="40"/>
  <c r="K77" i="40"/>
  <c r="I77" i="40"/>
  <c r="G77" i="40"/>
  <c r="M76" i="40"/>
  <c r="M75" i="40"/>
  <c r="K73" i="40"/>
  <c r="I73" i="40"/>
  <c r="G73" i="40"/>
  <c r="M72" i="40"/>
  <c r="M71" i="40"/>
  <c r="K69" i="40"/>
  <c r="I69" i="40"/>
  <c r="G69" i="40"/>
  <c r="M68" i="40"/>
  <c r="M67" i="40"/>
  <c r="M66" i="40"/>
  <c r="M65" i="40"/>
  <c r="M64" i="40"/>
  <c r="M63" i="40"/>
  <c r="M62" i="40"/>
  <c r="K58" i="40"/>
  <c r="I58" i="40"/>
  <c r="G58" i="40"/>
  <c r="M57" i="40"/>
  <c r="M56" i="40"/>
  <c r="M55" i="40"/>
  <c r="M54" i="40"/>
  <c r="M53" i="40"/>
  <c r="K51" i="40"/>
  <c r="I51" i="40"/>
  <c r="G51" i="40"/>
  <c r="M50" i="40"/>
  <c r="M49" i="40"/>
  <c r="M48" i="40"/>
  <c r="M47" i="40"/>
  <c r="K45" i="40"/>
  <c r="I45" i="40"/>
  <c r="G45" i="40"/>
  <c r="M44" i="40"/>
  <c r="M43" i="40"/>
  <c r="M42" i="40"/>
  <c r="M41" i="40"/>
  <c r="M40" i="40"/>
  <c r="K38" i="40"/>
  <c r="I38" i="40"/>
  <c r="G38" i="40"/>
  <c r="M37" i="40"/>
  <c r="M36" i="40"/>
  <c r="M34" i="40"/>
  <c r="M31" i="40"/>
  <c r="M30" i="40"/>
  <c r="K29" i="40"/>
  <c r="I29" i="40"/>
  <c r="G29" i="40"/>
  <c r="M28" i="40"/>
  <c r="M27" i="40"/>
  <c r="M26" i="40"/>
  <c r="M25" i="40"/>
  <c r="M23" i="40"/>
  <c r="M22" i="40"/>
  <c r="M21" i="40"/>
  <c r="M20" i="40"/>
  <c r="M19" i="40"/>
  <c r="K18" i="40"/>
  <c r="K32" i="40" s="1"/>
  <c r="I18" i="40"/>
  <c r="I32" i="40" s="1"/>
  <c r="G18" i="40"/>
  <c r="G32" i="40" s="1"/>
  <c r="M17" i="40"/>
  <c r="M16" i="40"/>
  <c r="M13" i="40"/>
  <c r="K11" i="40"/>
  <c r="I11" i="40"/>
  <c r="G11" i="40"/>
  <c r="M10" i="40"/>
  <c r="M9" i="40"/>
  <c r="M8" i="40"/>
  <c r="M7" i="40"/>
  <c r="M6" i="40"/>
  <c r="M5" i="40"/>
  <c r="M4" i="40"/>
  <c r="J45" i="39"/>
  <c r="H45" i="39"/>
  <c r="F45" i="39"/>
  <c r="J39" i="39"/>
  <c r="H39" i="39"/>
  <c r="F39" i="39"/>
  <c r="J34" i="39"/>
  <c r="H34" i="39"/>
  <c r="F34" i="39"/>
  <c r="J30" i="39"/>
  <c r="H30" i="39"/>
  <c r="F30" i="39"/>
  <c r="J23" i="39"/>
  <c r="H23" i="39"/>
  <c r="F23" i="39"/>
  <c r="J12" i="39"/>
  <c r="H12" i="39"/>
  <c r="F12" i="39"/>
  <c r="J9" i="39"/>
  <c r="H9" i="39"/>
  <c r="F9" i="39"/>
  <c r="J6" i="39"/>
  <c r="H6" i="39"/>
  <c r="F6" i="39"/>
  <c r="K93" i="38"/>
  <c r="K94" i="38" s="1"/>
  <c r="K95" i="38" s="1"/>
  <c r="I93" i="38"/>
  <c r="I94" i="38" s="1"/>
  <c r="I95" i="38" s="1"/>
  <c r="G93" i="38"/>
  <c r="M92" i="38"/>
  <c r="M86" i="38"/>
  <c r="M85" i="38"/>
  <c r="K84" i="38"/>
  <c r="I84" i="38"/>
  <c r="G84" i="38"/>
  <c r="M83" i="38"/>
  <c r="M82" i="38"/>
  <c r="M81" i="38"/>
  <c r="M79" i="38"/>
  <c r="M77" i="38"/>
  <c r="M76" i="38"/>
  <c r="K75" i="38"/>
  <c r="I75" i="38"/>
  <c r="G75" i="38"/>
  <c r="M74" i="38"/>
  <c r="M73" i="38"/>
  <c r="M72" i="38"/>
  <c r="M71" i="38"/>
  <c r="M70" i="38"/>
  <c r="K68" i="38"/>
  <c r="I68" i="38"/>
  <c r="G68" i="38"/>
  <c r="M67" i="38"/>
  <c r="M66" i="38"/>
  <c r="M65" i="38"/>
  <c r="K63" i="38"/>
  <c r="I63" i="38"/>
  <c r="G63" i="38"/>
  <c r="M62" i="38"/>
  <c r="M61" i="38"/>
  <c r="M59" i="38"/>
  <c r="K58" i="38"/>
  <c r="I58" i="38"/>
  <c r="G58" i="38"/>
  <c r="M57" i="38"/>
  <c r="M56" i="38"/>
  <c r="K54" i="38"/>
  <c r="I54" i="38"/>
  <c r="G54" i="38"/>
  <c r="M53" i="38"/>
  <c r="M52" i="38"/>
  <c r="K50" i="38"/>
  <c r="I50" i="38"/>
  <c r="G50" i="38"/>
  <c r="M49" i="38"/>
  <c r="M48" i="38"/>
  <c r="M47" i="38"/>
  <c r="K45" i="38"/>
  <c r="I45" i="38"/>
  <c r="G45" i="38"/>
  <c r="M44" i="38"/>
  <c r="M43" i="38"/>
  <c r="K41" i="38"/>
  <c r="I41" i="38"/>
  <c r="G41" i="38"/>
  <c r="M40" i="38"/>
  <c r="M39" i="38"/>
  <c r="M38" i="38"/>
  <c r="M37" i="38"/>
  <c r="M36" i="38"/>
  <c r="K32" i="38"/>
  <c r="K33" i="38" s="1"/>
  <c r="I32" i="38"/>
  <c r="I33" i="38" s="1"/>
  <c r="G32" i="38"/>
  <c r="M31" i="38"/>
  <c r="M29" i="38"/>
  <c r="M26" i="38"/>
  <c r="K25" i="38"/>
  <c r="I25" i="38"/>
  <c r="G25" i="38"/>
  <c r="M24" i="38"/>
  <c r="M23" i="38"/>
  <c r="M22" i="38"/>
  <c r="M21" i="38"/>
  <c r="M19" i="38"/>
  <c r="M18" i="38"/>
  <c r="M17" i="38"/>
  <c r="M16" i="38"/>
  <c r="K15" i="38"/>
  <c r="K27" i="38" s="1"/>
  <c r="I15" i="38"/>
  <c r="G15" i="38"/>
  <c r="M14" i="38"/>
  <c r="M11" i="38"/>
  <c r="K9" i="38"/>
  <c r="I9" i="38"/>
  <c r="G9" i="38"/>
  <c r="M8" i="38"/>
  <c r="M7" i="38"/>
  <c r="M6" i="38"/>
  <c r="M5" i="38"/>
  <c r="M4" i="38"/>
  <c r="J47" i="37"/>
  <c r="H47" i="37"/>
  <c r="F47" i="37"/>
  <c r="J40" i="37"/>
  <c r="H40" i="37"/>
  <c r="F40" i="37"/>
  <c r="J36" i="37"/>
  <c r="H36" i="37"/>
  <c r="F36" i="37"/>
  <c r="J32" i="37"/>
  <c r="H32" i="37"/>
  <c r="F32" i="37"/>
  <c r="F37" i="37" s="1"/>
  <c r="F41" i="37" s="1"/>
  <c r="J25" i="37"/>
  <c r="H25" i="37"/>
  <c r="F25" i="37"/>
  <c r="J13" i="37"/>
  <c r="H13" i="37"/>
  <c r="F13" i="37"/>
  <c r="J9" i="37"/>
  <c r="H9" i="37"/>
  <c r="F9" i="37"/>
  <c r="J6" i="37"/>
  <c r="H6" i="37"/>
  <c r="F6" i="37"/>
  <c r="J56" i="36"/>
  <c r="H56" i="36"/>
  <c r="F56" i="36"/>
  <c r="L55" i="36"/>
  <c r="J53" i="36"/>
  <c r="J57" i="36" s="1"/>
  <c r="H53" i="36"/>
  <c r="H57" i="36" s="1"/>
  <c r="F53" i="36"/>
  <c r="F57" i="36" s="1"/>
  <c r="L52" i="36"/>
  <c r="L51" i="36"/>
  <c r="L50" i="36"/>
  <c r="J46" i="36"/>
  <c r="H46" i="36"/>
  <c r="F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J13" i="36"/>
  <c r="J14" i="36" s="1"/>
  <c r="H13" i="36"/>
  <c r="H14" i="36" s="1"/>
  <c r="F13" i="36"/>
  <c r="F14" i="36" s="1"/>
  <c r="L12" i="36"/>
  <c r="L11" i="36"/>
  <c r="L10" i="36"/>
  <c r="L9" i="36"/>
  <c r="L8" i="36"/>
  <c r="L7" i="36"/>
  <c r="L6" i="36"/>
  <c r="L5" i="36"/>
  <c r="L4" i="36"/>
  <c r="J61" i="35"/>
  <c r="H61" i="35"/>
  <c r="F61" i="35"/>
  <c r="J54" i="35"/>
  <c r="H54" i="35"/>
  <c r="F54" i="35"/>
  <c r="J48" i="35"/>
  <c r="H48" i="35"/>
  <c r="F48" i="35"/>
  <c r="J41" i="35"/>
  <c r="H41" i="35"/>
  <c r="F41" i="35"/>
  <c r="J36" i="35"/>
  <c r="J49" i="35" s="1"/>
  <c r="J55" i="35" s="1"/>
  <c r="J62" i="35" s="1"/>
  <c r="H36" i="35"/>
  <c r="F36" i="35"/>
  <c r="J29" i="35"/>
  <c r="H29" i="35"/>
  <c r="F29" i="35"/>
  <c r="J18" i="35"/>
  <c r="H18" i="35"/>
  <c r="F18" i="35"/>
  <c r="J11" i="35"/>
  <c r="H11" i="35"/>
  <c r="F11" i="35"/>
  <c r="J8" i="35"/>
  <c r="J19" i="35" s="1"/>
  <c r="J30" i="35" s="1"/>
  <c r="H8" i="35"/>
  <c r="F8" i="35"/>
  <c r="L139" i="34"/>
  <c r="J139" i="34"/>
  <c r="H139" i="34"/>
  <c r="N138" i="34"/>
  <c r="L136" i="34"/>
  <c r="L140" i="34" s="1"/>
  <c r="J136" i="34"/>
  <c r="H136" i="34"/>
  <c r="H140" i="34" s="1"/>
  <c r="N135" i="34"/>
  <c r="N134" i="34"/>
  <c r="N129" i="34"/>
  <c r="L128" i="34"/>
  <c r="J128" i="34"/>
  <c r="H128" i="34"/>
  <c r="N127" i="34"/>
  <c r="N126" i="34"/>
  <c r="N124" i="34"/>
  <c r="L123" i="34"/>
  <c r="J123" i="34"/>
  <c r="H123" i="34"/>
  <c r="N122" i="34"/>
  <c r="N121" i="34"/>
  <c r="N119" i="34"/>
  <c r="N117" i="34"/>
  <c r="N116" i="34"/>
  <c r="L115" i="34"/>
  <c r="J115" i="34"/>
  <c r="H115" i="34"/>
  <c r="N114" i="34"/>
  <c r="N113" i="34"/>
  <c r="N112" i="34"/>
  <c r="N110" i="34"/>
  <c r="N109" i="34"/>
  <c r="L108" i="34"/>
  <c r="J108" i="34"/>
  <c r="H108" i="34"/>
  <c r="N107" i="34"/>
  <c r="N106" i="34"/>
  <c r="N104" i="34"/>
  <c r="L103" i="34"/>
  <c r="J103" i="34"/>
  <c r="H103" i="34"/>
  <c r="N102" i="34"/>
  <c r="N101" i="34"/>
  <c r="N100" i="34"/>
  <c r="N99" i="34"/>
  <c r="N98" i="34"/>
  <c r="N97" i="34"/>
  <c r="N96" i="34"/>
  <c r="L94" i="34"/>
  <c r="J94" i="34"/>
  <c r="H94" i="34"/>
  <c r="N93" i="34"/>
  <c r="N92" i="34"/>
  <c r="N91" i="34"/>
  <c r="N90" i="34"/>
  <c r="L88" i="34"/>
  <c r="J88" i="34"/>
  <c r="H88" i="34"/>
  <c r="N88" i="34" s="1"/>
  <c r="N87" i="34"/>
  <c r="N86" i="34"/>
  <c r="N85" i="34"/>
  <c r="N84" i="34"/>
  <c r="L82" i="34"/>
  <c r="J82" i="34"/>
  <c r="H82" i="34"/>
  <c r="N81" i="34"/>
  <c r="N80" i="34"/>
  <c r="N79" i="34"/>
  <c r="N78" i="34"/>
  <c r="N76" i="34"/>
  <c r="L75" i="34"/>
  <c r="J75" i="34"/>
  <c r="H75" i="34"/>
  <c r="N74" i="34"/>
  <c r="L72" i="34"/>
  <c r="J72" i="34"/>
  <c r="H72" i="34"/>
  <c r="N71" i="34"/>
  <c r="N70" i="34"/>
  <c r="N69" i="34"/>
  <c r="L67" i="34"/>
  <c r="J67" i="34"/>
  <c r="H67" i="34"/>
  <c r="N66" i="34"/>
  <c r="N65" i="34"/>
  <c r="N64" i="34"/>
  <c r="L62" i="34"/>
  <c r="J62" i="34"/>
  <c r="H62" i="34"/>
  <c r="N61" i="34"/>
  <c r="N60" i="34"/>
  <c r="N59" i="34"/>
  <c r="N58" i="34"/>
  <c r="L54" i="34"/>
  <c r="J54" i="34"/>
  <c r="H54" i="34"/>
  <c r="N53" i="34"/>
  <c r="N52" i="34"/>
  <c r="N51" i="34"/>
  <c r="N50" i="34"/>
  <c r="N49" i="34"/>
  <c r="L47" i="34"/>
  <c r="J47" i="34"/>
  <c r="H47" i="34"/>
  <c r="N46" i="34"/>
  <c r="N45" i="34"/>
  <c r="L43" i="34"/>
  <c r="J43" i="34"/>
  <c r="H43" i="34"/>
  <c r="N42" i="34"/>
  <c r="N41" i="34"/>
  <c r="N40" i="34"/>
  <c r="N36" i="34"/>
  <c r="N35" i="34"/>
  <c r="L34" i="34"/>
  <c r="J34" i="34"/>
  <c r="H34" i="34"/>
  <c r="N33" i="34"/>
  <c r="N32" i="34"/>
  <c r="N31" i="34"/>
  <c r="N30" i="34"/>
  <c r="N28" i="34"/>
  <c r="N27" i="34"/>
  <c r="N26" i="34"/>
  <c r="N25" i="34"/>
  <c r="N24" i="34"/>
  <c r="L23" i="34"/>
  <c r="L37" i="34" s="1"/>
  <c r="J23" i="34"/>
  <c r="J37" i="34" s="1"/>
  <c r="H23" i="34"/>
  <c r="H37" i="34" s="1"/>
  <c r="N22" i="34"/>
  <c r="N21" i="34"/>
  <c r="L15" i="34"/>
  <c r="J15" i="34"/>
  <c r="H15" i="34"/>
  <c r="N15" i="34" s="1"/>
  <c r="N14" i="34"/>
  <c r="N12" i="34"/>
  <c r="L11" i="34"/>
  <c r="J11" i="34"/>
  <c r="H11" i="34"/>
  <c r="N10" i="34"/>
  <c r="N9" i="34"/>
  <c r="L7" i="34"/>
  <c r="L16" i="34" s="1"/>
  <c r="L17" i="34" s="1"/>
  <c r="J7" i="34"/>
  <c r="H7" i="34"/>
  <c r="N6" i="34"/>
  <c r="N5" i="34"/>
  <c r="J43" i="33"/>
  <c r="H43" i="33"/>
  <c r="F43" i="33"/>
  <c r="J36" i="33"/>
  <c r="H36" i="33"/>
  <c r="F36" i="33"/>
  <c r="J32" i="33"/>
  <c r="H32" i="33"/>
  <c r="F32" i="33"/>
  <c r="J28" i="33"/>
  <c r="H28" i="33"/>
  <c r="F28" i="33"/>
  <c r="F33" i="33" s="1"/>
  <c r="F37" i="33" s="1"/>
  <c r="F44" i="33" s="1"/>
  <c r="J21" i="33"/>
  <c r="H21" i="33"/>
  <c r="F21" i="33"/>
  <c r="J14" i="33"/>
  <c r="H14" i="33"/>
  <c r="F14" i="33"/>
  <c r="J10" i="33"/>
  <c r="H10" i="33"/>
  <c r="F10" i="33"/>
  <c r="J7" i="33"/>
  <c r="H7" i="33"/>
  <c r="F7" i="33"/>
  <c r="F15" i="33" s="1"/>
  <c r="F22" i="33" s="1"/>
  <c r="O201" i="32"/>
  <c r="M200" i="32"/>
  <c r="M202" i="32" s="1"/>
  <c r="M203" i="32" s="1"/>
  <c r="K200" i="32"/>
  <c r="K202" i="32" s="1"/>
  <c r="K203" i="32" s="1"/>
  <c r="I200" i="32"/>
  <c r="I202" i="32" s="1"/>
  <c r="O199" i="32"/>
  <c r="O198" i="32"/>
  <c r="M192" i="32"/>
  <c r="K192" i="32"/>
  <c r="I192" i="32"/>
  <c r="O191" i="32"/>
  <c r="M189" i="32"/>
  <c r="K189" i="32"/>
  <c r="I189" i="32"/>
  <c r="O188" i="32"/>
  <c r="O186" i="32"/>
  <c r="O185" i="32"/>
  <c r="M184" i="32"/>
  <c r="K184" i="32"/>
  <c r="I184" i="32"/>
  <c r="O183" i="32"/>
  <c r="O182" i="32"/>
  <c r="O180" i="32"/>
  <c r="O178" i="32"/>
  <c r="M177" i="32"/>
  <c r="K177" i="32"/>
  <c r="I177" i="32"/>
  <c r="O176" i="32"/>
  <c r="O175" i="32"/>
  <c r="O174" i="32"/>
  <c r="O172" i="32"/>
  <c r="M171" i="32"/>
  <c r="K171" i="32"/>
  <c r="I171" i="32"/>
  <c r="O170" i="32"/>
  <c r="O169" i="32"/>
  <c r="O168" i="32"/>
  <c r="M166" i="32"/>
  <c r="K166" i="32"/>
  <c r="I166" i="32"/>
  <c r="O165" i="32"/>
  <c r="O164" i="32"/>
  <c r="O163" i="32"/>
  <c r="O162" i="32"/>
  <c r="O161" i="32"/>
  <c r="O160" i="32"/>
  <c r="M158" i="32"/>
  <c r="K158" i="32"/>
  <c r="I158" i="32"/>
  <c r="O158" i="32" s="1"/>
  <c r="O157" i="32"/>
  <c r="O156" i="32"/>
  <c r="O155" i="32"/>
  <c r="M153" i="32"/>
  <c r="K153" i="32"/>
  <c r="I153" i="32"/>
  <c r="O152" i="32"/>
  <c r="O151" i="32"/>
  <c r="O150" i="32"/>
  <c r="M148" i="32"/>
  <c r="K148" i="32"/>
  <c r="I148" i="32"/>
  <c r="O148" i="32" s="1"/>
  <c r="O147" i="32"/>
  <c r="O146" i="32"/>
  <c r="O145" i="32"/>
  <c r="O143" i="32"/>
  <c r="M142" i="32"/>
  <c r="K142" i="32"/>
  <c r="I142" i="32"/>
  <c r="O141" i="32"/>
  <c r="O140" i="32"/>
  <c r="O139" i="32"/>
  <c r="M137" i="32"/>
  <c r="K137" i="32"/>
  <c r="I137" i="32"/>
  <c r="O136" i="32"/>
  <c r="O135" i="32"/>
  <c r="O134" i="32"/>
  <c r="M132" i="32"/>
  <c r="K132" i="32"/>
  <c r="I132" i="32"/>
  <c r="O131" i="32"/>
  <c r="O130" i="32"/>
  <c r="O129" i="32"/>
  <c r="M127" i="32"/>
  <c r="K127" i="32"/>
  <c r="I127" i="32"/>
  <c r="O126" i="32"/>
  <c r="O125" i="32"/>
  <c r="O124" i="32"/>
  <c r="M122" i="32"/>
  <c r="K122" i="32"/>
  <c r="I122" i="32"/>
  <c r="O121" i="32"/>
  <c r="O120" i="32"/>
  <c r="O119" i="32"/>
  <c r="M117" i="32"/>
  <c r="K117" i="32"/>
  <c r="K179" i="32" s="1"/>
  <c r="I117" i="32"/>
  <c r="O116" i="32"/>
  <c r="O115" i="32"/>
  <c r="O114" i="32"/>
  <c r="O113" i="32"/>
  <c r="O112" i="32"/>
  <c r="O111" i="32"/>
  <c r="M107" i="32"/>
  <c r="K107" i="32"/>
  <c r="I107" i="32"/>
  <c r="O106" i="32"/>
  <c r="O105" i="32"/>
  <c r="O104" i="32"/>
  <c r="O103" i="32"/>
  <c r="O102" i="32"/>
  <c r="O101" i="32"/>
  <c r="M97" i="32"/>
  <c r="K97" i="32"/>
  <c r="I97" i="32"/>
  <c r="O96" i="32"/>
  <c r="M94" i="32"/>
  <c r="K94" i="32"/>
  <c r="I94" i="32"/>
  <c r="O93" i="32"/>
  <c r="O92" i="32"/>
  <c r="O91" i="32"/>
  <c r="O90" i="32"/>
  <c r="M88" i="32"/>
  <c r="K88" i="32"/>
  <c r="I88" i="32"/>
  <c r="O87" i="32"/>
  <c r="O86" i="32"/>
  <c r="O85" i="32"/>
  <c r="O84" i="32"/>
  <c r="O83" i="32"/>
  <c r="M81" i="32"/>
  <c r="K81" i="32"/>
  <c r="I81" i="32"/>
  <c r="O80" i="32"/>
  <c r="O79" i="32"/>
  <c r="O78" i="32"/>
  <c r="O77" i="32"/>
  <c r="M75" i="32"/>
  <c r="K75" i="32"/>
  <c r="K98" i="32" s="1"/>
  <c r="I75" i="32"/>
  <c r="O74" i="32"/>
  <c r="O71" i="32"/>
  <c r="O70" i="32"/>
  <c r="O69" i="32"/>
  <c r="O68" i="32"/>
  <c r="M66" i="32"/>
  <c r="K66" i="32"/>
  <c r="I66" i="32"/>
  <c r="O65" i="32"/>
  <c r="M63" i="32"/>
  <c r="K63" i="32"/>
  <c r="I63" i="32"/>
  <c r="O62" i="32"/>
  <c r="O61" i="32"/>
  <c r="O60" i="32"/>
  <c r="O59" i="32"/>
  <c r="M57" i="32"/>
  <c r="K57" i="32"/>
  <c r="I57" i="32"/>
  <c r="O57" i="32" s="1"/>
  <c r="O56" i="32"/>
  <c r="O55" i="32"/>
  <c r="O54" i="32"/>
  <c r="O53" i="32"/>
  <c r="O52" i="32"/>
  <c r="O51" i="32"/>
  <c r="O50" i="32"/>
  <c r="O49" i="32"/>
  <c r="M47" i="32"/>
  <c r="K47" i="32"/>
  <c r="I47" i="32"/>
  <c r="O46" i="32"/>
  <c r="O45" i="32"/>
  <c r="O44" i="32"/>
  <c r="M42" i="32"/>
  <c r="K42" i="32"/>
  <c r="K67" i="32" s="1"/>
  <c r="I42" i="32"/>
  <c r="O41" i="32"/>
  <c r="M37" i="32"/>
  <c r="K37" i="32"/>
  <c r="I37" i="32"/>
  <c r="O36" i="32"/>
  <c r="O35" i="32"/>
  <c r="O31" i="32"/>
  <c r="O30" i="32"/>
  <c r="M29" i="32"/>
  <c r="K29" i="32"/>
  <c r="I29" i="32"/>
  <c r="O29" i="32" s="1"/>
  <c r="O28" i="32"/>
  <c r="O27" i="32"/>
  <c r="O26" i="32"/>
  <c r="O25" i="32"/>
  <c r="O23" i="32"/>
  <c r="O22" i="32"/>
  <c r="O21" i="32"/>
  <c r="O20" i="32"/>
  <c r="O19" i="32"/>
  <c r="M18" i="32"/>
  <c r="M32" i="32" s="1"/>
  <c r="K18" i="32"/>
  <c r="K32" i="32" s="1"/>
  <c r="I18" i="32"/>
  <c r="I32" i="32" s="1"/>
  <c r="O17" i="32"/>
  <c r="O16" i="32"/>
  <c r="O13" i="32"/>
  <c r="M11" i="32"/>
  <c r="K11" i="32"/>
  <c r="I11" i="32"/>
  <c r="O10" i="32"/>
  <c r="O9" i="32"/>
  <c r="O8" i="32"/>
  <c r="O7" i="32"/>
  <c r="O6" i="32"/>
  <c r="O5" i="32"/>
  <c r="O4" i="32"/>
  <c r="J58" i="31"/>
  <c r="H58" i="31"/>
  <c r="F58" i="31"/>
  <c r="J45" i="31"/>
  <c r="H45" i="31"/>
  <c r="F45" i="31"/>
  <c r="J41" i="31"/>
  <c r="H41" i="31"/>
  <c r="F41" i="31"/>
  <c r="J37" i="31"/>
  <c r="H37" i="31"/>
  <c r="H42" i="31" s="1"/>
  <c r="H46" i="31" s="1"/>
  <c r="H59" i="31" s="1"/>
  <c r="F37" i="31"/>
  <c r="J30" i="31"/>
  <c r="H30" i="31"/>
  <c r="F30" i="31"/>
  <c r="J26" i="31"/>
  <c r="H26" i="31"/>
  <c r="F26" i="31"/>
  <c r="J14" i="31"/>
  <c r="H14" i="31"/>
  <c r="F14" i="31"/>
  <c r="J10" i="31"/>
  <c r="H10" i="31"/>
  <c r="F10" i="31"/>
  <c r="J7" i="31"/>
  <c r="H7" i="31"/>
  <c r="F7" i="31"/>
  <c r="F15" i="31" s="1"/>
  <c r="F31" i="31" s="1"/>
  <c r="K73" i="30"/>
  <c r="K74" i="30" s="1"/>
  <c r="K75" i="30" s="1"/>
  <c r="I73" i="30"/>
  <c r="I74" i="30" s="1"/>
  <c r="I75" i="30" s="1"/>
  <c r="G73" i="30"/>
  <c r="G74" i="30" s="1"/>
  <c r="M72" i="30"/>
  <c r="K66" i="30"/>
  <c r="I66" i="30"/>
  <c r="G66" i="30"/>
  <c r="M65" i="30"/>
  <c r="M64" i="30"/>
  <c r="M62" i="30"/>
  <c r="M61" i="30"/>
  <c r="K60" i="30"/>
  <c r="I60" i="30"/>
  <c r="G60" i="30"/>
  <c r="M59" i="30"/>
  <c r="M58" i="30"/>
  <c r="M57" i="30"/>
  <c r="M56" i="30"/>
  <c r="M54" i="30"/>
  <c r="K53" i="30"/>
  <c r="I53" i="30"/>
  <c r="G53" i="30"/>
  <c r="M52" i="30"/>
  <c r="M51" i="30"/>
  <c r="M50" i="30"/>
  <c r="M49" i="30"/>
  <c r="K46" i="30"/>
  <c r="I46" i="30"/>
  <c r="I47" i="30" s="1"/>
  <c r="G46" i="30"/>
  <c r="M45" i="30"/>
  <c r="M44" i="30"/>
  <c r="M43" i="30"/>
  <c r="M42" i="30"/>
  <c r="M40" i="30"/>
  <c r="M39" i="30"/>
  <c r="M38" i="30"/>
  <c r="M37" i="30"/>
  <c r="M36" i="30"/>
  <c r="M35" i="30"/>
  <c r="K34" i="30"/>
  <c r="I34" i="30"/>
  <c r="G34" i="30"/>
  <c r="M33" i="30"/>
  <c r="M30" i="30"/>
  <c r="K28" i="30"/>
  <c r="I28" i="30"/>
  <c r="G28" i="30"/>
  <c r="M27" i="30"/>
  <c r="M26" i="30"/>
  <c r="M24" i="30"/>
  <c r="M23" i="30"/>
  <c r="M22" i="30"/>
  <c r="M21" i="30"/>
  <c r="M20" i="30"/>
  <c r="M19" i="30"/>
  <c r="K18" i="30"/>
  <c r="I18" i="30"/>
  <c r="G18" i="30"/>
  <c r="M17" i="30"/>
  <c r="M16" i="30"/>
  <c r="M15" i="30"/>
  <c r="M14" i="30"/>
  <c r="M11" i="30"/>
  <c r="M10" i="30"/>
  <c r="K8" i="30"/>
  <c r="I8" i="30"/>
  <c r="G8" i="30"/>
  <c r="M7" i="30"/>
  <c r="M6" i="30"/>
  <c r="M5" i="30"/>
  <c r="M4" i="30"/>
  <c r="J48" i="29"/>
  <c r="H48" i="29"/>
  <c r="F48" i="29"/>
  <c r="J37" i="29"/>
  <c r="H37" i="29"/>
  <c r="F37" i="29"/>
  <c r="J33" i="29"/>
  <c r="H33" i="29"/>
  <c r="F33" i="29"/>
  <c r="J29" i="29"/>
  <c r="H29" i="29"/>
  <c r="F29" i="29"/>
  <c r="J22" i="29"/>
  <c r="H22" i="29"/>
  <c r="F22" i="29"/>
  <c r="J17" i="29"/>
  <c r="H17" i="29"/>
  <c r="F17" i="29"/>
  <c r="J10" i="29"/>
  <c r="H10" i="29"/>
  <c r="F10" i="29"/>
  <c r="J6" i="29"/>
  <c r="H6" i="29"/>
  <c r="F6" i="29"/>
  <c r="L109" i="28"/>
  <c r="L110" i="28" s="1"/>
  <c r="J109" i="28"/>
  <c r="J110" i="28" s="1"/>
  <c r="H109" i="28"/>
  <c r="N108" i="28"/>
  <c r="N103" i="28"/>
  <c r="N102" i="28"/>
  <c r="N101" i="28"/>
  <c r="L100" i="28"/>
  <c r="J100" i="28"/>
  <c r="H100" i="28"/>
  <c r="N99" i="28"/>
  <c r="N98" i="28"/>
  <c r="L96" i="28"/>
  <c r="J96" i="28"/>
  <c r="H96" i="28"/>
  <c r="N95" i="28"/>
  <c r="N92" i="28"/>
  <c r="L91" i="28"/>
  <c r="J91" i="28"/>
  <c r="H91" i="28"/>
  <c r="N90" i="28"/>
  <c r="N89" i="28"/>
  <c r="N88" i="28"/>
  <c r="N87" i="28"/>
  <c r="N86" i="28"/>
  <c r="N85" i="28"/>
  <c r="L83" i="28"/>
  <c r="J83" i="28"/>
  <c r="H83" i="28"/>
  <c r="N83" i="28" s="1"/>
  <c r="N82" i="28"/>
  <c r="N81" i="28"/>
  <c r="N80" i="28"/>
  <c r="L78" i="28"/>
  <c r="J78" i="28"/>
  <c r="H78" i="28"/>
  <c r="N77" i="28"/>
  <c r="N76" i="28"/>
  <c r="N74" i="28"/>
  <c r="L73" i="28"/>
  <c r="J73" i="28"/>
  <c r="H73" i="28"/>
  <c r="N73" i="28" s="1"/>
  <c r="N72" i="28"/>
  <c r="N70" i="28"/>
  <c r="L69" i="28"/>
  <c r="J69" i="28"/>
  <c r="H69" i="28"/>
  <c r="N68" i="28"/>
  <c r="N67" i="28"/>
  <c r="N66" i="28"/>
  <c r="L64" i="28"/>
  <c r="J64" i="28"/>
  <c r="H64" i="28"/>
  <c r="N63" i="28"/>
  <c r="N62" i="28"/>
  <c r="L60" i="28"/>
  <c r="J60" i="28"/>
  <c r="H60" i="28"/>
  <c r="N60" i="28" s="1"/>
  <c r="N59" i="28"/>
  <c r="N58" i="28"/>
  <c r="L56" i="28"/>
  <c r="J56" i="28"/>
  <c r="J93" i="28" s="1"/>
  <c r="H56" i="28"/>
  <c r="N55" i="28"/>
  <c r="N54" i="28"/>
  <c r="N53" i="28"/>
  <c r="N52" i="28"/>
  <c r="N51" i="28"/>
  <c r="N50" i="28"/>
  <c r="N49" i="28"/>
  <c r="L45" i="28"/>
  <c r="J45" i="28"/>
  <c r="H45" i="28"/>
  <c r="N44" i="28"/>
  <c r="N43" i="28"/>
  <c r="N42" i="28"/>
  <c r="L40" i="28"/>
  <c r="J40" i="28"/>
  <c r="H40" i="28"/>
  <c r="N39" i="28"/>
  <c r="N38" i="28"/>
  <c r="L36" i="28"/>
  <c r="L46" i="28" s="1"/>
  <c r="J36" i="28"/>
  <c r="H36" i="28"/>
  <c r="N35" i="28"/>
  <c r="N34" i="28"/>
  <c r="N32" i="28"/>
  <c r="N29" i="28"/>
  <c r="N28" i="28"/>
  <c r="L27" i="28"/>
  <c r="J27" i="28"/>
  <c r="H27" i="28"/>
  <c r="N26" i="28"/>
  <c r="N25" i="28"/>
  <c r="N24" i="28"/>
  <c r="N22" i="28"/>
  <c r="N21" i="28"/>
  <c r="N20" i="28"/>
  <c r="N19" i="28"/>
  <c r="L18" i="28"/>
  <c r="J18" i="28"/>
  <c r="J30" i="28" s="1"/>
  <c r="H18" i="28"/>
  <c r="H30" i="28" s="1"/>
  <c r="N17" i="28"/>
  <c r="L12" i="28"/>
  <c r="L13" i="28" s="1"/>
  <c r="J12" i="28"/>
  <c r="J13" i="28" s="1"/>
  <c r="H12" i="28"/>
  <c r="N12" i="28" s="1"/>
  <c r="N11" i="28"/>
  <c r="N10" i="28"/>
  <c r="N9" i="28"/>
  <c r="N8" i="28"/>
  <c r="N7" i="28"/>
  <c r="N6" i="28"/>
  <c r="N5" i="28"/>
  <c r="N4" i="28"/>
  <c r="L129" i="27"/>
  <c r="J129" i="27"/>
  <c r="H129" i="27"/>
  <c r="N128" i="27"/>
  <c r="L126" i="27"/>
  <c r="L130" i="27" s="1"/>
  <c r="L131" i="27" s="1"/>
  <c r="J126" i="27"/>
  <c r="J130" i="27" s="1"/>
  <c r="J131" i="27" s="1"/>
  <c r="H126" i="27"/>
  <c r="H130" i="27" s="1"/>
  <c r="N125" i="27"/>
  <c r="N119" i="27"/>
  <c r="N118" i="27"/>
  <c r="N117" i="27"/>
  <c r="L116" i="27"/>
  <c r="J116" i="27"/>
  <c r="H116" i="27"/>
  <c r="N115" i="27"/>
  <c r="L113" i="27"/>
  <c r="J113" i="27"/>
  <c r="H113" i="27"/>
  <c r="N112" i="27"/>
  <c r="N109" i="27"/>
  <c r="N108" i="27"/>
  <c r="N107" i="27"/>
  <c r="N106" i="27"/>
  <c r="L105" i="27"/>
  <c r="J105" i="27"/>
  <c r="H105" i="27"/>
  <c r="N104" i="27"/>
  <c r="N103" i="27"/>
  <c r="N101" i="27"/>
  <c r="N100" i="27"/>
  <c r="L99" i="27"/>
  <c r="J99" i="27"/>
  <c r="H99" i="27"/>
  <c r="N98" i="27"/>
  <c r="N97" i="27"/>
  <c r="N96" i="27"/>
  <c r="N95" i="27"/>
  <c r="N94" i="27"/>
  <c r="N93" i="27"/>
  <c r="L91" i="27"/>
  <c r="J91" i="27"/>
  <c r="H91" i="27"/>
  <c r="N90" i="27"/>
  <c r="N89" i="27"/>
  <c r="N88" i="27"/>
  <c r="L86" i="27"/>
  <c r="J86" i="27"/>
  <c r="H86" i="27"/>
  <c r="N86" i="27" s="1"/>
  <c r="N85" i="27"/>
  <c r="N84" i="27"/>
  <c r="N83" i="27"/>
  <c r="L81" i="27"/>
  <c r="J81" i="27"/>
  <c r="H81" i="27"/>
  <c r="N80" i="27"/>
  <c r="N79" i="27"/>
  <c r="N78" i="27"/>
  <c r="N76" i="27"/>
  <c r="L75" i="27"/>
  <c r="J75" i="27"/>
  <c r="H75" i="27"/>
  <c r="N74" i="27"/>
  <c r="N73" i="27"/>
  <c r="L71" i="27"/>
  <c r="J71" i="27"/>
  <c r="H71" i="27"/>
  <c r="N70" i="27"/>
  <c r="N69" i="27"/>
  <c r="N68" i="27"/>
  <c r="L66" i="27"/>
  <c r="J66" i="27"/>
  <c r="H66" i="27"/>
  <c r="N66" i="27" s="1"/>
  <c r="N65" i="27"/>
  <c r="N64" i="27"/>
  <c r="N63" i="27"/>
  <c r="L61" i="27"/>
  <c r="J61" i="27"/>
  <c r="H61" i="27"/>
  <c r="N60" i="27"/>
  <c r="N59" i="27"/>
  <c r="L57" i="27"/>
  <c r="J57" i="27"/>
  <c r="H57" i="27"/>
  <c r="N56" i="27"/>
  <c r="N55" i="27"/>
  <c r="N54" i="27"/>
  <c r="L52" i="27"/>
  <c r="J52" i="27"/>
  <c r="J110" i="27" s="1"/>
  <c r="H52" i="27"/>
  <c r="N51" i="27"/>
  <c r="N50" i="27"/>
  <c r="N49" i="27"/>
  <c r="N48" i="27"/>
  <c r="N47" i="27"/>
  <c r="N46" i="27"/>
  <c r="N45" i="27"/>
  <c r="N41" i="27"/>
  <c r="L40" i="27"/>
  <c r="J40" i="27"/>
  <c r="H40" i="27"/>
  <c r="N40" i="27" s="1"/>
  <c r="N39" i="27"/>
  <c r="N38" i="27"/>
  <c r="L36" i="27"/>
  <c r="J36" i="27"/>
  <c r="H36" i="27"/>
  <c r="N35" i="27"/>
  <c r="N34" i="27"/>
  <c r="L32" i="27"/>
  <c r="J32" i="27"/>
  <c r="H32" i="27"/>
  <c r="N31" i="27"/>
  <c r="N30" i="27"/>
  <c r="L28" i="27"/>
  <c r="J28" i="27"/>
  <c r="H28" i="27"/>
  <c r="N27" i="27"/>
  <c r="N26" i="27"/>
  <c r="N22" i="27"/>
  <c r="N21" i="27"/>
  <c r="L20" i="27"/>
  <c r="J20" i="27"/>
  <c r="H20" i="27"/>
  <c r="N19" i="27"/>
  <c r="N18" i="27"/>
  <c r="N17" i="27"/>
  <c r="N15" i="27"/>
  <c r="N14" i="27"/>
  <c r="N13" i="27"/>
  <c r="L12" i="27"/>
  <c r="J12" i="27"/>
  <c r="J23" i="27" s="1"/>
  <c r="H12" i="27"/>
  <c r="N11" i="27"/>
  <c r="L6" i="27"/>
  <c r="L7" i="27" s="1"/>
  <c r="J6" i="27"/>
  <c r="J7" i="27" s="1"/>
  <c r="H6" i="27"/>
  <c r="H7" i="27" s="1"/>
  <c r="N5" i="27"/>
  <c r="N4" i="27"/>
  <c r="L164" i="26"/>
  <c r="J164" i="26"/>
  <c r="H164" i="26"/>
  <c r="N164" i="26" s="1"/>
  <c r="N163" i="26"/>
  <c r="L160" i="26"/>
  <c r="J160" i="26"/>
  <c r="H160" i="26"/>
  <c r="N160" i="26" s="1"/>
  <c r="N159" i="26"/>
  <c r="L157" i="26"/>
  <c r="L161" i="26" s="1"/>
  <c r="L165" i="26" s="1"/>
  <c r="J157" i="26"/>
  <c r="J161" i="26" s="1"/>
  <c r="J165" i="26" s="1"/>
  <c r="H157" i="26"/>
  <c r="N156" i="26"/>
  <c r="N155" i="26"/>
  <c r="N149" i="26"/>
  <c r="N148" i="26"/>
  <c r="L147" i="26"/>
  <c r="J147" i="26"/>
  <c r="H147" i="26"/>
  <c r="N146" i="26"/>
  <c r="N145" i="26"/>
  <c r="L143" i="26"/>
  <c r="J143" i="26"/>
  <c r="H143" i="26"/>
  <c r="N143" i="26" s="1"/>
  <c r="N142" i="26"/>
  <c r="N141" i="26"/>
  <c r="N140" i="26"/>
  <c r="N139" i="26"/>
  <c r="N138" i="26"/>
  <c r="L136" i="26"/>
  <c r="J136" i="26"/>
  <c r="H136" i="26"/>
  <c r="N136" i="26" s="1"/>
  <c r="N135" i="26"/>
  <c r="N132" i="26"/>
  <c r="N131" i="26"/>
  <c r="N130" i="26"/>
  <c r="N129" i="26"/>
  <c r="N128" i="26"/>
  <c r="L127" i="26"/>
  <c r="J127" i="26"/>
  <c r="H127" i="26"/>
  <c r="N126" i="26"/>
  <c r="N125" i="26"/>
  <c r="N123" i="26"/>
  <c r="N122" i="26"/>
  <c r="N121" i="26"/>
  <c r="L120" i="26"/>
  <c r="J120" i="26"/>
  <c r="H120" i="26"/>
  <c r="N119" i="26"/>
  <c r="N118" i="26"/>
  <c r="N117" i="26"/>
  <c r="N116" i="26"/>
  <c r="N115" i="26"/>
  <c r="N114" i="26"/>
  <c r="L112" i="26"/>
  <c r="J112" i="26"/>
  <c r="H112" i="26"/>
  <c r="N111" i="26"/>
  <c r="N110" i="26"/>
  <c r="N109" i="26"/>
  <c r="L107" i="26"/>
  <c r="J107" i="26"/>
  <c r="H107" i="26"/>
  <c r="N107" i="26" s="1"/>
  <c r="N106" i="26"/>
  <c r="N105" i="26"/>
  <c r="N104" i="26"/>
  <c r="L102" i="26"/>
  <c r="J102" i="26"/>
  <c r="H102" i="26"/>
  <c r="N101" i="26"/>
  <c r="N100" i="26"/>
  <c r="N99" i="26"/>
  <c r="N97" i="26"/>
  <c r="L96" i="26"/>
  <c r="J96" i="26"/>
  <c r="H96" i="26"/>
  <c r="N95" i="26"/>
  <c r="N94" i="26"/>
  <c r="L92" i="26"/>
  <c r="J92" i="26"/>
  <c r="H92" i="26"/>
  <c r="N91" i="26"/>
  <c r="N90" i="26"/>
  <c r="N89" i="26"/>
  <c r="L87" i="26"/>
  <c r="J87" i="26"/>
  <c r="H87" i="26"/>
  <c r="N87" i="26" s="1"/>
  <c r="N86" i="26"/>
  <c r="N85" i="26"/>
  <c r="N84" i="26"/>
  <c r="L82" i="26"/>
  <c r="J82" i="26"/>
  <c r="H82" i="26"/>
  <c r="N81" i="26"/>
  <c r="N80" i="26"/>
  <c r="L78" i="26"/>
  <c r="J78" i="26"/>
  <c r="H78" i="26"/>
  <c r="N77" i="26"/>
  <c r="N76" i="26"/>
  <c r="N75" i="26"/>
  <c r="L73" i="26"/>
  <c r="J73" i="26"/>
  <c r="J133" i="26" s="1"/>
  <c r="H73" i="26"/>
  <c r="N72" i="26"/>
  <c r="N71" i="26"/>
  <c r="N70" i="26"/>
  <c r="N69" i="26"/>
  <c r="N68" i="26"/>
  <c r="N67" i="26"/>
  <c r="N66" i="26"/>
  <c r="N62" i="26"/>
  <c r="L61" i="26"/>
  <c r="J61" i="26"/>
  <c r="H61" i="26"/>
  <c r="N61" i="26" s="1"/>
  <c r="N60" i="26"/>
  <c r="N59" i="26"/>
  <c r="N58" i="26"/>
  <c r="N57" i="26"/>
  <c r="N56" i="26"/>
  <c r="L54" i="26"/>
  <c r="J54" i="26"/>
  <c r="H54" i="26"/>
  <c r="N54" i="26" s="1"/>
  <c r="N53" i="26"/>
  <c r="N52" i="26"/>
  <c r="L50" i="26"/>
  <c r="J50" i="26"/>
  <c r="H50" i="26"/>
  <c r="N49" i="26"/>
  <c r="N48" i="26"/>
  <c r="L46" i="26"/>
  <c r="J46" i="26"/>
  <c r="H46" i="26"/>
  <c r="N45" i="26"/>
  <c r="N44" i="26"/>
  <c r="N43" i="26"/>
  <c r="N42" i="26"/>
  <c r="L40" i="26"/>
  <c r="J40" i="26"/>
  <c r="H40" i="26"/>
  <c r="N39" i="26"/>
  <c r="N38" i="26"/>
  <c r="N34" i="26"/>
  <c r="N33" i="26"/>
  <c r="L32" i="26"/>
  <c r="J32" i="26"/>
  <c r="H32" i="26"/>
  <c r="N32" i="26" s="1"/>
  <c r="N31" i="26"/>
  <c r="N30" i="26"/>
  <c r="N29" i="26"/>
  <c r="N28" i="26"/>
  <c r="N27" i="26"/>
  <c r="N25" i="26"/>
  <c r="N24" i="26"/>
  <c r="N23" i="26"/>
  <c r="N22" i="26"/>
  <c r="N21" i="26"/>
  <c r="L20" i="26"/>
  <c r="J20" i="26"/>
  <c r="J35" i="26" s="1"/>
  <c r="H20" i="26"/>
  <c r="N19" i="26"/>
  <c r="N18" i="26"/>
  <c r="N15" i="26"/>
  <c r="L12" i="26"/>
  <c r="L13" i="26" s="1"/>
  <c r="J12" i="26"/>
  <c r="J13" i="26" s="1"/>
  <c r="H12" i="26"/>
  <c r="N11" i="26"/>
  <c r="N10" i="26"/>
  <c r="N9" i="26"/>
  <c r="N8" i="26"/>
  <c r="N7" i="26"/>
  <c r="N6" i="26"/>
  <c r="N5" i="26"/>
  <c r="N4" i="26"/>
  <c r="J64" i="25"/>
  <c r="H64" i="25"/>
  <c r="F64" i="25"/>
  <c r="J53" i="25"/>
  <c r="H53" i="25"/>
  <c r="F53" i="25"/>
  <c r="J48" i="25"/>
  <c r="H48" i="25"/>
  <c r="F48" i="25"/>
  <c r="J44" i="25"/>
  <c r="H44" i="25"/>
  <c r="F44" i="25"/>
  <c r="J37" i="25"/>
  <c r="H37" i="25"/>
  <c r="F37" i="25"/>
  <c r="J31" i="25"/>
  <c r="H31" i="25"/>
  <c r="F31" i="25"/>
  <c r="J17" i="25"/>
  <c r="H17" i="25"/>
  <c r="F17" i="25"/>
  <c r="J12" i="25"/>
  <c r="H12" i="25"/>
  <c r="F12" i="25"/>
  <c r="J9" i="25"/>
  <c r="J18" i="25" s="1"/>
  <c r="J38" i="25" s="1"/>
  <c r="H9" i="25"/>
  <c r="F9" i="25"/>
  <c r="J16" i="24"/>
  <c r="J17" i="24" s="1"/>
  <c r="H16" i="24"/>
  <c r="H17" i="24" s="1"/>
  <c r="F16" i="24"/>
  <c r="L15" i="24"/>
  <c r="J11" i="24"/>
  <c r="J12" i="24" s="1"/>
  <c r="J18" i="24" s="1"/>
  <c r="H11" i="24"/>
  <c r="H12" i="24" s="1"/>
  <c r="F11" i="24"/>
  <c r="F12" i="24" s="1"/>
  <c r="L10" i="24"/>
  <c r="L9" i="24"/>
  <c r="L8" i="24"/>
  <c r="L7" i="24"/>
  <c r="L6" i="24"/>
  <c r="L5" i="24"/>
  <c r="L4" i="24"/>
  <c r="J31" i="23"/>
  <c r="H31" i="23"/>
  <c r="F31" i="23"/>
  <c r="J25" i="23"/>
  <c r="J26" i="23" s="1"/>
  <c r="J27" i="23" s="1"/>
  <c r="J32" i="23" s="1"/>
  <c r="H25" i="23"/>
  <c r="H26" i="23" s="1"/>
  <c r="H27" i="23" s="1"/>
  <c r="F25" i="23"/>
  <c r="F26" i="23" s="1"/>
  <c r="F27" i="23" s="1"/>
  <c r="J18" i="23"/>
  <c r="H18" i="23"/>
  <c r="F18" i="23"/>
  <c r="J13" i="23"/>
  <c r="J14" i="23" s="1"/>
  <c r="H13" i="23"/>
  <c r="H14" i="23" s="1"/>
  <c r="F13" i="23"/>
  <c r="F14" i="23" s="1"/>
  <c r="J6" i="23"/>
  <c r="H6" i="23"/>
  <c r="F6" i="23"/>
  <c r="L123" i="22"/>
  <c r="J123" i="22"/>
  <c r="H123" i="22"/>
  <c r="N122" i="22"/>
  <c r="L120" i="22"/>
  <c r="J120" i="22"/>
  <c r="J124" i="22" s="1"/>
  <c r="H120" i="22"/>
  <c r="H124" i="22" s="1"/>
  <c r="N119" i="22"/>
  <c r="N118" i="22"/>
  <c r="N113" i="22"/>
  <c r="N112" i="22"/>
  <c r="L111" i="22"/>
  <c r="J111" i="22"/>
  <c r="H111" i="22"/>
  <c r="N110" i="22"/>
  <c r="N109" i="22"/>
  <c r="L107" i="22"/>
  <c r="J107" i="22"/>
  <c r="H107" i="22"/>
  <c r="N106" i="22"/>
  <c r="N105" i="22"/>
  <c r="N104" i="22"/>
  <c r="N103" i="22"/>
  <c r="N102" i="22"/>
  <c r="L100" i="22"/>
  <c r="J100" i="22"/>
  <c r="H100" i="22"/>
  <c r="N99" i="22"/>
  <c r="N96" i="22"/>
  <c r="N95" i="22"/>
  <c r="L94" i="22"/>
  <c r="J94" i="22"/>
  <c r="H94" i="22"/>
  <c r="N94" i="22" s="1"/>
  <c r="N93" i="22"/>
  <c r="N92" i="22"/>
  <c r="N91" i="22"/>
  <c r="N90" i="22"/>
  <c r="N89" i="22"/>
  <c r="N88" i="22"/>
  <c r="L86" i="22"/>
  <c r="J86" i="22"/>
  <c r="H86" i="22"/>
  <c r="N85" i="22"/>
  <c r="N84" i="22"/>
  <c r="N83" i="22"/>
  <c r="L81" i="22"/>
  <c r="J81" i="22"/>
  <c r="H81" i="22"/>
  <c r="N80" i="22"/>
  <c r="N79" i="22"/>
  <c r="N78" i="22"/>
  <c r="L76" i="22"/>
  <c r="J76" i="22"/>
  <c r="H76" i="22"/>
  <c r="N75" i="22"/>
  <c r="N74" i="22"/>
  <c r="N72" i="22"/>
  <c r="L71" i="22"/>
  <c r="J71" i="22"/>
  <c r="H71" i="22"/>
  <c r="N70" i="22"/>
  <c r="N69" i="22"/>
  <c r="L67" i="22"/>
  <c r="J67" i="22"/>
  <c r="H67" i="22"/>
  <c r="N67" i="22" s="1"/>
  <c r="N66" i="22"/>
  <c r="N65" i="22"/>
  <c r="L63" i="22"/>
  <c r="J63" i="22"/>
  <c r="H63" i="22"/>
  <c r="N62" i="22"/>
  <c r="N61" i="22"/>
  <c r="N60" i="22"/>
  <c r="N59" i="22"/>
  <c r="L57" i="22"/>
  <c r="J57" i="22"/>
  <c r="H57" i="22"/>
  <c r="N57" i="22" s="1"/>
  <c r="N56" i="22"/>
  <c r="L54" i="22"/>
  <c r="J54" i="22"/>
  <c r="H54" i="22"/>
  <c r="N54" i="22" s="1"/>
  <c r="N53" i="22"/>
  <c r="N52" i="22"/>
  <c r="N51" i="22"/>
  <c r="N47" i="22"/>
  <c r="N46" i="22"/>
  <c r="L45" i="22"/>
  <c r="J45" i="22"/>
  <c r="H45" i="22"/>
  <c r="N45" i="22" s="1"/>
  <c r="N44" i="22"/>
  <c r="N43" i="22"/>
  <c r="N42" i="22"/>
  <c r="N41" i="22"/>
  <c r="L39" i="22"/>
  <c r="J39" i="22"/>
  <c r="H39" i="22"/>
  <c r="N38" i="22"/>
  <c r="N37" i="22"/>
  <c r="N36" i="22"/>
  <c r="N34" i="22"/>
  <c r="N31" i="22"/>
  <c r="N30" i="22"/>
  <c r="L29" i="22"/>
  <c r="J29" i="22"/>
  <c r="H29" i="22"/>
  <c r="N29" i="22" s="1"/>
  <c r="N28" i="22"/>
  <c r="N27" i="22"/>
  <c r="N26" i="22"/>
  <c r="N25" i="22"/>
  <c r="N23" i="22"/>
  <c r="N22" i="22"/>
  <c r="N21" i="22"/>
  <c r="N20" i="22"/>
  <c r="N19" i="22"/>
  <c r="L18" i="22"/>
  <c r="L32" i="22" s="1"/>
  <c r="J18" i="22"/>
  <c r="J32" i="22" s="1"/>
  <c r="H18" i="22"/>
  <c r="N17" i="22"/>
  <c r="N16" i="22"/>
  <c r="N13" i="22"/>
  <c r="N12" i="22"/>
  <c r="L9" i="22"/>
  <c r="L10" i="22" s="1"/>
  <c r="J9" i="22"/>
  <c r="J10" i="22" s="1"/>
  <c r="H9" i="22"/>
  <c r="N8" i="22"/>
  <c r="N7" i="22"/>
  <c r="N6" i="22"/>
  <c r="N5" i="22"/>
  <c r="N4" i="22"/>
  <c r="J48" i="21"/>
  <c r="H48" i="21"/>
  <c r="F48" i="21"/>
  <c r="J42" i="21"/>
  <c r="H42" i="21"/>
  <c r="F42" i="21"/>
  <c r="J36" i="21"/>
  <c r="H36" i="21"/>
  <c r="F36" i="21"/>
  <c r="J31" i="21"/>
  <c r="H31" i="21"/>
  <c r="F31" i="21"/>
  <c r="F37" i="21" s="1"/>
  <c r="F43" i="21" s="1"/>
  <c r="F49" i="21" s="1"/>
  <c r="J24" i="21"/>
  <c r="H24" i="21"/>
  <c r="F24" i="21"/>
  <c r="J21" i="21"/>
  <c r="H21" i="21"/>
  <c r="F21" i="21"/>
  <c r="J13" i="21"/>
  <c r="H13" i="21"/>
  <c r="F13" i="21"/>
  <c r="J10" i="21"/>
  <c r="H10" i="21"/>
  <c r="F10" i="21"/>
  <c r="J7" i="21"/>
  <c r="H7" i="21"/>
  <c r="F7" i="21"/>
  <c r="L107" i="20"/>
  <c r="L108" i="20" s="1"/>
  <c r="J107" i="20"/>
  <c r="J108" i="20" s="1"/>
  <c r="H107" i="20"/>
  <c r="H108" i="20" s="1"/>
  <c r="N106" i="20"/>
  <c r="N101" i="20"/>
  <c r="N100" i="20"/>
  <c r="N99" i="20"/>
  <c r="L98" i="20"/>
  <c r="J98" i="20"/>
  <c r="H98" i="20"/>
  <c r="N97" i="20"/>
  <c r="N96" i="20"/>
  <c r="N95" i="20"/>
  <c r="N93" i="20"/>
  <c r="N91" i="20"/>
  <c r="N90" i="20"/>
  <c r="L89" i="20"/>
  <c r="J89" i="20"/>
  <c r="H89" i="20"/>
  <c r="N88" i="20"/>
  <c r="N87" i="20"/>
  <c r="N86" i="20"/>
  <c r="N85" i="20"/>
  <c r="N84" i="20"/>
  <c r="N83" i="20"/>
  <c r="L81" i="20"/>
  <c r="J81" i="20"/>
  <c r="H81" i="20"/>
  <c r="N80" i="20"/>
  <c r="N79" i="20"/>
  <c r="L77" i="20"/>
  <c r="J77" i="20"/>
  <c r="H77" i="20"/>
  <c r="N77" i="20" s="1"/>
  <c r="N76" i="20"/>
  <c r="N75" i="20"/>
  <c r="L73" i="20"/>
  <c r="J73" i="20"/>
  <c r="H73" i="20"/>
  <c r="N72" i="20"/>
  <c r="N71" i="20"/>
  <c r="N69" i="20"/>
  <c r="L68" i="20"/>
  <c r="J68" i="20"/>
  <c r="H68" i="20"/>
  <c r="N67" i="20"/>
  <c r="N66" i="20"/>
  <c r="L64" i="20"/>
  <c r="J64" i="20"/>
  <c r="H64" i="20"/>
  <c r="N64" i="20" s="1"/>
  <c r="N63" i="20"/>
  <c r="N62" i="20"/>
  <c r="L60" i="20"/>
  <c r="J60" i="20"/>
  <c r="H60" i="20"/>
  <c r="N59" i="20"/>
  <c r="N58" i="20"/>
  <c r="N57" i="20"/>
  <c r="L55" i="20"/>
  <c r="J55" i="20"/>
  <c r="H55" i="20"/>
  <c r="N54" i="20"/>
  <c r="N53" i="20"/>
  <c r="N51" i="20"/>
  <c r="L50" i="20"/>
  <c r="J50" i="20"/>
  <c r="H50" i="20"/>
  <c r="N49" i="20"/>
  <c r="N48" i="20"/>
  <c r="N47" i="20"/>
  <c r="N46" i="20"/>
  <c r="N45" i="20"/>
  <c r="N41" i="20"/>
  <c r="L40" i="20"/>
  <c r="J40" i="20"/>
  <c r="H40" i="20"/>
  <c r="N39" i="20"/>
  <c r="L37" i="20"/>
  <c r="L42" i="20" s="1"/>
  <c r="J37" i="20"/>
  <c r="J42" i="20" s="1"/>
  <c r="H37" i="20"/>
  <c r="H42" i="20" s="1"/>
  <c r="N36" i="20"/>
  <c r="N35" i="20"/>
  <c r="N33" i="20"/>
  <c r="N30" i="20"/>
  <c r="N29" i="20"/>
  <c r="L28" i="20"/>
  <c r="J28" i="20"/>
  <c r="H28" i="20"/>
  <c r="N27" i="20"/>
  <c r="N26" i="20"/>
  <c r="N25" i="20"/>
  <c r="N24" i="20"/>
  <c r="N22" i="20"/>
  <c r="N21" i="20"/>
  <c r="N20" i="20"/>
  <c r="N19" i="20"/>
  <c r="N18" i="20"/>
  <c r="L17" i="20"/>
  <c r="J17" i="20"/>
  <c r="J31" i="20" s="1"/>
  <c r="H17" i="20"/>
  <c r="H31" i="20" s="1"/>
  <c r="N16" i="20"/>
  <c r="N15" i="20"/>
  <c r="L10" i="20"/>
  <c r="L11" i="20" s="1"/>
  <c r="J10" i="20"/>
  <c r="J11" i="20" s="1"/>
  <c r="H10" i="20"/>
  <c r="H11" i="20" s="1"/>
  <c r="N9" i="20"/>
  <c r="N8" i="20"/>
  <c r="N7" i="20"/>
  <c r="N6" i="20"/>
  <c r="N5" i="20"/>
  <c r="N4" i="20"/>
  <c r="J52" i="19"/>
  <c r="H52" i="19"/>
  <c r="F52" i="19"/>
  <c r="J43" i="19"/>
  <c r="H43" i="19"/>
  <c r="F43" i="19"/>
  <c r="J38" i="19"/>
  <c r="H38" i="19"/>
  <c r="F38" i="19"/>
  <c r="J34" i="19"/>
  <c r="H34" i="19"/>
  <c r="H39" i="19" s="1"/>
  <c r="H44" i="19" s="1"/>
  <c r="H53" i="19" s="1"/>
  <c r="F34" i="19"/>
  <c r="J27" i="19"/>
  <c r="H27" i="19"/>
  <c r="F27" i="19"/>
  <c r="J23" i="19"/>
  <c r="H23" i="19"/>
  <c r="F23" i="19"/>
  <c r="J14" i="19"/>
  <c r="H14" i="19"/>
  <c r="F14" i="19"/>
  <c r="J10" i="19"/>
  <c r="H10" i="19"/>
  <c r="F10" i="19"/>
  <c r="J7" i="19"/>
  <c r="H7" i="19"/>
  <c r="F7" i="19"/>
  <c r="F15" i="19" s="1"/>
  <c r="F28" i="19" s="1"/>
  <c r="N113" i="18"/>
  <c r="N112" i="18"/>
  <c r="N111" i="18"/>
  <c r="L110" i="18"/>
  <c r="J110" i="18"/>
  <c r="H110" i="18"/>
  <c r="N109" i="18"/>
  <c r="N108" i="18"/>
  <c r="N106" i="18"/>
  <c r="L104" i="18"/>
  <c r="J104" i="18"/>
  <c r="H104" i="18"/>
  <c r="N104" i="18" s="1"/>
  <c r="N103" i="18"/>
  <c r="N102" i="18"/>
  <c r="L100" i="18"/>
  <c r="J100" i="18"/>
  <c r="H100" i="18"/>
  <c r="N99" i="18"/>
  <c r="N98" i="18"/>
  <c r="N97" i="18"/>
  <c r="N96" i="18"/>
  <c r="N95" i="18"/>
  <c r="L93" i="18"/>
  <c r="J93" i="18"/>
  <c r="H93" i="18"/>
  <c r="N92" i="18"/>
  <c r="L90" i="18"/>
  <c r="J90" i="18"/>
  <c r="H90" i="18"/>
  <c r="N89" i="18"/>
  <c r="N88" i="18"/>
  <c r="N87" i="18"/>
  <c r="L85" i="18"/>
  <c r="J85" i="18"/>
  <c r="H85" i="18"/>
  <c r="N84" i="18"/>
  <c r="N83" i="18"/>
  <c r="N81" i="18"/>
  <c r="L80" i="18"/>
  <c r="J80" i="18"/>
  <c r="H80" i="18"/>
  <c r="N79" i="18"/>
  <c r="N78" i="18"/>
  <c r="L76" i="18"/>
  <c r="J76" i="18"/>
  <c r="H76" i="18"/>
  <c r="N75" i="18"/>
  <c r="N74" i="18"/>
  <c r="L72" i="18"/>
  <c r="J72" i="18"/>
  <c r="H72" i="18"/>
  <c r="N71" i="18"/>
  <c r="N70" i="18"/>
  <c r="N69" i="18"/>
  <c r="N68" i="18"/>
  <c r="L66" i="18"/>
  <c r="J66" i="18"/>
  <c r="H66" i="18"/>
  <c r="N65" i="18"/>
  <c r="N64" i="18"/>
  <c r="L62" i="18"/>
  <c r="J62" i="18"/>
  <c r="H62" i="18"/>
  <c r="N61" i="18"/>
  <c r="N60" i="18"/>
  <c r="N59" i="18"/>
  <c r="N58" i="18"/>
  <c r="L56" i="18"/>
  <c r="L105" i="18" s="1"/>
  <c r="J56" i="18"/>
  <c r="H56" i="18"/>
  <c r="N55" i="18"/>
  <c r="N54" i="18"/>
  <c r="N53" i="18"/>
  <c r="N52" i="18"/>
  <c r="N51" i="18"/>
  <c r="N50" i="18"/>
  <c r="L46" i="18"/>
  <c r="J46" i="18"/>
  <c r="H46" i="18"/>
  <c r="N45" i="18"/>
  <c r="N44" i="18"/>
  <c r="N43" i="18"/>
  <c r="L41" i="18"/>
  <c r="J41" i="18"/>
  <c r="H41" i="18"/>
  <c r="N40" i="18"/>
  <c r="L38" i="18"/>
  <c r="L47" i="18" s="1"/>
  <c r="J38" i="18"/>
  <c r="H38" i="18"/>
  <c r="N37" i="18"/>
  <c r="N36" i="18"/>
  <c r="N34" i="18"/>
  <c r="N31" i="18"/>
  <c r="N30" i="18"/>
  <c r="L29" i="18"/>
  <c r="J29" i="18"/>
  <c r="H29" i="18"/>
  <c r="N28" i="18"/>
  <c r="N27" i="18"/>
  <c r="N26" i="18"/>
  <c r="N24" i="18"/>
  <c r="N23" i="18"/>
  <c r="N22" i="18"/>
  <c r="N21" i="18"/>
  <c r="N20" i="18"/>
  <c r="L19" i="18"/>
  <c r="J19" i="18"/>
  <c r="H19" i="18"/>
  <c r="N19" i="18" s="1"/>
  <c r="N18" i="18"/>
  <c r="N17" i="18"/>
  <c r="L12" i="18"/>
  <c r="L13" i="18" s="1"/>
  <c r="J12" i="18"/>
  <c r="J13" i="18" s="1"/>
  <c r="H12" i="18"/>
  <c r="N11" i="18"/>
  <c r="N10" i="18"/>
  <c r="N9" i="18"/>
  <c r="N8" i="18"/>
  <c r="N7" i="18"/>
  <c r="N6" i="18"/>
  <c r="N5" i="18"/>
  <c r="N4" i="18"/>
  <c r="J56" i="17"/>
  <c r="H56" i="17"/>
  <c r="F56" i="17"/>
  <c r="J49" i="17"/>
  <c r="H49" i="17"/>
  <c r="F49" i="17"/>
  <c r="J45" i="17"/>
  <c r="H45" i="17"/>
  <c r="F45" i="17"/>
  <c r="J41" i="17"/>
  <c r="H41" i="17"/>
  <c r="H46" i="17" s="1"/>
  <c r="H50" i="17" s="1"/>
  <c r="H57" i="17" s="1"/>
  <c r="F41" i="17"/>
  <c r="J34" i="17"/>
  <c r="H34" i="17"/>
  <c r="F34" i="17"/>
  <c r="J26" i="17"/>
  <c r="H26" i="17"/>
  <c r="F26" i="17"/>
  <c r="J21" i="17"/>
  <c r="J29" i="17" s="1"/>
  <c r="H21" i="17"/>
  <c r="F21" i="17"/>
  <c r="J13" i="17"/>
  <c r="H13" i="17"/>
  <c r="F13" i="17"/>
  <c r="J9" i="17"/>
  <c r="H9" i="17"/>
  <c r="F9" i="17"/>
  <c r="J6" i="17"/>
  <c r="H6" i="17"/>
  <c r="F6" i="17"/>
  <c r="L126" i="16"/>
  <c r="J126" i="16"/>
  <c r="H126" i="16"/>
  <c r="N125" i="16"/>
  <c r="L123" i="16"/>
  <c r="L127" i="16" s="1"/>
  <c r="J123" i="16"/>
  <c r="J127" i="16" s="1"/>
  <c r="H123" i="16"/>
  <c r="H127" i="16" s="1"/>
  <c r="N122" i="16"/>
  <c r="N121" i="16"/>
  <c r="N116" i="16"/>
  <c r="N115" i="16"/>
  <c r="N114" i="16"/>
  <c r="L113" i="16"/>
  <c r="J113" i="16"/>
  <c r="H113" i="16"/>
  <c r="N112" i="16"/>
  <c r="N111" i="16"/>
  <c r="N110" i="16"/>
  <c r="N109" i="16"/>
  <c r="L107" i="16"/>
  <c r="J107" i="16"/>
  <c r="H107" i="16"/>
  <c r="N106" i="16"/>
  <c r="N105" i="16"/>
  <c r="N104" i="16"/>
  <c r="N103" i="16"/>
  <c r="N101" i="16"/>
  <c r="L99" i="16"/>
  <c r="J99" i="16"/>
  <c r="H99" i="16"/>
  <c r="N98" i="16"/>
  <c r="N97" i="16"/>
  <c r="L95" i="16"/>
  <c r="J95" i="16"/>
  <c r="H95" i="16"/>
  <c r="N94" i="16"/>
  <c r="N93" i="16"/>
  <c r="L91" i="16"/>
  <c r="J91" i="16"/>
  <c r="H91" i="16"/>
  <c r="N90" i="16"/>
  <c r="N89" i="16"/>
  <c r="N88" i="16"/>
  <c r="N87" i="16"/>
  <c r="N86" i="16"/>
  <c r="N85" i="16"/>
  <c r="L83" i="16"/>
  <c r="J83" i="16"/>
  <c r="H83" i="16"/>
  <c r="N83" i="16" s="1"/>
  <c r="N82" i="16"/>
  <c r="N81" i="16"/>
  <c r="L79" i="16"/>
  <c r="J79" i="16"/>
  <c r="H79" i="16"/>
  <c r="N78" i="16"/>
  <c r="N77" i="16"/>
  <c r="N75" i="16"/>
  <c r="L74" i="16"/>
  <c r="J74" i="16"/>
  <c r="H74" i="16"/>
  <c r="N73" i="16"/>
  <c r="L71" i="16"/>
  <c r="J71" i="16"/>
  <c r="H71" i="16"/>
  <c r="N70" i="16"/>
  <c r="N69" i="16"/>
  <c r="L67" i="16"/>
  <c r="J67" i="16"/>
  <c r="H67" i="16"/>
  <c r="N67" i="16" s="1"/>
  <c r="N66" i="16"/>
  <c r="N65" i="16"/>
  <c r="N64" i="16"/>
  <c r="L62" i="16"/>
  <c r="J62" i="16"/>
  <c r="H62" i="16"/>
  <c r="N61" i="16"/>
  <c r="N60" i="16"/>
  <c r="N59" i="16"/>
  <c r="L57" i="16"/>
  <c r="J57" i="16"/>
  <c r="H57" i="16"/>
  <c r="N57" i="16" s="1"/>
  <c r="N56" i="16"/>
  <c r="N55" i="16"/>
  <c r="L53" i="16"/>
  <c r="J53" i="16"/>
  <c r="J100" i="16" s="1"/>
  <c r="H53" i="16"/>
  <c r="N52" i="16"/>
  <c r="N51" i="16"/>
  <c r="N50" i="16"/>
  <c r="N49" i="16"/>
  <c r="N48" i="16"/>
  <c r="N47" i="16"/>
  <c r="N46" i="16"/>
  <c r="N42" i="16"/>
  <c r="N41" i="16"/>
  <c r="L40" i="16"/>
  <c r="L43" i="16" s="1"/>
  <c r="J40" i="16"/>
  <c r="J43" i="16" s="1"/>
  <c r="H40" i="16"/>
  <c r="N39" i="16"/>
  <c r="N38" i="16"/>
  <c r="N37" i="16"/>
  <c r="N36" i="16"/>
  <c r="N34" i="16"/>
  <c r="N31" i="16"/>
  <c r="L30" i="16"/>
  <c r="J30" i="16"/>
  <c r="H30" i="16"/>
  <c r="N29" i="16"/>
  <c r="N28" i="16"/>
  <c r="N27" i="16"/>
  <c r="N26" i="16"/>
  <c r="N24" i="16"/>
  <c r="N23" i="16"/>
  <c r="N22" i="16"/>
  <c r="N21" i="16"/>
  <c r="N20" i="16"/>
  <c r="L19" i="16"/>
  <c r="L32" i="16" s="1"/>
  <c r="J19" i="16"/>
  <c r="J32" i="16" s="1"/>
  <c r="H19" i="16"/>
  <c r="H32" i="16" s="1"/>
  <c r="N18" i="16"/>
  <c r="N17" i="16"/>
  <c r="N15" i="16"/>
  <c r="N14" i="16"/>
  <c r="L10" i="16"/>
  <c r="L11" i="16" s="1"/>
  <c r="J10" i="16"/>
  <c r="J11" i="16" s="1"/>
  <c r="H10" i="16"/>
  <c r="H11" i="16" s="1"/>
  <c r="N9" i="16"/>
  <c r="N8" i="16"/>
  <c r="N7" i="16"/>
  <c r="N6" i="16"/>
  <c r="N5" i="16"/>
  <c r="N4" i="16"/>
  <c r="J59" i="15"/>
  <c r="H59" i="15"/>
  <c r="F59" i="15"/>
  <c r="J50" i="15"/>
  <c r="H50" i="15"/>
  <c r="F50" i="15"/>
  <c r="J45" i="15"/>
  <c r="H45" i="15"/>
  <c r="F45" i="15"/>
  <c r="J40" i="15"/>
  <c r="H40" i="15"/>
  <c r="F40" i="15"/>
  <c r="J33" i="15"/>
  <c r="H33" i="15"/>
  <c r="F33" i="15"/>
  <c r="J28" i="15"/>
  <c r="H28" i="15"/>
  <c r="F28" i="15"/>
  <c r="J16" i="15"/>
  <c r="H16" i="15"/>
  <c r="F16" i="15"/>
  <c r="J11" i="15"/>
  <c r="H11" i="15"/>
  <c r="F11" i="15"/>
  <c r="J8" i="15"/>
  <c r="J17" i="15" s="1"/>
  <c r="J34" i="15" s="1"/>
  <c r="H8" i="15"/>
  <c r="F8" i="15"/>
  <c r="D11" i="5"/>
  <c r="D9" i="5"/>
  <c r="D7" i="5"/>
  <c r="C35" i="8"/>
  <c r="C33" i="5" s="1"/>
  <c r="C28" i="8"/>
  <c r="C26" i="5" s="1"/>
  <c r="C27" i="8"/>
  <c r="C26" i="8"/>
  <c r="C24" i="5" s="1"/>
  <c r="C25" i="8"/>
  <c r="C23" i="5" s="1"/>
  <c r="C24" i="8"/>
  <c r="C22" i="5" s="1"/>
  <c r="C23" i="8"/>
  <c r="C21" i="5" s="1"/>
  <c r="C22" i="8"/>
  <c r="C21" i="8"/>
  <c r="C19" i="5" s="1"/>
  <c r="C20" i="8"/>
  <c r="C18" i="5" s="1"/>
  <c r="C19" i="8"/>
  <c r="C17" i="5" s="1"/>
  <c r="C18" i="8"/>
  <c r="C16" i="5" s="1"/>
  <c r="E30" i="11"/>
  <c r="D30" i="11"/>
  <c r="C4" i="14"/>
  <c r="B19" i="14" s="1"/>
  <c r="A20" i="14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C8" i="14"/>
  <c r="C6" i="14"/>
  <c r="C10" i="14"/>
  <c r="J47" i="18" l="1"/>
  <c r="L31" i="20"/>
  <c r="H32" i="22"/>
  <c r="J63" i="26"/>
  <c r="J150" i="26" s="1"/>
  <c r="J151" i="26" s="1"/>
  <c r="J166" i="26" s="1"/>
  <c r="H161" i="26"/>
  <c r="J140" i="34"/>
  <c r="F14" i="37"/>
  <c r="F26" i="37" s="1"/>
  <c r="L55" i="44"/>
  <c r="L81" i="46"/>
  <c r="I29" i="30"/>
  <c r="J55" i="34"/>
  <c r="C20" i="5"/>
  <c r="K18" i="8"/>
  <c r="H16" i="5" s="1"/>
  <c r="H18" i="24"/>
  <c r="J47" i="36"/>
  <c r="J58" i="36" s="1"/>
  <c r="F48" i="37"/>
  <c r="I78" i="38"/>
  <c r="M8" i="42"/>
  <c r="F53" i="43"/>
  <c r="N88" i="44"/>
  <c r="H18" i="45"/>
  <c r="F30" i="45"/>
  <c r="J39" i="48"/>
  <c r="H19" i="49"/>
  <c r="K19" i="52"/>
  <c r="M24" i="54"/>
  <c r="L124" i="22"/>
  <c r="F17" i="15"/>
  <c r="F34" i="15" s="1"/>
  <c r="H46" i="15"/>
  <c r="H51" i="15" s="1"/>
  <c r="H60" i="15" s="1"/>
  <c r="N30" i="16"/>
  <c r="N62" i="16"/>
  <c r="N95" i="16"/>
  <c r="N113" i="16"/>
  <c r="N127" i="16"/>
  <c r="N126" i="16"/>
  <c r="H14" i="17"/>
  <c r="F29" i="17"/>
  <c r="L32" i="18"/>
  <c r="L114" i="18" s="1"/>
  <c r="L118" i="18" s="1"/>
  <c r="H105" i="18"/>
  <c r="N66" i="18"/>
  <c r="N76" i="18"/>
  <c r="N110" i="18"/>
  <c r="J15" i="19"/>
  <c r="J28" i="19" s="1"/>
  <c r="N28" i="20"/>
  <c r="N42" i="20"/>
  <c r="N40" i="20"/>
  <c r="N89" i="20"/>
  <c r="N108" i="20"/>
  <c r="H14" i="21"/>
  <c r="H25" i="21" s="1"/>
  <c r="J37" i="21"/>
  <c r="J43" i="21" s="1"/>
  <c r="J49" i="21" s="1"/>
  <c r="J48" i="22"/>
  <c r="L97" i="22"/>
  <c r="N100" i="22"/>
  <c r="H47" i="18"/>
  <c r="N47" i="18" s="1"/>
  <c r="N107" i="22"/>
  <c r="N124" i="22"/>
  <c r="N123" i="22"/>
  <c r="F32" i="23"/>
  <c r="F18" i="25"/>
  <c r="F38" i="25" s="1"/>
  <c r="H49" i="25"/>
  <c r="H54" i="25" s="1"/>
  <c r="H65" i="25" s="1"/>
  <c r="N46" i="26"/>
  <c r="N82" i="26"/>
  <c r="N92" i="26"/>
  <c r="N102" i="26"/>
  <c r="N112" i="26"/>
  <c r="N20" i="27"/>
  <c r="J42" i="27"/>
  <c r="J120" i="27" s="1"/>
  <c r="J134" i="27" s="1"/>
  <c r="N32" i="27"/>
  <c r="N61" i="27"/>
  <c r="N71" i="27"/>
  <c r="N81" i="27"/>
  <c r="N91" i="27"/>
  <c r="N105" i="27"/>
  <c r="N113" i="27"/>
  <c r="N116" i="27"/>
  <c r="L30" i="28"/>
  <c r="N30" i="28" s="1"/>
  <c r="N27" i="28"/>
  <c r="H46" i="28"/>
  <c r="N78" i="28"/>
  <c r="N96" i="28"/>
  <c r="N109" i="28"/>
  <c r="H11" i="29"/>
  <c r="H23" i="29" s="1"/>
  <c r="H34" i="29"/>
  <c r="H38" i="29" s="1"/>
  <c r="H49" i="29" s="1"/>
  <c r="M18" i="30"/>
  <c r="M34" i="30"/>
  <c r="M53" i="30"/>
  <c r="M60" i="30"/>
  <c r="J15" i="31"/>
  <c r="J31" i="31" s="1"/>
  <c r="O11" i="32"/>
  <c r="O81" i="32"/>
  <c r="O88" i="32"/>
  <c r="O107" i="32"/>
  <c r="O153" i="32"/>
  <c r="O177" i="32"/>
  <c r="J15" i="33"/>
  <c r="J22" i="33" s="1"/>
  <c r="J33" i="33"/>
  <c r="J37" i="33" s="1"/>
  <c r="J44" i="33" s="1"/>
  <c r="N7" i="34"/>
  <c r="N47" i="34"/>
  <c r="N54" i="34"/>
  <c r="J118" i="34"/>
  <c r="J130" i="34" s="1"/>
  <c r="J143" i="34" s="1"/>
  <c r="F19" i="35"/>
  <c r="F30" i="35" s="1"/>
  <c r="F49" i="35"/>
  <c r="F55" i="35" s="1"/>
  <c r="F62" i="35" s="1"/>
  <c r="J14" i="37"/>
  <c r="J26" i="37" s="1"/>
  <c r="J37" i="37"/>
  <c r="J41" i="37" s="1"/>
  <c r="J48" i="37" s="1"/>
  <c r="G27" i="38"/>
  <c r="J27" i="41"/>
  <c r="J28" i="41" s="1"/>
  <c r="J33" i="41" s="1"/>
  <c r="K17" i="42"/>
  <c r="K18" i="42" s="1"/>
  <c r="K24" i="42" s="1"/>
  <c r="M16" i="42"/>
  <c r="H21" i="43"/>
  <c r="H32" i="43" s="1"/>
  <c r="J43" i="43"/>
  <c r="J48" i="43" s="1"/>
  <c r="J53" i="43" s="1"/>
  <c r="N34" i="44"/>
  <c r="N37" i="44"/>
  <c r="N44" i="44"/>
  <c r="N51" i="44"/>
  <c r="N67" i="44"/>
  <c r="J93" i="44"/>
  <c r="J94" i="44" s="1"/>
  <c r="J95" i="44" s="1"/>
  <c r="J101" i="44" s="1"/>
  <c r="J30" i="45"/>
  <c r="H48" i="45"/>
  <c r="H52" i="45" s="1"/>
  <c r="H64" i="45" s="1"/>
  <c r="N17" i="46"/>
  <c r="N27" i="46"/>
  <c r="N31" i="46"/>
  <c r="J38" i="46"/>
  <c r="J61" i="46"/>
  <c r="N60" i="46"/>
  <c r="N80" i="46"/>
  <c r="N88" i="46"/>
  <c r="F10" i="47"/>
  <c r="F15" i="47" s="1"/>
  <c r="N6" i="48"/>
  <c r="N27" i="48"/>
  <c r="K36" i="50"/>
  <c r="K37" i="50" s="1"/>
  <c r="K38" i="50" s="1"/>
  <c r="M35" i="50"/>
  <c r="H11" i="51"/>
  <c r="H25" i="51" s="1"/>
  <c r="H39" i="51"/>
  <c r="H40" i="51" s="1"/>
  <c r="H46" i="51" s="1"/>
  <c r="H21" i="53"/>
  <c r="H22" i="53" s="1"/>
  <c r="H28" i="53" s="1"/>
  <c r="I25" i="54"/>
  <c r="I26" i="54" s="1"/>
  <c r="I27" i="54" s="1"/>
  <c r="G21" i="52"/>
  <c r="E30" i="60"/>
  <c r="G30" i="60" s="1"/>
  <c r="A32" i="60"/>
  <c r="D31" i="60"/>
  <c r="F31" i="60" s="1"/>
  <c r="B32" i="60" s="1"/>
  <c r="C31" i="60"/>
  <c r="E35" i="58"/>
  <c r="G35" i="58" s="1"/>
  <c r="A37" i="59"/>
  <c r="A37" i="58"/>
  <c r="C36" i="58"/>
  <c r="D36" i="58"/>
  <c r="F36" i="58" s="1"/>
  <c r="B37" i="58" s="1"/>
  <c r="G78" i="38"/>
  <c r="K78" i="38"/>
  <c r="K87" i="38" s="1"/>
  <c r="M54" i="38"/>
  <c r="M84" i="38"/>
  <c r="M93" i="38"/>
  <c r="H13" i="39"/>
  <c r="H24" i="39" s="1"/>
  <c r="H35" i="39"/>
  <c r="H40" i="39" s="1"/>
  <c r="H46" i="39" s="1"/>
  <c r="M11" i="40"/>
  <c r="M29" i="40"/>
  <c r="G59" i="40"/>
  <c r="K59" i="40"/>
  <c r="M45" i="40"/>
  <c r="I124" i="40"/>
  <c r="M73" i="40"/>
  <c r="M83" i="40"/>
  <c r="M88" i="40"/>
  <c r="M93" i="40"/>
  <c r="M108" i="40"/>
  <c r="M123" i="40"/>
  <c r="M127" i="40"/>
  <c r="M139" i="40"/>
  <c r="J92" i="20"/>
  <c r="J102" i="20" s="1"/>
  <c r="H17" i="15"/>
  <c r="H34" i="15" s="1"/>
  <c r="F46" i="15"/>
  <c r="F51" i="15" s="1"/>
  <c r="F60" i="15" s="1"/>
  <c r="J46" i="15"/>
  <c r="J51" i="15" s="1"/>
  <c r="J60" i="15" s="1"/>
  <c r="N40" i="16"/>
  <c r="H100" i="16"/>
  <c r="L100" i="16"/>
  <c r="L117" i="16" s="1"/>
  <c r="N71" i="16"/>
  <c r="N74" i="16"/>
  <c r="N79" i="16"/>
  <c r="N91" i="16"/>
  <c r="N99" i="16"/>
  <c r="N107" i="16"/>
  <c r="F14" i="17"/>
  <c r="F35" i="17" s="1"/>
  <c r="J14" i="17"/>
  <c r="J35" i="17" s="1"/>
  <c r="H29" i="17"/>
  <c r="F46" i="17"/>
  <c r="F50" i="17" s="1"/>
  <c r="F57" i="17" s="1"/>
  <c r="J46" i="17"/>
  <c r="J50" i="17" s="1"/>
  <c r="J57" i="17" s="1"/>
  <c r="N12" i="18"/>
  <c r="J32" i="18"/>
  <c r="N29" i="18"/>
  <c r="N41" i="18"/>
  <c r="N46" i="18"/>
  <c r="J105" i="18"/>
  <c r="N105" i="18" s="1"/>
  <c r="N62" i="18"/>
  <c r="N72" i="18"/>
  <c r="N80" i="18"/>
  <c r="N85" i="18"/>
  <c r="N90" i="18"/>
  <c r="N93" i="18"/>
  <c r="N100" i="18"/>
  <c r="H15" i="19"/>
  <c r="H28" i="19" s="1"/>
  <c r="F39" i="19"/>
  <c r="F44" i="19" s="1"/>
  <c r="F53" i="19" s="1"/>
  <c r="J39" i="19"/>
  <c r="J44" i="19" s="1"/>
  <c r="J53" i="19" s="1"/>
  <c r="N50" i="20"/>
  <c r="H92" i="20"/>
  <c r="L92" i="20"/>
  <c r="L102" i="20" s="1"/>
  <c r="N60" i="20"/>
  <c r="N68" i="20"/>
  <c r="N73" i="20"/>
  <c r="N81" i="20"/>
  <c r="N98" i="20"/>
  <c r="F14" i="21"/>
  <c r="F25" i="21" s="1"/>
  <c r="J14" i="21"/>
  <c r="J25" i="21" s="1"/>
  <c r="H37" i="21"/>
  <c r="H43" i="21" s="1"/>
  <c r="H49" i="21" s="1"/>
  <c r="N9" i="22"/>
  <c r="H48" i="22"/>
  <c r="L48" i="22"/>
  <c r="J97" i="22"/>
  <c r="J114" i="22" s="1"/>
  <c r="N63" i="22"/>
  <c r="N71" i="22"/>
  <c r="N76" i="22"/>
  <c r="N81" i="22"/>
  <c r="N86" i="22"/>
  <c r="N111" i="22"/>
  <c r="F15" i="23"/>
  <c r="F19" i="23" s="1"/>
  <c r="J15" i="23"/>
  <c r="J19" i="23" s="1"/>
  <c r="H32" i="23"/>
  <c r="L16" i="24"/>
  <c r="H18" i="25"/>
  <c r="H38" i="25" s="1"/>
  <c r="F49" i="25"/>
  <c r="F54" i="25" s="1"/>
  <c r="F65" i="25" s="1"/>
  <c r="J49" i="25"/>
  <c r="J54" i="25" s="1"/>
  <c r="J65" i="25" s="1"/>
  <c r="N12" i="26"/>
  <c r="H35" i="26"/>
  <c r="L35" i="26"/>
  <c r="N35" i="26" s="1"/>
  <c r="H63" i="26"/>
  <c r="L63" i="26"/>
  <c r="N50" i="26"/>
  <c r="H133" i="26"/>
  <c r="L133" i="26"/>
  <c r="N78" i="26"/>
  <c r="N96" i="26"/>
  <c r="N120" i="26"/>
  <c r="N127" i="26"/>
  <c r="N147" i="26"/>
  <c r="N12" i="27"/>
  <c r="L23" i="27"/>
  <c r="H42" i="27"/>
  <c r="L42" i="27"/>
  <c r="N36" i="27"/>
  <c r="H110" i="27"/>
  <c r="L110" i="27"/>
  <c r="N57" i="27"/>
  <c r="N75" i="27"/>
  <c r="N99" i="27"/>
  <c r="N129" i="27"/>
  <c r="J46" i="28"/>
  <c r="J104" i="28" s="1"/>
  <c r="J113" i="28" s="1"/>
  <c r="N40" i="28"/>
  <c r="N45" i="28"/>
  <c r="H93" i="28"/>
  <c r="H104" i="28" s="1"/>
  <c r="H113" i="28" s="1"/>
  <c r="L93" i="28"/>
  <c r="N64" i="28"/>
  <c r="N69" i="28"/>
  <c r="N91" i="28"/>
  <c r="N100" i="28"/>
  <c r="F11" i="29"/>
  <c r="F23" i="29" s="1"/>
  <c r="J11" i="29"/>
  <c r="J23" i="29" s="1"/>
  <c r="F34" i="29"/>
  <c r="F38" i="29" s="1"/>
  <c r="F49" i="29" s="1"/>
  <c r="J34" i="29"/>
  <c r="J38" i="29" s="1"/>
  <c r="J49" i="29" s="1"/>
  <c r="G29" i="30"/>
  <c r="K29" i="30"/>
  <c r="G47" i="30"/>
  <c r="G67" i="30" s="1"/>
  <c r="G68" i="30" s="1"/>
  <c r="K47" i="30"/>
  <c r="M66" i="30"/>
  <c r="H15" i="31"/>
  <c r="H31" i="31" s="1"/>
  <c r="F42" i="31"/>
  <c r="F46" i="31" s="1"/>
  <c r="F59" i="31" s="1"/>
  <c r="J42" i="31"/>
  <c r="J46" i="31" s="1"/>
  <c r="J59" i="31" s="1"/>
  <c r="O37" i="32"/>
  <c r="I67" i="32"/>
  <c r="M67" i="32"/>
  <c r="O47" i="32"/>
  <c r="O63" i="32"/>
  <c r="O66" i="32"/>
  <c r="O75" i="32"/>
  <c r="M98" i="32"/>
  <c r="O94" i="32"/>
  <c r="O97" i="32"/>
  <c r="I179" i="32"/>
  <c r="M179" i="32"/>
  <c r="O122" i="32"/>
  <c r="O127" i="32"/>
  <c r="O132" i="32"/>
  <c r="O137" i="32"/>
  <c r="O142" i="32"/>
  <c r="O166" i="32"/>
  <c r="O171" i="32"/>
  <c r="O184" i="32"/>
  <c r="O189" i="32"/>
  <c r="O192" i="32"/>
  <c r="H15" i="33"/>
  <c r="H22" i="33" s="1"/>
  <c r="H33" i="33"/>
  <c r="H37" i="33" s="1"/>
  <c r="H44" i="33" s="1"/>
  <c r="J16" i="34"/>
  <c r="J17" i="34" s="1"/>
  <c r="N11" i="34"/>
  <c r="N34" i="34"/>
  <c r="H55" i="34"/>
  <c r="L55" i="34"/>
  <c r="H118" i="34"/>
  <c r="L118" i="34"/>
  <c r="L130" i="34" s="1"/>
  <c r="N67" i="34"/>
  <c r="N72" i="34"/>
  <c r="N75" i="34"/>
  <c r="N82" i="34"/>
  <c r="N94" i="34"/>
  <c r="N103" i="34"/>
  <c r="N108" i="34"/>
  <c r="N115" i="34"/>
  <c r="N123" i="34"/>
  <c r="N128" i="34"/>
  <c r="N139" i="34"/>
  <c r="H19" i="35"/>
  <c r="H30" i="35" s="1"/>
  <c r="H49" i="35"/>
  <c r="H55" i="35" s="1"/>
  <c r="H62" i="35" s="1"/>
  <c r="H47" i="36"/>
  <c r="L46" i="36"/>
  <c r="L56" i="36"/>
  <c r="H14" i="37"/>
  <c r="H26" i="37" s="1"/>
  <c r="H37" i="37"/>
  <c r="H41" i="37" s="1"/>
  <c r="H48" i="37" s="1"/>
  <c r="I27" i="38"/>
  <c r="M25" i="38"/>
  <c r="M32" i="38"/>
  <c r="F17" i="41"/>
  <c r="J17" i="41"/>
  <c r="M45" i="38"/>
  <c r="M50" i="38"/>
  <c r="M58" i="38"/>
  <c r="M63" i="38"/>
  <c r="M68" i="38"/>
  <c r="M75" i="38"/>
  <c r="F13" i="39"/>
  <c r="F24" i="39" s="1"/>
  <c r="J13" i="39"/>
  <c r="J24" i="39" s="1"/>
  <c r="F35" i="39"/>
  <c r="F40" i="39" s="1"/>
  <c r="F46" i="39" s="1"/>
  <c r="J35" i="39"/>
  <c r="J40" i="39" s="1"/>
  <c r="J46" i="39" s="1"/>
  <c r="I59" i="40"/>
  <c r="I141" i="40" s="1"/>
  <c r="M51" i="40"/>
  <c r="M58" i="40"/>
  <c r="M69" i="40"/>
  <c r="K124" i="40"/>
  <c r="M77" i="40"/>
  <c r="M99" i="40"/>
  <c r="M104" i="40"/>
  <c r="M116" i="40"/>
  <c r="M119" i="40"/>
  <c r="M133" i="40"/>
  <c r="M147" i="40"/>
  <c r="H27" i="41"/>
  <c r="H28" i="41" s="1"/>
  <c r="H33" i="41" s="1"/>
  <c r="I17" i="42"/>
  <c r="I18" i="42" s="1"/>
  <c r="I24" i="42" s="1"/>
  <c r="M12" i="42"/>
  <c r="F21" i="43"/>
  <c r="F32" i="43" s="1"/>
  <c r="J21" i="43"/>
  <c r="J32" i="43" s="1"/>
  <c r="H43" i="43"/>
  <c r="H48" i="43" s="1"/>
  <c r="H53" i="43" s="1"/>
  <c r="N20" i="44"/>
  <c r="N82" i="44"/>
  <c r="L93" i="44"/>
  <c r="L94" i="44" s="1"/>
  <c r="L95" i="44" s="1"/>
  <c r="L101" i="44" s="1"/>
  <c r="N92" i="44"/>
  <c r="N100" i="44"/>
  <c r="F18" i="45"/>
  <c r="F37" i="45" s="1"/>
  <c r="J18" i="45"/>
  <c r="J37" i="45" s="1"/>
  <c r="H30" i="45"/>
  <c r="F48" i="45"/>
  <c r="F52" i="45" s="1"/>
  <c r="F64" i="45" s="1"/>
  <c r="J48" i="45"/>
  <c r="J52" i="45" s="1"/>
  <c r="J64" i="45" s="1"/>
  <c r="N21" i="46"/>
  <c r="H38" i="46"/>
  <c r="L38" i="46"/>
  <c r="N46" i="46"/>
  <c r="L61" i="46"/>
  <c r="N51" i="46"/>
  <c r="N56" i="46"/>
  <c r="H93" i="46"/>
  <c r="L93" i="46"/>
  <c r="L97" i="46" s="1"/>
  <c r="N96" i="46"/>
  <c r="H10" i="47"/>
  <c r="H15" i="47" s="1"/>
  <c r="F31" i="47"/>
  <c r="J31" i="47"/>
  <c r="L28" i="48"/>
  <c r="L29" i="48" s="1"/>
  <c r="L39" i="48" s="1"/>
  <c r="N20" i="48"/>
  <c r="F10" i="49"/>
  <c r="F19" i="49" s="1"/>
  <c r="J10" i="49"/>
  <c r="J19" i="49" s="1"/>
  <c r="F34" i="49"/>
  <c r="F35" i="49" s="1"/>
  <c r="F41" i="49" s="1"/>
  <c r="J34" i="49"/>
  <c r="J35" i="49" s="1"/>
  <c r="J41" i="49" s="1"/>
  <c r="I36" i="50"/>
  <c r="I37" i="50" s="1"/>
  <c r="I38" i="50" s="1"/>
  <c r="M24" i="50"/>
  <c r="M29" i="50"/>
  <c r="F11" i="51"/>
  <c r="F25" i="51" s="1"/>
  <c r="J11" i="51"/>
  <c r="J25" i="51" s="1"/>
  <c r="F39" i="51"/>
  <c r="F40" i="51" s="1"/>
  <c r="F46" i="51" s="1"/>
  <c r="J39" i="51"/>
  <c r="J40" i="51" s="1"/>
  <c r="J46" i="51" s="1"/>
  <c r="F11" i="53"/>
  <c r="J11" i="53"/>
  <c r="F21" i="53"/>
  <c r="F22" i="53" s="1"/>
  <c r="F28" i="53" s="1"/>
  <c r="J21" i="53"/>
  <c r="J22" i="53" s="1"/>
  <c r="J28" i="53" s="1"/>
  <c r="G25" i="54"/>
  <c r="K25" i="54"/>
  <c r="K26" i="54" s="1"/>
  <c r="K27" i="54" s="1"/>
  <c r="M11" i="54"/>
  <c r="M18" i="54"/>
  <c r="C25" i="5"/>
  <c r="K13" i="52"/>
  <c r="K12" i="52"/>
  <c r="E20" i="52"/>
  <c r="K20" i="52" s="1"/>
  <c r="M8" i="54"/>
  <c r="N26" i="44"/>
  <c r="N11" i="46"/>
  <c r="N81" i="46"/>
  <c r="H38" i="48"/>
  <c r="N38" i="48" s="1"/>
  <c r="N37" i="48"/>
  <c r="G36" i="50"/>
  <c r="M16" i="50"/>
  <c r="M23" i="42"/>
  <c r="H11" i="44"/>
  <c r="N10" i="44"/>
  <c r="H97" i="46"/>
  <c r="N97" i="46" s="1"/>
  <c r="N16" i="48"/>
  <c r="J82" i="46"/>
  <c r="J83" i="46" s="1"/>
  <c r="J98" i="46" s="1"/>
  <c r="M21" i="50"/>
  <c r="G17" i="42"/>
  <c r="M22" i="42"/>
  <c r="N25" i="44"/>
  <c r="H55" i="44"/>
  <c r="N55" i="44" s="1"/>
  <c r="H93" i="44"/>
  <c r="N99" i="44"/>
  <c r="N10" i="46"/>
  <c r="N37" i="46"/>
  <c r="H61" i="46"/>
  <c r="N77" i="46"/>
  <c r="N92" i="46"/>
  <c r="N15" i="48"/>
  <c r="H21" i="48"/>
  <c r="N21" i="48" s="1"/>
  <c r="N36" i="48"/>
  <c r="M14" i="50"/>
  <c r="M20" i="50"/>
  <c r="N8" i="44"/>
  <c r="F47" i="36"/>
  <c r="L14" i="36"/>
  <c r="M27" i="38"/>
  <c r="N37" i="34"/>
  <c r="M32" i="40"/>
  <c r="N140" i="34"/>
  <c r="H58" i="36"/>
  <c r="L57" i="36"/>
  <c r="H16" i="34"/>
  <c r="N62" i="34"/>
  <c r="N136" i="34"/>
  <c r="L13" i="36"/>
  <c r="M9" i="38"/>
  <c r="M15" i="38"/>
  <c r="G33" i="38"/>
  <c r="M33" i="38" s="1"/>
  <c r="M41" i="38"/>
  <c r="G94" i="38"/>
  <c r="M18" i="40"/>
  <c r="M38" i="40"/>
  <c r="G124" i="40"/>
  <c r="M124" i="40" s="1"/>
  <c r="M146" i="40"/>
  <c r="N23" i="34"/>
  <c r="N43" i="34"/>
  <c r="L53" i="36"/>
  <c r="L12" i="24"/>
  <c r="N7" i="27"/>
  <c r="N130" i="27"/>
  <c r="H131" i="27"/>
  <c r="N131" i="27" s="1"/>
  <c r="G75" i="30"/>
  <c r="M75" i="30" s="1"/>
  <c r="M74" i="30"/>
  <c r="K67" i="30"/>
  <c r="K68" i="30" s="1"/>
  <c r="K76" i="30" s="1"/>
  <c r="H165" i="26"/>
  <c r="N165" i="26" s="1"/>
  <c r="N161" i="26"/>
  <c r="O32" i="32"/>
  <c r="I203" i="32"/>
  <c r="O203" i="32" s="1"/>
  <c r="O202" i="32"/>
  <c r="H15" i="23"/>
  <c r="H19" i="23" s="1"/>
  <c r="I67" i="30"/>
  <c r="I68" i="30" s="1"/>
  <c r="I76" i="30" s="1"/>
  <c r="K99" i="32"/>
  <c r="K108" i="32" s="1"/>
  <c r="K193" i="32" s="1"/>
  <c r="L11" i="24"/>
  <c r="F17" i="24"/>
  <c r="L17" i="24" s="1"/>
  <c r="H13" i="26"/>
  <c r="N20" i="26"/>
  <c r="N40" i="26"/>
  <c r="N157" i="26"/>
  <c r="N6" i="27"/>
  <c r="H23" i="27"/>
  <c r="N126" i="27"/>
  <c r="H13" i="28"/>
  <c r="N18" i="28"/>
  <c r="N36" i="28"/>
  <c r="N56" i="28"/>
  <c r="H110" i="28"/>
  <c r="N110" i="28" s="1"/>
  <c r="M8" i="30"/>
  <c r="M28" i="30"/>
  <c r="M46" i="30"/>
  <c r="M73" i="30"/>
  <c r="O18" i="32"/>
  <c r="O42" i="32"/>
  <c r="I98" i="32"/>
  <c r="N73" i="26"/>
  <c r="N28" i="27"/>
  <c r="N52" i="27"/>
  <c r="O117" i="32"/>
  <c r="O200" i="32"/>
  <c r="N32" i="16"/>
  <c r="N31" i="20"/>
  <c r="H102" i="20"/>
  <c r="N32" i="22"/>
  <c r="N11" i="16"/>
  <c r="N11" i="20"/>
  <c r="J117" i="16"/>
  <c r="J114" i="18"/>
  <c r="N92" i="20"/>
  <c r="N48" i="22"/>
  <c r="N10" i="16"/>
  <c r="N19" i="16"/>
  <c r="H43" i="16"/>
  <c r="N43" i="16" s="1"/>
  <c r="N53" i="16"/>
  <c r="N123" i="16"/>
  <c r="H13" i="18"/>
  <c r="H32" i="18"/>
  <c r="N38" i="18"/>
  <c r="N56" i="18"/>
  <c r="N10" i="20"/>
  <c r="N17" i="20"/>
  <c r="N37" i="20"/>
  <c r="N55" i="20"/>
  <c r="N107" i="20"/>
  <c r="H10" i="22"/>
  <c r="N39" i="22"/>
  <c r="H97" i="22"/>
  <c r="N18" i="22"/>
  <c r="N120" i="22"/>
  <c r="D150" i="14"/>
  <c r="C149" i="14"/>
  <c r="D148" i="14"/>
  <c r="C147" i="14"/>
  <c r="D146" i="14"/>
  <c r="C145" i="14"/>
  <c r="D144" i="14"/>
  <c r="C143" i="14"/>
  <c r="D142" i="14"/>
  <c r="C141" i="14"/>
  <c r="D140" i="14"/>
  <c r="C139" i="14"/>
  <c r="D138" i="14"/>
  <c r="C137" i="14"/>
  <c r="D136" i="14"/>
  <c r="C135" i="14"/>
  <c r="D134" i="14"/>
  <c r="C133" i="14"/>
  <c r="D132" i="14"/>
  <c r="C131" i="14"/>
  <c r="D130" i="14"/>
  <c r="C129" i="14"/>
  <c r="D128" i="14"/>
  <c r="C127" i="14"/>
  <c r="D126" i="14"/>
  <c r="C125" i="14"/>
  <c r="D124" i="14"/>
  <c r="C123" i="14"/>
  <c r="D122" i="14"/>
  <c r="C121" i="14"/>
  <c r="D120" i="14"/>
  <c r="C119" i="14"/>
  <c r="D118" i="14"/>
  <c r="C117" i="14"/>
  <c r="D116" i="14"/>
  <c r="C115" i="14"/>
  <c r="D114" i="14"/>
  <c r="C113" i="14"/>
  <c r="D112" i="14"/>
  <c r="C111" i="14"/>
  <c r="D110" i="14"/>
  <c r="C109" i="14"/>
  <c r="D108" i="14"/>
  <c r="C107" i="14"/>
  <c r="D106" i="14"/>
  <c r="C105" i="14"/>
  <c r="D104" i="14"/>
  <c r="C103" i="14"/>
  <c r="D102" i="14"/>
  <c r="C101" i="14"/>
  <c r="D100" i="14"/>
  <c r="C99" i="14"/>
  <c r="D98" i="14"/>
  <c r="C97" i="14"/>
  <c r="D96" i="14"/>
  <c r="C95" i="14"/>
  <c r="D94" i="14"/>
  <c r="C93" i="14"/>
  <c r="D92" i="14"/>
  <c r="C91" i="14"/>
  <c r="D90" i="14"/>
  <c r="C89" i="14"/>
  <c r="D88" i="14"/>
  <c r="C87" i="14"/>
  <c r="D86" i="14"/>
  <c r="C85" i="14"/>
  <c r="D84" i="14"/>
  <c r="C83" i="14"/>
  <c r="D82" i="14"/>
  <c r="C81" i="14"/>
  <c r="D80" i="14"/>
  <c r="C79" i="14"/>
  <c r="D78" i="14"/>
  <c r="C150" i="14"/>
  <c r="D149" i="14"/>
  <c r="C148" i="14"/>
  <c r="D147" i="14"/>
  <c r="C146" i="14"/>
  <c r="D145" i="14"/>
  <c r="C144" i="14"/>
  <c r="D143" i="14"/>
  <c r="C142" i="14"/>
  <c r="D141" i="14"/>
  <c r="C140" i="14"/>
  <c r="D139" i="14"/>
  <c r="C138" i="14"/>
  <c r="D137" i="14"/>
  <c r="C136" i="14"/>
  <c r="D135" i="14"/>
  <c r="C134" i="14"/>
  <c r="D133" i="14"/>
  <c r="C132" i="14"/>
  <c r="D131" i="14"/>
  <c r="C130" i="14"/>
  <c r="D129" i="14"/>
  <c r="C128" i="14"/>
  <c r="D127" i="14"/>
  <c r="C126" i="14"/>
  <c r="D125" i="14"/>
  <c r="C124" i="14"/>
  <c r="D123" i="14"/>
  <c r="C122" i="14"/>
  <c r="D121" i="14"/>
  <c r="C120" i="14"/>
  <c r="D119" i="14"/>
  <c r="C118" i="14"/>
  <c r="D117" i="14"/>
  <c r="C116" i="14"/>
  <c r="D115" i="14"/>
  <c r="C114" i="14"/>
  <c r="D113" i="14"/>
  <c r="C112" i="14"/>
  <c r="D111" i="14"/>
  <c r="C110" i="14"/>
  <c r="D109" i="14"/>
  <c r="C108" i="14"/>
  <c r="D107" i="14"/>
  <c r="C106" i="14"/>
  <c r="D105" i="14"/>
  <c r="C104" i="14"/>
  <c r="D103" i="14"/>
  <c r="C102" i="14"/>
  <c r="D101" i="14"/>
  <c r="C100" i="14"/>
  <c r="D99" i="14"/>
  <c r="C98" i="14"/>
  <c r="D97" i="14"/>
  <c r="C96" i="14"/>
  <c r="D95" i="14"/>
  <c r="C94" i="14"/>
  <c r="D93" i="14"/>
  <c r="C92" i="14"/>
  <c r="D91" i="14"/>
  <c r="C90" i="14"/>
  <c r="D89" i="14"/>
  <c r="C88" i="14"/>
  <c r="D87" i="14"/>
  <c r="C86" i="14"/>
  <c r="D85" i="14"/>
  <c r="C84" i="14"/>
  <c r="D83" i="14"/>
  <c r="C82" i="14"/>
  <c r="D81" i="14"/>
  <c r="C80" i="14"/>
  <c r="D79" i="14"/>
  <c r="C78" i="14"/>
  <c r="D19" i="14"/>
  <c r="F19" i="14" s="1"/>
  <c r="B20" i="14" s="1"/>
  <c r="C20" i="14"/>
  <c r="D21" i="14"/>
  <c r="C22" i="14"/>
  <c r="D23" i="14"/>
  <c r="C24" i="14"/>
  <c r="D25" i="14"/>
  <c r="C26" i="14"/>
  <c r="D27" i="14"/>
  <c r="C28" i="14"/>
  <c r="D29" i="14"/>
  <c r="C30" i="14"/>
  <c r="D31" i="14"/>
  <c r="C32" i="14"/>
  <c r="D33" i="14"/>
  <c r="C34" i="14"/>
  <c r="D35" i="14"/>
  <c r="C36" i="14"/>
  <c r="D37" i="14"/>
  <c r="C38" i="14"/>
  <c r="D39" i="14"/>
  <c r="C40" i="14"/>
  <c r="D41" i="14"/>
  <c r="C42" i="14"/>
  <c r="D43" i="14"/>
  <c r="C44" i="14"/>
  <c r="D45" i="14"/>
  <c r="C46" i="14"/>
  <c r="D47" i="14"/>
  <c r="C48" i="14"/>
  <c r="D49" i="14"/>
  <c r="C50" i="14"/>
  <c r="D51" i="14"/>
  <c r="C52" i="14"/>
  <c r="D53" i="14"/>
  <c r="C54" i="14"/>
  <c r="D55" i="14"/>
  <c r="C56" i="14"/>
  <c r="D57" i="14"/>
  <c r="C58" i="14"/>
  <c r="D59" i="14"/>
  <c r="C60" i="14"/>
  <c r="D61" i="14"/>
  <c r="C62" i="14"/>
  <c r="D63" i="14"/>
  <c r="C64" i="14"/>
  <c r="D65" i="14"/>
  <c r="C66" i="14"/>
  <c r="D67" i="14"/>
  <c r="C68" i="14"/>
  <c r="D69" i="14"/>
  <c r="C70" i="14"/>
  <c r="D71" i="14"/>
  <c r="C72" i="14"/>
  <c r="D73" i="14"/>
  <c r="C74" i="14"/>
  <c r="D75" i="14"/>
  <c r="C76" i="14"/>
  <c r="D77" i="14"/>
  <c r="C19" i="14"/>
  <c r="D20" i="14"/>
  <c r="C21" i="14"/>
  <c r="D22" i="14"/>
  <c r="C23" i="14"/>
  <c r="D24" i="14"/>
  <c r="C25" i="14"/>
  <c r="D26" i="14"/>
  <c r="C27" i="14"/>
  <c r="D28" i="14"/>
  <c r="C29" i="14"/>
  <c r="D30" i="14"/>
  <c r="C31" i="14"/>
  <c r="D32" i="14"/>
  <c r="C33" i="14"/>
  <c r="D34" i="14"/>
  <c r="C35" i="14"/>
  <c r="D36" i="14"/>
  <c r="C37" i="14"/>
  <c r="D38" i="14"/>
  <c r="C39" i="14"/>
  <c r="D40" i="14"/>
  <c r="C41" i="14"/>
  <c r="D42" i="14"/>
  <c r="C43" i="14"/>
  <c r="D44" i="14"/>
  <c r="C45" i="14"/>
  <c r="D46" i="14"/>
  <c r="C47" i="14"/>
  <c r="D48" i="14"/>
  <c r="C49" i="14"/>
  <c r="D50" i="14"/>
  <c r="C51" i="14"/>
  <c r="D52" i="14"/>
  <c r="C53" i="14"/>
  <c r="D54" i="14"/>
  <c r="C55" i="14"/>
  <c r="D56" i="14"/>
  <c r="C57" i="14"/>
  <c r="D58" i="14"/>
  <c r="C59" i="14"/>
  <c r="D60" i="14"/>
  <c r="C61" i="14"/>
  <c r="D62" i="14"/>
  <c r="C63" i="14"/>
  <c r="D64" i="14"/>
  <c r="C65" i="14"/>
  <c r="D66" i="14"/>
  <c r="C67" i="14"/>
  <c r="D68" i="14"/>
  <c r="C69" i="14"/>
  <c r="D70" i="14"/>
  <c r="C71" i="14"/>
  <c r="D72" i="14"/>
  <c r="C73" i="14"/>
  <c r="D74" i="14"/>
  <c r="C75" i="14"/>
  <c r="D76" i="14"/>
  <c r="C77" i="14"/>
  <c r="H150" i="26" l="1"/>
  <c r="M25" i="54"/>
  <c r="M59" i="40"/>
  <c r="H37" i="45"/>
  <c r="L115" i="18"/>
  <c r="L116" i="18" s="1"/>
  <c r="G26" i="54"/>
  <c r="I87" i="38"/>
  <c r="I98" i="38" s="1"/>
  <c r="L104" i="28"/>
  <c r="L105" i="28" s="1"/>
  <c r="L111" i="28" s="1"/>
  <c r="L82" i="46"/>
  <c r="L83" i="46" s="1"/>
  <c r="L98" i="46" s="1"/>
  <c r="N55" i="34"/>
  <c r="M99" i="32"/>
  <c r="M108" i="32" s="1"/>
  <c r="M193" i="32" s="1"/>
  <c r="M47" i="30"/>
  <c r="N118" i="34"/>
  <c r="J121" i="27"/>
  <c r="J132" i="27" s="1"/>
  <c r="K141" i="40"/>
  <c r="J131" i="34"/>
  <c r="J141" i="34" s="1"/>
  <c r="L114" i="22"/>
  <c r="H35" i="17"/>
  <c r="E31" i="60"/>
  <c r="G31" i="60" s="1"/>
  <c r="C32" i="60"/>
  <c r="A33" i="60"/>
  <c r="D32" i="60"/>
  <c r="F32" i="60" s="1"/>
  <c r="B33" i="60" s="1"/>
  <c r="A38" i="59"/>
  <c r="E36" i="58"/>
  <c r="G36" i="58" s="1"/>
  <c r="A38" i="58"/>
  <c r="C37" i="58"/>
  <c r="D37" i="58"/>
  <c r="F37" i="58" s="1"/>
  <c r="B38" i="58" s="1"/>
  <c r="N97" i="22"/>
  <c r="N100" i="16"/>
  <c r="N46" i="28"/>
  <c r="M78" i="38"/>
  <c r="H130" i="34"/>
  <c r="N61" i="46"/>
  <c r="N93" i="44"/>
  <c r="N93" i="46"/>
  <c r="N42" i="27"/>
  <c r="K98" i="38"/>
  <c r="K88" i="38"/>
  <c r="K96" i="38" s="1"/>
  <c r="O179" i="32"/>
  <c r="M29" i="30"/>
  <c r="N93" i="28"/>
  <c r="N133" i="26"/>
  <c r="K150" i="40"/>
  <c r="K142" i="40"/>
  <c r="K148" i="40" s="1"/>
  <c r="I150" i="40"/>
  <c r="I142" i="40"/>
  <c r="I148" i="40" s="1"/>
  <c r="L127" i="22"/>
  <c r="L115" i="22"/>
  <c r="L125" i="22" s="1"/>
  <c r="L143" i="34"/>
  <c r="L131" i="34"/>
  <c r="L141" i="34" s="1"/>
  <c r="L111" i="20"/>
  <c r="C43" i="11" s="1"/>
  <c r="L103" i="20"/>
  <c r="L109" i="20" s="1"/>
  <c r="L130" i="16"/>
  <c r="L118" i="16"/>
  <c r="L128" i="16" s="1"/>
  <c r="J115" i="22"/>
  <c r="J125" i="22" s="1"/>
  <c r="J127" i="22"/>
  <c r="J115" i="18"/>
  <c r="J116" i="18" s="1"/>
  <c r="J118" i="18"/>
  <c r="H103" i="20"/>
  <c r="H109" i="20" s="1"/>
  <c r="H111" i="20"/>
  <c r="K194" i="32"/>
  <c r="K204" i="32" s="1"/>
  <c r="K206" i="32"/>
  <c r="N38" i="46"/>
  <c r="O67" i="32"/>
  <c r="J105" i="28"/>
  <c r="J111" i="28" s="1"/>
  <c r="N110" i="27"/>
  <c r="L120" i="27"/>
  <c r="N63" i="26"/>
  <c r="J103" i="20"/>
  <c r="J109" i="20" s="1"/>
  <c r="J111" i="20"/>
  <c r="J118" i="16"/>
  <c r="J128" i="16" s="1"/>
  <c r="J130" i="16"/>
  <c r="M194" i="32"/>
  <c r="M204" i="32" s="1"/>
  <c r="M206" i="32"/>
  <c r="N130" i="34"/>
  <c r="N143" i="34" s="1"/>
  <c r="H143" i="34"/>
  <c r="L150" i="26"/>
  <c r="L151" i="26" s="1"/>
  <c r="L166" i="26" s="1"/>
  <c r="I88" i="38"/>
  <c r="I96" i="38" s="1"/>
  <c r="E77" i="14"/>
  <c r="G77" i="14" s="1"/>
  <c r="E75" i="14"/>
  <c r="G75" i="14" s="1"/>
  <c r="E73" i="14"/>
  <c r="G73" i="14" s="1"/>
  <c r="E71" i="14"/>
  <c r="G71" i="14" s="1"/>
  <c r="E69" i="14"/>
  <c r="G69" i="14" s="1"/>
  <c r="E67" i="14"/>
  <c r="G67" i="14" s="1"/>
  <c r="E65" i="14"/>
  <c r="G65" i="14" s="1"/>
  <c r="E63" i="14"/>
  <c r="G63" i="14" s="1"/>
  <c r="E61" i="14"/>
  <c r="G61" i="14" s="1"/>
  <c r="E59" i="14"/>
  <c r="G59" i="14" s="1"/>
  <c r="E57" i="14"/>
  <c r="G57" i="14" s="1"/>
  <c r="E55" i="14"/>
  <c r="G55" i="14" s="1"/>
  <c r="E53" i="14"/>
  <c r="G53" i="14" s="1"/>
  <c r="E51" i="14"/>
  <c r="G51" i="14" s="1"/>
  <c r="E49" i="14"/>
  <c r="G49" i="14" s="1"/>
  <c r="E47" i="14"/>
  <c r="G47" i="14" s="1"/>
  <c r="E45" i="14"/>
  <c r="G45" i="14" s="1"/>
  <c r="E43" i="14"/>
  <c r="G43" i="14" s="1"/>
  <c r="E41" i="14"/>
  <c r="G41" i="14" s="1"/>
  <c r="E39" i="14"/>
  <c r="G39" i="14" s="1"/>
  <c r="E37" i="14"/>
  <c r="G37" i="14" s="1"/>
  <c r="E35" i="14"/>
  <c r="G35" i="14" s="1"/>
  <c r="E33" i="14"/>
  <c r="G33" i="14" s="1"/>
  <c r="E31" i="14"/>
  <c r="G31" i="14" s="1"/>
  <c r="E29" i="14"/>
  <c r="G29" i="14" s="1"/>
  <c r="E27" i="14"/>
  <c r="G27" i="14" s="1"/>
  <c r="E25" i="14"/>
  <c r="G25" i="14" s="1"/>
  <c r="E23" i="14"/>
  <c r="G23" i="14" s="1"/>
  <c r="E21" i="14"/>
  <c r="G21" i="14" s="1"/>
  <c r="E19" i="14"/>
  <c r="G19" i="14" s="1"/>
  <c r="E78" i="14"/>
  <c r="E80" i="14"/>
  <c r="G80" i="14" s="1"/>
  <c r="E82" i="14"/>
  <c r="G82" i="14" s="1"/>
  <c r="E84" i="14"/>
  <c r="G84" i="14" s="1"/>
  <c r="E86" i="14"/>
  <c r="G86" i="14" s="1"/>
  <c r="E88" i="14"/>
  <c r="G88" i="14" s="1"/>
  <c r="E90" i="14"/>
  <c r="E92" i="14"/>
  <c r="G92" i="14" s="1"/>
  <c r="E94" i="14"/>
  <c r="G94" i="14" s="1"/>
  <c r="E96" i="14"/>
  <c r="G96" i="14" s="1"/>
  <c r="E98" i="14"/>
  <c r="G98" i="14" s="1"/>
  <c r="E100" i="14"/>
  <c r="G100" i="14" s="1"/>
  <c r="E102" i="14"/>
  <c r="E104" i="14"/>
  <c r="G104" i="14" s="1"/>
  <c r="E106" i="14"/>
  <c r="G106" i="14" s="1"/>
  <c r="E108" i="14"/>
  <c r="G108" i="14" s="1"/>
  <c r="E110" i="14"/>
  <c r="G110" i="14" s="1"/>
  <c r="E112" i="14"/>
  <c r="G112" i="14" s="1"/>
  <c r="E114" i="14"/>
  <c r="E116" i="14"/>
  <c r="G116" i="14" s="1"/>
  <c r="E118" i="14"/>
  <c r="G118" i="14" s="1"/>
  <c r="E120" i="14"/>
  <c r="G120" i="14" s="1"/>
  <c r="E122" i="14"/>
  <c r="G122" i="14" s="1"/>
  <c r="E124" i="14"/>
  <c r="G124" i="14" s="1"/>
  <c r="E126" i="14"/>
  <c r="E128" i="14"/>
  <c r="G128" i="14" s="1"/>
  <c r="E130" i="14"/>
  <c r="G130" i="14" s="1"/>
  <c r="E132" i="14"/>
  <c r="G132" i="14" s="1"/>
  <c r="E134" i="14"/>
  <c r="G134" i="14" s="1"/>
  <c r="E136" i="14"/>
  <c r="G136" i="14" s="1"/>
  <c r="E138" i="14"/>
  <c r="E140" i="14"/>
  <c r="G140" i="14" s="1"/>
  <c r="E142" i="14"/>
  <c r="G142" i="14" s="1"/>
  <c r="E144" i="14"/>
  <c r="G144" i="14" s="1"/>
  <c r="E146" i="14"/>
  <c r="G146" i="14" s="1"/>
  <c r="E148" i="14"/>
  <c r="G148" i="14" s="1"/>
  <c r="E150" i="14"/>
  <c r="G27" i="54"/>
  <c r="M27" i="54" s="1"/>
  <c r="M26" i="54"/>
  <c r="E21" i="52"/>
  <c r="K21" i="52" s="1"/>
  <c r="M17" i="42"/>
  <c r="G18" i="42"/>
  <c r="G37" i="50"/>
  <c r="M36" i="50"/>
  <c r="H94" i="44"/>
  <c r="N94" i="44" s="1"/>
  <c r="N11" i="44"/>
  <c r="H28" i="48"/>
  <c r="H82" i="46"/>
  <c r="F58" i="36"/>
  <c r="L58" i="36" s="1"/>
  <c r="L47" i="36"/>
  <c r="G141" i="40"/>
  <c r="G150" i="40" s="1"/>
  <c r="G87" i="38"/>
  <c r="G98" i="38" s="1"/>
  <c r="M94" i="38"/>
  <c r="G95" i="38"/>
  <c r="M95" i="38" s="1"/>
  <c r="N16" i="34"/>
  <c r="H17" i="34"/>
  <c r="H105" i="28"/>
  <c r="N13" i="28"/>
  <c r="N23" i="27"/>
  <c r="H120" i="27"/>
  <c r="H134" i="27" s="1"/>
  <c r="G76" i="30"/>
  <c r="M76" i="30" s="1"/>
  <c r="M68" i="30"/>
  <c r="M67" i="30"/>
  <c r="F18" i="24"/>
  <c r="L18" i="24" s="1"/>
  <c r="O98" i="32"/>
  <c r="I99" i="32"/>
  <c r="H151" i="26"/>
  <c r="N13" i="26"/>
  <c r="N10" i="22"/>
  <c r="H114" i="18"/>
  <c r="H115" i="18" s="1"/>
  <c r="N32" i="18"/>
  <c r="H114" i="22"/>
  <c r="H117" i="16"/>
  <c r="H130" i="16" s="1"/>
  <c r="N13" i="18"/>
  <c r="N102" i="20"/>
  <c r="N111" i="20" s="1"/>
  <c r="F20" i="14"/>
  <c r="B21" i="14" s="1"/>
  <c r="F21" i="14" s="1"/>
  <c r="B22" i="14" s="1"/>
  <c r="F22" i="14" s="1"/>
  <c r="B23" i="14" s="1"/>
  <c r="F23" i="14" s="1"/>
  <c r="B24" i="14" s="1"/>
  <c r="F24" i="14" s="1"/>
  <c r="B25" i="14" s="1"/>
  <c r="F25" i="14" s="1"/>
  <c r="B26" i="14" s="1"/>
  <c r="F26" i="14" s="1"/>
  <c r="B27" i="14" s="1"/>
  <c r="F27" i="14" s="1"/>
  <c r="B28" i="14" s="1"/>
  <c r="F28" i="14" s="1"/>
  <c r="B29" i="14" s="1"/>
  <c r="F29" i="14" s="1"/>
  <c r="B30" i="14" s="1"/>
  <c r="F30" i="14" s="1"/>
  <c r="B31" i="14" s="1"/>
  <c r="F31" i="14" s="1"/>
  <c r="B32" i="14" s="1"/>
  <c r="F32" i="14" s="1"/>
  <c r="B33" i="14" s="1"/>
  <c r="F33" i="14" s="1"/>
  <c r="B34" i="14" s="1"/>
  <c r="F34" i="14" s="1"/>
  <c r="B35" i="14" s="1"/>
  <c r="F35" i="14" s="1"/>
  <c r="B36" i="14" s="1"/>
  <c r="F36" i="14" s="1"/>
  <c r="B37" i="14" s="1"/>
  <c r="F37" i="14" s="1"/>
  <c r="B38" i="14" s="1"/>
  <c r="F38" i="14" s="1"/>
  <c r="B39" i="14" s="1"/>
  <c r="F39" i="14" s="1"/>
  <c r="B40" i="14" s="1"/>
  <c r="F40" i="14" s="1"/>
  <c r="B41" i="14" s="1"/>
  <c r="F41" i="14" s="1"/>
  <c r="B42" i="14" s="1"/>
  <c r="F42" i="14" s="1"/>
  <c r="B43" i="14" s="1"/>
  <c r="F43" i="14" s="1"/>
  <c r="B44" i="14" s="1"/>
  <c r="F44" i="14" s="1"/>
  <c r="B45" i="14" s="1"/>
  <c r="F45" i="14" s="1"/>
  <c r="B46" i="14" s="1"/>
  <c r="F46" i="14" s="1"/>
  <c r="B47" i="14" s="1"/>
  <c r="F47" i="14" s="1"/>
  <c r="B48" i="14" s="1"/>
  <c r="F48" i="14" s="1"/>
  <c r="B49" i="14" s="1"/>
  <c r="F49" i="14" s="1"/>
  <c r="B50" i="14" s="1"/>
  <c r="F50" i="14" s="1"/>
  <c r="B51" i="14" s="1"/>
  <c r="F51" i="14" s="1"/>
  <c r="B52" i="14" s="1"/>
  <c r="F52" i="14" s="1"/>
  <c r="B53" i="14" s="1"/>
  <c r="F53" i="14" s="1"/>
  <c r="B54" i="14" s="1"/>
  <c r="F54" i="14" s="1"/>
  <c r="B55" i="14" s="1"/>
  <c r="F55" i="14" s="1"/>
  <c r="B56" i="14" s="1"/>
  <c r="F56" i="14" s="1"/>
  <c r="B57" i="14" s="1"/>
  <c r="F57" i="14" s="1"/>
  <c r="B58" i="14" s="1"/>
  <c r="F58" i="14" s="1"/>
  <c r="B59" i="14" s="1"/>
  <c r="F59" i="14" s="1"/>
  <c r="B60" i="14" s="1"/>
  <c r="F60" i="14" s="1"/>
  <c r="B61" i="14" s="1"/>
  <c r="F61" i="14" s="1"/>
  <c r="B62" i="14" s="1"/>
  <c r="F62" i="14" s="1"/>
  <c r="B63" i="14" s="1"/>
  <c r="F63" i="14" s="1"/>
  <c r="B64" i="14" s="1"/>
  <c r="F64" i="14" s="1"/>
  <c r="B65" i="14" s="1"/>
  <c r="F65" i="14" s="1"/>
  <c r="B66" i="14" s="1"/>
  <c r="F66" i="14" s="1"/>
  <c r="B67" i="14" s="1"/>
  <c r="F67" i="14" s="1"/>
  <c r="B68" i="14" s="1"/>
  <c r="F68" i="14" s="1"/>
  <c r="B69" i="14" s="1"/>
  <c r="F69" i="14" s="1"/>
  <c r="B70" i="14" s="1"/>
  <c r="F70" i="14" s="1"/>
  <c r="B71" i="14" s="1"/>
  <c r="F71" i="14" s="1"/>
  <c r="B72" i="14" s="1"/>
  <c r="F72" i="14" s="1"/>
  <c r="B73" i="14" s="1"/>
  <c r="F73" i="14" s="1"/>
  <c r="B74" i="14" s="1"/>
  <c r="F74" i="14" s="1"/>
  <c r="B75" i="14" s="1"/>
  <c r="F75" i="14" s="1"/>
  <c r="B76" i="14" s="1"/>
  <c r="F76" i="14" s="1"/>
  <c r="B77" i="14" s="1"/>
  <c r="F77" i="14" s="1"/>
  <c r="B78" i="14" s="1"/>
  <c r="F78" i="14" s="1"/>
  <c r="B79" i="14" s="1"/>
  <c r="F79" i="14" s="1"/>
  <c r="B80" i="14" s="1"/>
  <c r="F80" i="14" s="1"/>
  <c r="B81" i="14" s="1"/>
  <c r="F81" i="14" s="1"/>
  <c r="B82" i="14" s="1"/>
  <c r="F82" i="14" s="1"/>
  <c r="B83" i="14" s="1"/>
  <c r="F83" i="14" s="1"/>
  <c r="B84" i="14" s="1"/>
  <c r="F84" i="14" s="1"/>
  <c r="B85" i="14" s="1"/>
  <c r="F85" i="14" s="1"/>
  <c r="B86" i="14" s="1"/>
  <c r="F86" i="14" s="1"/>
  <c r="B87" i="14" s="1"/>
  <c r="F87" i="14" s="1"/>
  <c r="B88" i="14" s="1"/>
  <c r="F88" i="14" s="1"/>
  <c r="B89" i="14" s="1"/>
  <c r="F89" i="14" s="1"/>
  <c r="B90" i="14" s="1"/>
  <c r="F90" i="14" s="1"/>
  <c r="B91" i="14" s="1"/>
  <c r="F91" i="14" s="1"/>
  <c r="B92" i="14" s="1"/>
  <c r="F92" i="14" s="1"/>
  <c r="B93" i="14" s="1"/>
  <c r="F93" i="14" s="1"/>
  <c r="B94" i="14" s="1"/>
  <c r="F94" i="14" s="1"/>
  <c r="B95" i="14" s="1"/>
  <c r="F95" i="14" s="1"/>
  <c r="B96" i="14" s="1"/>
  <c r="F96" i="14" s="1"/>
  <c r="B97" i="14" s="1"/>
  <c r="F97" i="14" s="1"/>
  <c r="B98" i="14" s="1"/>
  <c r="F98" i="14" s="1"/>
  <c r="B99" i="14" s="1"/>
  <c r="F99" i="14" s="1"/>
  <c r="B100" i="14" s="1"/>
  <c r="F100" i="14" s="1"/>
  <c r="B101" i="14" s="1"/>
  <c r="F101" i="14" s="1"/>
  <c r="B102" i="14" s="1"/>
  <c r="F102" i="14" s="1"/>
  <c r="B103" i="14" s="1"/>
  <c r="F103" i="14" s="1"/>
  <c r="B104" i="14" s="1"/>
  <c r="F104" i="14" s="1"/>
  <c r="B105" i="14" s="1"/>
  <c r="F105" i="14" s="1"/>
  <c r="B106" i="14" s="1"/>
  <c r="F106" i="14" s="1"/>
  <c r="B107" i="14" s="1"/>
  <c r="F107" i="14" s="1"/>
  <c r="B108" i="14" s="1"/>
  <c r="F108" i="14" s="1"/>
  <c r="B109" i="14" s="1"/>
  <c r="F109" i="14" s="1"/>
  <c r="B110" i="14" s="1"/>
  <c r="F110" i="14" s="1"/>
  <c r="B111" i="14" s="1"/>
  <c r="F111" i="14" s="1"/>
  <c r="B112" i="14" s="1"/>
  <c r="F112" i="14" s="1"/>
  <c r="B113" i="14" s="1"/>
  <c r="F113" i="14" s="1"/>
  <c r="B114" i="14" s="1"/>
  <c r="F114" i="14" s="1"/>
  <c r="B115" i="14" s="1"/>
  <c r="F115" i="14" s="1"/>
  <c r="B116" i="14" s="1"/>
  <c r="F116" i="14" s="1"/>
  <c r="B117" i="14" s="1"/>
  <c r="F117" i="14" s="1"/>
  <c r="B118" i="14" s="1"/>
  <c r="F118" i="14" s="1"/>
  <c r="B119" i="14" s="1"/>
  <c r="F119" i="14" s="1"/>
  <c r="B120" i="14" s="1"/>
  <c r="F120" i="14" s="1"/>
  <c r="B121" i="14" s="1"/>
  <c r="F121" i="14" s="1"/>
  <c r="B122" i="14" s="1"/>
  <c r="F122" i="14" s="1"/>
  <c r="B123" i="14" s="1"/>
  <c r="F123" i="14" s="1"/>
  <c r="B124" i="14" s="1"/>
  <c r="F124" i="14" s="1"/>
  <c r="B125" i="14" s="1"/>
  <c r="F125" i="14" s="1"/>
  <c r="B126" i="14" s="1"/>
  <c r="F126" i="14" s="1"/>
  <c r="B127" i="14" s="1"/>
  <c r="F127" i="14" s="1"/>
  <c r="B128" i="14" s="1"/>
  <c r="F128" i="14" s="1"/>
  <c r="B129" i="14" s="1"/>
  <c r="F129" i="14" s="1"/>
  <c r="B130" i="14" s="1"/>
  <c r="F130" i="14" s="1"/>
  <c r="B131" i="14" s="1"/>
  <c r="F131" i="14" s="1"/>
  <c r="B132" i="14" s="1"/>
  <c r="F132" i="14" s="1"/>
  <c r="B133" i="14" s="1"/>
  <c r="F133" i="14" s="1"/>
  <c r="B134" i="14" s="1"/>
  <c r="F134" i="14" s="1"/>
  <c r="B135" i="14" s="1"/>
  <c r="F135" i="14" s="1"/>
  <c r="B136" i="14" s="1"/>
  <c r="F136" i="14" s="1"/>
  <c r="B137" i="14" s="1"/>
  <c r="F137" i="14" s="1"/>
  <c r="B138" i="14" s="1"/>
  <c r="F138" i="14" s="1"/>
  <c r="B139" i="14" s="1"/>
  <c r="F139" i="14" s="1"/>
  <c r="B140" i="14" s="1"/>
  <c r="F140" i="14" s="1"/>
  <c r="B141" i="14" s="1"/>
  <c r="F141" i="14" s="1"/>
  <c r="B142" i="14" s="1"/>
  <c r="F142" i="14" s="1"/>
  <c r="B143" i="14" s="1"/>
  <c r="F143" i="14" s="1"/>
  <c r="B144" i="14" s="1"/>
  <c r="F144" i="14" s="1"/>
  <c r="B145" i="14" s="1"/>
  <c r="F145" i="14" s="1"/>
  <c r="B146" i="14" s="1"/>
  <c r="F146" i="14" s="1"/>
  <c r="B147" i="14" s="1"/>
  <c r="F147" i="14" s="1"/>
  <c r="B148" i="14" s="1"/>
  <c r="F148" i="14" s="1"/>
  <c r="B149" i="14" s="1"/>
  <c r="F149" i="14" s="1"/>
  <c r="B150" i="14" s="1"/>
  <c r="F150" i="14" s="1"/>
  <c r="E76" i="14"/>
  <c r="G76" i="14" s="1"/>
  <c r="E74" i="14"/>
  <c r="G74" i="14" s="1"/>
  <c r="E72" i="14"/>
  <c r="G72" i="14" s="1"/>
  <c r="E70" i="14"/>
  <c r="G70" i="14" s="1"/>
  <c r="E68" i="14"/>
  <c r="G68" i="14" s="1"/>
  <c r="E66" i="14"/>
  <c r="E64" i="14"/>
  <c r="G64" i="14" s="1"/>
  <c r="E62" i="14"/>
  <c r="G62" i="14" s="1"/>
  <c r="E60" i="14"/>
  <c r="G60" i="14" s="1"/>
  <c r="E58" i="14"/>
  <c r="G58" i="14" s="1"/>
  <c r="E56" i="14"/>
  <c r="G56" i="14" s="1"/>
  <c r="E54" i="14"/>
  <c r="E52" i="14"/>
  <c r="G52" i="14" s="1"/>
  <c r="E50" i="14"/>
  <c r="G50" i="14" s="1"/>
  <c r="E48" i="14"/>
  <c r="G48" i="14" s="1"/>
  <c r="E46" i="14"/>
  <c r="G46" i="14" s="1"/>
  <c r="E44" i="14"/>
  <c r="G44" i="14" s="1"/>
  <c r="E42" i="14"/>
  <c r="E40" i="14"/>
  <c r="G40" i="14" s="1"/>
  <c r="E38" i="14"/>
  <c r="G38" i="14" s="1"/>
  <c r="E36" i="14"/>
  <c r="G36" i="14" s="1"/>
  <c r="E34" i="14"/>
  <c r="G34" i="14" s="1"/>
  <c r="E32" i="14"/>
  <c r="G32" i="14" s="1"/>
  <c r="E30" i="14"/>
  <c r="E28" i="14"/>
  <c r="G28" i="14" s="1"/>
  <c r="E26" i="14"/>
  <c r="G26" i="14" s="1"/>
  <c r="E24" i="14"/>
  <c r="G24" i="14" s="1"/>
  <c r="E22" i="14"/>
  <c r="G22" i="14" s="1"/>
  <c r="E20" i="14"/>
  <c r="G20" i="14" s="1"/>
  <c r="E79" i="14"/>
  <c r="G79" i="14" s="1"/>
  <c r="E81" i="14"/>
  <c r="G81" i="14" s="1"/>
  <c r="E83" i="14"/>
  <c r="G83" i="14" s="1"/>
  <c r="E85" i="14"/>
  <c r="G85" i="14" s="1"/>
  <c r="E87" i="14"/>
  <c r="G87" i="14" s="1"/>
  <c r="E89" i="14"/>
  <c r="G89" i="14" s="1"/>
  <c r="E91" i="14"/>
  <c r="G91" i="14" s="1"/>
  <c r="E93" i="14"/>
  <c r="G93" i="14" s="1"/>
  <c r="E95" i="14"/>
  <c r="G95" i="14" s="1"/>
  <c r="E97" i="14"/>
  <c r="G97" i="14" s="1"/>
  <c r="E99" i="14"/>
  <c r="G99" i="14" s="1"/>
  <c r="E101" i="14"/>
  <c r="G101" i="14" s="1"/>
  <c r="E103" i="14"/>
  <c r="G103" i="14" s="1"/>
  <c r="E105" i="14"/>
  <c r="G105" i="14" s="1"/>
  <c r="E107" i="14"/>
  <c r="G107" i="14" s="1"/>
  <c r="E109" i="14"/>
  <c r="G109" i="14" s="1"/>
  <c r="E111" i="14"/>
  <c r="G111" i="14" s="1"/>
  <c r="E113" i="14"/>
  <c r="G113" i="14" s="1"/>
  <c r="E115" i="14"/>
  <c r="G115" i="14" s="1"/>
  <c r="E117" i="14"/>
  <c r="G117" i="14" s="1"/>
  <c r="E119" i="14"/>
  <c r="G119" i="14" s="1"/>
  <c r="E121" i="14"/>
  <c r="G121" i="14" s="1"/>
  <c r="E123" i="14"/>
  <c r="G123" i="14" s="1"/>
  <c r="E125" i="14"/>
  <c r="G125" i="14" s="1"/>
  <c r="E127" i="14"/>
  <c r="G127" i="14" s="1"/>
  <c r="E129" i="14"/>
  <c r="G129" i="14" s="1"/>
  <c r="E131" i="14"/>
  <c r="G131" i="14" s="1"/>
  <c r="E133" i="14"/>
  <c r="G133" i="14" s="1"/>
  <c r="E135" i="14"/>
  <c r="G135" i="14" s="1"/>
  <c r="E137" i="14"/>
  <c r="G137" i="14" s="1"/>
  <c r="E139" i="14"/>
  <c r="G139" i="14" s="1"/>
  <c r="E141" i="14"/>
  <c r="G141" i="14" s="1"/>
  <c r="E143" i="14"/>
  <c r="G143" i="14" s="1"/>
  <c r="E145" i="14"/>
  <c r="G145" i="14" s="1"/>
  <c r="E147" i="14"/>
  <c r="G147" i="14" s="1"/>
  <c r="E149" i="14"/>
  <c r="G149" i="14" s="1"/>
  <c r="L113" i="28" l="1"/>
  <c r="N104" i="28"/>
  <c r="N113" i="28" s="1"/>
  <c r="N103" i="20"/>
  <c r="N109" i="20"/>
  <c r="E32" i="60"/>
  <c r="G32" i="60" s="1"/>
  <c r="A34" i="60"/>
  <c r="D33" i="60"/>
  <c r="F33" i="60" s="1"/>
  <c r="B34" i="60" s="1"/>
  <c r="C33" i="60"/>
  <c r="A39" i="59"/>
  <c r="A39" i="58"/>
  <c r="D38" i="58"/>
  <c r="F38" i="58" s="1"/>
  <c r="B39" i="58" s="1"/>
  <c r="C38" i="58"/>
  <c r="E37" i="58"/>
  <c r="G37" i="58" s="1"/>
  <c r="N114" i="22"/>
  <c r="N127" i="22" s="1"/>
  <c r="H127" i="22"/>
  <c r="N114" i="18"/>
  <c r="N118" i="18" s="1"/>
  <c r="H118" i="18"/>
  <c r="L134" i="27"/>
  <c r="L121" i="27"/>
  <c r="L132" i="27" s="1"/>
  <c r="N150" i="26"/>
  <c r="G30" i="14"/>
  <c r="D20" i="11" s="1"/>
  <c r="G42" i="14"/>
  <c r="G54" i="14"/>
  <c r="D22" i="11" s="1"/>
  <c r="G66" i="14"/>
  <c r="D23" i="11" s="1"/>
  <c r="G150" i="14"/>
  <c r="G138" i="14"/>
  <c r="D29" i="11" s="1"/>
  <c r="G126" i="14"/>
  <c r="D28" i="11" s="1"/>
  <c r="G114" i="14"/>
  <c r="D27" i="11" s="1"/>
  <c r="G102" i="14"/>
  <c r="D26" i="11" s="1"/>
  <c r="G90" i="14"/>
  <c r="D25" i="11" s="1"/>
  <c r="G78" i="14"/>
  <c r="D24" i="11" s="1"/>
  <c r="N82" i="46"/>
  <c r="H83" i="46"/>
  <c r="G38" i="50"/>
  <c r="M38" i="50" s="1"/>
  <c r="M37" i="50"/>
  <c r="N28" i="48"/>
  <c r="H29" i="48"/>
  <c r="G24" i="42"/>
  <c r="M24" i="42" s="1"/>
  <c r="M18" i="42"/>
  <c r="H95" i="44"/>
  <c r="M141" i="40"/>
  <c r="M150" i="40" s="1"/>
  <c r="G142" i="40"/>
  <c r="H131" i="34"/>
  <c r="N17" i="34"/>
  <c r="M87" i="38"/>
  <c r="M98" i="38" s="1"/>
  <c r="G88" i="38"/>
  <c r="H166" i="26"/>
  <c r="N166" i="26" s="1"/>
  <c r="N151" i="26"/>
  <c r="H111" i="28"/>
  <c r="N111" i="28" s="1"/>
  <c r="N105" i="28"/>
  <c r="O99" i="32"/>
  <c r="I108" i="32"/>
  <c r="N120" i="27"/>
  <c r="N134" i="27" s="1"/>
  <c r="H121" i="27"/>
  <c r="H116" i="18"/>
  <c r="N116" i="18" s="1"/>
  <c r="N115" i="18"/>
  <c r="N117" i="16"/>
  <c r="N130" i="16" s="1"/>
  <c r="H118" i="16"/>
  <c r="H115" i="22"/>
  <c r="D21" i="11"/>
  <c r="E27" i="11" l="1"/>
  <c r="E29" i="11"/>
  <c r="E28" i="11"/>
  <c r="E33" i="60"/>
  <c r="G33" i="60" s="1"/>
  <c r="C34" i="60"/>
  <c r="A35" i="60"/>
  <c r="D34" i="60"/>
  <c r="F34" i="60" s="1"/>
  <c r="B35" i="60" s="1"/>
  <c r="E38" i="58"/>
  <c r="G38" i="58" s="1"/>
  <c r="A40" i="59"/>
  <c r="A40" i="58"/>
  <c r="D39" i="58"/>
  <c r="F39" i="58" s="1"/>
  <c r="B40" i="58" s="1"/>
  <c r="C39" i="58"/>
  <c r="E24" i="11"/>
  <c r="E20" i="11"/>
  <c r="E23" i="11"/>
  <c r="E21" i="11"/>
  <c r="E26" i="11"/>
  <c r="E22" i="11"/>
  <c r="E25" i="11"/>
  <c r="H101" i="44"/>
  <c r="N101" i="44" s="1"/>
  <c r="N95" i="44"/>
  <c r="H39" i="48"/>
  <c r="N39" i="48" s="1"/>
  <c r="N29" i="48"/>
  <c r="N83" i="46"/>
  <c r="H98" i="46"/>
  <c r="N98" i="46" s="1"/>
  <c r="H141" i="34"/>
  <c r="N141" i="34" s="1"/>
  <c r="N131" i="34"/>
  <c r="G96" i="38"/>
  <c r="M96" i="38" s="1"/>
  <c r="M88" i="38"/>
  <c r="G148" i="40"/>
  <c r="M148" i="40" s="1"/>
  <c r="M142" i="40"/>
  <c r="N121" i="27"/>
  <c r="H132" i="27"/>
  <c r="N132" i="27" s="1"/>
  <c r="O108" i="32"/>
  <c r="I193" i="32"/>
  <c r="I206" i="32" s="1"/>
  <c r="H125" i="22"/>
  <c r="N125" i="22" s="1"/>
  <c r="N115" i="22"/>
  <c r="H128" i="16"/>
  <c r="N128" i="16" s="1"/>
  <c r="N118" i="16"/>
  <c r="E31" i="11" l="1"/>
  <c r="E34" i="60"/>
  <c r="G34" i="60" s="1"/>
  <c r="A36" i="60"/>
  <c r="D35" i="60"/>
  <c r="F35" i="60" s="1"/>
  <c r="B36" i="60" s="1"/>
  <c r="C35" i="60"/>
  <c r="A41" i="59"/>
  <c r="E39" i="58"/>
  <c r="G39" i="58" s="1"/>
  <c r="A41" i="58"/>
  <c r="C40" i="58"/>
  <c r="D40" i="58"/>
  <c r="F40" i="58" s="1"/>
  <c r="B41" i="58" s="1"/>
  <c r="O193" i="32"/>
  <c r="O206" i="32" s="1"/>
  <c r="I194" i="32"/>
  <c r="D9" i="8"/>
  <c r="D7" i="8"/>
  <c r="M24" i="13"/>
  <c r="M22" i="13"/>
  <c r="M20" i="13"/>
  <c r="M19" i="13"/>
  <c r="M16" i="13"/>
  <c r="M13" i="13"/>
  <c r="M11" i="13"/>
  <c r="E15" i="11" l="1"/>
  <c r="C41" i="11" s="1"/>
  <c r="F27" i="8"/>
  <c r="D27" i="8"/>
  <c r="E35" i="60"/>
  <c r="G35" i="60" s="1"/>
  <c r="C36" i="60"/>
  <c r="A37" i="60"/>
  <c r="D36" i="60"/>
  <c r="F36" i="60" s="1"/>
  <c r="B37" i="60" s="1"/>
  <c r="A42" i="59"/>
  <c r="A42" i="58"/>
  <c r="C41" i="58"/>
  <c r="D41" i="58"/>
  <c r="F41" i="58" s="1"/>
  <c r="B42" i="58" s="1"/>
  <c r="E40" i="58"/>
  <c r="G40" i="58" s="1"/>
  <c r="I204" i="32"/>
  <c r="O204" i="32" s="1"/>
  <c r="O194" i="32"/>
  <c r="O24" i="13"/>
  <c r="O22" i="13"/>
  <c r="O20" i="13"/>
  <c r="O16" i="13"/>
  <c r="O19" i="13"/>
  <c r="G17" i="13"/>
  <c r="M17" i="13" s="1"/>
  <c r="O17" i="13"/>
  <c r="G18" i="13"/>
  <c r="M18" i="13" s="1"/>
  <c r="O18" i="13"/>
  <c r="O14" i="13"/>
  <c r="O13" i="13"/>
  <c r="G12" i="13"/>
  <c r="M12" i="13" s="1"/>
  <c r="O12" i="13"/>
  <c r="O11" i="13"/>
  <c r="H27" i="8" l="1"/>
  <c r="E36" i="60"/>
  <c r="G36" i="60" s="1"/>
  <c r="A38" i="60"/>
  <c r="D37" i="60"/>
  <c r="F37" i="60" s="1"/>
  <c r="B38" i="60" s="1"/>
  <c r="C37" i="60"/>
  <c r="E41" i="58"/>
  <c r="G41" i="58" s="1"/>
  <c r="A43" i="59"/>
  <c r="A43" i="58"/>
  <c r="D42" i="58"/>
  <c r="F42" i="58" s="1"/>
  <c r="B43" i="58" s="1"/>
  <c r="C42" i="58"/>
  <c r="D47" i="11"/>
  <c r="A20" i="12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E37" i="60" l="1"/>
  <c r="G37" i="60" s="1"/>
  <c r="C38" i="60"/>
  <c r="A39" i="60"/>
  <c r="D38" i="60"/>
  <c r="F38" i="60" s="1"/>
  <c r="B39" i="60" s="1"/>
  <c r="A44" i="59"/>
  <c r="E42" i="58"/>
  <c r="G42" i="58" s="1"/>
  <c r="A44" i="58"/>
  <c r="D43" i="58"/>
  <c r="F43" i="58" s="1"/>
  <c r="B44" i="58" s="1"/>
  <c r="C43" i="58"/>
  <c r="D41" i="11"/>
  <c r="D35" i="11"/>
  <c r="A140" i="12"/>
  <c r="E38" i="60" l="1"/>
  <c r="G38" i="60" s="1"/>
  <c r="A40" i="60"/>
  <c r="D39" i="60"/>
  <c r="F39" i="60" s="1"/>
  <c r="B40" i="60" s="1"/>
  <c r="C39" i="60"/>
  <c r="E43" i="58"/>
  <c r="G43" i="58" s="1"/>
  <c r="A45" i="59"/>
  <c r="A45" i="58"/>
  <c r="C44" i="58"/>
  <c r="D44" i="58"/>
  <c r="F44" i="58" s="1"/>
  <c r="B45" i="58" s="1"/>
  <c r="D43" i="11"/>
  <c r="A141" i="12"/>
  <c r="E39" i="60" l="1"/>
  <c r="G39" i="60" s="1"/>
  <c r="C40" i="60"/>
  <c r="A41" i="60"/>
  <c r="D40" i="60"/>
  <c r="F40" i="60" s="1"/>
  <c r="B41" i="60" s="1"/>
  <c r="E44" i="58"/>
  <c r="G44" i="58" s="1"/>
  <c r="A46" i="59"/>
  <c r="A46" i="58"/>
  <c r="C45" i="58"/>
  <c r="D45" i="58"/>
  <c r="F45" i="58" s="1"/>
  <c r="B46" i="58" s="1"/>
  <c r="A142" i="12"/>
  <c r="E40" i="60" l="1"/>
  <c r="G40" i="60" s="1"/>
  <c r="A42" i="60"/>
  <c r="D41" i="60"/>
  <c r="F41" i="60" s="1"/>
  <c r="B42" i="60" s="1"/>
  <c r="C41" i="60"/>
  <c r="E45" i="58"/>
  <c r="G45" i="58" s="1"/>
  <c r="A47" i="59"/>
  <c r="A47" i="58"/>
  <c r="D46" i="58"/>
  <c r="F46" i="58" s="1"/>
  <c r="B47" i="58" s="1"/>
  <c r="C46" i="58"/>
  <c r="D31" i="11"/>
  <c r="A143" i="12"/>
  <c r="E41" i="60" l="1"/>
  <c r="G41" i="60" s="1"/>
  <c r="C42" i="60"/>
  <c r="A43" i="60"/>
  <c r="D42" i="60"/>
  <c r="F42" i="60" s="1"/>
  <c r="B43" i="60" s="1"/>
  <c r="A48" i="59"/>
  <c r="E46" i="58"/>
  <c r="G46" i="58" s="1"/>
  <c r="A48" i="58"/>
  <c r="D47" i="58"/>
  <c r="F47" i="58" s="1"/>
  <c r="B48" i="58" s="1"/>
  <c r="C47" i="58"/>
  <c r="A144" i="12"/>
  <c r="E42" i="60" l="1"/>
  <c r="G42" i="60" s="1"/>
  <c r="A44" i="60"/>
  <c r="D43" i="60"/>
  <c r="F43" i="60" s="1"/>
  <c r="B44" i="60" s="1"/>
  <c r="C43" i="60"/>
  <c r="E47" i="58"/>
  <c r="G47" i="58" s="1"/>
  <c r="A49" i="59"/>
  <c r="A49" i="58"/>
  <c r="C48" i="58"/>
  <c r="D48" i="58"/>
  <c r="F48" i="58" s="1"/>
  <c r="B49" i="58" s="1"/>
  <c r="A145" i="12"/>
  <c r="E43" i="60" l="1"/>
  <c r="G43" i="60" s="1"/>
  <c r="C44" i="60"/>
  <c r="A45" i="60"/>
  <c r="D44" i="60"/>
  <c r="F44" i="60" s="1"/>
  <c r="B45" i="60" s="1"/>
  <c r="A50" i="59"/>
  <c r="A50" i="58"/>
  <c r="C49" i="58"/>
  <c r="D49" i="58"/>
  <c r="F49" i="58" s="1"/>
  <c r="B50" i="58" s="1"/>
  <c r="E48" i="58"/>
  <c r="G48" i="58" s="1"/>
  <c r="A146" i="12"/>
  <c r="E44" i="60" l="1"/>
  <c r="G44" i="60" s="1"/>
  <c r="A46" i="60"/>
  <c r="D45" i="60"/>
  <c r="F45" i="60" s="1"/>
  <c r="B46" i="60" s="1"/>
  <c r="C45" i="60"/>
  <c r="E49" i="58"/>
  <c r="G49" i="58" s="1"/>
  <c r="A51" i="59"/>
  <c r="A51" i="58"/>
  <c r="D50" i="58"/>
  <c r="F50" i="58" s="1"/>
  <c r="B51" i="58" s="1"/>
  <c r="C50" i="58"/>
  <c r="A147" i="12"/>
  <c r="E45" i="60" l="1"/>
  <c r="G45" i="60" s="1"/>
  <c r="C46" i="60"/>
  <c r="A47" i="60"/>
  <c r="D46" i="60"/>
  <c r="F46" i="60" s="1"/>
  <c r="B47" i="60" s="1"/>
  <c r="A52" i="59"/>
  <c r="E50" i="58"/>
  <c r="G50" i="58" s="1"/>
  <c r="A52" i="58"/>
  <c r="D51" i="58"/>
  <c r="F51" i="58" s="1"/>
  <c r="B52" i="58" s="1"/>
  <c r="C51" i="58"/>
  <c r="A148" i="12"/>
  <c r="E46" i="60" l="1"/>
  <c r="G46" i="60" s="1"/>
  <c r="A48" i="60"/>
  <c r="D47" i="60"/>
  <c r="F47" i="60" s="1"/>
  <c r="B48" i="60" s="1"/>
  <c r="C47" i="60"/>
  <c r="E51" i="58"/>
  <c r="G51" i="58" s="1"/>
  <c r="A53" i="59"/>
  <c r="A53" i="58"/>
  <c r="C52" i="58"/>
  <c r="D52" i="58"/>
  <c r="F52" i="58" s="1"/>
  <c r="B53" i="58" s="1"/>
  <c r="A149" i="12"/>
  <c r="E47" i="60" l="1"/>
  <c r="G47" i="60" s="1"/>
  <c r="C48" i="60"/>
  <c r="A49" i="60"/>
  <c r="D48" i="60"/>
  <c r="F48" i="60" s="1"/>
  <c r="B49" i="60" s="1"/>
  <c r="A54" i="59"/>
  <c r="A54" i="58"/>
  <c r="C53" i="58"/>
  <c r="D53" i="58"/>
  <c r="F53" i="58" s="1"/>
  <c r="B54" i="58" s="1"/>
  <c r="E52" i="58"/>
  <c r="G52" i="58" s="1"/>
  <c r="A150" i="12"/>
  <c r="E48" i="60" l="1"/>
  <c r="G48" i="60" s="1"/>
  <c r="A50" i="60"/>
  <c r="D49" i="60"/>
  <c r="F49" i="60" s="1"/>
  <c r="B50" i="60" s="1"/>
  <c r="C49" i="60"/>
  <c r="E53" i="58"/>
  <c r="G53" i="58" s="1"/>
  <c r="A55" i="59"/>
  <c r="A55" i="58"/>
  <c r="D54" i="58"/>
  <c r="F54" i="58" s="1"/>
  <c r="B55" i="58" s="1"/>
  <c r="C54" i="58"/>
  <c r="E49" i="60" l="1"/>
  <c r="G49" i="60" s="1"/>
  <c r="C50" i="60"/>
  <c r="A51" i="60"/>
  <c r="D50" i="60"/>
  <c r="F50" i="60" s="1"/>
  <c r="B51" i="60" s="1"/>
  <c r="A56" i="59"/>
  <c r="E54" i="58"/>
  <c r="G54" i="58" s="1"/>
  <c r="A56" i="58"/>
  <c r="D55" i="58"/>
  <c r="F55" i="58" s="1"/>
  <c r="B56" i="58" s="1"/>
  <c r="C55" i="58"/>
  <c r="E50" i="60" l="1"/>
  <c r="G50" i="60" s="1"/>
  <c r="A52" i="60"/>
  <c r="D51" i="60"/>
  <c r="F51" i="60" s="1"/>
  <c r="B52" i="60" s="1"/>
  <c r="C51" i="60"/>
  <c r="E55" i="58"/>
  <c r="G55" i="58" s="1"/>
  <c r="A57" i="59"/>
  <c r="A57" i="58"/>
  <c r="C56" i="58"/>
  <c r="D56" i="58"/>
  <c r="F56" i="58" s="1"/>
  <c r="B57" i="58" s="1"/>
  <c r="M18" i="8"/>
  <c r="J16" i="5" s="1"/>
  <c r="D28" i="8"/>
  <c r="D26" i="8"/>
  <c r="D25" i="8"/>
  <c r="D24" i="8"/>
  <c r="D23" i="8"/>
  <c r="D22" i="8"/>
  <c r="D21" i="8"/>
  <c r="D20" i="8"/>
  <c r="D19" i="8"/>
  <c r="D18" i="8"/>
  <c r="F28" i="8"/>
  <c r="F26" i="8"/>
  <c r="F25" i="8"/>
  <c r="F24" i="8"/>
  <c r="F23" i="8"/>
  <c r="F22" i="8"/>
  <c r="F21" i="8"/>
  <c r="F20" i="8"/>
  <c r="F19" i="8"/>
  <c r="F18" i="8"/>
  <c r="L18" i="8"/>
  <c r="I16" i="5" s="1"/>
  <c r="E26" i="7"/>
  <c r="E25" i="7"/>
  <c r="D25" i="7" s="1"/>
  <c r="E24" i="7"/>
  <c r="D24" i="7" s="1"/>
  <c r="E23" i="7"/>
  <c r="D23" i="7" s="1"/>
  <c r="E22" i="7"/>
  <c r="D22" i="7" s="1"/>
  <c r="E21" i="7"/>
  <c r="E20" i="7"/>
  <c r="D20" i="7" s="1"/>
  <c r="E19" i="7"/>
  <c r="D19" i="7" s="1"/>
  <c r="E18" i="7"/>
  <c r="D18" i="7" s="1"/>
  <c r="E17" i="7"/>
  <c r="D17" i="7" s="1"/>
  <c r="J16" i="7"/>
  <c r="H16" i="7"/>
  <c r="E16" i="7"/>
  <c r="D16" i="7" s="1"/>
  <c r="N18" i="8" l="1"/>
  <c r="K16" i="5" s="1"/>
  <c r="E51" i="60"/>
  <c r="G51" i="60" s="1"/>
  <c r="C52" i="60"/>
  <c r="A53" i="60"/>
  <c r="D52" i="60"/>
  <c r="F52" i="60" s="1"/>
  <c r="B53" i="60" s="1"/>
  <c r="A58" i="59"/>
  <c r="A58" i="58"/>
  <c r="C57" i="58"/>
  <c r="D57" i="58"/>
  <c r="F57" i="58" s="1"/>
  <c r="B58" i="58" s="1"/>
  <c r="E56" i="58"/>
  <c r="G56" i="58" s="1"/>
  <c r="H18" i="8"/>
  <c r="H20" i="8"/>
  <c r="H22" i="8"/>
  <c r="H24" i="8"/>
  <c r="H26" i="8"/>
  <c r="H19" i="8"/>
  <c r="H21" i="8"/>
  <c r="H23" i="8"/>
  <c r="H25" i="8"/>
  <c r="H28" i="8"/>
  <c r="K16" i="7"/>
  <c r="D26" i="7"/>
  <c r="O18" i="8"/>
  <c r="L16" i="5" s="1"/>
  <c r="E27" i="7"/>
  <c r="B33" i="7" s="1"/>
  <c r="D33" i="7" s="1"/>
  <c r="E33" i="7" s="1"/>
  <c r="F33" i="7" s="1"/>
  <c r="D21" i="7"/>
  <c r="E26" i="6"/>
  <c r="E25" i="6"/>
  <c r="D25" i="6" s="1"/>
  <c r="E24" i="6"/>
  <c r="D24" i="6" s="1"/>
  <c r="E23" i="6"/>
  <c r="D23" i="6" s="1"/>
  <c r="E22" i="6"/>
  <c r="D22" i="6" s="1"/>
  <c r="E21" i="6"/>
  <c r="E20" i="6"/>
  <c r="D20" i="6" s="1"/>
  <c r="E19" i="6"/>
  <c r="D19" i="6" s="1"/>
  <c r="E18" i="6"/>
  <c r="D18" i="6" s="1"/>
  <c r="E17" i="6"/>
  <c r="D17" i="6" s="1"/>
  <c r="J16" i="6"/>
  <c r="H16" i="6"/>
  <c r="E16" i="6"/>
  <c r="D16" i="6" s="1"/>
  <c r="E52" i="60" l="1"/>
  <c r="G52" i="60" s="1"/>
  <c r="A54" i="60"/>
  <c r="D53" i="60"/>
  <c r="F53" i="60" s="1"/>
  <c r="B54" i="60" s="1"/>
  <c r="C53" i="60"/>
  <c r="E57" i="58"/>
  <c r="G57" i="58" s="1"/>
  <c r="A59" i="59"/>
  <c r="A59" i="58"/>
  <c r="D58" i="58"/>
  <c r="F58" i="58" s="1"/>
  <c r="B59" i="58" s="1"/>
  <c r="C58" i="58"/>
  <c r="H29" i="8"/>
  <c r="B35" i="8" s="1"/>
  <c r="B33" i="5" s="1"/>
  <c r="D26" i="6"/>
  <c r="K16" i="6"/>
  <c r="E27" i="6"/>
  <c r="D21" i="6"/>
  <c r="E53" i="60" l="1"/>
  <c r="G53" i="60" s="1"/>
  <c r="C54" i="60"/>
  <c r="A55" i="60"/>
  <c r="D54" i="60"/>
  <c r="F54" i="60" s="1"/>
  <c r="B55" i="60" s="1"/>
  <c r="A60" i="59"/>
  <c r="E58" i="58"/>
  <c r="G58" i="58" s="1"/>
  <c r="A60" i="58"/>
  <c r="D59" i="58"/>
  <c r="F59" i="58" s="1"/>
  <c r="B60" i="58" s="1"/>
  <c r="C59" i="58"/>
  <c r="D35" i="8"/>
  <c r="B33" i="6"/>
  <c r="D33" i="6" s="1"/>
  <c r="E33" i="6" s="1"/>
  <c r="F33" i="6" s="1"/>
  <c r="E54" i="60" l="1"/>
  <c r="G54" i="60" s="1"/>
  <c r="A56" i="60"/>
  <c r="D55" i="60"/>
  <c r="F55" i="60" s="1"/>
  <c r="B56" i="60" s="1"/>
  <c r="C55" i="60"/>
  <c r="E59" i="58"/>
  <c r="G59" i="58" s="1"/>
  <c r="A61" i="59"/>
  <c r="A61" i="58"/>
  <c r="C60" i="58"/>
  <c r="D60" i="58"/>
  <c r="F60" i="58" s="1"/>
  <c r="B61" i="58" s="1"/>
  <c r="E35" i="8"/>
  <c r="D33" i="5"/>
  <c r="E55" i="60" l="1"/>
  <c r="G55" i="60" s="1"/>
  <c r="C56" i="60"/>
  <c r="A57" i="60"/>
  <c r="D56" i="60"/>
  <c r="F56" i="60" s="1"/>
  <c r="B57" i="60" s="1"/>
  <c r="A62" i="59"/>
  <c r="A62" i="58"/>
  <c r="C61" i="58"/>
  <c r="D61" i="58"/>
  <c r="F61" i="58" s="1"/>
  <c r="B62" i="58" s="1"/>
  <c r="E60" i="58"/>
  <c r="G60" i="58" s="1"/>
  <c r="F35" i="8"/>
  <c r="F33" i="5" s="1"/>
  <c r="E33" i="5"/>
  <c r="E56" i="60" l="1"/>
  <c r="G56" i="60" s="1"/>
  <c r="A58" i="60"/>
  <c r="D57" i="60"/>
  <c r="F57" i="60" s="1"/>
  <c r="B58" i="60" s="1"/>
  <c r="C57" i="60"/>
  <c r="E61" i="58"/>
  <c r="G61" i="58" s="1"/>
  <c r="A63" i="59"/>
  <c r="A63" i="58"/>
  <c r="D62" i="58"/>
  <c r="F62" i="58" s="1"/>
  <c r="B63" i="58" s="1"/>
  <c r="C62" i="58"/>
  <c r="E57" i="60" l="1"/>
  <c r="G57" i="60" s="1"/>
  <c r="C58" i="60"/>
  <c r="A59" i="60"/>
  <c r="D58" i="60"/>
  <c r="F58" i="60" s="1"/>
  <c r="B59" i="60" s="1"/>
  <c r="A64" i="59"/>
  <c r="E62" i="58"/>
  <c r="G62" i="58" s="1"/>
  <c r="A64" i="58"/>
  <c r="D63" i="58"/>
  <c r="F63" i="58" s="1"/>
  <c r="B64" i="58" s="1"/>
  <c r="C63" i="58"/>
  <c r="E58" i="60" l="1"/>
  <c r="G58" i="60" s="1"/>
  <c r="A60" i="60"/>
  <c r="D59" i="60"/>
  <c r="F59" i="60" s="1"/>
  <c r="B60" i="60" s="1"/>
  <c r="C59" i="60"/>
  <c r="E63" i="58"/>
  <c r="G63" i="58" s="1"/>
  <c r="A65" i="59"/>
  <c r="A65" i="58"/>
  <c r="C64" i="58"/>
  <c r="D64" i="58"/>
  <c r="F64" i="58" s="1"/>
  <c r="B65" i="58" s="1"/>
  <c r="E59" i="60" l="1"/>
  <c r="G59" i="60" s="1"/>
  <c r="C60" i="60"/>
  <c r="A61" i="60"/>
  <c r="D60" i="60"/>
  <c r="F60" i="60" s="1"/>
  <c r="B61" i="60" s="1"/>
  <c r="A66" i="59"/>
  <c r="A66" i="58"/>
  <c r="C65" i="58"/>
  <c r="D65" i="58"/>
  <c r="F65" i="58" s="1"/>
  <c r="B66" i="58" s="1"/>
  <c r="E64" i="58"/>
  <c r="G64" i="58" s="1"/>
  <c r="E60" i="60" l="1"/>
  <c r="G60" i="60" s="1"/>
  <c r="A62" i="60"/>
  <c r="D61" i="60"/>
  <c r="F61" i="60" s="1"/>
  <c r="B62" i="60" s="1"/>
  <c r="C61" i="60"/>
  <c r="E65" i="58"/>
  <c r="G65" i="58" s="1"/>
  <c r="A67" i="59"/>
  <c r="A67" i="58"/>
  <c r="D66" i="58"/>
  <c r="F66" i="58" s="1"/>
  <c r="B67" i="58" s="1"/>
  <c r="C66" i="58"/>
  <c r="E61" i="60" l="1"/>
  <c r="G61" i="60" s="1"/>
  <c r="C62" i="60"/>
  <c r="A63" i="60"/>
  <c r="D62" i="60"/>
  <c r="F62" i="60" s="1"/>
  <c r="B63" i="60" s="1"/>
  <c r="A68" i="59"/>
  <c r="E66" i="58"/>
  <c r="G66" i="58" s="1"/>
  <c r="A68" i="58"/>
  <c r="D67" i="58"/>
  <c r="F67" i="58" s="1"/>
  <c r="B68" i="58" s="1"/>
  <c r="C67" i="58"/>
  <c r="E62" i="60" l="1"/>
  <c r="G62" i="60" s="1"/>
  <c r="A64" i="60"/>
  <c r="D63" i="60"/>
  <c r="F63" i="60" s="1"/>
  <c r="B64" i="60" s="1"/>
  <c r="C63" i="60"/>
  <c r="E67" i="58"/>
  <c r="G67" i="58" s="1"/>
  <c r="A69" i="59"/>
  <c r="A69" i="58"/>
  <c r="C68" i="58"/>
  <c r="D68" i="58"/>
  <c r="F68" i="58" s="1"/>
  <c r="B69" i="58" s="1"/>
  <c r="E63" i="60" l="1"/>
  <c r="G63" i="60" s="1"/>
  <c r="C64" i="60"/>
  <c r="A65" i="60"/>
  <c r="D64" i="60"/>
  <c r="F64" i="60" s="1"/>
  <c r="B65" i="60" s="1"/>
  <c r="A70" i="59"/>
  <c r="A70" i="58"/>
  <c r="C69" i="58"/>
  <c r="D69" i="58"/>
  <c r="F69" i="58" s="1"/>
  <c r="B70" i="58" s="1"/>
  <c r="E68" i="58"/>
  <c r="G68" i="58" s="1"/>
  <c r="E64" i="60" l="1"/>
  <c r="G64" i="60" s="1"/>
  <c r="A66" i="60"/>
  <c r="D65" i="60"/>
  <c r="F65" i="60" s="1"/>
  <c r="B66" i="60" s="1"/>
  <c r="C65" i="60"/>
  <c r="E69" i="58"/>
  <c r="G69" i="58" s="1"/>
  <c r="A71" i="59"/>
  <c r="A71" i="58"/>
  <c r="D70" i="58"/>
  <c r="F70" i="58" s="1"/>
  <c r="B71" i="58" s="1"/>
  <c r="C70" i="58"/>
  <c r="E65" i="60" l="1"/>
  <c r="G65" i="60" s="1"/>
  <c r="C66" i="60"/>
  <c r="A67" i="60"/>
  <c r="D66" i="60"/>
  <c r="F66" i="60" s="1"/>
  <c r="B67" i="60" s="1"/>
  <c r="A72" i="59"/>
  <c r="E70" i="58"/>
  <c r="G70" i="58" s="1"/>
  <c r="A72" i="58"/>
  <c r="D71" i="58"/>
  <c r="F71" i="58" s="1"/>
  <c r="B72" i="58" s="1"/>
  <c r="C71" i="58"/>
  <c r="E66" i="60" l="1"/>
  <c r="G66" i="60" s="1"/>
  <c r="A68" i="60"/>
  <c r="D67" i="60"/>
  <c r="F67" i="60" s="1"/>
  <c r="B68" i="60" s="1"/>
  <c r="C67" i="60"/>
  <c r="E71" i="58"/>
  <c r="G71" i="58" s="1"/>
  <c r="A73" i="59"/>
  <c r="A73" i="58"/>
  <c r="C72" i="58"/>
  <c r="D72" i="58"/>
  <c r="F72" i="58" s="1"/>
  <c r="B73" i="58" s="1"/>
  <c r="E67" i="60" l="1"/>
  <c r="G67" i="60" s="1"/>
  <c r="C68" i="60"/>
  <c r="A69" i="60"/>
  <c r="D68" i="60"/>
  <c r="F68" i="60" s="1"/>
  <c r="B69" i="60" s="1"/>
  <c r="A74" i="59"/>
  <c r="A74" i="58"/>
  <c r="C73" i="58"/>
  <c r="D73" i="58"/>
  <c r="F73" i="58" s="1"/>
  <c r="B74" i="58" s="1"/>
  <c r="E72" i="58"/>
  <c r="G72" i="58" s="1"/>
  <c r="E68" i="60" l="1"/>
  <c r="G68" i="60" s="1"/>
  <c r="A70" i="60"/>
  <c r="D69" i="60"/>
  <c r="F69" i="60" s="1"/>
  <c r="B70" i="60" s="1"/>
  <c r="C69" i="60"/>
  <c r="E73" i="58"/>
  <c r="G73" i="58" s="1"/>
  <c r="A75" i="59"/>
  <c r="A75" i="58"/>
  <c r="D74" i="58"/>
  <c r="F74" i="58" s="1"/>
  <c r="B75" i="58" s="1"/>
  <c r="C74" i="58"/>
  <c r="E69" i="60" l="1"/>
  <c r="G69" i="60" s="1"/>
  <c r="C70" i="60"/>
  <c r="A71" i="60"/>
  <c r="D70" i="60"/>
  <c r="F70" i="60" s="1"/>
  <c r="B71" i="60" s="1"/>
  <c r="A76" i="59"/>
  <c r="E74" i="58"/>
  <c r="G74" i="58" s="1"/>
  <c r="A76" i="58"/>
  <c r="D75" i="58"/>
  <c r="F75" i="58" s="1"/>
  <c r="B76" i="58" s="1"/>
  <c r="C75" i="58"/>
  <c r="E70" i="60" l="1"/>
  <c r="G70" i="60" s="1"/>
  <c r="A72" i="60"/>
  <c r="D71" i="60"/>
  <c r="F71" i="60" s="1"/>
  <c r="B72" i="60" s="1"/>
  <c r="C71" i="60"/>
  <c r="E75" i="58"/>
  <c r="G75" i="58" s="1"/>
  <c r="A77" i="59"/>
  <c r="A77" i="58"/>
  <c r="C76" i="58"/>
  <c r="D76" i="58"/>
  <c r="F76" i="58" s="1"/>
  <c r="B77" i="58" s="1"/>
  <c r="E71" i="60" l="1"/>
  <c r="G71" i="60" s="1"/>
  <c r="C72" i="60"/>
  <c r="A73" i="60"/>
  <c r="D72" i="60"/>
  <c r="F72" i="60" s="1"/>
  <c r="B73" i="60" s="1"/>
  <c r="A78" i="59"/>
  <c r="A78" i="58"/>
  <c r="C77" i="58"/>
  <c r="D77" i="58"/>
  <c r="F77" i="58" s="1"/>
  <c r="B78" i="58" s="1"/>
  <c r="E76" i="58"/>
  <c r="G76" i="58" s="1"/>
  <c r="E72" i="60" l="1"/>
  <c r="G72" i="60" s="1"/>
  <c r="A74" i="60"/>
  <c r="D73" i="60"/>
  <c r="F73" i="60" s="1"/>
  <c r="B74" i="60" s="1"/>
  <c r="C73" i="60"/>
  <c r="E77" i="58"/>
  <c r="G77" i="58" s="1"/>
  <c r="A79" i="59"/>
  <c r="A79" i="58"/>
  <c r="D78" i="58"/>
  <c r="F78" i="58" s="1"/>
  <c r="B79" i="58" s="1"/>
  <c r="C78" i="58"/>
  <c r="E73" i="60" l="1"/>
  <c r="G73" i="60" s="1"/>
  <c r="C74" i="60"/>
  <c r="A75" i="60"/>
  <c r="D74" i="60"/>
  <c r="F74" i="60" s="1"/>
  <c r="B75" i="60" s="1"/>
  <c r="A80" i="59"/>
  <c r="E78" i="58"/>
  <c r="G78" i="58" s="1"/>
  <c r="A80" i="58"/>
  <c r="D79" i="58"/>
  <c r="F79" i="58" s="1"/>
  <c r="B80" i="58" s="1"/>
  <c r="C79" i="58"/>
  <c r="E74" i="60" l="1"/>
  <c r="G74" i="60" s="1"/>
  <c r="A76" i="60"/>
  <c r="D75" i="60"/>
  <c r="F75" i="60" s="1"/>
  <c r="B76" i="60" s="1"/>
  <c r="C75" i="60"/>
  <c r="E79" i="58"/>
  <c r="G79" i="58" s="1"/>
  <c r="A81" i="59"/>
  <c r="A81" i="58"/>
  <c r="C80" i="58"/>
  <c r="D80" i="58"/>
  <c r="F80" i="58" s="1"/>
  <c r="B81" i="58" s="1"/>
  <c r="E75" i="60" l="1"/>
  <c r="G75" i="60" s="1"/>
  <c r="C76" i="60"/>
  <c r="A77" i="60"/>
  <c r="D76" i="60"/>
  <c r="F76" i="60" s="1"/>
  <c r="B77" i="60" s="1"/>
  <c r="A82" i="59"/>
  <c r="A82" i="58"/>
  <c r="C81" i="58"/>
  <c r="D81" i="58"/>
  <c r="F81" i="58" s="1"/>
  <c r="B82" i="58" s="1"/>
  <c r="E80" i="58"/>
  <c r="G80" i="58" s="1"/>
  <c r="E76" i="60" l="1"/>
  <c r="G76" i="60" s="1"/>
  <c r="A78" i="60"/>
  <c r="D77" i="60"/>
  <c r="F77" i="60" s="1"/>
  <c r="B78" i="60" s="1"/>
  <c r="C77" i="60"/>
  <c r="E81" i="58"/>
  <c r="G81" i="58" s="1"/>
  <c r="A83" i="59"/>
  <c r="A83" i="58"/>
  <c r="D82" i="58"/>
  <c r="F82" i="58" s="1"/>
  <c r="B83" i="58" s="1"/>
  <c r="C82" i="58"/>
  <c r="E77" i="60" l="1"/>
  <c r="G77" i="60" s="1"/>
  <c r="C78" i="60"/>
  <c r="A79" i="60"/>
  <c r="D78" i="60"/>
  <c r="F78" i="60" s="1"/>
  <c r="B79" i="60" s="1"/>
  <c r="A84" i="59"/>
  <c r="E82" i="58"/>
  <c r="G82" i="58" s="1"/>
  <c r="A84" i="58"/>
  <c r="D83" i="58"/>
  <c r="F83" i="58" s="1"/>
  <c r="B84" i="58" s="1"/>
  <c r="C83" i="58"/>
  <c r="E78" i="60" l="1"/>
  <c r="G78" i="60" s="1"/>
  <c r="A80" i="60"/>
  <c r="D79" i="60"/>
  <c r="F79" i="60" s="1"/>
  <c r="B80" i="60" s="1"/>
  <c r="C79" i="60"/>
  <c r="E83" i="58"/>
  <c r="G83" i="58" s="1"/>
  <c r="A85" i="59"/>
  <c r="A85" i="58"/>
  <c r="C84" i="58"/>
  <c r="D84" i="58"/>
  <c r="F84" i="58" s="1"/>
  <c r="B85" i="58" s="1"/>
  <c r="E79" i="60" l="1"/>
  <c r="G79" i="60" s="1"/>
  <c r="C80" i="60"/>
  <c r="A81" i="60"/>
  <c r="D80" i="60"/>
  <c r="F80" i="60" s="1"/>
  <c r="B81" i="60" s="1"/>
  <c r="A86" i="59"/>
  <c r="A86" i="58"/>
  <c r="C85" i="58"/>
  <c r="D85" i="58"/>
  <c r="F85" i="58" s="1"/>
  <c r="B86" i="58" s="1"/>
  <c r="E84" i="58"/>
  <c r="G84" i="58" s="1"/>
  <c r="E80" i="60" l="1"/>
  <c r="G80" i="60" s="1"/>
  <c r="A82" i="60"/>
  <c r="D81" i="60"/>
  <c r="F81" i="60" s="1"/>
  <c r="B82" i="60" s="1"/>
  <c r="C81" i="60"/>
  <c r="E85" i="58"/>
  <c r="G85" i="58" s="1"/>
  <c r="A87" i="59"/>
  <c r="A87" i="58"/>
  <c r="D86" i="58"/>
  <c r="F86" i="58" s="1"/>
  <c r="B87" i="58" s="1"/>
  <c r="C86" i="58"/>
  <c r="E81" i="60" l="1"/>
  <c r="G81" i="60" s="1"/>
  <c r="C82" i="60"/>
  <c r="A83" i="60"/>
  <c r="D82" i="60"/>
  <c r="F82" i="60" s="1"/>
  <c r="B83" i="60" s="1"/>
  <c r="A88" i="59"/>
  <c r="E86" i="58"/>
  <c r="G86" i="58" s="1"/>
  <c r="A88" i="58"/>
  <c r="D87" i="58"/>
  <c r="F87" i="58" s="1"/>
  <c r="B88" i="58" s="1"/>
  <c r="C87" i="58"/>
  <c r="E82" i="60" l="1"/>
  <c r="G82" i="60" s="1"/>
  <c r="A84" i="60"/>
  <c r="D83" i="60"/>
  <c r="F83" i="60" s="1"/>
  <c r="B84" i="60" s="1"/>
  <c r="C83" i="60"/>
  <c r="E87" i="58"/>
  <c r="G87" i="58" s="1"/>
  <c r="A89" i="59"/>
  <c r="A89" i="58"/>
  <c r="C88" i="58"/>
  <c r="D88" i="58"/>
  <c r="F88" i="58" s="1"/>
  <c r="B89" i="58" s="1"/>
  <c r="E83" i="60" l="1"/>
  <c r="G83" i="60" s="1"/>
  <c r="C84" i="60"/>
  <c r="A85" i="60"/>
  <c r="D84" i="60"/>
  <c r="F84" i="60" s="1"/>
  <c r="B85" i="60" s="1"/>
  <c r="A90" i="59"/>
  <c r="A90" i="58"/>
  <c r="C89" i="58"/>
  <c r="D89" i="58"/>
  <c r="F89" i="58" s="1"/>
  <c r="B90" i="58" s="1"/>
  <c r="E88" i="58"/>
  <c r="G88" i="58" s="1"/>
  <c r="E84" i="60" l="1"/>
  <c r="G84" i="60" s="1"/>
  <c r="A86" i="60"/>
  <c r="D85" i="60"/>
  <c r="F85" i="60" s="1"/>
  <c r="B86" i="60" s="1"/>
  <c r="C85" i="60"/>
  <c r="E89" i="58"/>
  <c r="G89" i="58" s="1"/>
  <c r="A91" i="59"/>
  <c r="A91" i="58"/>
  <c r="D90" i="58"/>
  <c r="F90" i="58" s="1"/>
  <c r="B91" i="58" s="1"/>
  <c r="C90" i="58"/>
  <c r="E85" i="60" l="1"/>
  <c r="G85" i="60" s="1"/>
  <c r="C86" i="60"/>
  <c r="A87" i="60"/>
  <c r="D86" i="60"/>
  <c r="F86" i="60" s="1"/>
  <c r="B87" i="60" s="1"/>
  <c r="A92" i="59"/>
  <c r="E90" i="58"/>
  <c r="G90" i="58" s="1"/>
  <c r="A92" i="58"/>
  <c r="D91" i="58"/>
  <c r="F91" i="58" s="1"/>
  <c r="B92" i="58" s="1"/>
  <c r="C91" i="58"/>
  <c r="E86" i="60" l="1"/>
  <c r="G86" i="60" s="1"/>
  <c r="A88" i="60"/>
  <c r="D87" i="60"/>
  <c r="F87" i="60" s="1"/>
  <c r="B88" i="60" s="1"/>
  <c r="C87" i="60"/>
  <c r="E91" i="58"/>
  <c r="G91" i="58" s="1"/>
  <c r="A93" i="59"/>
  <c r="A93" i="58"/>
  <c r="D92" i="58"/>
  <c r="F92" i="58" s="1"/>
  <c r="B93" i="58" s="1"/>
  <c r="C92" i="58"/>
  <c r="E87" i="60" l="1"/>
  <c r="G87" i="60" s="1"/>
  <c r="C88" i="60"/>
  <c r="A89" i="60"/>
  <c r="D88" i="60"/>
  <c r="F88" i="60" s="1"/>
  <c r="B89" i="60" s="1"/>
  <c r="E92" i="58"/>
  <c r="G92" i="58" s="1"/>
  <c r="A94" i="59"/>
  <c r="A94" i="58"/>
  <c r="D93" i="58"/>
  <c r="F93" i="58" s="1"/>
  <c r="B94" i="58" s="1"/>
  <c r="C93" i="58"/>
  <c r="E88" i="60" l="1"/>
  <c r="G88" i="60" s="1"/>
  <c r="A90" i="60"/>
  <c r="D89" i="60"/>
  <c r="F89" i="60" s="1"/>
  <c r="B90" i="60" s="1"/>
  <c r="C89" i="60"/>
  <c r="E93" i="58"/>
  <c r="G93" i="58" s="1"/>
  <c r="A95" i="59"/>
  <c r="A95" i="58"/>
  <c r="D94" i="58"/>
  <c r="F94" i="58" s="1"/>
  <c r="B95" i="58" s="1"/>
  <c r="C94" i="58"/>
  <c r="E89" i="60" l="1"/>
  <c r="G89" i="60" s="1"/>
  <c r="C90" i="60"/>
  <c r="A91" i="60"/>
  <c r="D90" i="60"/>
  <c r="F90" i="60" s="1"/>
  <c r="B91" i="60" s="1"/>
  <c r="E94" i="58"/>
  <c r="G94" i="58" s="1"/>
  <c r="A96" i="59"/>
  <c r="A96" i="58"/>
  <c r="C95" i="58"/>
  <c r="D95" i="58"/>
  <c r="F95" i="58" s="1"/>
  <c r="B96" i="58" s="1"/>
  <c r="E90" i="60" l="1"/>
  <c r="G90" i="60" s="1"/>
  <c r="A92" i="60"/>
  <c r="D91" i="60"/>
  <c r="F91" i="60" s="1"/>
  <c r="B92" i="60" s="1"/>
  <c r="C91" i="60"/>
  <c r="A97" i="59"/>
  <c r="A97" i="58"/>
  <c r="D96" i="58"/>
  <c r="F96" i="58" s="1"/>
  <c r="B97" i="58" s="1"/>
  <c r="C96" i="58"/>
  <c r="E95" i="58"/>
  <c r="G95" i="58" s="1"/>
  <c r="E91" i="60" l="1"/>
  <c r="G91" i="60" s="1"/>
  <c r="C92" i="60"/>
  <c r="A93" i="60"/>
  <c r="D92" i="60"/>
  <c r="F92" i="60" s="1"/>
  <c r="B93" i="60" s="1"/>
  <c r="A98" i="59"/>
  <c r="E96" i="58"/>
  <c r="G96" i="58" s="1"/>
  <c r="A98" i="58"/>
  <c r="D97" i="58"/>
  <c r="F97" i="58" s="1"/>
  <c r="B98" i="58" s="1"/>
  <c r="C97" i="58"/>
  <c r="E92" i="60" l="1"/>
  <c r="G92" i="60" s="1"/>
  <c r="A94" i="60"/>
  <c r="D93" i="60"/>
  <c r="F93" i="60" s="1"/>
  <c r="B94" i="60" s="1"/>
  <c r="C93" i="60"/>
  <c r="E97" i="58"/>
  <c r="G97" i="58" s="1"/>
  <c r="A99" i="59"/>
  <c r="A99" i="58"/>
  <c r="D98" i="58"/>
  <c r="F98" i="58" s="1"/>
  <c r="B99" i="58" s="1"/>
  <c r="C98" i="58"/>
  <c r="E93" i="60" l="1"/>
  <c r="G93" i="60" s="1"/>
  <c r="C94" i="60"/>
  <c r="A95" i="60"/>
  <c r="D94" i="60"/>
  <c r="F94" i="60" s="1"/>
  <c r="B95" i="60" s="1"/>
  <c r="E98" i="58"/>
  <c r="G98" i="58" s="1"/>
  <c r="A100" i="59"/>
  <c r="A100" i="58"/>
  <c r="D99" i="58"/>
  <c r="F99" i="58" s="1"/>
  <c r="B100" i="58" s="1"/>
  <c r="C99" i="58"/>
  <c r="E94" i="60" l="1"/>
  <c r="G94" i="60" s="1"/>
  <c r="A96" i="60"/>
  <c r="D95" i="60"/>
  <c r="F95" i="60" s="1"/>
  <c r="B96" i="60" s="1"/>
  <c r="C95" i="60"/>
  <c r="E99" i="58"/>
  <c r="G99" i="58" s="1"/>
  <c r="A101" i="59"/>
  <c r="A101" i="58"/>
  <c r="D100" i="58"/>
  <c r="F100" i="58" s="1"/>
  <c r="B101" i="58" s="1"/>
  <c r="C100" i="58"/>
  <c r="E95" i="60" l="1"/>
  <c r="G95" i="60" s="1"/>
  <c r="C96" i="60"/>
  <c r="A97" i="60"/>
  <c r="D96" i="60"/>
  <c r="F96" i="60" s="1"/>
  <c r="B97" i="60" s="1"/>
  <c r="E100" i="58"/>
  <c r="G100" i="58" s="1"/>
  <c r="A102" i="59"/>
  <c r="A102" i="58"/>
  <c r="D101" i="58"/>
  <c r="F101" i="58" s="1"/>
  <c r="B102" i="58" s="1"/>
  <c r="C101" i="58"/>
  <c r="E101" i="58" l="1"/>
  <c r="G101" i="58" s="1"/>
  <c r="E96" i="60"/>
  <c r="G96" i="60" s="1"/>
  <c r="A98" i="60"/>
  <c r="D97" i="60"/>
  <c r="F97" i="60" s="1"/>
  <c r="B98" i="60" s="1"/>
  <c r="C97" i="60"/>
  <c r="A103" i="59"/>
  <c r="A103" i="58"/>
  <c r="D102" i="58"/>
  <c r="F102" i="58" s="1"/>
  <c r="B103" i="58" s="1"/>
  <c r="C102" i="58"/>
  <c r="E97" i="60" l="1"/>
  <c r="G97" i="60" s="1"/>
  <c r="C98" i="60"/>
  <c r="A99" i="60"/>
  <c r="D98" i="60"/>
  <c r="F98" i="60" s="1"/>
  <c r="B99" i="60" s="1"/>
  <c r="E102" i="58"/>
  <c r="G102" i="58" s="1"/>
  <c r="A104" i="59"/>
  <c r="A104" i="58"/>
  <c r="C103" i="58"/>
  <c r="D103" i="58"/>
  <c r="F103" i="58" s="1"/>
  <c r="B104" i="58" s="1"/>
  <c r="E98" i="60" l="1"/>
  <c r="G98" i="60" s="1"/>
  <c r="A100" i="60"/>
  <c r="D99" i="60"/>
  <c r="F99" i="60" s="1"/>
  <c r="B100" i="60" s="1"/>
  <c r="C99" i="60"/>
  <c r="A105" i="59"/>
  <c r="A105" i="58"/>
  <c r="D104" i="58"/>
  <c r="F104" i="58" s="1"/>
  <c r="B105" i="58" s="1"/>
  <c r="C104" i="58"/>
  <c r="E103" i="58"/>
  <c r="G103" i="58" s="1"/>
  <c r="E99" i="60" l="1"/>
  <c r="G99" i="60" s="1"/>
  <c r="C100" i="60"/>
  <c r="A101" i="60"/>
  <c r="D100" i="60"/>
  <c r="F100" i="60" s="1"/>
  <c r="B101" i="60" s="1"/>
  <c r="A106" i="59"/>
  <c r="E104" i="58"/>
  <c r="G104" i="58" s="1"/>
  <c r="A106" i="58"/>
  <c r="D105" i="58"/>
  <c r="F105" i="58" s="1"/>
  <c r="B106" i="58" s="1"/>
  <c r="C105" i="58"/>
  <c r="E100" i="60" l="1"/>
  <c r="G100" i="60" s="1"/>
  <c r="A102" i="60"/>
  <c r="D101" i="60"/>
  <c r="F101" i="60" s="1"/>
  <c r="B102" i="60" s="1"/>
  <c r="C101" i="60"/>
  <c r="E105" i="58"/>
  <c r="G105" i="58" s="1"/>
  <c r="A107" i="59"/>
  <c r="A107" i="58"/>
  <c r="D106" i="58"/>
  <c r="F106" i="58" s="1"/>
  <c r="B107" i="58" s="1"/>
  <c r="C106" i="58"/>
  <c r="E101" i="60" l="1"/>
  <c r="G101" i="60" s="1"/>
  <c r="C102" i="60"/>
  <c r="A103" i="60"/>
  <c r="D102" i="60"/>
  <c r="F102" i="60" s="1"/>
  <c r="B103" i="60" s="1"/>
  <c r="E106" i="58"/>
  <c r="G106" i="58" s="1"/>
  <c r="A108" i="59"/>
  <c r="A108" i="58"/>
  <c r="D107" i="58"/>
  <c r="F107" i="58" s="1"/>
  <c r="B108" i="58" s="1"/>
  <c r="C107" i="58"/>
  <c r="E102" i="60" l="1"/>
  <c r="G102" i="60" s="1"/>
  <c r="A104" i="60"/>
  <c r="D103" i="60"/>
  <c r="F103" i="60" s="1"/>
  <c r="B104" i="60" s="1"/>
  <c r="C103" i="60"/>
  <c r="E107" i="58"/>
  <c r="G107" i="58" s="1"/>
  <c r="A109" i="59"/>
  <c r="A109" i="58"/>
  <c r="D108" i="58"/>
  <c r="F108" i="58" s="1"/>
  <c r="B109" i="58" s="1"/>
  <c r="C108" i="58"/>
  <c r="E103" i="60" l="1"/>
  <c r="G103" i="60" s="1"/>
  <c r="C104" i="60"/>
  <c r="A105" i="60"/>
  <c r="D104" i="60"/>
  <c r="F104" i="60" s="1"/>
  <c r="B105" i="60" s="1"/>
  <c r="E108" i="58"/>
  <c r="G108" i="58" s="1"/>
  <c r="A110" i="59"/>
  <c r="A110" i="58"/>
  <c r="D109" i="58"/>
  <c r="F109" i="58" s="1"/>
  <c r="B110" i="58" s="1"/>
  <c r="C109" i="58"/>
  <c r="E109" i="58" l="1"/>
  <c r="G109" i="58" s="1"/>
  <c r="E104" i="60"/>
  <c r="G104" i="60" s="1"/>
  <c r="A106" i="60"/>
  <c r="D105" i="60"/>
  <c r="F105" i="60" s="1"/>
  <c r="B106" i="60" s="1"/>
  <c r="C105" i="60"/>
  <c r="A111" i="59"/>
  <c r="A111" i="58"/>
  <c r="D110" i="58"/>
  <c r="F110" i="58" s="1"/>
  <c r="B111" i="58" s="1"/>
  <c r="C110" i="58"/>
  <c r="E105" i="60" l="1"/>
  <c r="G105" i="60" s="1"/>
  <c r="C106" i="60"/>
  <c r="A107" i="60"/>
  <c r="D106" i="60"/>
  <c r="F106" i="60" s="1"/>
  <c r="B107" i="60" s="1"/>
  <c r="E110" i="58"/>
  <c r="G110" i="58" s="1"/>
  <c r="A112" i="59"/>
  <c r="A112" i="58"/>
  <c r="C111" i="58"/>
  <c r="D111" i="58"/>
  <c r="F111" i="58" s="1"/>
  <c r="B112" i="58" s="1"/>
  <c r="E106" i="60" l="1"/>
  <c r="G106" i="60" s="1"/>
  <c r="A108" i="60"/>
  <c r="D107" i="60"/>
  <c r="F107" i="60" s="1"/>
  <c r="B108" i="60" s="1"/>
  <c r="C107" i="60"/>
  <c r="E107" i="60" s="1"/>
  <c r="G107" i="60" s="1"/>
  <c r="A113" i="59"/>
  <c r="A113" i="58"/>
  <c r="D112" i="58"/>
  <c r="F112" i="58" s="1"/>
  <c r="B113" i="58" s="1"/>
  <c r="C112" i="58"/>
  <c r="E111" i="58"/>
  <c r="G111" i="58" s="1"/>
  <c r="C108" i="60" l="1"/>
  <c r="A109" i="60"/>
  <c r="D108" i="60"/>
  <c r="F108" i="60" s="1"/>
  <c r="B109" i="60" s="1"/>
  <c r="A114" i="59"/>
  <c r="E112" i="58"/>
  <c r="G112" i="58" s="1"/>
  <c r="A114" i="58"/>
  <c r="D113" i="58"/>
  <c r="F113" i="58" s="1"/>
  <c r="B114" i="58" s="1"/>
  <c r="C113" i="58"/>
  <c r="E108" i="60" l="1"/>
  <c r="G108" i="60" s="1"/>
  <c r="A110" i="60"/>
  <c r="D109" i="60"/>
  <c r="F109" i="60" s="1"/>
  <c r="B110" i="60" s="1"/>
  <c r="C109" i="60"/>
  <c r="E113" i="58"/>
  <c r="G113" i="58" s="1"/>
  <c r="A115" i="59"/>
  <c r="A115" i="58"/>
  <c r="D114" i="58"/>
  <c r="F114" i="58" s="1"/>
  <c r="B115" i="58" s="1"/>
  <c r="C114" i="58"/>
  <c r="E109" i="60" l="1"/>
  <c r="G109" i="60" s="1"/>
  <c r="C110" i="60"/>
  <c r="A111" i="60"/>
  <c r="D110" i="60"/>
  <c r="F110" i="60" s="1"/>
  <c r="B111" i="60" s="1"/>
  <c r="E114" i="58"/>
  <c r="G114" i="58" s="1"/>
  <c r="A116" i="59"/>
  <c r="A116" i="58"/>
  <c r="D115" i="58"/>
  <c r="F115" i="58" s="1"/>
  <c r="B116" i="58" s="1"/>
  <c r="C115" i="58"/>
  <c r="A112" i="60" l="1"/>
  <c r="D111" i="60"/>
  <c r="F111" i="60" s="1"/>
  <c r="B112" i="60" s="1"/>
  <c r="C111" i="60"/>
  <c r="E110" i="60"/>
  <c r="G110" i="60" s="1"/>
  <c r="E115" i="58"/>
  <c r="G115" i="58" s="1"/>
  <c r="A117" i="59"/>
  <c r="A117" i="58"/>
  <c r="D116" i="58"/>
  <c r="F116" i="58" s="1"/>
  <c r="B117" i="58" s="1"/>
  <c r="C116" i="58"/>
  <c r="E111" i="60" l="1"/>
  <c r="G111" i="60" s="1"/>
  <c r="C112" i="60"/>
  <c r="A113" i="60"/>
  <c r="D112" i="60"/>
  <c r="F112" i="60" s="1"/>
  <c r="B113" i="60" s="1"/>
  <c r="E116" i="58"/>
  <c r="G116" i="58" s="1"/>
  <c r="A118" i="59"/>
  <c r="A118" i="58"/>
  <c r="D117" i="58"/>
  <c r="F117" i="58" s="1"/>
  <c r="B118" i="58" s="1"/>
  <c r="C117" i="58"/>
  <c r="E112" i="60" l="1"/>
  <c r="G112" i="60" s="1"/>
  <c r="A114" i="60"/>
  <c r="D113" i="60"/>
  <c r="F113" i="60" s="1"/>
  <c r="B114" i="60" s="1"/>
  <c r="C113" i="60"/>
  <c r="E117" i="58"/>
  <c r="G117" i="58" s="1"/>
  <c r="A119" i="59"/>
  <c r="A119" i="58"/>
  <c r="D118" i="58"/>
  <c r="F118" i="58" s="1"/>
  <c r="B119" i="58" s="1"/>
  <c r="C118" i="58"/>
  <c r="E113" i="60" l="1"/>
  <c r="G113" i="60" s="1"/>
  <c r="C114" i="60"/>
  <c r="A115" i="60"/>
  <c r="D114" i="60"/>
  <c r="F114" i="60" s="1"/>
  <c r="B115" i="60" s="1"/>
  <c r="E118" i="58"/>
  <c r="G118" i="58" s="1"/>
  <c r="A120" i="59"/>
  <c r="A120" i="58"/>
  <c r="C119" i="58"/>
  <c r="D119" i="58"/>
  <c r="F119" i="58" s="1"/>
  <c r="B120" i="58" s="1"/>
  <c r="E114" i="60" l="1"/>
  <c r="G114" i="60" s="1"/>
  <c r="A116" i="60"/>
  <c r="D115" i="60"/>
  <c r="F115" i="60" s="1"/>
  <c r="B116" i="60" s="1"/>
  <c r="C115" i="60"/>
  <c r="E115" i="60" s="1"/>
  <c r="G115" i="60" s="1"/>
  <c r="A121" i="59"/>
  <c r="A121" i="58"/>
  <c r="D120" i="58"/>
  <c r="F120" i="58" s="1"/>
  <c r="B121" i="58" s="1"/>
  <c r="C120" i="58"/>
  <c r="E119" i="58"/>
  <c r="G119" i="58" s="1"/>
  <c r="C116" i="60" l="1"/>
  <c r="A117" i="60"/>
  <c r="D116" i="60"/>
  <c r="F116" i="60" s="1"/>
  <c r="B117" i="60" s="1"/>
  <c r="A122" i="59"/>
  <c r="E120" i="58"/>
  <c r="G120" i="58" s="1"/>
  <c r="A122" i="58"/>
  <c r="D121" i="58"/>
  <c r="F121" i="58" s="1"/>
  <c r="B122" i="58" s="1"/>
  <c r="C121" i="58"/>
  <c r="E116" i="60" l="1"/>
  <c r="G116" i="60" s="1"/>
  <c r="A118" i="60"/>
  <c r="D117" i="60"/>
  <c r="F117" i="60" s="1"/>
  <c r="B118" i="60" s="1"/>
  <c r="C117" i="60"/>
  <c r="E121" i="58"/>
  <c r="G121" i="58" s="1"/>
  <c r="A123" i="59"/>
  <c r="A123" i="58"/>
  <c r="D122" i="58"/>
  <c r="F122" i="58" s="1"/>
  <c r="B123" i="58" s="1"/>
  <c r="C122" i="58"/>
  <c r="E117" i="60" l="1"/>
  <c r="G117" i="60" s="1"/>
  <c r="C118" i="60"/>
  <c r="A119" i="60"/>
  <c r="D118" i="60"/>
  <c r="F118" i="60" s="1"/>
  <c r="B119" i="60" s="1"/>
  <c r="E122" i="58"/>
  <c r="G122" i="58" s="1"/>
  <c r="A124" i="59"/>
  <c r="A124" i="58"/>
  <c r="D123" i="58"/>
  <c r="F123" i="58" s="1"/>
  <c r="B124" i="58" s="1"/>
  <c r="C123" i="58"/>
  <c r="E118" i="60" l="1"/>
  <c r="G118" i="60" s="1"/>
  <c r="A120" i="60"/>
  <c r="D119" i="60"/>
  <c r="F119" i="60" s="1"/>
  <c r="B120" i="60" s="1"/>
  <c r="C119" i="60"/>
  <c r="E123" i="58"/>
  <c r="G123" i="58" s="1"/>
  <c r="A125" i="59"/>
  <c r="A125" i="58"/>
  <c r="D124" i="58"/>
  <c r="F124" i="58" s="1"/>
  <c r="B125" i="58" s="1"/>
  <c r="C124" i="58"/>
  <c r="E119" i="60" l="1"/>
  <c r="G119" i="60" s="1"/>
  <c r="C120" i="60"/>
  <c r="A121" i="60"/>
  <c r="D120" i="60"/>
  <c r="F120" i="60" s="1"/>
  <c r="B121" i="60" s="1"/>
  <c r="E124" i="58"/>
  <c r="G124" i="58" s="1"/>
  <c r="A126" i="59"/>
  <c r="A126" i="58"/>
  <c r="D125" i="58"/>
  <c r="F125" i="58" s="1"/>
  <c r="B126" i="58" s="1"/>
  <c r="C125" i="58"/>
  <c r="E120" i="60" l="1"/>
  <c r="G120" i="60" s="1"/>
  <c r="A122" i="60"/>
  <c r="D121" i="60"/>
  <c r="F121" i="60" s="1"/>
  <c r="B122" i="60" s="1"/>
  <c r="C121" i="60"/>
  <c r="E125" i="58"/>
  <c r="G125" i="58" s="1"/>
  <c r="A127" i="59"/>
  <c r="A127" i="58"/>
  <c r="D126" i="58"/>
  <c r="F126" i="58" s="1"/>
  <c r="B127" i="58" s="1"/>
  <c r="C126" i="58"/>
  <c r="E121" i="60" l="1"/>
  <c r="G121" i="60" s="1"/>
  <c r="C122" i="60"/>
  <c r="A123" i="60"/>
  <c r="D122" i="60"/>
  <c r="F122" i="60" s="1"/>
  <c r="B123" i="60" s="1"/>
  <c r="E126" i="58"/>
  <c r="G126" i="58" s="1"/>
  <c r="A128" i="59"/>
  <c r="A128" i="58"/>
  <c r="C127" i="58"/>
  <c r="D127" i="58"/>
  <c r="F127" i="58" s="1"/>
  <c r="B128" i="58" s="1"/>
  <c r="E122" i="60" l="1"/>
  <c r="G122" i="60" s="1"/>
  <c r="A124" i="60"/>
  <c r="D123" i="60"/>
  <c r="F123" i="60" s="1"/>
  <c r="B124" i="60" s="1"/>
  <c r="C123" i="60"/>
  <c r="E123" i="60" s="1"/>
  <c r="G123" i="60" s="1"/>
  <c r="A129" i="59"/>
  <c r="A129" i="58"/>
  <c r="C128" i="58"/>
  <c r="D128" i="58"/>
  <c r="F128" i="58" s="1"/>
  <c r="B129" i="58" s="1"/>
  <c r="E127" i="58"/>
  <c r="G127" i="58" s="1"/>
  <c r="C124" i="60" l="1"/>
  <c r="A125" i="60"/>
  <c r="D124" i="60"/>
  <c r="F124" i="60" s="1"/>
  <c r="B125" i="60" s="1"/>
  <c r="E128" i="58"/>
  <c r="G128" i="58" s="1"/>
  <c r="A130" i="59"/>
  <c r="A130" i="58"/>
  <c r="C129" i="58"/>
  <c r="D129" i="58"/>
  <c r="F129" i="58" s="1"/>
  <c r="B130" i="58" s="1"/>
  <c r="E124" i="60" l="1"/>
  <c r="G124" i="60" s="1"/>
  <c r="A126" i="60"/>
  <c r="D125" i="60"/>
  <c r="F125" i="60" s="1"/>
  <c r="B126" i="60" s="1"/>
  <c r="C125" i="60"/>
  <c r="E129" i="58"/>
  <c r="G129" i="58" s="1"/>
  <c r="A131" i="59"/>
  <c r="A131" i="58"/>
  <c r="C130" i="58"/>
  <c r="D130" i="58"/>
  <c r="F130" i="58" s="1"/>
  <c r="B131" i="58" s="1"/>
  <c r="E125" i="60" l="1"/>
  <c r="G125" i="60" s="1"/>
  <c r="A127" i="60"/>
  <c r="C126" i="60"/>
  <c r="D126" i="60"/>
  <c r="F126" i="60" s="1"/>
  <c r="B127" i="60" s="1"/>
  <c r="E130" i="58"/>
  <c r="G130" i="58" s="1"/>
  <c r="A132" i="59"/>
  <c r="A132" i="58"/>
  <c r="C131" i="58"/>
  <c r="D131" i="58"/>
  <c r="F131" i="58" s="1"/>
  <c r="B132" i="58" s="1"/>
  <c r="E126" i="60" l="1"/>
  <c r="G126" i="60" s="1"/>
  <c r="A128" i="60"/>
  <c r="D127" i="60"/>
  <c r="F127" i="60" s="1"/>
  <c r="B128" i="60" s="1"/>
  <c r="C127" i="60"/>
  <c r="E131" i="58"/>
  <c r="G131" i="58" s="1"/>
  <c r="A133" i="59"/>
  <c r="A133" i="58"/>
  <c r="C132" i="58"/>
  <c r="D132" i="58"/>
  <c r="F132" i="58" s="1"/>
  <c r="B133" i="58" s="1"/>
  <c r="E127" i="60" l="1"/>
  <c r="G127" i="60" s="1"/>
  <c r="C128" i="60"/>
  <c r="A129" i="60"/>
  <c r="D128" i="60"/>
  <c r="F128" i="60" s="1"/>
  <c r="B129" i="60" s="1"/>
  <c r="E132" i="58"/>
  <c r="G132" i="58" s="1"/>
  <c r="A134" i="59"/>
  <c r="A134" i="58"/>
  <c r="C133" i="58"/>
  <c r="D133" i="58"/>
  <c r="F133" i="58" s="1"/>
  <c r="B134" i="58" s="1"/>
  <c r="E128" i="60" l="1"/>
  <c r="G128" i="60" s="1"/>
  <c r="A130" i="60"/>
  <c r="D129" i="60"/>
  <c r="F129" i="60" s="1"/>
  <c r="B130" i="60" s="1"/>
  <c r="C129" i="60"/>
  <c r="E133" i="58"/>
  <c r="G133" i="58" s="1"/>
  <c r="A135" i="59"/>
  <c r="A135" i="58"/>
  <c r="C134" i="58"/>
  <c r="D134" i="58"/>
  <c r="F134" i="58" s="1"/>
  <c r="B135" i="58" s="1"/>
  <c r="E129" i="60" l="1"/>
  <c r="G129" i="60" s="1"/>
  <c r="C130" i="60"/>
  <c r="A131" i="60"/>
  <c r="D130" i="60"/>
  <c r="F130" i="60" s="1"/>
  <c r="B131" i="60" s="1"/>
  <c r="E134" i="58"/>
  <c r="G134" i="58" s="1"/>
  <c r="A136" i="59"/>
  <c r="A136" i="58"/>
  <c r="C135" i="58"/>
  <c r="D135" i="58"/>
  <c r="F135" i="58" s="1"/>
  <c r="B136" i="58" s="1"/>
  <c r="E130" i="60" l="1"/>
  <c r="G130" i="60" s="1"/>
  <c r="A132" i="60"/>
  <c r="D131" i="60"/>
  <c r="F131" i="60" s="1"/>
  <c r="B132" i="60" s="1"/>
  <c r="C131" i="60"/>
  <c r="E135" i="58"/>
  <c r="G135" i="58" s="1"/>
  <c r="A137" i="59"/>
  <c r="A137" i="58"/>
  <c r="C136" i="58"/>
  <c r="D136" i="58"/>
  <c r="F136" i="58" s="1"/>
  <c r="B137" i="58" s="1"/>
  <c r="E131" i="60" l="1"/>
  <c r="G131" i="60" s="1"/>
  <c r="C132" i="60"/>
  <c r="A133" i="60"/>
  <c r="D132" i="60"/>
  <c r="F132" i="60" s="1"/>
  <c r="B133" i="60" s="1"/>
  <c r="E136" i="58"/>
  <c r="G136" i="58" s="1"/>
  <c r="A138" i="59"/>
  <c r="A138" i="58"/>
  <c r="C137" i="58"/>
  <c r="D137" i="58"/>
  <c r="F137" i="58" s="1"/>
  <c r="B138" i="58" s="1"/>
  <c r="E132" i="60" l="1"/>
  <c r="G132" i="60" s="1"/>
  <c r="A134" i="60"/>
  <c r="D133" i="60"/>
  <c r="F133" i="60" s="1"/>
  <c r="B134" i="60" s="1"/>
  <c r="C133" i="60"/>
  <c r="E137" i="58"/>
  <c r="G137" i="58" s="1"/>
  <c r="A139" i="59"/>
  <c r="A139" i="58"/>
  <c r="C138" i="58"/>
  <c r="D138" i="58"/>
  <c r="F138" i="58" s="1"/>
  <c r="B139" i="58" s="1"/>
  <c r="E133" i="60" l="1"/>
  <c r="G133" i="60" s="1"/>
  <c r="C134" i="60"/>
  <c r="A135" i="60"/>
  <c r="D134" i="60"/>
  <c r="F134" i="60" s="1"/>
  <c r="B135" i="60" s="1"/>
  <c r="E138" i="58"/>
  <c r="G138" i="58" s="1"/>
  <c r="A140" i="59"/>
  <c r="A140" i="58"/>
  <c r="D139" i="58"/>
  <c r="F139" i="58" s="1"/>
  <c r="B140" i="58" s="1"/>
  <c r="C139" i="58"/>
  <c r="E134" i="60" l="1"/>
  <c r="G134" i="60" s="1"/>
  <c r="A136" i="60"/>
  <c r="D135" i="60"/>
  <c r="F135" i="60" s="1"/>
  <c r="B136" i="60" s="1"/>
  <c r="C135" i="60"/>
  <c r="E135" i="60" s="1"/>
  <c r="G135" i="60" s="1"/>
  <c r="A141" i="59"/>
  <c r="E139" i="58"/>
  <c r="G139" i="58" s="1"/>
  <c r="A141" i="58"/>
  <c r="C140" i="58"/>
  <c r="D140" i="58"/>
  <c r="F140" i="58" s="1"/>
  <c r="B141" i="58" s="1"/>
  <c r="C136" i="60" l="1"/>
  <c r="A137" i="60"/>
  <c r="D136" i="60"/>
  <c r="F136" i="60" s="1"/>
  <c r="B137" i="60" s="1"/>
  <c r="A142" i="59"/>
  <c r="A142" i="58"/>
  <c r="C141" i="58"/>
  <c r="D141" i="58"/>
  <c r="F141" i="58" s="1"/>
  <c r="B142" i="58" s="1"/>
  <c r="E140" i="58"/>
  <c r="G140" i="58" s="1"/>
  <c r="E136" i="60" l="1"/>
  <c r="G136" i="60" s="1"/>
  <c r="A138" i="60"/>
  <c r="D137" i="60"/>
  <c r="F137" i="60" s="1"/>
  <c r="B138" i="60" s="1"/>
  <c r="C137" i="60"/>
  <c r="E141" i="58"/>
  <c r="G141" i="58" s="1"/>
  <c r="A143" i="59"/>
  <c r="A143" i="58"/>
  <c r="C142" i="58"/>
  <c r="D142" i="58"/>
  <c r="F142" i="58" s="1"/>
  <c r="B143" i="58" s="1"/>
  <c r="E137" i="60" l="1"/>
  <c r="G137" i="60" s="1"/>
  <c r="C138" i="60"/>
  <c r="A139" i="60"/>
  <c r="D138" i="60"/>
  <c r="F138" i="60" s="1"/>
  <c r="B139" i="60" s="1"/>
  <c r="E142" i="58"/>
  <c r="G142" i="58" s="1"/>
  <c r="A144" i="59"/>
  <c r="A144" i="58"/>
  <c r="C143" i="58"/>
  <c r="D143" i="58"/>
  <c r="F143" i="58" s="1"/>
  <c r="B144" i="58" s="1"/>
  <c r="E138" i="60" l="1"/>
  <c r="G138" i="60" s="1"/>
  <c r="A140" i="60"/>
  <c r="D139" i="60"/>
  <c r="F139" i="60" s="1"/>
  <c r="B140" i="60" s="1"/>
  <c r="C139" i="60"/>
  <c r="E143" i="58"/>
  <c r="G143" i="58" s="1"/>
  <c r="A145" i="59"/>
  <c r="A145" i="58"/>
  <c r="C144" i="58"/>
  <c r="D144" i="58"/>
  <c r="F144" i="58" s="1"/>
  <c r="B145" i="58" s="1"/>
  <c r="E139" i="60" l="1"/>
  <c r="G139" i="60" s="1"/>
  <c r="C140" i="60"/>
  <c r="A141" i="60"/>
  <c r="D140" i="60"/>
  <c r="F140" i="60" s="1"/>
  <c r="B141" i="60" s="1"/>
  <c r="E144" i="58"/>
  <c r="G144" i="58" s="1"/>
  <c r="A146" i="59"/>
  <c r="A146" i="58"/>
  <c r="C145" i="58"/>
  <c r="D145" i="58"/>
  <c r="F145" i="58" s="1"/>
  <c r="B146" i="58" s="1"/>
  <c r="E140" i="60" l="1"/>
  <c r="G140" i="60" s="1"/>
  <c r="A142" i="60"/>
  <c r="D141" i="60"/>
  <c r="F141" i="60" s="1"/>
  <c r="B142" i="60" s="1"/>
  <c r="C141" i="60"/>
  <c r="E145" i="58"/>
  <c r="G145" i="58" s="1"/>
  <c r="A147" i="59"/>
  <c r="A147" i="58"/>
  <c r="D146" i="58"/>
  <c r="F146" i="58" s="1"/>
  <c r="B147" i="58" s="1"/>
  <c r="C146" i="58"/>
  <c r="E141" i="60" l="1"/>
  <c r="G141" i="60" s="1"/>
  <c r="C142" i="60"/>
  <c r="A143" i="60"/>
  <c r="D142" i="60"/>
  <c r="F142" i="60" s="1"/>
  <c r="B143" i="60" s="1"/>
  <c r="A148" i="59"/>
  <c r="E146" i="58"/>
  <c r="G146" i="58" s="1"/>
  <c r="A148" i="58"/>
  <c r="C147" i="58"/>
  <c r="D147" i="58"/>
  <c r="F147" i="58" s="1"/>
  <c r="B148" i="58" s="1"/>
  <c r="E142" i="60" l="1"/>
  <c r="G142" i="60" s="1"/>
  <c r="A144" i="60"/>
  <c r="D143" i="60"/>
  <c r="F143" i="60" s="1"/>
  <c r="B144" i="60" s="1"/>
  <c r="C143" i="60"/>
  <c r="A149" i="59"/>
  <c r="A149" i="58"/>
  <c r="C148" i="58"/>
  <c r="D148" i="58"/>
  <c r="F148" i="58" s="1"/>
  <c r="B149" i="58" s="1"/>
  <c r="E147" i="58"/>
  <c r="G147" i="58" s="1"/>
  <c r="E143" i="60" l="1"/>
  <c r="G143" i="60" s="1"/>
  <c r="C144" i="60"/>
  <c r="A145" i="60"/>
  <c r="D144" i="60"/>
  <c r="F144" i="60" s="1"/>
  <c r="B145" i="60" s="1"/>
  <c r="E148" i="58"/>
  <c r="G148" i="58" s="1"/>
  <c r="A150" i="59"/>
  <c r="A150" i="58"/>
  <c r="C149" i="58"/>
  <c r="D149" i="58"/>
  <c r="F149" i="58" s="1"/>
  <c r="B150" i="58" s="1"/>
  <c r="E144" i="60" l="1"/>
  <c r="G144" i="60" s="1"/>
  <c r="A146" i="60"/>
  <c r="D145" i="60"/>
  <c r="F145" i="60" s="1"/>
  <c r="B146" i="60" s="1"/>
  <c r="C145" i="60"/>
  <c r="E149" i="58"/>
  <c r="G149" i="58" s="1"/>
  <c r="C150" i="58"/>
  <c r="D150" i="58"/>
  <c r="F150" i="58" s="1"/>
  <c r="E145" i="60" l="1"/>
  <c r="G145" i="60" s="1"/>
  <c r="C146" i="60"/>
  <c r="A147" i="60"/>
  <c r="D146" i="60"/>
  <c r="F146" i="60" s="1"/>
  <c r="B147" i="60" s="1"/>
  <c r="E150" i="58"/>
  <c r="G150" i="58" s="1"/>
  <c r="E146" i="60" l="1"/>
  <c r="G146" i="60" s="1"/>
  <c r="A148" i="60"/>
  <c r="D147" i="60"/>
  <c r="F147" i="60" s="1"/>
  <c r="B148" i="60" s="1"/>
  <c r="C147" i="60"/>
  <c r="E147" i="60" s="1"/>
  <c r="G147" i="60" s="1"/>
  <c r="C148" i="60" l="1"/>
  <c r="A149" i="60"/>
  <c r="D148" i="60"/>
  <c r="F148" i="60" s="1"/>
  <c r="B149" i="60" s="1"/>
  <c r="E148" i="60" l="1"/>
  <c r="G148" i="60" s="1"/>
  <c r="A150" i="60"/>
  <c r="D149" i="60"/>
  <c r="F149" i="60" s="1"/>
  <c r="B150" i="60" s="1"/>
  <c r="C149" i="60"/>
  <c r="E149" i="60" l="1"/>
  <c r="G149" i="60" s="1"/>
  <c r="C150" i="60"/>
  <c r="D150" i="60"/>
  <c r="F150" i="60" s="1"/>
  <c r="E150" i="60" l="1"/>
  <c r="G150" i="60" s="1"/>
  <c r="C4" i="12"/>
  <c r="B19" i="12" s="1"/>
  <c r="C4" i="59"/>
  <c r="B19" i="59" s="1"/>
  <c r="C143" i="59" l="1"/>
  <c r="C135" i="59"/>
  <c r="C127" i="59"/>
  <c r="C119" i="59"/>
  <c r="C111" i="59"/>
  <c r="C103" i="59"/>
  <c r="C95" i="59"/>
  <c r="C87" i="59"/>
  <c r="C79" i="59"/>
  <c r="C71" i="59"/>
  <c r="C63" i="59"/>
  <c r="C53" i="59"/>
  <c r="C148" i="59"/>
  <c r="C140" i="59"/>
  <c r="C132" i="59"/>
  <c r="C124" i="59"/>
  <c r="C116" i="59"/>
  <c r="C108" i="59"/>
  <c r="C100" i="59"/>
  <c r="C92" i="59"/>
  <c r="C84" i="59"/>
  <c r="C76" i="59"/>
  <c r="C68" i="59"/>
  <c r="C60" i="59"/>
  <c r="C45" i="59"/>
  <c r="C145" i="59"/>
  <c r="C137" i="59"/>
  <c r="C129" i="59"/>
  <c r="C121" i="59"/>
  <c r="C113" i="59"/>
  <c r="C105" i="59"/>
  <c r="C97" i="59"/>
  <c r="C89" i="59"/>
  <c r="C81" i="59"/>
  <c r="C73" i="59"/>
  <c r="C65" i="59"/>
  <c r="C58" i="59"/>
  <c r="C50" i="59"/>
  <c r="C44" i="59"/>
  <c r="C150" i="59"/>
  <c r="C142" i="59"/>
  <c r="C134" i="59"/>
  <c r="C126" i="59"/>
  <c r="C118" i="59"/>
  <c r="C110" i="59"/>
  <c r="C102" i="59"/>
  <c r="C94" i="59"/>
  <c r="C86" i="59"/>
  <c r="C78" i="59"/>
  <c r="C70" i="59"/>
  <c r="C62" i="59"/>
  <c r="C52" i="59"/>
  <c r="C147" i="59"/>
  <c r="C139" i="59"/>
  <c r="C131" i="59"/>
  <c r="C123" i="59"/>
  <c r="C115" i="59"/>
  <c r="C107" i="59"/>
  <c r="C99" i="59"/>
  <c r="C91" i="59"/>
  <c r="C83" i="59"/>
  <c r="C75" i="59"/>
  <c r="C67" i="59"/>
  <c r="C59" i="59"/>
  <c r="C56" i="59"/>
  <c r="C55" i="59"/>
  <c r="C51" i="59"/>
  <c r="C46" i="59"/>
  <c r="C144" i="59"/>
  <c r="C136" i="59"/>
  <c r="C128" i="59"/>
  <c r="C120" i="59"/>
  <c r="C112" i="59"/>
  <c r="C104" i="59"/>
  <c r="C96" i="59"/>
  <c r="C88" i="59"/>
  <c r="C80" i="59"/>
  <c r="C72" i="59"/>
  <c r="C64" i="59"/>
  <c r="C57" i="59"/>
  <c r="C49" i="59"/>
  <c r="C149" i="59"/>
  <c r="C141" i="59"/>
  <c r="C133" i="59"/>
  <c r="C125" i="59"/>
  <c r="C117" i="59"/>
  <c r="C109" i="59"/>
  <c r="C101" i="59"/>
  <c r="C93" i="59"/>
  <c r="C85" i="59"/>
  <c r="C77" i="59"/>
  <c r="C69" i="59"/>
  <c r="C61" i="59"/>
  <c r="C48" i="59"/>
  <c r="C146" i="59"/>
  <c r="C138" i="59"/>
  <c r="C130" i="59"/>
  <c r="C122" i="59"/>
  <c r="C114" i="59"/>
  <c r="C106" i="59"/>
  <c r="C98" i="59"/>
  <c r="C90" i="59"/>
  <c r="C82" i="59"/>
  <c r="C74" i="59"/>
  <c r="C66" i="59"/>
  <c r="C54" i="59"/>
  <c r="C47" i="59"/>
  <c r="C42" i="59"/>
  <c r="C41" i="59"/>
  <c r="C40" i="59"/>
  <c r="C32" i="59"/>
  <c r="C25" i="59"/>
  <c r="C37" i="59"/>
  <c r="C29" i="59"/>
  <c r="C19" i="59"/>
  <c r="C34" i="59"/>
  <c r="C26" i="59"/>
  <c r="C39" i="59"/>
  <c r="C31" i="59"/>
  <c r="C24" i="59"/>
  <c r="C36" i="59"/>
  <c r="C28" i="59"/>
  <c r="C23" i="59"/>
  <c r="C43" i="59"/>
  <c r="C33" i="59"/>
  <c r="C21" i="59"/>
  <c r="C38" i="59"/>
  <c r="C30" i="59"/>
  <c r="C20" i="59"/>
  <c r="C35" i="59"/>
  <c r="C27" i="59"/>
  <c r="D146" i="59"/>
  <c r="D138" i="59"/>
  <c r="D130" i="59"/>
  <c r="D122" i="59"/>
  <c r="D114" i="59"/>
  <c r="D106" i="59"/>
  <c r="D98" i="59"/>
  <c r="D90" i="59"/>
  <c r="D82" i="59"/>
  <c r="D74" i="59"/>
  <c r="D66" i="59"/>
  <c r="D58" i="59"/>
  <c r="D50" i="59"/>
  <c r="D42" i="59"/>
  <c r="D34" i="59"/>
  <c r="D26" i="59"/>
  <c r="D22" i="59"/>
  <c r="D25" i="59"/>
  <c r="D145" i="59"/>
  <c r="D137" i="59"/>
  <c r="D129" i="59"/>
  <c r="D121" i="59"/>
  <c r="D113" i="59"/>
  <c r="D105" i="59"/>
  <c r="D97" i="59"/>
  <c r="D89" i="59"/>
  <c r="D81" i="59"/>
  <c r="D73" i="59"/>
  <c r="D65" i="59"/>
  <c r="D57" i="59"/>
  <c r="D49" i="59"/>
  <c r="D41" i="59"/>
  <c r="D33" i="59"/>
  <c r="C22" i="59"/>
  <c r="E22" i="59" s="1"/>
  <c r="G22" i="59" s="1"/>
  <c r="D21" i="59"/>
  <c r="D52" i="59"/>
  <c r="D144" i="59"/>
  <c r="D136" i="59"/>
  <c r="D128" i="59"/>
  <c r="D120" i="59"/>
  <c r="D112" i="59"/>
  <c r="D104" i="59"/>
  <c r="D96" i="59"/>
  <c r="D88" i="59"/>
  <c r="D80" i="59"/>
  <c r="D72" i="59"/>
  <c r="D64" i="59"/>
  <c r="D56" i="59"/>
  <c r="D48" i="59"/>
  <c r="D40" i="59"/>
  <c r="D32" i="59"/>
  <c r="D28" i="59"/>
  <c r="D143" i="59"/>
  <c r="D135" i="59"/>
  <c r="D127" i="59"/>
  <c r="D119" i="59"/>
  <c r="D111" i="59"/>
  <c r="D103" i="59"/>
  <c r="D95" i="59"/>
  <c r="D87" i="59"/>
  <c r="D79" i="59"/>
  <c r="D71" i="59"/>
  <c r="D63" i="59"/>
  <c r="D55" i="59"/>
  <c r="D47" i="59"/>
  <c r="D39" i="59"/>
  <c r="D31" i="59"/>
  <c r="D36" i="59"/>
  <c r="D150" i="59"/>
  <c r="D142" i="59"/>
  <c r="D134" i="59"/>
  <c r="D126" i="59"/>
  <c r="D118" i="59"/>
  <c r="D110" i="59"/>
  <c r="D102" i="59"/>
  <c r="D94" i="59"/>
  <c r="D86" i="59"/>
  <c r="D78" i="59"/>
  <c r="D70" i="59"/>
  <c r="D62" i="59"/>
  <c r="D54" i="59"/>
  <c r="D46" i="59"/>
  <c r="D38" i="59"/>
  <c r="D30" i="59"/>
  <c r="D23" i="59"/>
  <c r="D19" i="59"/>
  <c r="F19" i="59" s="1"/>
  <c r="B20" i="59" s="1"/>
  <c r="D68" i="59"/>
  <c r="D149" i="59"/>
  <c r="D141" i="59"/>
  <c r="D133" i="59"/>
  <c r="D125" i="59"/>
  <c r="D117" i="59"/>
  <c r="D109" i="59"/>
  <c r="D101" i="59"/>
  <c r="D93" i="59"/>
  <c r="D85" i="59"/>
  <c r="D77" i="59"/>
  <c r="D69" i="59"/>
  <c r="D61" i="59"/>
  <c r="D53" i="59"/>
  <c r="D45" i="59"/>
  <c r="D37" i="59"/>
  <c r="D29" i="59"/>
  <c r="D24" i="59"/>
  <c r="D44" i="59"/>
  <c r="D148" i="59"/>
  <c r="D140" i="59"/>
  <c r="D132" i="59"/>
  <c r="D124" i="59"/>
  <c r="D116" i="59"/>
  <c r="D108" i="59"/>
  <c r="D100" i="59"/>
  <c r="D92" i="59"/>
  <c r="D84" i="59"/>
  <c r="D76" i="59"/>
  <c r="D60" i="59"/>
  <c r="D147" i="59"/>
  <c r="D139" i="59"/>
  <c r="D131" i="59"/>
  <c r="D123" i="59"/>
  <c r="D115" i="59"/>
  <c r="D107" i="59"/>
  <c r="D99" i="59"/>
  <c r="D91" i="59"/>
  <c r="D83" i="59"/>
  <c r="D75" i="59"/>
  <c r="D67" i="59"/>
  <c r="D59" i="59"/>
  <c r="D51" i="59"/>
  <c r="D43" i="59"/>
  <c r="D35" i="59"/>
  <c r="D27" i="59"/>
  <c r="D20" i="59"/>
  <c r="D18" i="5"/>
  <c r="D19" i="5"/>
  <c r="D23" i="5"/>
  <c r="D17" i="5"/>
  <c r="D21" i="5"/>
  <c r="D25" i="5"/>
  <c r="D16" i="5"/>
  <c r="E18" i="8"/>
  <c r="E22" i="8"/>
  <c r="E25" i="8"/>
  <c r="E24" i="8"/>
  <c r="E23" i="8"/>
  <c r="E26" i="8"/>
  <c r="E20" i="8"/>
  <c r="E21" i="8"/>
  <c r="E28" i="8"/>
  <c r="E19" i="8"/>
  <c r="E27" i="8"/>
  <c r="D20" i="5"/>
  <c r="C145" i="12"/>
  <c r="C126" i="12"/>
  <c r="C61" i="12"/>
  <c r="C124" i="12"/>
  <c r="C89" i="12"/>
  <c r="C117" i="12"/>
  <c r="C32" i="12"/>
  <c r="C60" i="12"/>
  <c r="C122" i="12"/>
  <c r="C102" i="12"/>
  <c r="C45" i="12"/>
  <c r="C28" i="12"/>
  <c r="C147" i="12"/>
  <c r="C27" i="12"/>
  <c r="C47" i="12"/>
  <c r="C41" i="12"/>
  <c r="C87" i="12"/>
  <c r="C59" i="12"/>
  <c r="C104" i="12"/>
  <c r="C81" i="12"/>
  <c r="C46" i="12"/>
  <c r="C74" i="12"/>
  <c r="C132" i="12"/>
  <c r="C56" i="12"/>
  <c r="C150" i="12"/>
  <c r="C125" i="12"/>
  <c r="C36" i="12"/>
  <c r="C48" i="12"/>
  <c r="C90" i="12"/>
  <c r="C23" i="12"/>
  <c r="C21" i="12"/>
  <c r="C75" i="12"/>
  <c r="C134" i="12"/>
  <c r="C109" i="12"/>
  <c r="C103" i="12"/>
  <c r="C144" i="12"/>
  <c r="C94" i="12"/>
  <c r="C123" i="12"/>
  <c r="C108" i="12"/>
  <c r="C57" i="12"/>
  <c r="C53" i="12"/>
  <c r="C136" i="12"/>
  <c r="C44" i="12"/>
  <c r="C39" i="12"/>
  <c r="C86" i="12"/>
  <c r="C107" i="12"/>
  <c r="C100" i="12"/>
  <c r="C143" i="12"/>
  <c r="C141" i="12"/>
  <c r="C66" i="12"/>
  <c r="C22" i="12"/>
  <c r="C25" i="12"/>
  <c r="C83" i="12"/>
  <c r="C138" i="12"/>
  <c r="C88" i="12"/>
  <c r="C49" i="12"/>
  <c r="C85" i="12"/>
  <c r="C58" i="12"/>
  <c r="C137" i="12"/>
  <c r="C105" i="12"/>
  <c r="C149" i="12"/>
  <c r="C19" i="12"/>
  <c r="C38" i="12"/>
  <c r="C93" i="12"/>
  <c r="C20" i="12"/>
  <c r="C121" i="12"/>
  <c r="C78" i="12"/>
  <c r="C115" i="12"/>
  <c r="C76" i="12"/>
  <c r="C51" i="12"/>
  <c r="C118" i="12"/>
  <c r="C77" i="12"/>
  <c r="C67" i="12"/>
  <c r="C148" i="12"/>
  <c r="C142" i="12"/>
  <c r="C43" i="12"/>
  <c r="C91" i="12"/>
  <c r="C92" i="12"/>
  <c r="C119" i="12"/>
  <c r="C79" i="12"/>
  <c r="C120" i="12"/>
  <c r="C113" i="12"/>
  <c r="C62" i="12"/>
  <c r="C35" i="12"/>
  <c r="C71" i="12"/>
  <c r="C33" i="12"/>
  <c r="C146" i="12"/>
  <c r="C140" i="12"/>
  <c r="C50" i="12"/>
  <c r="C110" i="12"/>
  <c r="C64" i="12"/>
  <c r="C34" i="12"/>
  <c r="C106" i="12"/>
  <c r="C37" i="12"/>
  <c r="C111" i="12"/>
  <c r="C30" i="12"/>
  <c r="C139" i="12"/>
  <c r="C135" i="12"/>
  <c r="C42" i="12"/>
  <c r="C114" i="12"/>
  <c r="C69" i="12"/>
  <c r="C40" i="12"/>
  <c r="C52" i="12"/>
  <c r="D150" i="12"/>
  <c r="D142" i="12"/>
  <c r="D44" i="12"/>
  <c r="D133" i="12"/>
  <c r="D54" i="12"/>
  <c r="D94" i="12"/>
  <c r="D63" i="12"/>
  <c r="D127" i="12"/>
  <c r="D40" i="12"/>
  <c r="D25" i="12"/>
  <c r="D128" i="12"/>
  <c r="D97" i="12"/>
  <c r="D125" i="12"/>
  <c r="D74" i="12"/>
  <c r="D43" i="12"/>
  <c r="D138" i="12"/>
  <c r="D107" i="12"/>
  <c r="C31" i="12"/>
  <c r="C63" i="12"/>
  <c r="E63" i="12" s="1"/>
  <c r="G63" i="12" s="1"/>
  <c r="C112" i="12"/>
  <c r="C65" i="12"/>
  <c r="D149" i="12"/>
  <c r="D141" i="12"/>
  <c r="D52" i="12"/>
  <c r="D92" i="12"/>
  <c r="D62" i="12"/>
  <c r="D102" i="12"/>
  <c r="D71" i="12"/>
  <c r="D135" i="12"/>
  <c r="D48" i="12"/>
  <c r="D41" i="12"/>
  <c r="D136" i="12"/>
  <c r="D105" i="12"/>
  <c r="D33" i="12"/>
  <c r="D84" i="12"/>
  <c r="D82" i="12"/>
  <c r="D51" i="12"/>
  <c r="D115" i="12"/>
  <c r="C26" i="12"/>
  <c r="C133" i="12"/>
  <c r="C72" i="12"/>
  <c r="C29" i="12"/>
  <c r="C55" i="12"/>
  <c r="D148" i="12"/>
  <c r="D140" i="12"/>
  <c r="D60" i="12"/>
  <c r="D53" i="12"/>
  <c r="D70" i="12"/>
  <c r="D110" i="12"/>
  <c r="D79" i="12"/>
  <c r="D21" i="12"/>
  <c r="D56" i="12"/>
  <c r="D80" i="12"/>
  <c r="D49" i="12"/>
  <c r="D113" i="12"/>
  <c r="D26" i="12"/>
  <c r="D132" i="12"/>
  <c r="D90" i="12"/>
  <c r="D59" i="12"/>
  <c r="D123" i="12"/>
  <c r="C98" i="12"/>
  <c r="C131" i="12"/>
  <c r="C24" i="12"/>
  <c r="C129" i="12"/>
  <c r="D147" i="12"/>
  <c r="D29" i="12"/>
  <c r="D68" i="12"/>
  <c r="D139" i="12"/>
  <c r="D78" i="12"/>
  <c r="D118" i="12"/>
  <c r="D87" i="12"/>
  <c r="D124" i="12"/>
  <c r="D64" i="12"/>
  <c r="D88" i="12"/>
  <c r="D57" i="12"/>
  <c r="D121" i="12"/>
  <c r="D34" i="12"/>
  <c r="D93" i="12"/>
  <c r="D98" i="12"/>
  <c r="D67" i="12"/>
  <c r="C70" i="12"/>
  <c r="C116" i="12"/>
  <c r="C96" i="12"/>
  <c r="C127" i="12"/>
  <c r="E127" i="12" s="1"/>
  <c r="G127" i="12" s="1"/>
  <c r="D146" i="12"/>
  <c r="D69" i="12"/>
  <c r="D76" i="12"/>
  <c r="D22" i="12"/>
  <c r="D108" i="12"/>
  <c r="D126" i="12"/>
  <c r="D95" i="12"/>
  <c r="D101" i="12"/>
  <c r="D72" i="12"/>
  <c r="D96" i="12"/>
  <c r="D65" i="12"/>
  <c r="D129" i="12"/>
  <c r="D42" i="12"/>
  <c r="D23" i="12"/>
  <c r="D106" i="12"/>
  <c r="D75" i="12"/>
  <c r="C130" i="12"/>
  <c r="C101" i="12"/>
  <c r="C73" i="12"/>
  <c r="C68" i="12"/>
  <c r="D145" i="12"/>
  <c r="D20" i="12"/>
  <c r="D116" i="12"/>
  <c r="D30" i="12"/>
  <c r="D85" i="12"/>
  <c r="D134" i="12"/>
  <c r="D103" i="12"/>
  <c r="D31" i="12"/>
  <c r="D37" i="12"/>
  <c r="D104" i="12"/>
  <c r="D73" i="12"/>
  <c r="D137" i="12"/>
  <c r="D50" i="12"/>
  <c r="D19" i="12"/>
  <c r="F19" i="12" s="1"/>
  <c r="B20" i="12" s="1"/>
  <c r="D114" i="12"/>
  <c r="D83" i="12"/>
  <c r="D131" i="12"/>
  <c r="C82" i="12"/>
  <c r="E82" i="12" s="1"/>
  <c r="G82" i="12" s="1"/>
  <c r="C99" i="12"/>
  <c r="C128" i="12"/>
  <c r="C97" i="12"/>
  <c r="E97" i="12" s="1"/>
  <c r="G97" i="12" s="1"/>
  <c r="D144" i="12"/>
  <c r="D28" i="12"/>
  <c r="D77" i="12"/>
  <c r="D38" i="12"/>
  <c r="D39" i="12"/>
  <c r="D47" i="12"/>
  <c r="D111" i="12"/>
  <c r="D24" i="12"/>
  <c r="D45" i="12"/>
  <c r="D112" i="12"/>
  <c r="D81" i="12"/>
  <c r="D100" i="12"/>
  <c r="D58" i="12"/>
  <c r="D27" i="12"/>
  <c r="D122" i="12"/>
  <c r="D91" i="12"/>
  <c r="C54" i="12"/>
  <c r="C84" i="12"/>
  <c r="C80" i="12"/>
  <c r="C95" i="12"/>
  <c r="D143" i="12"/>
  <c r="D36" i="12"/>
  <c r="D117" i="12"/>
  <c r="D46" i="12"/>
  <c r="D86" i="12"/>
  <c r="D55" i="12"/>
  <c r="D119" i="12"/>
  <c r="D32" i="12"/>
  <c r="D109" i="12"/>
  <c r="D120" i="12"/>
  <c r="D89" i="12"/>
  <c r="D61" i="12"/>
  <c r="D66" i="12"/>
  <c r="D35" i="12"/>
  <c r="D130" i="12"/>
  <c r="D99" i="12"/>
  <c r="D22" i="5"/>
  <c r="D26" i="5"/>
  <c r="D24" i="5"/>
  <c r="E133" i="12" l="1"/>
  <c r="G133" i="12" s="1"/>
  <c r="E128" i="12"/>
  <c r="G128" i="12" s="1"/>
  <c r="E95" i="12"/>
  <c r="G95" i="12" s="1"/>
  <c r="E68" i="12"/>
  <c r="G68" i="12" s="1"/>
  <c r="E84" i="12"/>
  <c r="G84" i="12" s="1"/>
  <c r="E101" i="12"/>
  <c r="G101" i="12" s="1"/>
  <c r="E54" i="12"/>
  <c r="G54" i="12" s="1"/>
  <c r="F20" i="12"/>
  <c r="B21" i="12" s="1"/>
  <c r="F21" i="12" s="1"/>
  <c r="B22" i="12" s="1"/>
  <c r="F22" i="12" s="1"/>
  <c r="B23" i="12" s="1"/>
  <c r="F23" i="12" s="1"/>
  <c r="B24" i="12" s="1"/>
  <c r="F24" i="12" s="1"/>
  <c r="B25" i="12" s="1"/>
  <c r="F25" i="12" s="1"/>
  <c r="B26" i="12" s="1"/>
  <c r="F26" i="12" s="1"/>
  <c r="B27" i="12" s="1"/>
  <c r="F27" i="12" s="1"/>
  <c r="B28" i="12" s="1"/>
  <c r="F28" i="12" s="1"/>
  <c r="B29" i="12" s="1"/>
  <c r="F29" i="12" s="1"/>
  <c r="B30" i="12" s="1"/>
  <c r="F30" i="12" s="1"/>
  <c r="B31" i="12" s="1"/>
  <c r="F31" i="12" s="1"/>
  <c r="B32" i="12" s="1"/>
  <c r="F32" i="12" s="1"/>
  <c r="B33" i="12" s="1"/>
  <c r="F33" i="12" s="1"/>
  <c r="B34" i="12" s="1"/>
  <c r="F34" i="12" s="1"/>
  <c r="B35" i="12" s="1"/>
  <c r="F35" i="12" s="1"/>
  <c r="B36" i="12" s="1"/>
  <c r="F36" i="12" s="1"/>
  <c r="B37" i="12" s="1"/>
  <c r="F37" i="12" s="1"/>
  <c r="B38" i="12" s="1"/>
  <c r="F38" i="12" s="1"/>
  <c r="B39" i="12" s="1"/>
  <c r="F39" i="12" s="1"/>
  <c r="B40" i="12" s="1"/>
  <c r="F40" i="12" s="1"/>
  <c r="B41" i="12" s="1"/>
  <c r="F41" i="12" s="1"/>
  <c r="B42" i="12" s="1"/>
  <c r="F42" i="12" s="1"/>
  <c r="B43" i="12" s="1"/>
  <c r="F43" i="12" s="1"/>
  <c r="B44" i="12" s="1"/>
  <c r="F44" i="12" s="1"/>
  <c r="B45" i="12" s="1"/>
  <c r="F45" i="12" s="1"/>
  <c r="B46" i="12" s="1"/>
  <c r="F46" i="12" s="1"/>
  <c r="B47" i="12" s="1"/>
  <c r="F47" i="12" s="1"/>
  <c r="B48" i="12" s="1"/>
  <c r="F48" i="12" s="1"/>
  <c r="B49" i="12" s="1"/>
  <c r="F49" i="12" s="1"/>
  <c r="B50" i="12" s="1"/>
  <c r="F50" i="12" s="1"/>
  <c r="B51" i="12" s="1"/>
  <c r="F51" i="12" s="1"/>
  <c r="B52" i="12" s="1"/>
  <c r="F52" i="12" s="1"/>
  <c r="B53" i="12" s="1"/>
  <c r="F53" i="12" s="1"/>
  <c r="B54" i="12" s="1"/>
  <c r="F54" i="12" s="1"/>
  <c r="B55" i="12" s="1"/>
  <c r="F55" i="12" s="1"/>
  <c r="B56" i="12" s="1"/>
  <c r="F56" i="12" s="1"/>
  <c r="B57" i="12" s="1"/>
  <c r="F57" i="12" s="1"/>
  <c r="B58" i="12" s="1"/>
  <c r="F58" i="12" s="1"/>
  <c r="B59" i="12" s="1"/>
  <c r="F59" i="12" s="1"/>
  <c r="B60" i="12" s="1"/>
  <c r="F60" i="12" s="1"/>
  <c r="B61" i="12" s="1"/>
  <c r="F61" i="12" s="1"/>
  <c r="B62" i="12" s="1"/>
  <c r="F62" i="12" s="1"/>
  <c r="B63" i="12" s="1"/>
  <c r="F63" i="12" s="1"/>
  <c r="B64" i="12" s="1"/>
  <c r="F64" i="12" s="1"/>
  <c r="B65" i="12" s="1"/>
  <c r="F65" i="12" s="1"/>
  <c r="B66" i="12" s="1"/>
  <c r="F66" i="12" s="1"/>
  <c r="B67" i="12" s="1"/>
  <c r="F67" i="12" s="1"/>
  <c r="B68" i="12" s="1"/>
  <c r="F68" i="12" s="1"/>
  <c r="B69" i="12" s="1"/>
  <c r="F69" i="12" s="1"/>
  <c r="B70" i="12" s="1"/>
  <c r="F70" i="12" s="1"/>
  <c r="B71" i="12" s="1"/>
  <c r="F71" i="12" s="1"/>
  <c r="B72" i="12" s="1"/>
  <c r="F72" i="12" s="1"/>
  <c r="B73" i="12" s="1"/>
  <c r="F73" i="12" s="1"/>
  <c r="B74" i="12" s="1"/>
  <c r="F74" i="12" s="1"/>
  <c r="B75" i="12" s="1"/>
  <c r="F75" i="12" s="1"/>
  <c r="B76" i="12" s="1"/>
  <c r="F76" i="12" s="1"/>
  <c r="B77" i="12" s="1"/>
  <c r="F77" i="12" s="1"/>
  <c r="B78" i="12" s="1"/>
  <c r="F78" i="12" s="1"/>
  <c r="B79" i="12" s="1"/>
  <c r="F79" i="12" s="1"/>
  <c r="B80" i="12" s="1"/>
  <c r="F80" i="12" s="1"/>
  <c r="B81" i="12" s="1"/>
  <c r="F81" i="12" s="1"/>
  <c r="B82" i="12" s="1"/>
  <c r="F82" i="12" s="1"/>
  <c r="B83" i="12" s="1"/>
  <c r="F83" i="12" s="1"/>
  <c r="B84" i="12" s="1"/>
  <c r="F84" i="12" s="1"/>
  <c r="B85" i="12" s="1"/>
  <c r="F85" i="12" s="1"/>
  <c r="B86" i="12" s="1"/>
  <c r="F86" i="12" s="1"/>
  <c r="B87" i="12" s="1"/>
  <c r="F87" i="12" s="1"/>
  <c r="B88" i="12" s="1"/>
  <c r="F88" i="12" s="1"/>
  <c r="B89" i="12" s="1"/>
  <c r="F89" i="12" s="1"/>
  <c r="B90" i="12" s="1"/>
  <c r="F90" i="12" s="1"/>
  <c r="B91" i="12" s="1"/>
  <c r="F91" i="12" s="1"/>
  <c r="B92" i="12" s="1"/>
  <c r="F92" i="12" s="1"/>
  <c r="B93" i="12" s="1"/>
  <c r="F93" i="12" s="1"/>
  <c r="B94" i="12" s="1"/>
  <c r="F94" i="12" s="1"/>
  <c r="B95" i="12" s="1"/>
  <c r="F95" i="12" s="1"/>
  <c r="B96" i="12" s="1"/>
  <c r="F96" i="12" s="1"/>
  <c r="B97" i="12" s="1"/>
  <c r="F97" i="12" s="1"/>
  <c r="B98" i="12" s="1"/>
  <c r="F98" i="12" s="1"/>
  <c r="B99" i="12" s="1"/>
  <c r="F99" i="12" s="1"/>
  <c r="B100" i="12" s="1"/>
  <c r="F100" i="12" s="1"/>
  <c r="B101" i="12" s="1"/>
  <c r="F101" i="12" s="1"/>
  <c r="B102" i="12" s="1"/>
  <c r="F102" i="12" s="1"/>
  <c r="B103" i="12" s="1"/>
  <c r="F103" i="12" s="1"/>
  <c r="B104" i="12" s="1"/>
  <c r="F104" i="12" s="1"/>
  <c r="B105" i="12" s="1"/>
  <c r="F105" i="12" s="1"/>
  <c r="B106" i="12" s="1"/>
  <c r="F106" i="12" s="1"/>
  <c r="B107" i="12" s="1"/>
  <c r="F107" i="12" s="1"/>
  <c r="B108" i="12" s="1"/>
  <c r="F108" i="12" s="1"/>
  <c r="B109" i="12" s="1"/>
  <c r="F109" i="12" s="1"/>
  <c r="B110" i="12" s="1"/>
  <c r="F110" i="12" s="1"/>
  <c r="B111" i="12" s="1"/>
  <c r="F111" i="12" s="1"/>
  <c r="B112" i="12" s="1"/>
  <c r="F112" i="12" s="1"/>
  <c r="B113" i="12" s="1"/>
  <c r="F113" i="12" s="1"/>
  <c r="B114" i="12" s="1"/>
  <c r="F114" i="12" s="1"/>
  <c r="B115" i="12" s="1"/>
  <c r="F115" i="12" s="1"/>
  <c r="B116" i="12" s="1"/>
  <c r="F116" i="12" s="1"/>
  <c r="B117" i="12" s="1"/>
  <c r="F117" i="12" s="1"/>
  <c r="B118" i="12" s="1"/>
  <c r="F118" i="12" s="1"/>
  <c r="B119" i="12" s="1"/>
  <c r="F119" i="12" s="1"/>
  <c r="B120" i="12" s="1"/>
  <c r="F120" i="12" s="1"/>
  <c r="B121" i="12" s="1"/>
  <c r="F121" i="12" s="1"/>
  <c r="B122" i="12" s="1"/>
  <c r="F122" i="12" s="1"/>
  <c r="B123" i="12" s="1"/>
  <c r="F123" i="12" s="1"/>
  <c r="B124" i="12" s="1"/>
  <c r="F124" i="12" s="1"/>
  <c r="B125" i="12" s="1"/>
  <c r="F125" i="12" s="1"/>
  <c r="B126" i="12" s="1"/>
  <c r="F126" i="12" s="1"/>
  <c r="B127" i="12" s="1"/>
  <c r="F127" i="12" s="1"/>
  <c r="B128" i="12" s="1"/>
  <c r="F128" i="12" s="1"/>
  <c r="B129" i="12" s="1"/>
  <c r="F129" i="12" s="1"/>
  <c r="B130" i="12" s="1"/>
  <c r="F130" i="12" s="1"/>
  <c r="B131" i="12" s="1"/>
  <c r="F131" i="12" s="1"/>
  <c r="B132" i="12" s="1"/>
  <c r="F132" i="12" s="1"/>
  <c r="B133" i="12" s="1"/>
  <c r="F133" i="12" s="1"/>
  <c r="B134" i="12" s="1"/>
  <c r="F134" i="12" s="1"/>
  <c r="B135" i="12" s="1"/>
  <c r="F135" i="12" s="1"/>
  <c r="B136" i="12" s="1"/>
  <c r="F136" i="12" s="1"/>
  <c r="B137" i="12" s="1"/>
  <c r="F137" i="12" s="1"/>
  <c r="B138" i="12" s="1"/>
  <c r="F138" i="12" s="1"/>
  <c r="B139" i="12" s="1"/>
  <c r="F139" i="12" s="1"/>
  <c r="B140" i="12" s="1"/>
  <c r="F140" i="12" s="1"/>
  <c r="B141" i="12" s="1"/>
  <c r="F141" i="12" s="1"/>
  <c r="B142" i="12" s="1"/>
  <c r="F142" i="12" s="1"/>
  <c r="B143" i="12" s="1"/>
  <c r="F143" i="12" s="1"/>
  <c r="B144" i="12" s="1"/>
  <c r="F144" i="12" s="1"/>
  <c r="B145" i="12" s="1"/>
  <c r="F145" i="12" s="1"/>
  <c r="B146" i="12" s="1"/>
  <c r="F146" i="12" s="1"/>
  <c r="B147" i="12" s="1"/>
  <c r="F147" i="12" s="1"/>
  <c r="B148" i="12" s="1"/>
  <c r="F148" i="12" s="1"/>
  <c r="B149" i="12" s="1"/>
  <c r="F149" i="12" s="1"/>
  <c r="B150" i="12" s="1"/>
  <c r="F150" i="12" s="1"/>
  <c r="E142" i="12"/>
  <c r="G142" i="12" s="1"/>
  <c r="E80" i="12"/>
  <c r="G80" i="12" s="1"/>
  <c r="F20" i="59"/>
  <c r="B21" i="59" s="1"/>
  <c r="F21" i="59" s="1"/>
  <c r="B22" i="59" s="1"/>
  <c r="F22" i="59" s="1"/>
  <c r="B23" i="59" s="1"/>
  <c r="F23" i="59" s="1"/>
  <c r="B24" i="59" s="1"/>
  <c r="F24" i="59" s="1"/>
  <c r="B25" i="59" s="1"/>
  <c r="F25" i="59" s="1"/>
  <c r="B26" i="59" s="1"/>
  <c r="F26" i="59" s="1"/>
  <c r="B27" i="59" s="1"/>
  <c r="F27" i="59" s="1"/>
  <c r="B28" i="59" s="1"/>
  <c r="F28" i="59" s="1"/>
  <c r="B29" i="59" s="1"/>
  <c r="F29" i="59" s="1"/>
  <c r="B30" i="59" s="1"/>
  <c r="F30" i="59" s="1"/>
  <c r="B31" i="59" s="1"/>
  <c r="F31" i="59" s="1"/>
  <c r="B32" i="59" s="1"/>
  <c r="F32" i="59" s="1"/>
  <c r="B33" i="59" s="1"/>
  <c r="F33" i="59" s="1"/>
  <c r="B34" i="59" s="1"/>
  <c r="F34" i="59" s="1"/>
  <c r="B35" i="59" s="1"/>
  <c r="F35" i="59" s="1"/>
  <c r="B36" i="59" s="1"/>
  <c r="F36" i="59" s="1"/>
  <c r="B37" i="59" s="1"/>
  <c r="F37" i="59" s="1"/>
  <c r="B38" i="59" s="1"/>
  <c r="F38" i="59" s="1"/>
  <c r="B39" i="59" s="1"/>
  <c r="F39" i="59" s="1"/>
  <c r="B40" i="59" s="1"/>
  <c r="F40" i="59" s="1"/>
  <c r="B41" i="59" s="1"/>
  <c r="F41" i="59" s="1"/>
  <c r="B42" i="59" s="1"/>
  <c r="F42" i="59" s="1"/>
  <c r="B43" i="59" s="1"/>
  <c r="F43" i="59" s="1"/>
  <c r="B44" i="59" s="1"/>
  <c r="F44" i="59" s="1"/>
  <c r="B45" i="59" s="1"/>
  <c r="F45" i="59" s="1"/>
  <c r="B46" i="59" s="1"/>
  <c r="F46" i="59" s="1"/>
  <c r="B47" i="59" s="1"/>
  <c r="F47" i="59" s="1"/>
  <c r="B48" i="59" s="1"/>
  <c r="F48" i="59" s="1"/>
  <c r="B49" i="59" s="1"/>
  <c r="F49" i="59" s="1"/>
  <c r="B50" i="59" s="1"/>
  <c r="F50" i="59" s="1"/>
  <c r="B51" i="59" s="1"/>
  <c r="F51" i="59" s="1"/>
  <c r="B52" i="59" s="1"/>
  <c r="F52" i="59" s="1"/>
  <c r="B53" i="59" s="1"/>
  <c r="F53" i="59" s="1"/>
  <c r="B54" i="59" s="1"/>
  <c r="F54" i="59" s="1"/>
  <c r="B55" i="59" s="1"/>
  <c r="F55" i="59" s="1"/>
  <c r="B56" i="59" s="1"/>
  <c r="F56" i="59" s="1"/>
  <c r="B57" i="59" s="1"/>
  <c r="F57" i="59" s="1"/>
  <c r="B58" i="59" s="1"/>
  <c r="F58" i="59" s="1"/>
  <c r="B59" i="59" s="1"/>
  <c r="F59" i="59" s="1"/>
  <c r="B60" i="59" s="1"/>
  <c r="F60" i="59" s="1"/>
  <c r="B61" i="59" s="1"/>
  <c r="F61" i="59" s="1"/>
  <c r="B62" i="59" s="1"/>
  <c r="F62" i="59" s="1"/>
  <c r="B63" i="59" s="1"/>
  <c r="F63" i="59" s="1"/>
  <c r="B64" i="59" s="1"/>
  <c r="F64" i="59" s="1"/>
  <c r="B65" i="59" s="1"/>
  <c r="F65" i="59" s="1"/>
  <c r="B66" i="59" s="1"/>
  <c r="F66" i="59" s="1"/>
  <c r="B67" i="59" s="1"/>
  <c r="F67" i="59" s="1"/>
  <c r="B68" i="59" s="1"/>
  <c r="F68" i="59" s="1"/>
  <c r="B69" i="59" s="1"/>
  <c r="F69" i="59" s="1"/>
  <c r="B70" i="59" s="1"/>
  <c r="F70" i="59" s="1"/>
  <c r="B71" i="59" s="1"/>
  <c r="F71" i="59" s="1"/>
  <c r="B72" i="59" s="1"/>
  <c r="F72" i="59" s="1"/>
  <c r="B73" i="59" s="1"/>
  <c r="F73" i="59" s="1"/>
  <c r="B74" i="59" s="1"/>
  <c r="F74" i="59" s="1"/>
  <c r="B75" i="59" s="1"/>
  <c r="F75" i="59" s="1"/>
  <c r="B76" i="59" s="1"/>
  <c r="F76" i="59" s="1"/>
  <c r="B77" i="59" s="1"/>
  <c r="F77" i="59" s="1"/>
  <c r="B78" i="59" s="1"/>
  <c r="F78" i="59" s="1"/>
  <c r="B79" i="59" s="1"/>
  <c r="F79" i="59" s="1"/>
  <c r="B80" i="59" s="1"/>
  <c r="F80" i="59" s="1"/>
  <c r="B81" i="59" s="1"/>
  <c r="F81" i="59" s="1"/>
  <c r="B82" i="59" s="1"/>
  <c r="F82" i="59" s="1"/>
  <c r="B83" i="59" s="1"/>
  <c r="F83" i="59" s="1"/>
  <c r="B84" i="59" s="1"/>
  <c r="F84" i="59" s="1"/>
  <c r="B85" i="59" s="1"/>
  <c r="F85" i="59" s="1"/>
  <c r="B86" i="59" s="1"/>
  <c r="F86" i="59" s="1"/>
  <c r="B87" i="59" s="1"/>
  <c r="F87" i="59" s="1"/>
  <c r="B88" i="59" s="1"/>
  <c r="F88" i="59" s="1"/>
  <c r="B89" i="59" s="1"/>
  <c r="F89" i="59" s="1"/>
  <c r="B90" i="59" s="1"/>
  <c r="F90" i="59" s="1"/>
  <c r="B91" i="59" s="1"/>
  <c r="F91" i="59" s="1"/>
  <c r="B92" i="59" s="1"/>
  <c r="F92" i="59" s="1"/>
  <c r="B93" i="59" s="1"/>
  <c r="F93" i="59" s="1"/>
  <c r="B94" i="59" s="1"/>
  <c r="F94" i="59" s="1"/>
  <c r="B95" i="59" s="1"/>
  <c r="F95" i="59" s="1"/>
  <c r="B96" i="59" s="1"/>
  <c r="F96" i="59" s="1"/>
  <c r="B97" i="59" s="1"/>
  <c r="F97" i="59" s="1"/>
  <c r="B98" i="59" s="1"/>
  <c r="F98" i="59" s="1"/>
  <c r="B99" i="59" s="1"/>
  <c r="F99" i="59" s="1"/>
  <c r="B100" i="59" s="1"/>
  <c r="F100" i="59" s="1"/>
  <c r="B101" i="59" s="1"/>
  <c r="F101" i="59" s="1"/>
  <c r="B102" i="59" s="1"/>
  <c r="F102" i="59" s="1"/>
  <c r="B103" i="59" s="1"/>
  <c r="F103" i="59" s="1"/>
  <c r="B104" i="59" s="1"/>
  <c r="F104" i="59" s="1"/>
  <c r="B105" i="59" s="1"/>
  <c r="F105" i="59" s="1"/>
  <c r="B106" i="59" s="1"/>
  <c r="F106" i="59" s="1"/>
  <c r="B107" i="59" s="1"/>
  <c r="F107" i="59" s="1"/>
  <c r="B108" i="59" s="1"/>
  <c r="F108" i="59" s="1"/>
  <c r="B109" i="59" s="1"/>
  <c r="F109" i="59" s="1"/>
  <c r="B110" i="59" s="1"/>
  <c r="F110" i="59" s="1"/>
  <c r="B111" i="59" s="1"/>
  <c r="F111" i="59" s="1"/>
  <c r="B112" i="59" s="1"/>
  <c r="F112" i="59" s="1"/>
  <c r="B113" i="59" s="1"/>
  <c r="F113" i="59" s="1"/>
  <c r="B114" i="59" s="1"/>
  <c r="F114" i="59" s="1"/>
  <c r="B115" i="59" s="1"/>
  <c r="F115" i="59" s="1"/>
  <c r="B116" i="59" s="1"/>
  <c r="F116" i="59" s="1"/>
  <c r="B117" i="59" s="1"/>
  <c r="F117" i="59" s="1"/>
  <c r="B118" i="59" s="1"/>
  <c r="F118" i="59" s="1"/>
  <c r="B119" i="59" s="1"/>
  <c r="F119" i="59" s="1"/>
  <c r="B120" i="59" s="1"/>
  <c r="F120" i="59" s="1"/>
  <c r="B121" i="59" s="1"/>
  <c r="F121" i="59" s="1"/>
  <c r="B122" i="59" s="1"/>
  <c r="F122" i="59" s="1"/>
  <c r="B123" i="59" s="1"/>
  <c r="F123" i="59" s="1"/>
  <c r="B124" i="59" s="1"/>
  <c r="F124" i="59" s="1"/>
  <c r="B125" i="59" s="1"/>
  <c r="F125" i="59" s="1"/>
  <c r="B126" i="59" s="1"/>
  <c r="F126" i="59" s="1"/>
  <c r="B127" i="59" s="1"/>
  <c r="F127" i="59" s="1"/>
  <c r="B128" i="59" s="1"/>
  <c r="F128" i="59" s="1"/>
  <c r="B129" i="59" s="1"/>
  <c r="F129" i="59" s="1"/>
  <c r="B130" i="59" s="1"/>
  <c r="F130" i="59" s="1"/>
  <c r="B131" i="59" s="1"/>
  <c r="F131" i="59" s="1"/>
  <c r="B132" i="59" s="1"/>
  <c r="F132" i="59" s="1"/>
  <c r="B133" i="59" s="1"/>
  <c r="F133" i="59" s="1"/>
  <c r="B134" i="59" s="1"/>
  <c r="F134" i="59" s="1"/>
  <c r="B135" i="59" s="1"/>
  <c r="F135" i="59" s="1"/>
  <c r="B136" i="59" s="1"/>
  <c r="F136" i="59" s="1"/>
  <c r="B137" i="59" s="1"/>
  <c r="F137" i="59" s="1"/>
  <c r="B138" i="59" s="1"/>
  <c r="F138" i="59" s="1"/>
  <c r="B139" i="59" s="1"/>
  <c r="F139" i="59" s="1"/>
  <c r="B140" i="59" s="1"/>
  <c r="F140" i="59" s="1"/>
  <c r="B141" i="59" s="1"/>
  <c r="F141" i="59" s="1"/>
  <c r="B142" i="59" s="1"/>
  <c r="F142" i="59" s="1"/>
  <c r="B143" i="59" s="1"/>
  <c r="F143" i="59" s="1"/>
  <c r="B144" i="59" s="1"/>
  <c r="F144" i="59" s="1"/>
  <c r="B145" i="59" s="1"/>
  <c r="F145" i="59" s="1"/>
  <c r="B146" i="59" s="1"/>
  <c r="F146" i="59" s="1"/>
  <c r="B147" i="59" s="1"/>
  <c r="F147" i="59" s="1"/>
  <c r="B148" i="59" s="1"/>
  <c r="F148" i="59" s="1"/>
  <c r="B149" i="59" s="1"/>
  <c r="F149" i="59" s="1"/>
  <c r="B150" i="59" s="1"/>
  <c r="F150" i="59" s="1"/>
  <c r="E98" i="12"/>
  <c r="G98" i="12" s="1"/>
  <c r="E65" i="12"/>
  <c r="G65" i="12" s="1"/>
  <c r="E114" i="12"/>
  <c r="G114" i="12" s="1"/>
  <c r="E34" i="12"/>
  <c r="G34" i="12" s="1"/>
  <c r="E35" i="12"/>
  <c r="G35" i="12" s="1"/>
  <c r="E43" i="12"/>
  <c r="G43" i="12" s="1"/>
  <c r="E115" i="12"/>
  <c r="G115" i="12" s="1"/>
  <c r="E105" i="12"/>
  <c r="G105" i="12" s="1"/>
  <c r="E25" i="12"/>
  <c r="G25" i="12" s="1"/>
  <c r="E39" i="12"/>
  <c r="G39" i="12" s="1"/>
  <c r="E144" i="12"/>
  <c r="G144" i="12" s="1"/>
  <c r="E48" i="12"/>
  <c r="G48" i="12" s="1"/>
  <c r="E81" i="12"/>
  <c r="G81" i="12" s="1"/>
  <c r="E28" i="12"/>
  <c r="G28" i="12" s="1"/>
  <c r="E124" i="12"/>
  <c r="G124" i="12" s="1"/>
  <c r="E19" i="5"/>
  <c r="F19" i="5" s="1"/>
  <c r="G21" i="8"/>
  <c r="I21" i="8" s="1"/>
  <c r="E30" i="59"/>
  <c r="G30" i="59" s="1"/>
  <c r="E24" i="59"/>
  <c r="G24" i="59" s="1"/>
  <c r="E25" i="59"/>
  <c r="G25" i="59" s="1"/>
  <c r="E74" i="59"/>
  <c r="G74" i="59" s="1"/>
  <c r="E138" i="59"/>
  <c r="G138" i="59" s="1"/>
  <c r="E101" i="59"/>
  <c r="G101" i="59" s="1"/>
  <c r="E57" i="59"/>
  <c r="G57" i="59" s="1"/>
  <c r="E120" i="59"/>
  <c r="G120" i="59" s="1"/>
  <c r="E59" i="59"/>
  <c r="G59" i="59" s="1"/>
  <c r="E123" i="59"/>
  <c r="G123" i="59" s="1"/>
  <c r="E86" i="59"/>
  <c r="G86" i="59" s="1"/>
  <c r="E150" i="59"/>
  <c r="G150" i="59" s="1"/>
  <c r="E97" i="59"/>
  <c r="G97" i="59" s="1"/>
  <c r="E60" i="59"/>
  <c r="G60" i="59" s="1"/>
  <c r="E124" i="59"/>
  <c r="G124" i="59" s="1"/>
  <c r="E87" i="59"/>
  <c r="G87" i="59" s="1"/>
  <c r="E99" i="12"/>
  <c r="G99" i="12" s="1"/>
  <c r="E96" i="12"/>
  <c r="G96" i="12" s="1"/>
  <c r="E112" i="12"/>
  <c r="G112" i="12" s="1"/>
  <c r="E42" i="12"/>
  <c r="G42" i="12" s="1"/>
  <c r="E64" i="12"/>
  <c r="G64" i="12" s="1"/>
  <c r="E62" i="12"/>
  <c r="G62" i="12" s="1"/>
  <c r="E78" i="12"/>
  <c r="G78" i="12" s="1"/>
  <c r="E137" i="12"/>
  <c r="G137" i="12" s="1"/>
  <c r="E22" i="12"/>
  <c r="G22" i="12" s="1"/>
  <c r="E44" i="12"/>
  <c r="G44" i="12" s="1"/>
  <c r="E103" i="12"/>
  <c r="G103" i="12" s="1"/>
  <c r="E36" i="12"/>
  <c r="G36" i="12" s="1"/>
  <c r="E104" i="12"/>
  <c r="G104" i="12" s="1"/>
  <c r="E45" i="12"/>
  <c r="G45" i="12" s="1"/>
  <c r="E61" i="12"/>
  <c r="G61" i="12" s="1"/>
  <c r="G20" i="8"/>
  <c r="I20" i="8" s="1"/>
  <c r="E18" i="5"/>
  <c r="F18" i="5" s="1"/>
  <c r="E38" i="59"/>
  <c r="G38" i="59" s="1"/>
  <c r="E31" i="59"/>
  <c r="G31" i="59" s="1"/>
  <c r="E32" i="59"/>
  <c r="G32" i="59" s="1"/>
  <c r="E82" i="59"/>
  <c r="G82" i="59" s="1"/>
  <c r="E146" i="59"/>
  <c r="G146" i="59" s="1"/>
  <c r="E109" i="59"/>
  <c r="G109" i="59" s="1"/>
  <c r="E64" i="59"/>
  <c r="G64" i="59" s="1"/>
  <c r="E128" i="59"/>
  <c r="G128" i="59" s="1"/>
  <c r="E67" i="59"/>
  <c r="G67" i="59" s="1"/>
  <c r="E131" i="59"/>
  <c r="G131" i="59" s="1"/>
  <c r="E94" i="59"/>
  <c r="G94" i="59" s="1"/>
  <c r="E44" i="59"/>
  <c r="G44" i="59" s="1"/>
  <c r="E105" i="59"/>
  <c r="G105" i="59" s="1"/>
  <c r="E68" i="59"/>
  <c r="G68" i="59" s="1"/>
  <c r="E132" i="59"/>
  <c r="G132" i="59" s="1"/>
  <c r="E95" i="59"/>
  <c r="G95" i="59" s="1"/>
  <c r="E116" i="12"/>
  <c r="G116" i="12" s="1"/>
  <c r="E55" i="12"/>
  <c r="G55" i="12" s="1"/>
  <c r="E135" i="12"/>
  <c r="G135" i="12" s="1"/>
  <c r="E110" i="12"/>
  <c r="G110" i="12" s="1"/>
  <c r="E113" i="12"/>
  <c r="G113" i="12" s="1"/>
  <c r="E148" i="12"/>
  <c r="G148" i="12" s="1"/>
  <c r="E121" i="12"/>
  <c r="G121" i="12" s="1"/>
  <c r="E58" i="12"/>
  <c r="G58" i="12" s="1"/>
  <c r="E66" i="12"/>
  <c r="G66" i="12" s="1"/>
  <c r="E136" i="12"/>
  <c r="G136" i="12" s="1"/>
  <c r="E109" i="12"/>
  <c r="G109" i="12" s="1"/>
  <c r="E125" i="12"/>
  <c r="G125" i="12" s="1"/>
  <c r="E59" i="12"/>
  <c r="G59" i="12" s="1"/>
  <c r="E102" i="12"/>
  <c r="G102" i="12" s="1"/>
  <c r="E126" i="12"/>
  <c r="G126" i="12" s="1"/>
  <c r="E24" i="5"/>
  <c r="F24" i="5" s="1"/>
  <c r="G26" i="8"/>
  <c r="I26" i="8" s="1"/>
  <c r="E21" i="59"/>
  <c r="G21" i="59" s="1"/>
  <c r="E39" i="59"/>
  <c r="G39" i="59" s="1"/>
  <c r="E40" i="59"/>
  <c r="G40" i="59" s="1"/>
  <c r="E90" i="59"/>
  <c r="G90" i="59" s="1"/>
  <c r="E48" i="59"/>
  <c r="G48" i="59" s="1"/>
  <c r="E117" i="59"/>
  <c r="G117" i="59" s="1"/>
  <c r="E72" i="59"/>
  <c r="G72" i="59" s="1"/>
  <c r="E136" i="59"/>
  <c r="G136" i="59" s="1"/>
  <c r="E75" i="59"/>
  <c r="G75" i="59" s="1"/>
  <c r="E139" i="59"/>
  <c r="G139" i="59" s="1"/>
  <c r="E102" i="59"/>
  <c r="G102" i="59" s="1"/>
  <c r="E50" i="59"/>
  <c r="G50" i="59" s="1"/>
  <c r="E113" i="59"/>
  <c r="G113" i="59" s="1"/>
  <c r="E76" i="59"/>
  <c r="G76" i="59" s="1"/>
  <c r="E140" i="59"/>
  <c r="G140" i="59" s="1"/>
  <c r="E103" i="59"/>
  <c r="G103" i="59" s="1"/>
  <c r="E70" i="12"/>
  <c r="G70" i="12" s="1"/>
  <c r="E29" i="12"/>
  <c r="G29" i="12" s="1"/>
  <c r="E31" i="12"/>
  <c r="G31" i="12" s="1"/>
  <c r="E139" i="12"/>
  <c r="G139" i="12" s="1"/>
  <c r="E50" i="12"/>
  <c r="G50" i="12" s="1"/>
  <c r="E120" i="12"/>
  <c r="G120" i="12" s="1"/>
  <c r="E67" i="12"/>
  <c r="G67" i="12" s="1"/>
  <c r="E20" i="12"/>
  <c r="G20" i="12" s="1"/>
  <c r="E85" i="12"/>
  <c r="G85" i="12" s="1"/>
  <c r="E141" i="12"/>
  <c r="G141" i="12" s="1"/>
  <c r="E53" i="12"/>
  <c r="G53" i="12" s="1"/>
  <c r="E134" i="12"/>
  <c r="G134" i="12" s="1"/>
  <c r="E150" i="12"/>
  <c r="G150" i="12" s="1"/>
  <c r="E87" i="12"/>
  <c r="G87" i="12" s="1"/>
  <c r="E122" i="12"/>
  <c r="G122" i="12" s="1"/>
  <c r="E145" i="12"/>
  <c r="G145" i="12" s="1"/>
  <c r="E21" i="5"/>
  <c r="F21" i="5" s="1"/>
  <c r="G23" i="8"/>
  <c r="I23" i="8" s="1"/>
  <c r="E33" i="59"/>
  <c r="G33" i="59" s="1"/>
  <c r="E26" i="59"/>
  <c r="G26" i="59" s="1"/>
  <c r="E41" i="59"/>
  <c r="G41" i="59" s="1"/>
  <c r="E98" i="59"/>
  <c r="G98" i="59" s="1"/>
  <c r="E61" i="59"/>
  <c r="G61" i="59" s="1"/>
  <c r="E125" i="59"/>
  <c r="G125" i="59" s="1"/>
  <c r="E80" i="59"/>
  <c r="G80" i="59" s="1"/>
  <c r="E144" i="59"/>
  <c r="G144" i="59" s="1"/>
  <c r="E83" i="59"/>
  <c r="G83" i="59" s="1"/>
  <c r="E147" i="59"/>
  <c r="G147" i="59" s="1"/>
  <c r="E110" i="59"/>
  <c r="G110" i="59" s="1"/>
  <c r="E58" i="59"/>
  <c r="G58" i="59" s="1"/>
  <c r="E121" i="59"/>
  <c r="G121" i="59" s="1"/>
  <c r="E84" i="59"/>
  <c r="G84" i="59" s="1"/>
  <c r="E148" i="59"/>
  <c r="G148" i="59" s="1"/>
  <c r="E111" i="59"/>
  <c r="G111" i="59" s="1"/>
  <c r="E72" i="12"/>
  <c r="G72" i="12" s="1"/>
  <c r="E30" i="12"/>
  <c r="G30" i="12" s="1"/>
  <c r="E140" i="12"/>
  <c r="G140" i="12" s="1"/>
  <c r="E79" i="12"/>
  <c r="G79" i="12" s="1"/>
  <c r="E77" i="12"/>
  <c r="G77" i="12" s="1"/>
  <c r="E93" i="12"/>
  <c r="G93" i="12" s="1"/>
  <c r="E49" i="12"/>
  <c r="G49" i="12" s="1"/>
  <c r="E143" i="12"/>
  <c r="G143" i="12" s="1"/>
  <c r="E57" i="12"/>
  <c r="G57" i="12" s="1"/>
  <c r="E75" i="12"/>
  <c r="G75" i="12" s="1"/>
  <c r="E56" i="12"/>
  <c r="G56" i="12" s="1"/>
  <c r="E41" i="12"/>
  <c r="G41" i="12" s="1"/>
  <c r="E60" i="12"/>
  <c r="G60" i="12" s="1"/>
  <c r="G24" i="8"/>
  <c r="I24" i="8" s="1"/>
  <c r="E22" i="5"/>
  <c r="F22" i="5" s="1"/>
  <c r="E43" i="59"/>
  <c r="G43" i="59" s="1"/>
  <c r="E34" i="59"/>
  <c r="G34" i="59" s="1"/>
  <c r="E42" i="59"/>
  <c r="G42" i="59" s="1"/>
  <c r="E106" i="59"/>
  <c r="G106" i="59" s="1"/>
  <c r="E69" i="59"/>
  <c r="G69" i="59" s="1"/>
  <c r="E133" i="59"/>
  <c r="G133" i="59" s="1"/>
  <c r="E88" i="59"/>
  <c r="G88" i="59" s="1"/>
  <c r="E46" i="59"/>
  <c r="G46" i="59" s="1"/>
  <c r="E91" i="59"/>
  <c r="G91" i="59" s="1"/>
  <c r="E52" i="59"/>
  <c r="G52" i="59" s="1"/>
  <c r="E118" i="59"/>
  <c r="G118" i="59" s="1"/>
  <c r="E65" i="59"/>
  <c r="G65" i="59" s="1"/>
  <c r="E129" i="59"/>
  <c r="G129" i="59" s="1"/>
  <c r="E92" i="59"/>
  <c r="G92" i="59" s="1"/>
  <c r="E53" i="59"/>
  <c r="G53" i="59" s="1"/>
  <c r="E119" i="59"/>
  <c r="G119" i="59" s="1"/>
  <c r="E73" i="12"/>
  <c r="G73" i="12" s="1"/>
  <c r="E129" i="12"/>
  <c r="G129" i="12" s="1"/>
  <c r="E52" i="12"/>
  <c r="G52" i="12" s="1"/>
  <c r="E111" i="12"/>
  <c r="G111" i="12" s="1"/>
  <c r="E146" i="12"/>
  <c r="G146" i="12" s="1"/>
  <c r="E119" i="12"/>
  <c r="G119" i="12" s="1"/>
  <c r="E118" i="12"/>
  <c r="G118" i="12" s="1"/>
  <c r="E38" i="12"/>
  <c r="G38" i="12" s="1"/>
  <c r="E88" i="12"/>
  <c r="G88" i="12" s="1"/>
  <c r="E100" i="12"/>
  <c r="G100" i="12" s="1"/>
  <c r="E108" i="12"/>
  <c r="G108" i="12" s="1"/>
  <c r="E21" i="12"/>
  <c r="G21" i="12" s="1"/>
  <c r="E132" i="12"/>
  <c r="G132" i="12" s="1"/>
  <c r="E47" i="12"/>
  <c r="G47" i="12" s="1"/>
  <c r="E32" i="12"/>
  <c r="G32" i="12" s="1"/>
  <c r="E25" i="5"/>
  <c r="F25" i="5" s="1"/>
  <c r="G27" i="8"/>
  <c r="I27" i="8" s="1"/>
  <c r="E23" i="5"/>
  <c r="F23" i="5" s="1"/>
  <c r="G25" i="8"/>
  <c r="I25" i="8" s="1"/>
  <c r="E27" i="59"/>
  <c r="G27" i="59" s="1"/>
  <c r="E23" i="59"/>
  <c r="G23" i="59" s="1"/>
  <c r="E19" i="59"/>
  <c r="G19" i="59" s="1"/>
  <c r="E47" i="59"/>
  <c r="G47" i="59" s="1"/>
  <c r="E114" i="59"/>
  <c r="G114" i="59" s="1"/>
  <c r="E77" i="59"/>
  <c r="G77" i="59" s="1"/>
  <c r="E141" i="59"/>
  <c r="G141" i="59" s="1"/>
  <c r="E96" i="59"/>
  <c r="G96" i="59" s="1"/>
  <c r="E51" i="59"/>
  <c r="G51" i="59" s="1"/>
  <c r="E99" i="59"/>
  <c r="G99" i="59" s="1"/>
  <c r="E62" i="59"/>
  <c r="G62" i="59" s="1"/>
  <c r="E126" i="59"/>
  <c r="G126" i="59" s="1"/>
  <c r="E73" i="59"/>
  <c r="G73" i="59" s="1"/>
  <c r="E137" i="59"/>
  <c r="G137" i="59" s="1"/>
  <c r="E100" i="59"/>
  <c r="G100" i="59" s="1"/>
  <c r="E63" i="59"/>
  <c r="G63" i="59" s="1"/>
  <c r="E127" i="59"/>
  <c r="G127" i="59" s="1"/>
  <c r="E24" i="12"/>
  <c r="G24" i="12" s="1"/>
  <c r="E26" i="12"/>
  <c r="G26" i="12" s="1"/>
  <c r="E40" i="12"/>
  <c r="G40" i="12" s="1"/>
  <c r="E37" i="12"/>
  <c r="G37" i="12" s="1"/>
  <c r="E33" i="12"/>
  <c r="G33" i="12" s="1"/>
  <c r="E92" i="12"/>
  <c r="G92" i="12" s="1"/>
  <c r="E51" i="12"/>
  <c r="G51" i="12" s="1"/>
  <c r="E19" i="12"/>
  <c r="G19" i="12" s="1"/>
  <c r="C39" i="11" s="1"/>
  <c r="C45" i="11" s="1"/>
  <c r="E138" i="12"/>
  <c r="G138" i="12" s="1"/>
  <c r="E107" i="12"/>
  <c r="G107" i="12" s="1"/>
  <c r="E123" i="12"/>
  <c r="G123" i="12" s="1"/>
  <c r="E23" i="12"/>
  <c r="G23" i="12" s="1"/>
  <c r="E74" i="12"/>
  <c r="G74" i="12" s="1"/>
  <c r="E27" i="12"/>
  <c r="G27" i="12" s="1"/>
  <c r="E117" i="12"/>
  <c r="G117" i="12" s="1"/>
  <c r="E17" i="5"/>
  <c r="F17" i="5" s="1"/>
  <c r="G19" i="8"/>
  <c r="I19" i="8" s="1"/>
  <c r="E20" i="5"/>
  <c r="F20" i="5" s="1"/>
  <c r="G22" i="8"/>
  <c r="I22" i="8" s="1"/>
  <c r="E35" i="59"/>
  <c r="G35" i="59" s="1"/>
  <c r="E28" i="59"/>
  <c r="G28" i="59" s="1"/>
  <c r="E29" i="59"/>
  <c r="G29" i="59" s="1"/>
  <c r="E54" i="59"/>
  <c r="G54" i="59" s="1"/>
  <c r="E122" i="59"/>
  <c r="G122" i="59" s="1"/>
  <c r="E85" i="59"/>
  <c r="G85" i="59" s="1"/>
  <c r="E149" i="59"/>
  <c r="G149" i="59" s="1"/>
  <c r="E104" i="59"/>
  <c r="G104" i="59" s="1"/>
  <c r="E55" i="59"/>
  <c r="G55" i="59" s="1"/>
  <c r="E107" i="59"/>
  <c r="G107" i="59" s="1"/>
  <c r="E70" i="59"/>
  <c r="G70" i="59" s="1"/>
  <c r="E134" i="59"/>
  <c r="G134" i="59" s="1"/>
  <c r="E81" i="59"/>
  <c r="G81" i="59" s="1"/>
  <c r="E145" i="59"/>
  <c r="G145" i="59" s="1"/>
  <c r="E108" i="59"/>
  <c r="G108" i="59" s="1"/>
  <c r="E71" i="59"/>
  <c r="G71" i="59" s="1"/>
  <c r="E135" i="59"/>
  <c r="G135" i="59" s="1"/>
  <c r="E130" i="12"/>
  <c r="G130" i="12" s="1"/>
  <c r="E131" i="12"/>
  <c r="G131" i="12" s="1"/>
  <c r="E69" i="12"/>
  <c r="G69" i="12" s="1"/>
  <c r="E106" i="12"/>
  <c r="G106" i="12" s="1"/>
  <c r="E71" i="12"/>
  <c r="G71" i="12" s="1"/>
  <c r="E91" i="12"/>
  <c r="G91" i="12" s="1"/>
  <c r="E76" i="12"/>
  <c r="G76" i="12" s="1"/>
  <c r="E149" i="12"/>
  <c r="G149" i="12" s="1"/>
  <c r="E83" i="12"/>
  <c r="G83" i="12" s="1"/>
  <c r="E86" i="12"/>
  <c r="G86" i="12" s="1"/>
  <c r="E94" i="12"/>
  <c r="G94" i="12" s="1"/>
  <c r="E90" i="12"/>
  <c r="G90" i="12" s="1"/>
  <c r="E46" i="12"/>
  <c r="G46" i="12" s="1"/>
  <c r="E147" i="12"/>
  <c r="G147" i="12" s="1"/>
  <c r="E89" i="12"/>
  <c r="G89" i="12" s="1"/>
  <c r="E26" i="5"/>
  <c r="F26" i="5" s="1"/>
  <c r="G28" i="8"/>
  <c r="I28" i="8" s="1"/>
  <c r="G18" i="8"/>
  <c r="I18" i="8" s="1"/>
  <c r="E16" i="5"/>
  <c r="F16" i="5" s="1"/>
  <c r="E20" i="59"/>
  <c r="G20" i="59" s="1"/>
  <c r="E36" i="59"/>
  <c r="G36" i="59" s="1"/>
  <c r="E37" i="59"/>
  <c r="G37" i="59" s="1"/>
  <c r="E66" i="59"/>
  <c r="G66" i="59" s="1"/>
  <c r="E130" i="59"/>
  <c r="G130" i="59" s="1"/>
  <c r="E93" i="59"/>
  <c r="G93" i="59" s="1"/>
  <c r="E49" i="59"/>
  <c r="G49" i="59" s="1"/>
  <c r="E112" i="59"/>
  <c r="G112" i="59" s="1"/>
  <c r="E56" i="59"/>
  <c r="G56" i="59" s="1"/>
  <c r="E115" i="59"/>
  <c r="G115" i="59" s="1"/>
  <c r="E78" i="59"/>
  <c r="G78" i="59" s="1"/>
  <c r="E142" i="59"/>
  <c r="G142" i="59" s="1"/>
  <c r="E89" i="59"/>
  <c r="G89" i="59" s="1"/>
  <c r="E45" i="59"/>
  <c r="G45" i="59" s="1"/>
  <c r="E116" i="59"/>
  <c r="G116" i="59" s="1"/>
  <c r="E79" i="59"/>
  <c r="G79" i="59" s="1"/>
  <c r="E143" i="59"/>
  <c r="G143" i="59" s="1"/>
  <c r="C54" i="11" l="1"/>
  <c r="C49" i="11"/>
  <c r="C58" i="11" s="1"/>
  <c r="I29" i="8"/>
  <c r="F27" i="5"/>
  <c r="D39" i="11"/>
  <c r="D45" i="11" s="1"/>
  <c r="D49" i="11" s="1"/>
  <c r="C60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</author>
  </authors>
  <commentList>
    <comment ref="C1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Blend the rate if appropriate:  Yrs 1-5 = 6%; Yrs 6 - 10 = 4%; blend would be 5%</t>
        </r>
      </text>
    </comment>
    <comment ref="C18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Leave cells blank (not $0) if unused.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 Richardson</author>
  </authors>
  <commentList>
    <comment ref="C4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Sunflower Bank proforma 01.26.16, non-TIF debt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 Richardson</author>
  </authors>
  <commentList>
    <comment ref="C4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03.15.16 OPX proforma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</author>
  </authors>
  <commentList>
    <comment ref="D13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If no 3rd party agent is involved, enter "None".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</author>
    <author>Ruth Persels</author>
  </authors>
  <commentList>
    <comment ref="D11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If no 3rd party agent is involved, enter "None".
</t>
        </r>
      </text>
    </comment>
    <comment ref="C16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Ruth Persels:</t>
        </r>
        <r>
          <rPr>
            <sz val="9"/>
            <color indexed="81"/>
            <rFont val="Tahoma"/>
            <family val="2"/>
          </rPr>
          <t xml:space="preserve">
Enter base rent rate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</author>
    <author>Ruth Persels</author>
  </authors>
  <commentList>
    <comment ref="D11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If no 3rd party agent is involved, enter "None".
</t>
        </r>
      </text>
    </comment>
    <comment ref="C16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Ruth Persels:</t>
        </r>
        <r>
          <rPr>
            <sz val="9"/>
            <color indexed="81"/>
            <rFont val="Tahoma"/>
            <family val="2"/>
          </rPr>
          <t xml:space="preserve">
Enter base rent rate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</author>
    <author>Todd Richardson</author>
  </authors>
  <commentList>
    <comment ref="J5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Per rent roll</t>
        </r>
      </text>
    </comment>
    <comment ref="F7" authorId="1" shapeId="0" xr:uid="{BF1401B7-31DA-489B-BDD8-53898A9220A6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21 Webb Proforma (Total and Bldg 3 update) 03.16.16, total proj costs adj for TI and commissions which are factored in elsewhere in the analysis</t>
        </r>
      </text>
    </comment>
    <comment ref="M7" authorId="1" shapeId="0" xr:uid="{DF9DE0B5-01E1-4585-BE5E-088583EC9DF5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21 Webb Proforma (Total and Bldg 3 update) 03.16.16, total proj costs adj for TI and commissions which are factored in elsewhere in the analysis</t>
        </r>
      </text>
    </comment>
    <comment ref="O7" authorId="1" shapeId="0" xr:uid="{22043DD1-B790-4E98-8F65-767D2D89794F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21 Webb Proforma (Total and Bldg 3 update) 03.16.16, total proj costs adj for TI and commissions which are factored in elsewhere in the analysis</t>
        </r>
      </text>
    </comment>
    <comment ref="R7" authorId="1" shapeId="0" xr:uid="{40DC0AA4-6DC4-4D4C-8E7D-7484AB6483F3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21Webb proforma (Total and Bldg 3 update) 03.17.14, long term interest rate adj to 4% and monthly payment recalculated</t>
        </r>
      </text>
    </comment>
    <comment ref="B8" authorId="1" shapeId="0" xr:uid="{3B28240E-8B46-448D-9DA2-E8587C7E8270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C8" authorId="1" shapeId="0" xr:uid="{291B35E2-EF40-4949-9051-686589F77123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D8" authorId="1" shapeId="0" xr:uid="{E2F67071-D72E-44FC-98E9-AC6CC0E511CC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E8" authorId="1" shapeId="0" xr:uid="{B11E6A48-6D10-4249-8074-E379E3EF001F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F8" authorId="1" shapeId="0" xr:uid="{A7496F27-4496-4A1B-BD4A-AF405999BCD7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H9" authorId="0" shapeId="0" xr:uid="{BE789612-1F51-4F46-A49C-3716222C5E52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NNN property; Landlord expenses per SF
</t>
        </r>
      </text>
    </comment>
    <comment ref="F10" authorId="0" shapeId="0" xr:uid="{ADADB4A8-21E6-47C9-A600-0396EE0F88E5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Excludes warehouse space</t>
        </r>
      </text>
    </comment>
    <comment ref="H10" authorId="0" shapeId="0" xr:uid="{364E80A4-E9E7-4947-BF5A-4EFD93563994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NNN property; Landlord expenses per SF
</t>
        </r>
      </text>
    </comment>
    <comment ref="H11" authorId="0" shapeId="0" xr:uid="{1A266DCC-AB66-40C7-A39E-732742DB2241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NNN property; Landlord expenses per SF
</t>
        </r>
      </text>
    </comment>
    <comment ref="H12" authorId="0" shapeId="0" xr:uid="{342761F8-6418-4980-B9D1-97C4A958EC56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NNN property; Landlord expenses per SF
</t>
        </r>
      </text>
    </comment>
    <comment ref="F13" authorId="1" shapeId="0" xr:uid="{16A194E9-9973-490E-87F5-9EB37B59CA9D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Retail only from  3/10/14 proforma breakout tab, excludes TI and commissions</t>
        </r>
      </text>
    </comment>
    <comment ref="O13" authorId="1" shapeId="0" xr:uid="{09E472E5-CE97-4509-A985-77BAA104A95A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Retail only from  3/10/14 proforma breakout tab, excludes TI and commissions</t>
        </r>
      </text>
    </comment>
    <comment ref="R13" authorId="1" shapeId="0" xr:uid="{E261233D-2924-4C45-B7E6-41AE5188EA3D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Retail only from  3/10/14 proforma breakout tab, excludes TI and commissions</t>
        </r>
      </text>
    </comment>
    <comment ref="H14" authorId="0" shapeId="0" xr:uid="{BC0015C7-46DB-47E2-92AB-B61884E7299A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NNN property; Landlord expenses per SF
</t>
        </r>
      </text>
    </comment>
    <comment ref="H15" authorId="0" shapeId="0" xr:uid="{3301805F-9CB7-47E8-9CB9-702E8BAAA2F5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Full Svce property; total operating expenses per SF</t>
        </r>
      </text>
    </comment>
    <comment ref="H16" authorId="0" shapeId="0" xr:uid="{E65D3D13-94F0-442B-B0C8-8062BF1EEDED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NNN property; Landlord expenses per SF
</t>
        </r>
      </text>
    </comment>
    <comment ref="O17" authorId="0" shapeId="0" xr:uid="{9B29827C-7F1E-4845-98D7-D90F28D433C1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From proforma dated 11/4/14 (NR14 only)</t>
        </r>
      </text>
    </comment>
    <comment ref="H18" authorId="0" shapeId="0" xr:uid="{7753B5B5-0BF8-4B93-AE2A-178A49903EA7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Full Svce property; total operating expenses per SF</t>
        </r>
      </text>
    </comment>
    <comment ref="F19" authorId="1" shapeId="0" xr:uid="{2B4B0054-3D75-468A-B87A-19467BC1F226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03.15.16 OPX proforma</t>
        </r>
      </text>
    </comment>
    <comment ref="O19" authorId="1" shapeId="0" xr:uid="{542F0567-73F7-42DA-AF1A-A8DDD5783568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03.15.16 OPX proforma, total proj costs adj for TI and commissions which are factored in elsewhere in the analysis</t>
        </r>
      </text>
    </comment>
    <comment ref="R19" authorId="1" shapeId="0" xr:uid="{9F9A0BD8-C422-404D-AE11-CD2AF58ECCC2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03.15.16 OPX proforma, total proj costs adj for TI and commissions which are factored in elsewhere in the analysis</t>
        </r>
      </text>
    </comment>
    <comment ref="H20" authorId="0" shapeId="0" xr:uid="{66905837-70C9-4D09-A019-51C116CE50BA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NNN property; Landlord expenses per SF
</t>
        </r>
      </text>
    </comment>
    <comment ref="B21" authorId="1" shapeId="0" xr:uid="{A0F15505-3763-46A3-84A2-AEE8F5E64C2D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C21" authorId="1" shapeId="0" xr:uid="{9E9FAAF8-D3E8-4C90-98BE-57A67A3F38BD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D21" authorId="1" shapeId="0" xr:uid="{5E78DE3F-D5EE-4378-AD1A-45EBCEDB3CAF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E21" authorId="1" shapeId="0" xr:uid="{ECB0BCAA-393C-431C-8A3C-EA993FE79FF2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F21" authorId="1" shapeId="0" xr:uid="{86D81B96-FA6B-47B1-B593-23D95DE7D018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F23" authorId="1" shapeId="0" xr:uid="{0E1C12FB-0F30-4039-8F7E-01416C31B968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03.10.16 TYP proforma prepared for Sunflower Bank, total proj costs adj for TI and commissions which are factored in elsewhere in the analysis</t>
        </r>
      </text>
    </comment>
    <comment ref="M23" authorId="1" shapeId="0" xr:uid="{76C2DF5E-DFBF-455C-81AC-05EF2DD9B657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03.10.16 TYP proforma prepared for Sunflower Bank, total proj costs adj for TI and commissions which are factored in elsewhere in the analysis</t>
        </r>
      </text>
    </comment>
    <comment ref="O23" authorId="1" shapeId="0" xr:uid="{96D29ECE-207F-449E-8B12-502968AF6533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03.10.16 TYP proforma prepared for Sunflower Bank, total proj costs adj for TI and commissions which are factored in elsewhere in the analysis</t>
        </r>
      </text>
    </comment>
    <comment ref="R23" authorId="1" shapeId="0" xr:uid="{3E0CE13E-74B7-423E-850E-6C2F478BBFA3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03.10.16 TYP proforma prepared for Sunflower Bank, total proj costs adj for TI and commissions which are factored in elsewhere in the analysis</t>
        </r>
      </text>
    </comment>
    <comment ref="F24" authorId="1" shapeId="0" xr:uid="{DBFB1661-8674-43CF-A7AC-A8C9D2048ABA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Sunflower Bank proforma 01.26.16</t>
        </r>
      </text>
    </comment>
    <comment ref="M24" authorId="1" shapeId="0" xr:uid="{5BE23BF7-088C-4CB1-B833-A53B9F86D24A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Sunflower Bank proforma 01.26.16</t>
        </r>
      </text>
    </comment>
    <comment ref="O24" authorId="1" shapeId="0" xr:uid="{35752BF1-E2FA-4188-94F8-BAD074A2BF8B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Sunflower Bank proforma 01.26.16</t>
        </r>
      </text>
    </comment>
    <comment ref="T24" authorId="1" shapeId="0" xr:uid="{F62C9675-1876-4EAC-91AC-F6DD0C0B58F8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non-TIF debt</t>
        </r>
      </text>
    </comment>
    <comment ref="B25" authorId="1" shapeId="0" xr:uid="{07D2817C-7302-48C4-9EAC-E9A7463012F5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C25" authorId="1" shapeId="0" xr:uid="{182F4DB6-91DC-4FB9-8129-99CD26D122F4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D25" authorId="1" shapeId="0" xr:uid="{AA1EE697-688A-4401-B4A8-69D5D4D74EEE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E25" authorId="1" shapeId="0" xr:uid="{09A05FCA-4CCF-472C-9192-DDFA6F70884B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F25" authorId="1" shapeId="0" xr:uid="{8E46C68E-F44F-4E93-8F2C-8CFB41FEB3CA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</author>
  </authors>
  <commentList>
    <comment ref="G17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Estimated w/ swap rate interest</t>
        </r>
      </text>
    </comment>
    <comment ref="G18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Estimated w/ swap rate interest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 Richardson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Todd Richardson
From 3/10/14 retail only proforma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 Richardson</author>
  </authors>
  <commentList>
    <comment ref="C4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21 Webb Proforma (Total and Bldg 3 update) 03.16.16, less $250k for estimated interest not funded through loan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 Richardson</author>
  </authors>
  <commentList>
    <comment ref="C4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03.10.16 TYP proforma prepared for Sunflower Bank</t>
        </r>
      </text>
    </comment>
  </commentList>
</comments>
</file>

<file path=xl/sharedStrings.xml><?xml version="1.0" encoding="utf-8"?>
<sst xmlns="http://schemas.openxmlformats.org/spreadsheetml/2006/main" count="3475" uniqueCount="1059">
  <si>
    <t>Year</t>
  </si>
  <si>
    <t>Enter Square Footage</t>
  </si>
  <si>
    <t>Tenant:</t>
  </si>
  <si>
    <t>Pita Pit</t>
  </si>
  <si>
    <t>Base Rent per Sq. Ft. in Final Yr of Lease</t>
  </si>
  <si>
    <t>Monthly Base Rent</t>
  </si>
  <si>
    <t>Monthly Base Rent in Final Yr of Lease</t>
  </si>
  <si>
    <t>Monthly NNN in Final Yr of Lease</t>
  </si>
  <si>
    <t>NNN rate per Sq. Ft.</t>
  </si>
  <si>
    <t>Security Deposit Amount</t>
  </si>
  <si>
    <t>Security Deposit Calculation</t>
  </si>
  <si>
    <t>Annual Base Rent Per Sq. Ft. Rate</t>
  </si>
  <si>
    <t>Total Annual Base Rent</t>
  </si>
  <si>
    <t>Fixed Minimum Rent Calculation</t>
  </si>
  <si>
    <t>Total Base Rent per Lease Agrmnt</t>
  </si>
  <si>
    <t>Commission %</t>
  </si>
  <si>
    <t>Total Commission</t>
  </si>
  <si>
    <t>Commission Calculation</t>
  </si>
  <si>
    <t>OMI Commission</t>
  </si>
  <si>
    <t>OMI Agent Commission</t>
  </si>
  <si>
    <t>3rd Party Commission</t>
  </si>
  <si>
    <t>3rd Party Agent Name</t>
  </si>
  <si>
    <t>N/A</t>
  </si>
  <si>
    <t>Additional Square Footage</t>
  </si>
  <si>
    <t>Notes:</t>
  </si>
  <si>
    <t>Triple Nets per Sq Ft</t>
  </si>
  <si>
    <t>Tenant Improvements -</t>
  </si>
  <si>
    <t xml:space="preserve">Total Improvements </t>
  </si>
  <si>
    <t xml:space="preserve">Total Sq. Ft. </t>
  </si>
  <si>
    <t>Interest Rate</t>
  </si>
  <si>
    <t>Term (Months)</t>
  </si>
  <si>
    <t>Beginning</t>
  </si>
  <si>
    <t>Ending</t>
  </si>
  <si>
    <t>Payment</t>
  </si>
  <si>
    <t>Principal</t>
  </si>
  <si>
    <t>_</t>
  </si>
  <si>
    <t>#</t>
  </si>
  <si>
    <t>Balance</t>
  </si>
  <si>
    <t>Interest</t>
  </si>
  <si>
    <t>Total</t>
  </si>
  <si>
    <t>Per Sq. Ft.</t>
  </si>
  <si>
    <t>21 Webb</t>
  </si>
  <si>
    <t>Property</t>
  </si>
  <si>
    <t>Central Plaza, LLC</t>
  </si>
  <si>
    <t>Douglas, LLC</t>
  </si>
  <si>
    <t>NDV Real Estate, LLC</t>
  </si>
  <si>
    <t>NR6, LLC - Office</t>
  </si>
  <si>
    <t>Occidental Property, LLC</t>
  </si>
  <si>
    <t>OPX, LLC</t>
  </si>
  <si>
    <t>Springcreek, LLC</t>
  </si>
  <si>
    <t>Auburn Pointe, LLC</t>
  </si>
  <si>
    <t>Lease Return Analysis</t>
  </si>
  <si>
    <t>Average</t>
  </si>
  <si>
    <t>TI Interest Rate</t>
  </si>
  <si>
    <t>Annual Base Rent Per Sq Ft</t>
  </si>
  <si>
    <t>Lease Term (Years)</t>
  </si>
  <si>
    <t>Commission Rate</t>
  </si>
  <si>
    <t>Occidental Management Properties</t>
  </si>
  <si>
    <t>Global Overview</t>
  </si>
  <si>
    <t>Property Debt Schedule - As of 12/31/13</t>
  </si>
  <si>
    <t>Monthly</t>
  </si>
  <si>
    <t>Bank</t>
  </si>
  <si>
    <t>Maturity</t>
  </si>
  <si>
    <t>Auburn Pointe</t>
  </si>
  <si>
    <t>Emprise Bank</t>
  </si>
  <si>
    <t>BelPointe</t>
  </si>
  <si>
    <t>Union Central Mortgage</t>
  </si>
  <si>
    <t>Central Plaza</t>
  </si>
  <si>
    <t>Mid American Credit Union</t>
  </si>
  <si>
    <t>Douglas</t>
  </si>
  <si>
    <t>Northrock Retail</t>
  </si>
  <si>
    <t>Bank of the West</t>
  </si>
  <si>
    <t>The Northrock</t>
  </si>
  <si>
    <t>Northrock 14</t>
  </si>
  <si>
    <t>Andover State Bank</t>
  </si>
  <si>
    <t>4</t>
  </si>
  <si>
    <t>Northwest Centre</t>
  </si>
  <si>
    <t>Grandbridge Real Estate</t>
  </si>
  <si>
    <t>Occidental Property</t>
  </si>
  <si>
    <t>Commerce Bank</t>
  </si>
  <si>
    <t>Royal I</t>
  </si>
  <si>
    <t>Relianz Bank</t>
  </si>
  <si>
    <t>Spring Creek</t>
  </si>
  <si>
    <t>Community National Bank</t>
  </si>
  <si>
    <t>Rose Hill Bank</t>
  </si>
  <si>
    <t>127 Pawnee</t>
  </si>
  <si>
    <t>Woodlawn 96</t>
  </si>
  <si>
    <t>Union Station</t>
  </si>
  <si>
    <t>3</t>
  </si>
  <si>
    <t>Tyler Pointe</t>
  </si>
  <si>
    <t>NDV Real Estate</t>
  </si>
  <si>
    <t>RP21</t>
  </si>
  <si>
    <t>Net Effective Rate Calculation</t>
  </si>
  <si>
    <t>Annual $</t>
  </si>
  <si>
    <t>Levered Rate of Return:</t>
  </si>
  <si>
    <t>- Rate of Return</t>
  </si>
  <si>
    <t>Debt per SF</t>
  </si>
  <si>
    <t>Debt Svce</t>
  </si>
  <si>
    <t>per SF</t>
  </si>
  <si>
    <t>SF</t>
  </si>
  <si>
    <t>Landlord TI per SF</t>
  </si>
  <si>
    <t>Tenant TI per SF amort through lease</t>
  </si>
  <si>
    <t>Tenant TI Amort through lease</t>
  </si>
  <si>
    <t xml:space="preserve">Landlord TI - Amortization Table </t>
  </si>
  <si>
    <t xml:space="preserve">Tenant TI - Amortization Table </t>
  </si>
  <si>
    <t>Initial Equity per SF</t>
  </si>
  <si>
    <t>Operating Expenses per SF</t>
  </si>
  <si>
    <t>- Initial Equity per SF</t>
  </si>
  <si>
    <t>Monthly Tenant Improve.  Rent</t>
  </si>
  <si>
    <t>Dec 31, 11</t>
  </si>
  <si>
    <t>Dec 31, 12</t>
  </si>
  <si>
    <t>Dec 31, 13</t>
  </si>
  <si>
    <t>ASSETS</t>
  </si>
  <si>
    <t>Current Assets</t>
  </si>
  <si>
    <t>Checking/Savings</t>
  </si>
  <si>
    <t>Equity Bank</t>
  </si>
  <si>
    <t>Emprise Bank - Savings</t>
  </si>
  <si>
    <t>Total Checking/Savings</t>
  </si>
  <si>
    <t>Accounts Receivable</t>
  </si>
  <si>
    <t>Total Accounts Receivable</t>
  </si>
  <si>
    <t>Other Current Assets</t>
  </si>
  <si>
    <t>Property Tax Escrow</t>
  </si>
  <si>
    <t>Prepaid Insurance</t>
  </si>
  <si>
    <t>Insurance Proceeds Receivable</t>
  </si>
  <si>
    <t>Total Other Current Assets</t>
  </si>
  <si>
    <t>Total Current Assets</t>
  </si>
  <si>
    <t>Fixed Assets</t>
  </si>
  <si>
    <t>Land</t>
  </si>
  <si>
    <t>Building</t>
  </si>
  <si>
    <t>Land Improvements</t>
  </si>
  <si>
    <t>Landscaping</t>
  </si>
  <si>
    <t>Pylon Sign</t>
  </si>
  <si>
    <t>Equipment</t>
  </si>
  <si>
    <t>Vanilla Box</t>
  </si>
  <si>
    <t>Tenant Improvements</t>
  </si>
  <si>
    <t>Accumulated Depreciation</t>
  </si>
  <si>
    <t>Total Fixed Assets</t>
  </si>
  <si>
    <t>Other Assets</t>
  </si>
  <si>
    <t>Loan Costs</t>
  </si>
  <si>
    <t>Amortization of Loan Costs</t>
  </si>
  <si>
    <t>Accum Amortization of Org Costs</t>
  </si>
  <si>
    <t>Total Other Assets</t>
  </si>
  <si>
    <t>TOTAL ASSETS</t>
  </si>
  <si>
    <t>LIABILITIES &amp; EQUITY</t>
  </si>
  <si>
    <t>Liabilities</t>
  </si>
  <si>
    <t>Current Liabilities</t>
  </si>
  <si>
    <t>Accounts Payable</t>
  </si>
  <si>
    <t>Total Accounts Payable</t>
  </si>
  <si>
    <t>Other Current Liabilities</t>
  </si>
  <si>
    <t>Accrued Liabilities</t>
  </si>
  <si>
    <t>Accrued Property Taxes</t>
  </si>
  <si>
    <t>Security Deposits</t>
  </si>
  <si>
    <t>Total Other Current Liabilities</t>
  </si>
  <si>
    <t>Total Current Liabilities</t>
  </si>
  <si>
    <t>Long Term Liabilities</t>
  </si>
  <si>
    <t>N/P Equity Bank Const Loan</t>
  </si>
  <si>
    <t>N/P Emprise Loan</t>
  </si>
  <si>
    <t>Total Long Term Liabilities</t>
  </si>
  <si>
    <t>Total Liabilities</t>
  </si>
  <si>
    <t>Equity</t>
  </si>
  <si>
    <t>Equity - Gary Oborny</t>
  </si>
  <si>
    <t>Draw - Gary Oborny</t>
  </si>
  <si>
    <t>Equity - Vasilatos Family LLC</t>
  </si>
  <si>
    <t>Draw- Vasilatos Family LLC</t>
  </si>
  <si>
    <t>Retained Earnings</t>
  </si>
  <si>
    <t>Net Income</t>
  </si>
  <si>
    <t>Total Equity</t>
  </si>
  <si>
    <t>TOTAL LIABILITIES &amp; EQUITY</t>
  </si>
  <si>
    <t>Jan - Dec 11</t>
  </si>
  <si>
    <t>Jan - Dec 12</t>
  </si>
  <si>
    <t>Jan - Dec 13</t>
  </si>
  <si>
    <t>TOTAL</t>
  </si>
  <si>
    <t>Ordinary Income/Expense</t>
  </si>
  <si>
    <t>Income</t>
  </si>
  <si>
    <t>Rental Income</t>
  </si>
  <si>
    <t>CAM Reimbursement</t>
  </si>
  <si>
    <t>Tax Reimbursement</t>
  </si>
  <si>
    <t>Insurance Reimbursement</t>
  </si>
  <si>
    <t>Late Fees</t>
  </si>
  <si>
    <t>Sign Rent Income</t>
  </si>
  <si>
    <t>Total Income</t>
  </si>
  <si>
    <t>Gross Profit</t>
  </si>
  <si>
    <t>Expense</t>
  </si>
  <si>
    <t>Administrative</t>
  </si>
  <si>
    <t>Reconciliation Discrepancies</t>
  </si>
  <si>
    <t>Storage Space Rent</t>
  </si>
  <si>
    <t>Lease Commissions</t>
  </si>
  <si>
    <t>Lease Commisssion-New</t>
  </si>
  <si>
    <t>Lease Commission-Renewal</t>
  </si>
  <si>
    <t>Total Lease Commissions</t>
  </si>
  <si>
    <t>Management Fee</t>
  </si>
  <si>
    <t>Printing/Copies</t>
  </si>
  <si>
    <t>Postage and Delivery</t>
  </si>
  <si>
    <t>Bank Charges</t>
  </si>
  <si>
    <t>UCC Filings</t>
  </si>
  <si>
    <t>Professional Fees</t>
  </si>
  <si>
    <t>Consultants</t>
  </si>
  <si>
    <t>Accounting</t>
  </si>
  <si>
    <t>RE Property Tax Appeal</t>
  </si>
  <si>
    <t>Professional Fees - Other</t>
  </si>
  <si>
    <t>Total Professional Fees</t>
  </si>
  <si>
    <t>Advertising</t>
  </si>
  <si>
    <t>Total Administrative</t>
  </si>
  <si>
    <t>Utilities</t>
  </si>
  <si>
    <t>Telephone</t>
  </si>
  <si>
    <t>Electric</t>
  </si>
  <si>
    <t>Electric 7207057204 Ste 115</t>
  </si>
  <si>
    <t>Electric 8620493645  Ste 129</t>
  </si>
  <si>
    <t>Electric 6060629509 HM1</t>
  </si>
  <si>
    <t>Electric 8620493645 HM2</t>
  </si>
  <si>
    <t>Total Electric</t>
  </si>
  <si>
    <t>Water</t>
  </si>
  <si>
    <t>Water-Tenant Reimbursement</t>
  </si>
  <si>
    <t>Total Utilities</t>
  </si>
  <si>
    <t>Maintenance</t>
  </si>
  <si>
    <t>Landscape Contract &amp; Supplies</t>
  </si>
  <si>
    <t>Bed Maintenance</t>
  </si>
  <si>
    <t>Chemical Application</t>
  </si>
  <si>
    <t>Edging, Weed-eating, Blowing</t>
  </si>
  <si>
    <t>Mowing</t>
  </si>
  <si>
    <t>Trimming</t>
  </si>
  <si>
    <t>Planting</t>
  </si>
  <si>
    <t>Supplies</t>
  </si>
  <si>
    <t>Total Landscape Contract &amp; Supplies</t>
  </si>
  <si>
    <t>Irrigation Contract &amp; Parts</t>
  </si>
  <si>
    <t>Irrigation-In House Labor</t>
  </si>
  <si>
    <t>Irrigation Contract &amp; Parts - Other</t>
  </si>
  <si>
    <t>Total Irrigation Contract &amp; Parts</t>
  </si>
  <si>
    <t>Grounds Contract &amp; Supplies</t>
  </si>
  <si>
    <t>Parking Lot Sweeping</t>
  </si>
  <si>
    <t>Trash Pick Up</t>
  </si>
  <si>
    <t>Grounds Contract &amp; Supplies - Other</t>
  </si>
  <si>
    <t>Total Grounds Contract &amp; Supplies</t>
  </si>
  <si>
    <t>Snow &amp; Ice Removal</t>
  </si>
  <si>
    <t>Snow Removal-In House Labor</t>
  </si>
  <si>
    <t>Snow Removal-Supplies</t>
  </si>
  <si>
    <t>Snow &amp; Ice Removal - Other</t>
  </si>
  <si>
    <t>Total Snow &amp; Ice Removal</t>
  </si>
  <si>
    <t>Parking Lot Repair</t>
  </si>
  <si>
    <t>Parking Lot-Supplies</t>
  </si>
  <si>
    <t>Parking Lot Repair - Other</t>
  </si>
  <si>
    <t>Total Parking Lot Repair</t>
  </si>
  <si>
    <t>Exterior Maintenance</t>
  </si>
  <si>
    <t>Exterior Maint-In House Labor</t>
  </si>
  <si>
    <t>Total Exterior Maintenance</t>
  </si>
  <si>
    <t>Garbage &amp; Trash Contract</t>
  </si>
  <si>
    <t>HVAC Contracts &amp; Parts</t>
  </si>
  <si>
    <t>HVAC-Supplies</t>
  </si>
  <si>
    <t>HVAC Contracts &amp; Parts - Other</t>
  </si>
  <si>
    <t>Total HVAC Contracts &amp; Parts</t>
  </si>
  <si>
    <t>Lighting Repairs &amp; Supplies</t>
  </si>
  <si>
    <t>Lighting-In House Labor</t>
  </si>
  <si>
    <t>Lighting Repairs &amp; Supplies - Other</t>
  </si>
  <si>
    <t>Total Lighting Repairs &amp; Supplies</t>
  </si>
  <si>
    <t>General Bldg Maintenance</t>
  </si>
  <si>
    <t>General-In House Labor</t>
  </si>
  <si>
    <t>General-Supplies</t>
  </si>
  <si>
    <t>Drive/Load</t>
  </si>
  <si>
    <t>Mileage</t>
  </si>
  <si>
    <t>Supervisory</t>
  </si>
  <si>
    <t>General Bldg Maintenance - Other</t>
  </si>
  <si>
    <t>Total General Bldg Maintenance</t>
  </si>
  <si>
    <t>Roof Repairs &amp; Supplies</t>
  </si>
  <si>
    <t>Roof Repairs-In House Labor</t>
  </si>
  <si>
    <t>Roof Repairs &amp; Supplies - Other</t>
  </si>
  <si>
    <t>Total Roof Repairs &amp; Supplies</t>
  </si>
  <si>
    <t>Marquee Sign</t>
  </si>
  <si>
    <t>Marqee Sign-In House Labor</t>
  </si>
  <si>
    <t>Marquee Sign - Other</t>
  </si>
  <si>
    <t>Total Marquee Sign</t>
  </si>
  <si>
    <t>Total Maintenance</t>
  </si>
  <si>
    <t>Insurance</t>
  </si>
  <si>
    <t>Taxes</t>
  </si>
  <si>
    <t>Real Estate Taxes Specials</t>
  </si>
  <si>
    <t>Real Estate Tax Refund</t>
  </si>
  <si>
    <t>Real Estate Taxes</t>
  </si>
  <si>
    <t>Annual Report</t>
  </si>
  <si>
    <t>Total Taxes</t>
  </si>
  <si>
    <t>Interest Expense</t>
  </si>
  <si>
    <t>Interest Expense Specials</t>
  </si>
  <si>
    <t>Mortgage Interest - Equity</t>
  </si>
  <si>
    <t>Mortgage Interest - Emprise</t>
  </si>
  <si>
    <t>Interest Expense - Other</t>
  </si>
  <si>
    <t>Total Interest Expense</t>
  </si>
  <si>
    <t>Depreciation Expense</t>
  </si>
  <si>
    <t>Amortization Expense-Loan Costs</t>
  </si>
  <si>
    <t>Amortization of Org Costs</t>
  </si>
  <si>
    <t>Total Expense</t>
  </si>
  <si>
    <t>Net Ordinary Income</t>
  </si>
  <si>
    <t>Other Income/Expense</t>
  </si>
  <si>
    <t>Other Income</t>
  </si>
  <si>
    <t>Interest Income</t>
  </si>
  <si>
    <t>Total Other Income</t>
  </si>
  <si>
    <t>Other Expense</t>
  </si>
  <si>
    <t>Loss on Disposal Assets</t>
  </si>
  <si>
    <t>Total Other Expense</t>
  </si>
  <si>
    <t>Net Other Income</t>
  </si>
  <si>
    <t>Checking-Emprise Bank</t>
  </si>
  <si>
    <t>Undeposited Funds</t>
  </si>
  <si>
    <t>Building-Architect</t>
  </si>
  <si>
    <t>Building - Other</t>
  </si>
  <si>
    <t>Total Building</t>
  </si>
  <si>
    <t>HVAC</t>
  </si>
  <si>
    <t>Plumbing &amp; Electrical</t>
  </si>
  <si>
    <t>Vanilla Box - Other</t>
  </si>
  <si>
    <t>Total Vanilla Box</t>
  </si>
  <si>
    <t>Sign</t>
  </si>
  <si>
    <t>Mortgage Escrow Account</t>
  </si>
  <si>
    <t>Amortization-Loan Costs</t>
  </si>
  <si>
    <t>RE Taxes Payable</t>
  </si>
  <si>
    <t>Mortgage Payable-Grandbridge</t>
  </si>
  <si>
    <t>GLO Capital</t>
  </si>
  <si>
    <t>GLO Distributions</t>
  </si>
  <si>
    <t>Sign Income</t>
  </si>
  <si>
    <t>Late Charges</t>
  </si>
  <si>
    <t>Lease Termination</t>
  </si>
  <si>
    <t>Subway Admin Fee</t>
  </si>
  <si>
    <t>Lease Commissions-New</t>
  </si>
  <si>
    <t>Lease Commissions-Renewals</t>
  </si>
  <si>
    <t>UCC Filing</t>
  </si>
  <si>
    <t>Storage Space</t>
  </si>
  <si>
    <t>Electricity-6254 HM</t>
  </si>
  <si>
    <t>Electricity-6254-#100</t>
  </si>
  <si>
    <t>Gas</t>
  </si>
  <si>
    <t>Gas-6254-#100</t>
  </si>
  <si>
    <t>Total Gas</t>
  </si>
  <si>
    <t>Retail Center-12002500</t>
  </si>
  <si>
    <t>Sprinkler-12002600</t>
  </si>
  <si>
    <t>Water-Tenant Reimbursements</t>
  </si>
  <si>
    <t>Total Water</t>
  </si>
  <si>
    <t>Landscape Contract &amp; Supplies - Other</t>
  </si>
  <si>
    <t>Irrigation Contracts &amp; Parts</t>
  </si>
  <si>
    <t>Irr Contract &amp; Parts - Other</t>
  </si>
  <si>
    <t>Irrigation-Supplies</t>
  </si>
  <si>
    <t>Irrigation Contracts &amp; Parts - Other</t>
  </si>
  <si>
    <t>Total Irrigation Contracts &amp; Parts</t>
  </si>
  <si>
    <t>Trash Pickup</t>
  </si>
  <si>
    <t>Parking Lot-In House Labor</t>
  </si>
  <si>
    <t>Exterior-In House Labor</t>
  </si>
  <si>
    <t>Exterior Maintenance - Other</t>
  </si>
  <si>
    <t>HVAC Contract &amp; Parts</t>
  </si>
  <si>
    <t>HVAC Contract &amp; Parts - Other</t>
  </si>
  <si>
    <t>Total HVAC Contract &amp; Parts</t>
  </si>
  <si>
    <t>Lighting-Supplies</t>
  </si>
  <si>
    <t>Plumbing Contracts &amp; Supplies</t>
  </si>
  <si>
    <t>Plumbing-In House Labor</t>
  </si>
  <si>
    <t>Total Plumbing Contracts &amp; Supplies</t>
  </si>
  <si>
    <t>Marquee-In House Labor</t>
  </si>
  <si>
    <t>Taxes-Real Estate</t>
  </si>
  <si>
    <t>Annual Report Fee</t>
  </si>
  <si>
    <t>Amortization Expense</t>
  </si>
  <si>
    <t>Legacy Bank</t>
  </si>
  <si>
    <t>Utility Deposit</t>
  </si>
  <si>
    <t>Parking Lot</t>
  </si>
  <si>
    <t>Signage</t>
  </si>
  <si>
    <t>Amort Loan Costs</t>
  </si>
  <si>
    <t>Tenant Security Deposits Held</t>
  </si>
  <si>
    <t>N/P Mid American Credit Union</t>
  </si>
  <si>
    <t>Motgage Note-Legacy</t>
  </si>
  <si>
    <t>R. Wayne Walter Trust, Equity</t>
  </si>
  <si>
    <t>Draw-R. Wayne Walter Trust</t>
  </si>
  <si>
    <t>Gary Oborny, Equity</t>
  </si>
  <si>
    <t>Draw-Gary Oborny</t>
  </si>
  <si>
    <t>Lease Revision Fee</t>
  </si>
  <si>
    <t>Lease Commision</t>
  </si>
  <si>
    <t>Lease Commission-New</t>
  </si>
  <si>
    <t>Total Lease Commision</t>
  </si>
  <si>
    <t>Printing &amp; Copies</t>
  </si>
  <si>
    <t>Postage &amp; Delivery</t>
  </si>
  <si>
    <t>Legal Fees</t>
  </si>
  <si>
    <t>Telephone Expense</t>
  </si>
  <si>
    <t>Electric-Suite C</t>
  </si>
  <si>
    <t>Electric HM 4976808843</t>
  </si>
  <si>
    <t>Gas-Suite C</t>
  </si>
  <si>
    <t>Edging,Weed-Eating,Blowing</t>
  </si>
  <si>
    <t>Trimming-Labor</t>
  </si>
  <si>
    <t>Trash Pick-Up</t>
  </si>
  <si>
    <t>Parking Lot Repairs</t>
  </si>
  <si>
    <t>Total Parking Lot Repairs</t>
  </si>
  <si>
    <t>Exterior-Supplies</t>
  </si>
  <si>
    <t>Plumbing Contracts &amp; Supplies - Other</t>
  </si>
  <si>
    <t>Drive/Load Time</t>
  </si>
  <si>
    <t>Supervisory-CAM</t>
  </si>
  <si>
    <t>Marquee/Pylon Sign</t>
  </si>
  <si>
    <t>Real Estate Taxes Refund</t>
  </si>
  <si>
    <t>KS Annual Report</t>
  </si>
  <si>
    <t>Bad Debt</t>
  </si>
  <si>
    <t>Checking-CNB</t>
  </si>
  <si>
    <t>Rents Receivable</t>
  </si>
  <si>
    <t>Tenant Finish Out</t>
  </si>
  <si>
    <t>Accrued RE Taxes</t>
  </si>
  <si>
    <t>Construction Loan-CNB</t>
  </si>
  <si>
    <t>Mortgage Note - Mid America CU</t>
  </si>
  <si>
    <t>Mortgage Note-CNB</t>
  </si>
  <si>
    <t>City of Wichita Facade Loan</t>
  </si>
  <si>
    <t>Equity-Oborny</t>
  </si>
  <si>
    <t>Licenses &amp; Permits</t>
  </si>
  <si>
    <t>Lease Commisson-Renewal</t>
  </si>
  <si>
    <t>UCC Fees</t>
  </si>
  <si>
    <t>Legal</t>
  </si>
  <si>
    <t>RE Protest Appeal</t>
  </si>
  <si>
    <t>Electrical</t>
  </si>
  <si>
    <t>1219441327-535 W Douglas Ste110</t>
  </si>
  <si>
    <t>535 W. Douglas #130 3744830763</t>
  </si>
  <si>
    <t>2715338964 535 W Douglas HM1</t>
  </si>
  <si>
    <t>Total Electrical</t>
  </si>
  <si>
    <t>#110</t>
  </si>
  <si>
    <t>#150</t>
  </si>
  <si>
    <t>#170</t>
  </si>
  <si>
    <t>#130</t>
  </si>
  <si>
    <t>Water Reimbursements</t>
  </si>
  <si>
    <t>Parking Lot Repairs - Other</t>
  </si>
  <si>
    <t>Exterior Repairs</t>
  </si>
  <si>
    <t>Total Exterior Repairs</t>
  </si>
  <si>
    <t>Plumbing-Supplies</t>
  </si>
  <si>
    <t>Pest Control</t>
  </si>
  <si>
    <t>Commercial Property &amp; Liability</t>
  </si>
  <si>
    <t>Total Insurance</t>
  </si>
  <si>
    <t>RE Taxes Specials</t>
  </si>
  <si>
    <t>RE Taxes Refund</t>
  </si>
  <si>
    <t>RE Taxes</t>
  </si>
  <si>
    <t>KS Franchise Tax</t>
  </si>
  <si>
    <t>Write-off of LHI Abandonment</t>
  </si>
  <si>
    <t>Commerce OP</t>
  </si>
  <si>
    <t>Amort - Closing Cost</t>
  </si>
  <si>
    <t>Closing Cost</t>
  </si>
  <si>
    <t>Development Cost</t>
  </si>
  <si>
    <t>Development Cost - Legal</t>
  </si>
  <si>
    <t>Development Cost - Other</t>
  </si>
  <si>
    <t>Total Development Cost</t>
  </si>
  <si>
    <t>Investor Lubrication Engineers</t>
  </si>
  <si>
    <t>Bank Service Charges</t>
  </si>
  <si>
    <t>Closing Cost Expense</t>
  </si>
  <si>
    <t>Farm Expense</t>
  </si>
  <si>
    <t>Insurance Expense</t>
  </si>
  <si>
    <t>Office Supplies</t>
  </si>
  <si>
    <t>Taxes - Property</t>
  </si>
  <si>
    <t>Farm - Crop Income</t>
  </si>
  <si>
    <t>Bank of the West-Operating Acct</t>
  </si>
  <si>
    <t>Bank of the West - Construction</t>
  </si>
  <si>
    <t>Bank of the West-Money Market</t>
  </si>
  <si>
    <t>Bank of the West-Money Market 2</t>
  </si>
  <si>
    <t>Rent Receivable</t>
  </si>
  <si>
    <t>Prepaid Elevator Maintenance</t>
  </si>
  <si>
    <t>Office Building</t>
  </si>
  <si>
    <t>Office Building Tenant Improv</t>
  </si>
  <si>
    <t>Site Improvements - Office</t>
  </si>
  <si>
    <t>Lobby Furniture</t>
  </si>
  <si>
    <t>Retail Shopping Center</t>
  </si>
  <si>
    <t>Constr in Progr - Office Bldg</t>
  </si>
  <si>
    <t>Accumlated Depreciation</t>
  </si>
  <si>
    <t>Prepaid Mgmt Fees - PMKS T.I.s</t>
  </si>
  <si>
    <t>Loan Costs-BOTW Office</t>
  </si>
  <si>
    <t>Loan Costs BOTW Retail</t>
  </si>
  <si>
    <t>Accrued Real Estate Taxes</t>
  </si>
  <si>
    <t>Bank of the West - Office Loan</t>
  </si>
  <si>
    <t>Bank of the West - Retail Loan</t>
  </si>
  <si>
    <t>Equity-Gary Oborny</t>
  </si>
  <si>
    <t>Equity-Vasilatos Family</t>
  </si>
  <si>
    <t>Draw-Vasilatos Family</t>
  </si>
  <si>
    <t>Equity-Michael Caughlin</t>
  </si>
  <si>
    <t>Draw-Michael Caughlin</t>
  </si>
  <si>
    <t>Additional Rent</t>
  </si>
  <si>
    <t>Printing and Copies</t>
  </si>
  <si>
    <t>RE Property Protest Fee</t>
  </si>
  <si>
    <t>Telephone-Security</t>
  </si>
  <si>
    <t>Telephone - Other</t>
  </si>
  <si>
    <t>Total Telephone</t>
  </si>
  <si>
    <t>Electric Office</t>
  </si>
  <si>
    <t>Electrical Reimbursement</t>
  </si>
  <si>
    <t>Electric Rock Rd Sign</t>
  </si>
  <si>
    <t>Electric 3242 Rock Rd HM</t>
  </si>
  <si>
    <t>Vacant Electric</t>
  </si>
  <si>
    <t>3242 N Rock Suite 114</t>
  </si>
  <si>
    <t>3242 N Rock Suite 118</t>
  </si>
  <si>
    <t>Total Vacant Electric</t>
  </si>
  <si>
    <t>Gas Office</t>
  </si>
  <si>
    <t>Gas Reimbursement</t>
  </si>
  <si>
    <t>Water-Office #136221</t>
  </si>
  <si>
    <t>Water-Office #138005</t>
  </si>
  <si>
    <t>Water-Retail #902126</t>
  </si>
  <si>
    <t>Water-Retail Sprinkler #136221</t>
  </si>
  <si>
    <t>Cable Service</t>
  </si>
  <si>
    <t>Bed maintenance</t>
  </si>
  <si>
    <t>Edging</t>
  </si>
  <si>
    <t>Landscape-Supplies</t>
  </si>
  <si>
    <t>Irrigation Contracts &amp; Supplies</t>
  </si>
  <si>
    <t>Irrigation Contracts &amp; Supplies - Other</t>
  </si>
  <si>
    <t>Total Irrigation Contracts &amp; Supplies</t>
  </si>
  <si>
    <t>HVAC Contract &amp; Supplies</t>
  </si>
  <si>
    <t>HVAC-In House Labor</t>
  </si>
  <si>
    <t>HVAC Contract &amp; Supplies - Other</t>
  </si>
  <si>
    <t>Total HVAC Contract &amp; Supplies</t>
  </si>
  <si>
    <t>Plumbing Contract &amp; Supplies</t>
  </si>
  <si>
    <t>Plumbing Contract &amp; Supplies - Other</t>
  </si>
  <si>
    <t>Total Plumbing Contract &amp; Supplies</t>
  </si>
  <si>
    <t>Marquee &amp; Signage</t>
  </si>
  <si>
    <t>Operational Fee</t>
  </si>
  <si>
    <t>Janitorial Contracts &amp; Supplies</t>
  </si>
  <si>
    <t>Janitorial Services</t>
  </si>
  <si>
    <t>Janitorial Supplies</t>
  </si>
  <si>
    <t>Total Janitorial Contracts &amp; Supplies</t>
  </si>
  <si>
    <t>Window Cleaning</t>
  </si>
  <si>
    <t>Elevator Maintenance</t>
  </si>
  <si>
    <t>Alarm System/Security</t>
  </si>
  <si>
    <t>Cross Parking Easement</t>
  </si>
  <si>
    <t>Fitness Center Reimbursement</t>
  </si>
  <si>
    <t>Interest Income-Bank of West</t>
  </si>
  <si>
    <t>Interest Income - Other</t>
  </si>
  <si>
    <t>Total Interest Income</t>
  </si>
  <si>
    <t>Vending Machine Commission</t>
  </si>
  <si>
    <t>Loss on Lease Abandonment</t>
  </si>
  <si>
    <t>Prepaid Lease Commissions</t>
  </si>
  <si>
    <t>Deposits</t>
  </si>
  <si>
    <t>Accrued Real Estate Payable</t>
  </si>
  <si>
    <t>N/P Gary L. Oborny</t>
  </si>
  <si>
    <t>N/P Andover State Bank</t>
  </si>
  <si>
    <t>Richard Marko - Equity</t>
  </si>
  <si>
    <t>Formosa Group, LLC-Equity</t>
  </si>
  <si>
    <t>Gary L. Oborny-Equity</t>
  </si>
  <si>
    <t>Justin Reed-Equity</t>
  </si>
  <si>
    <t>OVF 1, LLC-Equity</t>
  </si>
  <si>
    <t>R. Wayne Walter Trust-Equity</t>
  </si>
  <si>
    <t>Building Rent</t>
  </si>
  <si>
    <t>Late Fee</t>
  </si>
  <si>
    <t>Marketing</t>
  </si>
  <si>
    <t>MIleage Reimbursement</t>
  </si>
  <si>
    <t>Beds</t>
  </si>
  <si>
    <t>Trim</t>
  </si>
  <si>
    <t>Total Landscaping</t>
  </si>
  <si>
    <t>Snow Removal Supplies</t>
  </si>
  <si>
    <t>Ligiting</t>
  </si>
  <si>
    <t>Plumbing Contractor</t>
  </si>
  <si>
    <t>Drive Time</t>
  </si>
  <si>
    <t>General Building Maintenance</t>
  </si>
  <si>
    <t>General Supplies</t>
  </si>
  <si>
    <t>General Building Maintenance - Other</t>
  </si>
  <si>
    <t>Total General Building Maintenance</t>
  </si>
  <si>
    <t>Irrigation</t>
  </si>
  <si>
    <t>Adminstrative</t>
  </si>
  <si>
    <t>Lease Commisions</t>
  </si>
  <si>
    <t>Lease Commisisons-New</t>
  </si>
  <si>
    <t>Total Lease Commisions</t>
  </si>
  <si>
    <t>Printing and Reproduction</t>
  </si>
  <si>
    <t>Advertising and Promotion</t>
  </si>
  <si>
    <t>Consultant</t>
  </si>
  <si>
    <t>Total Adminstrative</t>
  </si>
  <si>
    <t>Water - 156812</t>
  </si>
  <si>
    <t>Gas - 1209824485</t>
  </si>
  <si>
    <t>Electric 2641184609</t>
  </si>
  <si>
    <t>RE Tax Refunds</t>
  </si>
  <si>
    <t>KS Annual Filing Fee</t>
  </si>
  <si>
    <t>RE Tax Appeals Fee</t>
  </si>
  <si>
    <t>Amort Expense</t>
  </si>
  <si>
    <t>Mortgage Interest-Andover State</t>
  </si>
  <si>
    <t>Repo Account</t>
  </si>
  <si>
    <t>Insurance Receivable</t>
  </si>
  <si>
    <t>Building - NWC</t>
  </si>
  <si>
    <t>Facia Remodel</t>
  </si>
  <si>
    <t>Signs</t>
  </si>
  <si>
    <t>Improvements</t>
  </si>
  <si>
    <t>New HVAC Units</t>
  </si>
  <si>
    <t>Accumulated  Depreciation</t>
  </si>
  <si>
    <t>Loan Costs-Grandbridge</t>
  </si>
  <si>
    <t>Amort of Loan Costs-Grandbridge</t>
  </si>
  <si>
    <t>Real Estate Tax Payable</t>
  </si>
  <si>
    <t>Equity - Baker</t>
  </si>
  <si>
    <t>Distributions - Baker</t>
  </si>
  <si>
    <t>Equity - Caughlin</t>
  </si>
  <si>
    <t>Distributions - Caughlin</t>
  </si>
  <si>
    <t>Equity - Greytak</t>
  </si>
  <si>
    <t>Distributions - Greytak</t>
  </si>
  <si>
    <t>Equity - Oborny</t>
  </si>
  <si>
    <t>Distributions - Oborny</t>
  </si>
  <si>
    <t>Retail Rent</t>
  </si>
  <si>
    <t>TAX Reimbursement</t>
  </si>
  <si>
    <t>Late Rent Fees</t>
  </si>
  <si>
    <t>Administration</t>
  </si>
  <si>
    <t>Lease Commission</t>
  </si>
  <si>
    <t>Total Lease Commission</t>
  </si>
  <si>
    <t>UCC Charges</t>
  </si>
  <si>
    <t>RE Property Tax Protest Appeal</t>
  </si>
  <si>
    <t>Total Administration</t>
  </si>
  <si>
    <t>Security/Fire Alarm</t>
  </si>
  <si>
    <t>Electric &amp; Gas</t>
  </si>
  <si>
    <t>Vacant Gas</t>
  </si>
  <si>
    <t>Building A/8606 W 13th</t>
  </si>
  <si>
    <t>8606 A-#190</t>
  </si>
  <si>
    <t>Total Building A/8606 W 13th</t>
  </si>
  <si>
    <t>Building B/8526 W. 13th</t>
  </si>
  <si>
    <t>8526 B-#160</t>
  </si>
  <si>
    <t>8526 B-#110</t>
  </si>
  <si>
    <t>8526 B-#170</t>
  </si>
  <si>
    <t>Total Building B/8526 W. 13th</t>
  </si>
  <si>
    <t>Building C/8414 W. 13th</t>
  </si>
  <si>
    <t>8414 C-#120</t>
  </si>
  <si>
    <t>8414 C-#130</t>
  </si>
  <si>
    <t>8414 C-#140</t>
  </si>
  <si>
    <t>8414 C-#150</t>
  </si>
  <si>
    <t>8414 C-#160</t>
  </si>
  <si>
    <t>8414 C-#190</t>
  </si>
  <si>
    <t>8414 C-#200</t>
  </si>
  <si>
    <t>8414 C-#210</t>
  </si>
  <si>
    <t>Total Building C/8414 W. 13th</t>
  </si>
  <si>
    <t>Building D/8404 W. 13th</t>
  </si>
  <si>
    <t>8404 D-#100</t>
  </si>
  <si>
    <t>8404 D-#140</t>
  </si>
  <si>
    <t>8404 D-#180</t>
  </si>
  <si>
    <t>8404 D-#190</t>
  </si>
  <si>
    <t>Total Building D/8404 W. 13th</t>
  </si>
  <si>
    <t>Building E/8428 W. 13th</t>
  </si>
  <si>
    <t>8428 E-#100</t>
  </si>
  <si>
    <t>Total Building E/8428 W. 13th</t>
  </si>
  <si>
    <t>Total Vacant Gas</t>
  </si>
  <si>
    <t>Electric-5933830922/8414 Sign</t>
  </si>
  <si>
    <t>Electric-9490568261/8404 HM</t>
  </si>
  <si>
    <t>Electric-0494643926/8414 HM</t>
  </si>
  <si>
    <t>Electric-9718598585/8526 HM</t>
  </si>
  <si>
    <t>3861275348/8606 #190</t>
  </si>
  <si>
    <t>0395233280/8526 #110</t>
  </si>
  <si>
    <t>2072773723/8526 #140</t>
  </si>
  <si>
    <t>3195269949/8526 #160</t>
  </si>
  <si>
    <t>6898110164/8526 #170</t>
  </si>
  <si>
    <t>7224581585/8414 #140</t>
  </si>
  <si>
    <t>4649678360/8414 #160</t>
  </si>
  <si>
    <t>1618431709/8414 #190</t>
  </si>
  <si>
    <t>2066771446/8414 #200</t>
  </si>
  <si>
    <t>1579948085/8414 #210</t>
  </si>
  <si>
    <t>Building D/8404 W 13th</t>
  </si>
  <si>
    <t>3464285428 #100</t>
  </si>
  <si>
    <t>4310947725/8404 #140</t>
  </si>
  <si>
    <t>3633147326/8404 #180</t>
  </si>
  <si>
    <t>9326704768/8404 #190</t>
  </si>
  <si>
    <t>Total Building D/8404 W 13th</t>
  </si>
  <si>
    <t>7004501103/8428 #100</t>
  </si>
  <si>
    <t>Total Electric &amp; Gas</t>
  </si>
  <si>
    <t>Water 132397-05/8606 W. 13th</t>
  </si>
  <si>
    <t>Water 132544-05/8526 W. 13th #1</t>
  </si>
  <si>
    <t>Water 133371-03/8526 W. 13th #2</t>
  </si>
  <si>
    <t>Water 134075-04/8428 W. 13th</t>
  </si>
  <si>
    <t>Water 134076-04/8414 W. 13th #C</t>
  </si>
  <si>
    <t>Water 134077-04/8404 W. 13th #D</t>
  </si>
  <si>
    <t>Maintenance &amp; Repair</t>
  </si>
  <si>
    <t>Landscape Supplies</t>
  </si>
  <si>
    <t>Trash Pickup-Labor</t>
  </si>
  <si>
    <t>Grounds-Supplies</t>
  </si>
  <si>
    <t>Parking Lot-Supplies/Signs</t>
  </si>
  <si>
    <t>Exterior Repairs-In House Labor</t>
  </si>
  <si>
    <t>Exterior Repairs-Supplies</t>
  </si>
  <si>
    <t>Exterior Repairs - Other</t>
  </si>
  <si>
    <t>Reimbursement of Big Dipper</t>
  </si>
  <si>
    <t>Roof Repair &amp; Supplies</t>
  </si>
  <si>
    <t>Roof Repairs-Supplies</t>
  </si>
  <si>
    <t>Roof Repair &amp; Supplies - Other</t>
  </si>
  <si>
    <t>Total Roof Repair &amp; Supplies</t>
  </si>
  <si>
    <t>Marquee Sign-In House Labor</t>
  </si>
  <si>
    <t>Marquee Sign-Supplies</t>
  </si>
  <si>
    <t>Alarm Systems/Security</t>
  </si>
  <si>
    <t>Total Maintenance &amp; Repair</t>
  </si>
  <si>
    <t>Property &amp; Liab Insurance</t>
  </si>
  <si>
    <t>Real  Estate</t>
  </si>
  <si>
    <t>Mortgage Interest-Grandbridge</t>
  </si>
  <si>
    <t>Travel &amp; Ent</t>
  </si>
  <si>
    <t>Meals</t>
  </si>
  <si>
    <t>Total Travel &amp; Ent</t>
  </si>
  <si>
    <t>Commerce Interest</t>
  </si>
  <si>
    <t>Commerce Bank Account</t>
  </si>
  <si>
    <t>Building-OCP</t>
  </si>
  <si>
    <t>Building Improvements</t>
  </si>
  <si>
    <t>Real Estate Taxes Payable</t>
  </si>
  <si>
    <t>Security Deposits-Tenants</t>
  </si>
  <si>
    <t>Mortgage Payable-Commerce</t>
  </si>
  <si>
    <t>GLO Equity</t>
  </si>
  <si>
    <t>Rent</t>
  </si>
  <si>
    <t>Additional Rent-Expense Reimb</t>
  </si>
  <si>
    <t>Total Rental Income</t>
  </si>
  <si>
    <t>Rental-Parking</t>
  </si>
  <si>
    <t>Parking Lot Rent</t>
  </si>
  <si>
    <t>Rental-Parking - Other</t>
  </si>
  <si>
    <t>Total Rental-Parking</t>
  </si>
  <si>
    <t>Rental-Late Fees</t>
  </si>
  <si>
    <t>Reimbursed Expenses</t>
  </si>
  <si>
    <t>Total Reimbursed Expenses</t>
  </si>
  <si>
    <t>Electricity</t>
  </si>
  <si>
    <t>Electricity-300 N. Main</t>
  </si>
  <si>
    <t>Electricity-108 E. 2nd</t>
  </si>
  <si>
    <t>Tenant Reimbursement</t>
  </si>
  <si>
    <t>Total Electricity</t>
  </si>
  <si>
    <t>Telephone-Elevator</t>
  </si>
  <si>
    <t>056314-02  300</t>
  </si>
  <si>
    <t>056313-03  302</t>
  </si>
  <si>
    <t>004534-02  304</t>
  </si>
  <si>
    <t>056310-02  306</t>
  </si>
  <si>
    <t>Maintenance &amp; Repairs</t>
  </si>
  <si>
    <t>Grounds Maintenance</t>
  </si>
  <si>
    <t>Grounds Maintenance - Other</t>
  </si>
  <si>
    <t>Trash P/U</t>
  </si>
  <si>
    <t>Total Grounds Maintenance</t>
  </si>
  <si>
    <t>HVAC Cont &amp; Supp - Other</t>
  </si>
  <si>
    <t>Lighting Contract &amp; Supplies</t>
  </si>
  <si>
    <t>Lighting Cont &amp; Supp - Other</t>
  </si>
  <si>
    <t>Lighting Contract &amp; Supplies - Other</t>
  </si>
  <si>
    <t>Total Lighting Contract &amp; Supplies</t>
  </si>
  <si>
    <t>Plumbing Cont &amp; Supp - Other</t>
  </si>
  <si>
    <t>General-Extraordinary Projects</t>
  </si>
  <si>
    <t>Signage-In House Labor</t>
  </si>
  <si>
    <t>Signage-Supplies</t>
  </si>
  <si>
    <t>Total Signage</t>
  </si>
  <si>
    <t>Common Area Decoration</t>
  </si>
  <si>
    <t>Janitorial Contract</t>
  </si>
  <si>
    <t>Janitorial-In House Labor</t>
  </si>
  <si>
    <t>Security</t>
  </si>
  <si>
    <t>Total Maintenance &amp; Repairs</t>
  </si>
  <si>
    <t>Reimbursable Expense</t>
  </si>
  <si>
    <t>Mortgage</t>
  </si>
  <si>
    <t>Bad Debts</t>
  </si>
  <si>
    <t>Commerce Bank Checking</t>
  </si>
  <si>
    <t>Sweep Account</t>
  </si>
  <si>
    <t>Petty Cash</t>
  </si>
  <si>
    <t>Prepaid Meals &amp; Entertainment</t>
  </si>
  <si>
    <t>Other receivables</t>
  </si>
  <si>
    <t>A/R Ecogen, LLC</t>
  </si>
  <si>
    <t>A/R OMIA, LLC</t>
  </si>
  <si>
    <t>Artwork</t>
  </si>
  <si>
    <t>Furniture/Fixtures</t>
  </si>
  <si>
    <t>Leasehold Improvements Shed</t>
  </si>
  <si>
    <t>Leasehold Improvements-NR6</t>
  </si>
  <si>
    <t>Software</t>
  </si>
  <si>
    <t>Vehicles</t>
  </si>
  <si>
    <t>Credit Cards</t>
  </si>
  <si>
    <t>Prepaid Visa Card</t>
  </si>
  <si>
    <t>Capital One</t>
  </si>
  <si>
    <t>Discover #0489</t>
  </si>
  <si>
    <t>Total Credit Cards</t>
  </si>
  <si>
    <t>Accrued Liability</t>
  </si>
  <si>
    <t>GLO-Officer's Clearing Account</t>
  </si>
  <si>
    <t>Simple IRA W/H</t>
  </si>
  <si>
    <t>Payroll Liabilities</t>
  </si>
  <si>
    <t>Note Payable-2011 Lexus</t>
  </si>
  <si>
    <t>Advances Payable</t>
  </si>
  <si>
    <t>Note Payable-Gary Oborny</t>
  </si>
  <si>
    <t>Capital Stock</t>
  </si>
  <si>
    <t>Paid in Capital</t>
  </si>
  <si>
    <t>Property Valuation Protest Fee</t>
  </si>
  <si>
    <t>Management Fees</t>
  </si>
  <si>
    <t>Consulting Fees</t>
  </si>
  <si>
    <t>Outside Sales Commisions</t>
  </si>
  <si>
    <t>Lease Revision Fees</t>
  </si>
  <si>
    <t>Credit Application Fees</t>
  </si>
  <si>
    <t>Time Billed Out</t>
  </si>
  <si>
    <t>Copy/Fax Income</t>
  </si>
  <si>
    <t>Rent Storage</t>
  </si>
  <si>
    <t>Payroll &amp; Employee Benefits</t>
  </si>
  <si>
    <t>Commissions Paid</t>
  </si>
  <si>
    <t>Contract Labor</t>
  </si>
  <si>
    <t>Automobile Expenses</t>
  </si>
  <si>
    <t>Fuel Expense</t>
  </si>
  <si>
    <t>Contributions</t>
  </si>
  <si>
    <t>Dues &amp; Subscriptions</t>
  </si>
  <si>
    <t>Licenses and Permits</t>
  </si>
  <si>
    <t>Marketing-Real Estate</t>
  </si>
  <si>
    <t>Professional Development</t>
  </si>
  <si>
    <t>Promotional</t>
  </si>
  <si>
    <t>Rent to NR6</t>
  </si>
  <si>
    <t>Repairs</t>
  </si>
  <si>
    <t>Interest Expense - 2011 Lexus</t>
  </si>
  <si>
    <t>Finance Charge</t>
  </si>
  <si>
    <t>Miscellaneous</t>
  </si>
  <si>
    <t>Reimbursable Items</t>
  </si>
  <si>
    <t>Gain on Sale of An Asset</t>
  </si>
  <si>
    <t>Withholding Order Fee</t>
  </si>
  <si>
    <t>Penalties</t>
  </si>
  <si>
    <t>N/R Lillie Khamkeomany</t>
  </si>
  <si>
    <t>Parking Lot Improvements</t>
  </si>
  <si>
    <t>Vanilla Box - At the Beach</t>
  </si>
  <si>
    <t>Vanilla Box - State Farm</t>
  </si>
  <si>
    <t>Vanilla Box-Zen Zen Nails</t>
  </si>
  <si>
    <t>R/E Taxes Payable</t>
  </si>
  <si>
    <t>N/P Relianz Bank</t>
  </si>
  <si>
    <t>Equity-Arthur Lakin Trust</t>
  </si>
  <si>
    <t>Equity-Gary L. Oborny</t>
  </si>
  <si>
    <t>8379568268/320 N. Rock Road HM</t>
  </si>
  <si>
    <t>Landscape</t>
  </si>
  <si>
    <t>Edging, weed-eating, blowing</t>
  </si>
  <si>
    <t>Total Landscape</t>
  </si>
  <si>
    <t>Grounds</t>
  </si>
  <si>
    <t>Total Grounds</t>
  </si>
  <si>
    <t>Interest Income L Khamkeomany</t>
  </si>
  <si>
    <t>Community National Bank Account</t>
  </si>
  <si>
    <t>Building - Shopping Center</t>
  </si>
  <si>
    <t>Coffee Kiosk</t>
  </si>
  <si>
    <t>Equipment &amp; Fixtures</t>
  </si>
  <si>
    <t>Community National-Bank Loan</t>
  </si>
  <si>
    <t>Community National-Contr Loan</t>
  </si>
  <si>
    <t>Gary L. Oborny, Investment</t>
  </si>
  <si>
    <t>Signage Income</t>
  </si>
  <si>
    <t>Lease Termination Income</t>
  </si>
  <si>
    <t>Property Tax Appeal</t>
  </si>
  <si>
    <t>Electric-5189786922 Phase I</t>
  </si>
  <si>
    <t>Electric-7539199148 Phase II</t>
  </si>
  <si>
    <t>Electric 1821 E Madison #500</t>
  </si>
  <si>
    <t>Electric 1821 E Madison #600</t>
  </si>
  <si>
    <t>Electric 1821 E Madison #1300</t>
  </si>
  <si>
    <t>Electric 1861 E Madison #400</t>
  </si>
  <si>
    <t>Electric 1861 E Madison #500</t>
  </si>
  <si>
    <t>1861 E. Madison-01810-00</t>
  </si>
  <si>
    <t>1821 E. Madison-01810-01</t>
  </si>
  <si>
    <t>1821 E. Madison-01810-02 LSS</t>
  </si>
  <si>
    <t>Gas 1821 E Madison #500</t>
  </si>
  <si>
    <t>Gas 1821 E Madison #600</t>
  </si>
  <si>
    <t>Gas 1821 E Madison #1300</t>
  </si>
  <si>
    <t>Gas 1861 E Madison #400</t>
  </si>
  <si>
    <t>Gas 1861 E Madison #500</t>
  </si>
  <si>
    <t>Property Insurance</t>
  </si>
  <si>
    <t>Taxes-Real Estate Specials</t>
  </si>
  <si>
    <t>Taxes-Real Estate Tax Refund</t>
  </si>
  <si>
    <t>Commerce Bank - Operating</t>
  </si>
  <si>
    <t>Land Purchase</t>
  </si>
  <si>
    <t>Land Purchase - Other</t>
  </si>
  <si>
    <t>Total Land Purchase</t>
  </si>
  <si>
    <t>Organization Cost</t>
  </si>
  <si>
    <t>Richard J. Marko - Equity</t>
  </si>
  <si>
    <t>Adminstration</t>
  </si>
  <si>
    <t>Copier / Printing Expense</t>
  </si>
  <si>
    <t>Total Adminstration</t>
  </si>
  <si>
    <t>Marketing Demographics</t>
  </si>
  <si>
    <t>Misc Income</t>
  </si>
  <si>
    <t>Amortization -  Closing Cost</t>
  </si>
  <si>
    <t>Other Receivables</t>
  </si>
  <si>
    <t>Prepaid Expenses</t>
  </si>
  <si>
    <t>Elevator Maintenance Agreement</t>
  </si>
  <si>
    <t>Prepaid Expenses - Other</t>
  </si>
  <si>
    <t>Total Prepaid Expenses</t>
  </si>
  <si>
    <t>Buildings</t>
  </si>
  <si>
    <t>Organization Cost - Other</t>
  </si>
  <si>
    <t>Total Organization Cost</t>
  </si>
  <si>
    <t>Loan - Rosehill Bank (Purchase)</t>
  </si>
  <si>
    <t>Note Payable - Gary Oborny</t>
  </si>
  <si>
    <t>Ryan Pearson Trustee - Equity</t>
  </si>
  <si>
    <t>CAM</t>
  </si>
  <si>
    <t>Parking Revenue</t>
  </si>
  <si>
    <t>Parking Event Income</t>
  </si>
  <si>
    <t>Parking Non Event</t>
  </si>
  <si>
    <t>Total Parking Revenue</t>
  </si>
  <si>
    <t>Alarm</t>
  </si>
  <si>
    <t>Automobile Expense</t>
  </si>
  <si>
    <t>Finance Charges</t>
  </si>
  <si>
    <t>General Liability Insurance</t>
  </si>
  <si>
    <t>Total Insurance Expense</t>
  </si>
  <si>
    <t>Commission - Inside Agenets</t>
  </si>
  <si>
    <t>New</t>
  </si>
  <si>
    <t>Total Commission - Inside Agenets</t>
  </si>
  <si>
    <t>Drive / Load</t>
  </si>
  <si>
    <t>Exterior Maintenance In House</t>
  </si>
  <si>
    <t>General Building Maint</t>
  </si>
  <si>
    <t>General Building Maint Supplies</t>
  </si>
  <si>
    <t>General Building Maint - Other</t>
  </si>
  <si>
    <t>Total General Building Maint</t>
  </si>
  <si>
    <t>Ground Maintenance</t>
  </si>
  <si>
    <t>Total Ground Maintenance</t>
  </si>
  <si>
    <t>HVAC Contract</t>
  </si>
  <si>
    <t>Landscaping and Groundskeeping</t>
  </si>
  <si>
    <t>Landscaping and Groundskeeping - Other</t>
  </si>
  <si>
    <t>Total Landscaping and Groundskeeping</t>
  </si>
  <si>
    <t>Lighting - Outside Contract</t>
  </si>
  <si>
    <t>Lights In House</t>
  </si>
  <si>
    <t>Plumbing</t>
  </si>
  <si>
    <t>Plumbing Contractor &amp; Supplies</t>
  </si>
  <si>
    <t>Plumbing In House</t>
  </si>
  <si>
    <t>Total Plumbing</t>
  </si>
  <si>
    <t>Snow Removal In House</t>
  </si>
  <si>
    <t>Trash Disposal</t>
  </si>
  <si>
    <t>Meals and Entertainment</t>
  </si>
  <si>
    <t>Parking Event Expenses</t>
  </si>
  <si>
    <t>Event Banking / P/R</t>
  </si>
  <si>
    <t>Event Insurance</t>
  </si>
  <si>
    <t>Event Labor</t>
  </si>
  <si>
    <t>Event Parking Supplies</t>
  </si>
  <si>
    <t>Event PCA Protion of Profit</t>
  </si>
  <si>
    <t>Event Tickets</t>
  </si>
  <si>
    <t>Total Parking Event Expenses</t>
  </si>
  <si>
    <t>Storge Space</t>
  </si>
  <si>
    <t>Travel Expense</t>
  </si>
  <si>
    <t>701 E. Douglas  RE #3863850723</t>
  </si>
  <si>
    <t>701 E. Douglas Ave  #7980409262</t>
  </si>
  <si>
    <t>711 E. Douglas Ave #2095903069</t>
  </si>
  <si>
    <t>801 E. Douglas Ave #1400869428</t>
  </si>
  <si>
    <t>Gas - 711 E. Douglas</t>
  </si>
  <si>
    <t>Gas - 801 E. Douglas</t>
  </si>
  <si>
    <t>Gas 701 E. Douglas</t>
  </si>
  <si>
    <t>Gas - Other</t>
  </si>
  <si>
    <t>Water 133660 105 S. Rock Island</t>
  </si>
  <si>
    <t>Water 164171  801 E. Douglas</t>
  </si>
  <si>
    <t>Prepaid Rent</t>
  </si>
  <si>
    <t>Note Receivable - Tenant</t>
  </si>
  <si>
    <t>Development Costs</t>
  </si>
  <si>
    <t>Dev Cost - Legal</t>
  </si>
  <si>
    <t>Development Costs - Other</t>
  </si>
  <si>
    <t>Total Development Costs</t>
  </si>
  <si>
    <t>Construction in Progress</t>
  </si>
  <si>
    <t>Construction in Progress - Other</t>
  </si>
  <si>
    <t>Total Construction in Progress</t>
  </si>
  <si>
    <t>Accumulated Amortization</t>
  </si>
  <si>
    <t>Organizational Costs</t>
  </si>
  <si>
    <t>Start Up Costs</t>
  </si>
  <si>
    <t>Loan Cost</t>
  </si>
  <si>
    <t>Security Deposit</t>
  </si>
  <si>
    <t>Construction Loan Rosehill Bank</t>
  </si>
  <si>
    <t>Equity-OVF1, LLC.</t>
  </si>
  <si>
    <t>Equity-John Gagnon</t>
  </si>
  <si>
    <t>Equity-R. Wayne Walter Trust</t>
  </si>
  <si>
    <t>Equity-Larry Greytak</t>
  </si>
  <si>
    <t>Equity-Eva Henry</t>
  </si>
  <si>
    <t>Equity-Mildfelt's</t>
  </si>
  <si>
    <t>Commission Income</t>
  </si>
  <si>
    <t>INS Reimbursement</t>
  </si>
  <si>
    <t>RE TAX Reimbursement</t>
  </si>
  <si>
    <t>Rent Income</t>
  </si>
  <si>
    <t>Auto Expense</t>
  </si>
  <si>
    <t>Total Auto Expense</t>
  </si>
  <si>
    <t>Organization Cost Expense</t>
  </si>
  <si>
    <t>Water - 955304  - 10111 E 21st</t>
  </si>
  <si>
    <t>Electric - Other</t>
  </si>
  <si>
    <t>Electric - 10111 E 21st N HM2</t>
  </si>
  <si>
    <t>Electric - 10111 E 21st N HM1</t>
  </si>
  <si>
    <t>Maintenance - Other</t>
  </si>
  <si>
    <t>Snow Removal</t>
  </si>
  <si>
    <t>Snow Removal - Other</t>
  </si>
  <si>
    <t>Total Snow Removal</t>
  </si>
  <si>
    <t>Drive Time and Loading</t>
  </si>
  <si>
    <t>Trash Contract</t>
  </si>
  <si>
    <t>Landacaping</t>
  </si>
  <si>
    <t>Chemical Applications</t>
  </si>
  <si>
    <t>Total Landacaping</t>
  </si>
  <si>
    <t>Managment Fees</t>
  </si>
  <si>
    <t>UCC Filing Fee</t>
  </si>
  <si>
    <t>Accounting Fees</t>
  </si>
  <si>
    <t>Consulting</t>
  </si>
  <si>
    <t>Lease Commisions-New</t>
  </si>
  <si>
    <t>Interest Income Other</t>
  </si>
  <si>
    <t>Interest Income-Commerce</t>
  </si>
  <si>
    <t>Fee</t>
  </si>
  <si>
    <t>Gary Oborny Equity</t>
  </si>
  <si>
    <t>MGD 1, LLC Equity</t>
  </si>
  <si>
    <t>S. R. Dakhil Equity</t>
  </si>
  <si>
    <t>Landacape</t>
  </si>
  <si>
    <t>Total Landacape</t>
  </si>
  <si>
    <t>Licenses and Fees</t>
  </si>
  <si>
    <t>Repairs and Maintenance</t>
  </si>
  <si>
    <t>General Maintenance &amp; Repair</t>
  </si>
  <si>
    <t>Total General Maintenance &amp; Repair</t>
  </si>
  <si>
    <t>Total Repairs and Maintenance</t>
  </si>
  <si>
    <t>Land Rental (Farm)</t>
  </si>
  <si>
    <t>Pipeline Lease Rent</t>
  </si>
  <si>
    <t>Land - Reed's Pointe</t>
  </si>
  <si>
    <t>Start Up / Development Costs</t>
  </si>
  <si>
    <t>Note Payalbe - Gary Oborny</t>
  </si>
  <si>
    <t>Amt Due Bristol Square, LLC</t>
  </si>
  <si>
    <t>N/P Legacy Bank</t>
  </si>
  <si>
    <t>Bristol Square, LLC Equity</t>
  </si>
  <si>
    <t>Arthur Lakin Trust Equity</t>
  </si>
  <si>
    <t>Management fee</t>
  </si>
  <si>
    <t>Administration - Other</t>
  </si>
  <si>
    <t>Interest Expense Legacy</t>
  </si>
  <si>
    <t>Repo Investment</t>
  </si>
  <si>
    <t>Development Land</t>
  </si>
  <si>
    <t>Farm Land</t>
  </si>
  <si>
    <t>Land-Lott</t>
  </si>
  <si>
    <t>1031 Deferred Gain - Lott</t>
  </si>
  <si>
    <t>Total Farm Land</t>
  </si>
  <si>
    <t>Total Development Land</t>
  </si>
  <si>
    <t>Andover Farmers Stock</t>
  </si>
  <si>
    <t>Amount Due from RP 21st, LLC</t>
  </si>
  <si>
    <t>Investment in RP 21st LLC</t>
  </si>
  <si>
    <t>Investment in RP 21st</t>
  </si>
  <si>
    <t>N/P RP 21st LLC</t>
  </si>
  <si>
    <t>Note Payable-Andover State Bank</t>
  </si>
  <si>
    <t>Farm Supplies</t>
  </si>
  <si>
    <t>Loan Costs - Andover Bank</t>
  </si>
  <si>
    <t>Lott Land Expenses</t>
  </si>
  <si>
    <t>Farm-Crop Income</t>
  </si>
  <si>
    <t>Members Equity</t>
  </si>
  <si>
    <t>Sign Expense</t>
  </si>
  <si>
    <t>Data Grid</t>
  </si>
  <si>
    <t>Net Operating Expenses per SF</t>
  </si>
  <si>
    <t>Budgeted NNN per SF</t>
  </si>
  <si>
    <t>Prior Year Operating Expenses</t>
  </si>
  <si>
    <t>Operating Expenses</t>
  </si>
  <si>
    <t>None</t>
  </si>
  <si>
    <t>Estimated Monthly Triple Nets</t>
  </si>
  <si>
    <t>New Estimated Monthly Rent</t>
  </si>
  <si>
    <t>Total Estimated Annual Rent</t>
  </si>
  <si>
    <t>Lease Proposal</t>
  </si>
  <si>
    <t>Property:</t>
  </si>
  <si>
    <t>Lease Renewal</t>
  </si>
  <si>
    <t>Lease Expansion</t>
  </si>
  <si>
    <t>Lease Agreement</t>
  </si>
  <si>
    <t>Initial Equity</t>
  </si>
  <si>
    <t>Initial Debt</t>
  </si>
  <si>
    <t>Total Project Cost</t>
  </si>
  <si>
    <t>Annual Debt Svce Costs per SF</t>
  </si>
  <si>
    <t>Monthly Debt Service Payment</t>
  </si>
  <si>
    <t>Annual Debt Service $</t>
  </si>
  <si>
    <t>Total Project Costs per SF</t>
  </si>
  <si>
    <t>Purchase Price</t>
  </si>
  <si>
    <t>Annual Average per SF</t>
  </si>
  <si>
    <t>Annual Average $</t>
  </si>
  <si>
    <t>Net Effective Rate</t>
  </si>
  <si>
    <t>Annual Operating Expenses</t>
  </si>
  <si>
    <t>Annual Commissions</t>
  </si>
  <si>
    <t>Annual Landlord TI</t>
  </si>
  <si>
    <t>Average Annual Rent</t>
  </si>
  <si>
    <t>Rent Abatement (Months)</t>
  </si>
  <si>
    <t>Rent Abatement</t>
  </si>
  <si>
    <t>omi</t>
  </si>
  <si>
    <t>Annual TI Rent Per Sq Ft. Rate</t>
  </si>
  <si>
    <t>- Total Project Costs per SF</t>
  </si>
  <si>
    <t>Unlevered Rate of Return:</t>
  </si>
  <si>
    <t>Numerator = Net Effective rate - interest costs (not principal)?</t>
  </si>
  <si>
    <t>Denominator = Initial Equity</t>
  </si>
  <si>
    <t>Numerator = Net Effective rate</t>
  </si>
  <si>
    <t>Denominator = Total project costs</t>
  </si>
  <si>
    <t xml:space="preserve">21Webb - Total Development Loan Amortization Table </t>
  </si>
  <si>
    <t xml:space="preserve">Union Station - Total Development Loan Amortization Table </t>
  </si>
  <si>
    <t>Loan Balance</t>
  </si>
  <si>
    <t>Net Effective Rate, Net of Interest</t>
  </si>
  <si>
    <t>Cash Flow / Revenue Margin</t>
  </si>
  <si>
    <t xml:space="preserve">Tyler Pte - Total Development Loan Amortization Table </t>
  </si>
  <si>
    <t>Debt Service</t>
  </si>
  <si>
    <t>Comotara</t>
  </si>
  <si>
    <t>Edgemoor</t>
  </si>
  <si>
    <t>The Ice House</t>
  </si>
  <si>
    <t>Tripple Nets</t>
  </si>
  <si>
    <t>BelPointe, LLC</t>
  </si>
  <si>
    <t>Northwest Centre, LLC</t>
  </si>
  <si>
    <t>NR6, LLC - Retail</t>
  </si>
  <si>
    <t>NR14, LLC</t>
  </si>
  <si>
    <t>Royal 1, LLC</t>
  </si>
  <si>
    <t>RP 21st, LLC</t>
  </si>
  <si>
    <t>Tyler Pointe, LLC</t>
  </si>
  <si>
    <t>Union Station, LLC</t>
  </si>
  <si>
    <t>Wood 96, LLC</t>
  </si>
  <si>
    <t>x_1</t>
  </si>
  <si>
    <t>x_2</t>
  </si>
  <si>
    <t>x_3</t>
  </si>
  <si>
    <t>x_4</t>
  </si>
  <si>
    <t>x_5</t>
  </si>
  <si>
    <t>x_2=x_1+0.5</t>
  </si>
  <si>
    <t>x_3=x_2+0.5</t>
  </si>
  <si>
    <t>x_1+x_2/i-debts=0.15*initial_equity</t>
  </si>
  <si>
    <t>(x_1+x_2/i-debts)/initial_equity=0.15</t>
  </si>
  <si>
    <t>x_1+x_2/i=0.15*initial_equity+debts</t>
  </si>
  <si>
    <t>x_1+x_2=(0.15*initial_equity+debts)*i</t>
  </si>
  <si>
    <t>x_1+x_1+0.5=(0.15*initial_equity+debts)*i</t>
  </si>
  <si>
    <t>x_1=((0.15*initial_equity+debts)*i-step)/2</t>
  </si>
  <si>
    <t>x_2=((0.15*initial_equity+debts)*i-step)/2+step</t>
  </si>
  <si>
    <t>x_3=((0.15*initial_equity+debts)*i-step)/2+step+step</t>
  </si>
  <si>
    <t>x_i=((0.15*initial_equity+debts)*i-step)/2+step*i</t>
  </si>
  <si>
    <t>afsdj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</si>
</sst>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%_);\(0.0%\)"/>
    <numFmt numFmtId="167" formatCode="0.0_x_);\(0.0\)_x"/>
    <numFmt numFmtId="168" formatCode="0.0\x_);\(0.0\x\)"/>
    <numFmt numFmtId="169" formatCode="_(&quot;$&quot;* #,##0_);_(&quot;$&quot;* \(#,##0\);_(&quot;$&quot;* &quot;-&quot;??_);_(@_)"/>
    <numFmt numFmtId="170" formatCode="#,##0;\-#,##0"/>
    <numFmt numFmtId="171" formatCode="#,##0.00;\-#,##0.00"/>
    <numFmt numFmtId="172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4"/>
      <color theme="0"/>
      <name val="Arial"/>
      <family val="2"/>
    </font>
    <font>
      <sz val="14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Wingdings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70C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</cellStyleXfs>
  <cellXfs count="176">
    <xf numFmtId="0" fontId="0" fillId="0" borderId="0" xfId="0"/>
    <xf numFmtId="166" fontId="7" fillId="0" borderId="0" xfId="7" quotePrefix="1" applyNumberFormat="1" applyFont="1"/>
    <xf numFmtId="39" fontId="7" fillId="0" borderId="0" xfId="6" applyNumberFormat="1" applyFont="1"/>
    <xf numFmtId="166" fontId="8" fillId="0" borderId="10" xfId="4" applyNumberFormat="1" applyFont="1" applyBorder="1"/>
    <xf numFmtId="0" fontId="9" fillId="0" borderId="10" xfId="4" applyFont="1" applyBorder="1"/>
    <xf numFmtId="0" fontId="9" fillId="0" borderId="0" xfId="4" applyFont="1"/>
    <xf numFmtId="0" fontId="10" fillId="0" borderId="0" xfId="4" applyFont="1"/>
    <xf numFmtId="166" fontId="9" fillId="0" borderId="0" xfId="4" applyNumberFormat="1" applyFont="1"/>
    <xf numFmtId="0" fontId="9" fillId="0" borderId="0" xfId="4" quotePrefix="1" applyFont="1"/>
    <xf numFmtId="42" fontId="9" fillId="0" borderId="0" xfId="4" applyNumberFormat="1" applyFont="1"/>
    <xf numFmtId="7" fontId="9" fillId="0" borderId="0" xfId="4" applyNumberFormat="1" applyFont="1"/>
    <xf numFmtId="0" fontId="8" fillId="0" borderId="0" xfId="4" applyFont="1" applyAlignment="1">
      <alignment horizontal="center"/>
    </xf>
    <xf numFmtId="0" fontId="8" fillId="0" borderId="0" xfId="4" applyFont="1" applyAlignment="1">
      <alignment horizontal="centerContinuous"/>
    </xf>
    <xf numFmtId="0" fontId="9" fillId="0" borderId="0" xfId="4" applyFont="1" applyAlignment="1">
      <alignment horizontal="centerContinuous"/>
    </xf>
    <xf numFmtId="0" fontId="8" fillId="0" borderId="0" xfId="4" applyFont="1" applyAlignment="1">
      <alignment horizontal="fill"/>
    </xf>
    <xf numFmtId="44" fontId="9" fillId="0" borderId="0" xfId="1" applyFont="1"/>
    <xf numFmtId="37" fontId="9" fillId="0" borderId="0" xfId="6" applyNumberFormat="1" applyFont="1"/>
    <xf numFmtId="44" fontId="9" fillId="0" borderId="0" xfId="5" applyNumberFormat="1" applyFont="1"/>
    <xf numFmtId="43" fontId="9" fillId="0" borderId="0" xfId="3" applyFont="1"/>
    <xf numFmtId="169" fontId="9" fillId="0" borderId="1" xfId="1" applyNumberFormat="1" applyFont="1" applyBorder="1"/>
    <xf numFmtId="166" fontId="9" fillId="0" borderId="1" xfId="7" applyNumberFormat="1" applyFont="1" applyBorder="1" applyAlignment="1">
      <alignment horizontal="right"/>
    </xf>
    <xf numFmtId="164" fontId="9" fillId="0" borderId="1" xfId="3" applyNumberFormat="1" applyFont="1" applyBorder="1"/>
    <xf numFmtId="0" fontId="11" fillId="4" borderId="0" xfId="0" applyFont="1" applyFill="1"/>
    <xf numFmtId="0" fontId="12" fillId="4" borderId="0" xfId="0" applyFont="1" applyFill="1"/>
    <xf numFmtId="9" fontId="12" fillId="4" borderId="0" xfId="2" applyFont="1" applyFill="1" applyAlignment="1">
      <alignment horizontal="center"/>
    </xf>
    <xf numFmtId="9" fontId="11" fillId="4" borderId="0" xfId="2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3" fillId="0" borderId="0" xfId="0" applyFont="1"/>
    <xf numFmtId="169" fontId="13" fillId="0" borderId="0" xfId="1" applyNumberFormat="1" applyFont="1"/>
    <xf numFmtId="14" fontId="13" fillId="0" borderId="0" xfId="0" applyNumberFormat="1" applyFont="1"/>
    <xf numFmtId="0" fontId="1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14" fontId="0" fillId="0" borderId="0" xfId="0" applyNumberFormat="1"/>
    <xf numFmtId="44" fontId="13" fillId="0" borderId="0" xfId="1" applyFont="1"/>
    <xf numFmtId="164" fontId="0" fillId="0" borderId="0" xfId="3" applyNumberFormat="1" applyFont="1"/>
    <xf numFmtId="44" fontId="0" fillId="0" borderId="0" xfId="1" applyFont="1"/>
    <xf numFmtId="164" fontId="4" fillId="0" borderId="0" xfId="3" applyNumberFormat="1" applyFont="1" applyAlignment="1">
      <alignment horizontal="center"/>
    </xf>
    <xf numFmtId="0" fontId="0" fillId="0" borderId="0" xfId="0" applyAlignment="1">
      <alignment horizontal="center"/>
    </xf>
    <xf numFmtId="49" fontId="17" fillId="0" borderId="0" xfId="0" applyNumberFormat="1" applyFont="1" applyAlignment="1">
      <alignment horizontal="center"/>
    </xf>
    <xf numFmtId="49" fontId="17" fillId="0" borderId="16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17" fillId="0" borderId="0" xfId="0" applyNumberFormat="1" applyFont="1"/>
    <xf numFmtId="170" fontId="18" fillId="0" borderId="0" xfId="0" applyNumberFormat="1" applyFont="1"/>
    <xf numFmtId="49" fontId="18" fillId="0" borderId="0" xfId="0" applyNumberFormat="1" applyFont="1"/>
    <xf numFmtId="170" fontId="18" fillId="0" borderId="10" xfId="0" applyNumberFormat="1" applyFont="1" applyBorder="1"/>
    <xf numFmtId="170" fontId="18" fillId="0" borderId="17" xfId="0" applyNumberFormat="1" applyFont="1" applyBorder="1"/>
    <xf numFmtId="170" fontId="18" fillId="0" borderId="3" xfId="0" applyNumberFormat="1" applyFont="1" applyBorder="1"/>
    <xf numFmtId="170" fontId="17" fillId="0" borderId="18" xfId="0" applyNumberFormat="1" applyFont="1" applyBorder="1"/>
    <xf numFmtId="0" fontId="17" fillId="0" borderId="0" xfId="0" applyFont="1"/>
    <xf numFmtId="170" fontId="18" fillId="2" borderId="0" xfId="0" applyNumberFormat="1" applyFont="1" applyFill="1"/>
    <xf numFmtId="171" fontId="18" fillId="0" borderId="0" xfId="0" applyNumberFormat="1" applyFont="1"/>
    <xf numFmtId="171" fontId="18" fillId="0" borderId="17" xfId="0" applyNumberFormat="1" applyFont="1" applyBorder="1"/>
    <xf numFmtId="171" fontId="18" fillId="0" borderId="10" xfId="0" applyNumberFormat="1" applyFont="1" applyBorder="1"/>
    <xf numFmtId="171" fontId="18" fillId="0" borderId="3" xfId="0" applyNumberFormat="1" applyFont="1" applyBorder="1"/>
    <xf numFmtId="171" fontId="17" fillId="0" borderId="18" xfId="0" applyNumberFormat="1" applyFont="1" applyBorder="1"/>
    <xf numFmtId="37" fontId="18" fillId="0" borderId="0" xfId="0" applyNumberFormat="1" applyFont="1"/>
    <xf numFmtId="37" fontId="18" fillId="0" borderId="10" xfId="0" applyNumberFormat="1" applyFont="1" applyBorder="1"/>
    <xf numFmtId="37" fontId="18" fillId="0" borderId="17" xfId="0" applyNumberFormat="1" applyFont="1" applyBorder="1"/>
    <xf numFmtId="37" fontId="18" fillId="0" borderId="3" xfId="0" applyNumberFormat="1" applyFont="1" applyBorder="1"/>
    <xf numFmtId="37" fontId="17" fillId="0" borderId="18" xfId="0" applyNumberFormat="1" applyFont="1" applyBorder="1"/>
    <xf numFmtId="37" fontId="18" fillId="2" borderId="0" xfId="0" applyNumberFormat="1" applyFont="1" applyFill="1"/>
    <xf numFmtId="37" fontId="18" fillId="2" borderId="3" xfId="0" applyNumberFormat="1" applyFont="1" applyFill="1" applyBorder="1"/>
    <xf numFmtId="37" fontId="18" fillId="3" borderId="0" xfId="0" applyNumberFormat="1" applyFont="1" applyFill="1"/>
    <xf numFmtId="171" fontId="18" fillId="2" borderId="0" xfId="0" applyNumberFormat="1" applyFont="1" applyFill="1"/>
    <xf numFmtId="171" fontId="19" fillId="0" borderId="0" xfId="0" applyNumberFormat="1" applyFont="1"/>
    <xf numFmtId="0" fontId="20" fillId="0" borderId="0" xfId="0" applyFont="1"/>
    <xf numFmtId="2" fontId="20" fillId="0" borderId="0" xfId="0" applyNumberFormat="1" applyFont="1"/>
    <xf numFmtId="164" fontId="20" fillId="2" borderId="1" xfId="3" applyNumberFormat="1" applyFont="1" applyFill="1" applyBorder="1"/>
    <xf numFmtId="164" fontId="20" fillId="0" borderId="1" xfId="3" applyNumberFormat="1" applyFont="1" applyBorder="1" applyAlignment="1">
      <alignment horizontal="center"/>
    </xf>
    <xf numFmtId="164" fontId="20" fillId="0" borderId="1" xfId="3" applyNumberFormat="1" applyFont="1" applyBorder="1"/>
    <xf numFmtId="44" fontId="20" fillId="2" borderId="1" xfId="1" applyFont="1" applyFill="1" applyBorder="1"/>
    <xf numFmtId="169" fontId="20" fillId="0" borderId="1" xfId="1" applyNumberFormat="1" applyFont="1" applyBorder="1"/>
    <xf numFmtId="10" fontId="20" fillId="2" borderId="1" xfId="2" applyNumberFormat="1" applyFont="1" applyFill="1" applyBorder="1"/>
    <xf numFmtId="0" fontId="22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2" fontId="20" fillId="0" borderId="0" xfId="0" applyNumberFormat="1" applyFont="1" applyAlignment="1">
      <alignment horizontal="center" wrapText="1"/>
    </xf>
    <xf numFmtId="44" fontId="20" fillId="2" borderId="0" xfId="1" applyFont="1" applyFill="1"/>
    <xf numFmtId="44" fontId="20" fillId="0" borderId="0" xfId="1" applyFont="1"/>
    <xf numFmtId="43" fontId="20" fillId="2" borderId="0" xfId="3" applyFont="1" applyFill="1"/>
    <xf numFmtId="43" fontId="20" fillId="0" borderId="0" xfId="3" applyFont="1"/>
    <xf numFmtId="44" fontId="20" fillId="0" borderId="0" xfId="0" applyNumberFormat="1" applyFont="1"/>
    <xf numFmtId="44" fontId="20" fillId="0" borderId="15" xfId="0" applyNumberFormat="1" applyFont="1" applyBorder="1"/>
    <xf numFmtId="0" fontId="20" fillId="0" borderId="2" xfId="0" applyFont="1" applyBorder="1"/>
    <xf numFmtId="0" fontId="20" fillId="0" borderId="3" xfId="0" applyFont="1" applyBorder="1"/>
    <xf numFmtId="2" fontId="20" fillId="0" borderId="3" xfId="0" applyNumberFormat="1" applyFont="1" applyBorder="1"/>
    <xf numFmtId="2" fontId="20" fillId="0" borderId="4" xfId="0" applyNumberFormat="1" applyFont="1" applyBorder="1"/>
    <xf numFmtId="0" fontId="20" fillId="0" borderId="5" xfId="0" applyFont="1" applyBorder="1"/>
    <xf numFmtId="2" fontId="20" fillId="0" borderId="6" xfId="0" applyNumberFormat="1" applyFont="1" applyBorder="1"/>
    <xf numFmtId="0" fontId="20" fillId="0" borderId="5" xfId="0" quotePrefix="1" applyFont="1" applyBorder="1"/>
    <xf numFmtId="165" fontId="20" fillId="0" borderId="0" xfId="2" applyNumberFormat="1" applyFont="1"/>
    <xf numFmtId="0" fontId="20" fillId="0" borderId="9" xfId="0" applyFont="1" applyBorder="1"/>
    <xf numFmtId="0" fontId="20" fillId="0" borderId="10" xfId="0" applyFont="1" applyBorder="1"/>
    <xf numFmtId="2" fontId="20" fillId="0" borderId="10" xfId="0" applyNumberFormat="1" applyFont="1" applyBorder="1"/>
    <xf numFmtId="2" fontId="20" fillId="0" borderId="11" xfId="0" applyNumberFormat="1" applyFont="1" applyBorder="1"/>
    <xf numFmtId="0" fontId="20" fillId="0" borderId="0" xfId="0" quotePrefix="1" applyFont="1"/>
    <xf numFmtId="164" fontId="20" fillId="0" borderId="19" xfId="3" applyNumberFormat="1" applyFont="1" applyBorder="1"/>
    <xf numFmtId="164" fontId="20" fillId="0" borderId="0" xfId="3" applyNumberFormat="1" applyFont="1"/>
    <xf numFmtId="44" fontId="20" fillId="2" borderId="19" xfId="1" applyFont="1" applyFill="1" applyBorder="1"/>
    <xf numFmtId="0" fontId="22" fillId="0" borderId="2" xfId="0" applyFont="1" applyBorder="1"/>
    <xf numFmtId="0" fontId="22" fillId="0" borderId="3" xfId="0" applyFont="1" applyBorder="1"/>
    <xf numFmtId="0" fontId="22" fillId="0" borderId="4" xfId="0" applyFont="1" applyBorder="1"/>
    <xf numFmtId="0" fontId="20" fillId="0" borderId="5" xfId="0" applyFont="1" applyBorder="1" applyAlignment="1">
      <alignment horizontal="center"/>
    </xf>
    <xf numFmtId="2" fontId="20" fillId="0" borderId="6" xfId="0" applyNumberFormat="1" applyFont="1" applyBorder="1" applyAlignment="1">
      <alignment horizontal="center" wrapText="1"/>
    </xf>
    <xf numFmtId="0" fontId="20" fillId="0" borderId="5" xfId="0" applyFont="1" applyBorder="1" applyAlignment="1">
      <alignment horizontal="center" wrapText="1"/>
    </xf>
    <xf numFmtId="0" fontId="20" fillId="0" borderId="6" xfId="0" applyFont="1" applyBorder="1" applyAlignment="1">
      <alignment horizontal="center" wrapText="1"/>
    </xf>
    <xf numFmtId="0" fontId="20" fillId="0" borderId="6" xfId="0" applyFont="1" applyBorder="1"/>
    <xf numFmtId="44" fontId="20" fillId="0" borderId="1" xfId="1" applyFont="1" applyBorder="1"/>
    <xf numFmtId="44" fontId="20" fillId="0" borderId="8" xfId="1" applyFont="1" applyBorder="1"/>
    <xf numFmtId="44" fontId="20" fillId="2" borderId="7" xfId="1" applyFont="1" applyFill="1" applyBorder="1"/>
    <xf numFmtId="43" fontId="20" fillId="0" borderId="1" xfId="3" applyFont="1" applyBorder="1"/>
    <xf numFmtId="43" fontId="20" fillId="0" borderId="8" xfId="3" applyFont="1" applyBorder="1"/>
    <xf numFmtId="0" fontId="20" fillId="0" borderId="11" xfId="0" applyFont="1" applyBorder="1"/>
    <xf numFmtId="0" fontId="23" fillId="0" borderId="0" xfId="0" applyFont="1"/>
    <xf numFmtId="0" fontId="20" fillId="0" borderId="14" xfId="0" applyFont="1" applyBorder="1"/>
    <xf numFmtId="0" fontId="22" fillId="0" borderId="0" xfId="0" applyFont="1" applyAlignment="1">
      <alignment horizontal="center"/>
    </xf>
    <xf numFmtId="0" fontId="21" fillId="0" borderId="0" xfId="0" applyFont="1"/>
    <xf numFmtId="44" fontId="20" fillId="0" borderId="7" xfId="1" applyFont="1" applyBorder="1"/>
    <xf numFmtId="165" fontId="20" fillId="0" borderId="1" xfId="2" applyNumberFormat="1" applyFont="1" applyBorder="1"/>
    <xf numFmtId="0" fontId="20" fillId="2" borderId="20" xfId="0" applyFont="1" applyFill="1" applyBorder="1"/>
    <xf numFmtId="0" fontId="20" fillId="2" borderId="17" xfId="0" applyFont="1" applyFill="1" applyBorder="1"/>
    <xf numFmtId="0" fontId="20" fillId="2" borderId="21" xfId="0" applyFont="1" applyFill="1" applyBorder="1"/>
    <xf numFmtId="164" fontId="20" fillId="2" borderId="19" xfId="3" applyNumberFormat="1" applyFont="1" applyFill="1" applyBorder="1"/>
    <xf numFmtId="43" fontId="20" fillId="2" borderId="1" xfId="3" applyFont="1" applyFill="1" applyBorder="1"/>
    <xf numFmtId="165" fontId="20" fillId="2" borderId="1" xfId="2" applyNumberFormat="1" applyFont="1" applyFill="1" applyBorder="1"/>
    <xf numFmtId="43" fontId="20" fillId="0" borderId="14" xfId="3" applyFont="1" applyBorder="1" applyAlignment="1">
      <alignment horizontal="center" wrapText="1"/>
    </xf>
    <xf numFmtId="164" fontId="24" fillId="0" borderId="0" xfId="3" applyNumberFormat="1" applyFont="1"/>
    <xf numFmtId="44" fontId="24" fillId="0" borderId="0" xfId="1" applyFont="1"/>
    <xf numFmtId="43" fontId="24" fillId="0" borderId="0" xfId="3" applyFont="1"/>
    <xf numFmtId="43" fontId="25" fillId="0" borderId="0" xfId="3" applyFont="1"/>
    <xf numFmtId="166" fontId="26" fillId="0" borderId="10" xfId="4" applyNumberFormat="1" applyFont="1" applyBorder="1"/>
    <xf numFmtId="0" fontId="25" fillId="0" borderId="10" xfId="4" applyFont="1" applyBorder="1"/>
    <xf numFmtId="0" fontId="25" fillId="0" borderId="0" xfId="4" applyFont="1"/>
    <xf numFmtId="0" fontId="27" fillId="0" borderId="0" xfId="4" applyFont="1"/>
    <xf numFmtId="166" fontId="25" fillId="0" borderId="0" xfId="4" applyNumberFormat="1" applyFont="1"/>
    <xf numFmtId="0" fontId="25" fillId="0" borderId="0" xfId="4" quotePrefix="1" applyFont="1"/>
    <xf numFmtId="169" fontId="25" fillId="0" borderId="1" xfId="1" applyNumberFormat="1" applyFont="1" applyBorder="1"/>
    <xf numFmtId="166" fontId="20" fillId="0" borderId="0" xfId="7" quotePrefix="1" applyNumberFormat="1" applyFont="1"/>
    <xf numFmtId="42" fontId="25" fillId="0" borderId="0" xfId="4" applyNumberFormat="1" applyFont="1"/>
    <xf numFmtId="44" fontId="25" fillId="0" borderId="0" xfId="1" applyFont="1"/>
    <xf numFmtId="166" fontId="25" fillId="0" borderId="1" xfId="7" applyNumberFormat="1" applyFont="1" applyBorder="1" applyAlignment="1">
      <alignment horizontal="right"/>
    </xf>
    <xf numFmtId="164" fontId="25" fillId="0" borderId="1" xfId="3" applyNumberFormat="1" applyFont="1" applyBorder="1"/>
    <xf numFmtId="7" fontId="25" fillId="0" borderId="0" xfId="4" applyNumberFormat="1" applyFont="1"/>
    <xf numFmtId="0" fontId="26" fillId="0" borderId="0" xfId="4" applyFont="1" applyAlignment="1">
      <alignment horizontal="center"/>
    </xf>
    <xf numFmtId="0" fontId="26" fillId="0" borderId="0" xfId="4" applyFont="1" applyAlignment="1">
      <alignment horizontal="centerContinuous"/>
    </xf>
    <xf numFmtId="0" fontId="25" fillId="0" borderId="0" xfId="4" applyFont="1" applyAlignment="1">
      <alignment horizontal="centerContinuous"/>
    </xf>
    <xf numFmtId="0" fontId="26" fillId="0" borderId="0" xfId="4" applyFont="1" applyAlignment="1">
      <alignment horizontal="fill"/>
    </xf>
    <xf numFmtId="37" fontId="25" fillId="0" borderId="0" xfId="6" applyNumberFormat="1" applyFont="1"/>
    <xf numFmtId="44" fontId="25" fillId="0" borderId="0" xfId="5" applyNumberFormat="1" applyFont="1"/>
    <xf numFmtId="39" fontId="20" fillId="0" borderId="0" xfId="6" applyNumberFormat="1" applyFont="1"/>
    <xf numFmtId="169" fontId="24" fillId="0" borderId="0" xfId="1" applyNumberFormat="1" applyFont="1"/>
    <xf numFmtId="170" fontId="0" fillId="0" borderId="0" xfId="0" applyNumberFormat="1"/>
    <xf numFmtId="165" fontId="24" fillId="0" borderId="0" xfId="2" applyNumberFormat="1" applyFont="1"/>
    <xf numFmtId="164" fontId="24" fillId="2" borderId="0" xfId="3" applyNumberFormat="1" applyFont="1" applyFill="1"/>
    <xf numFmtId="169" fontId="24" fillId="0" borderId="1" xfId="1" applyNumberFormat="1" applyFont="1" applyBorder="1"/>
    <xf numFmtId="0" fontId="24" fillId="0" borderId="0" xfId="0" applyFont="1"/>
    <xf numFmtId="166" fontId="24" fillId="0" borderId="1" xfId="7" applyNumberFormat="1" applyFont="1" applyBorder="1" applyAlignment="1">
      <alignment horizontal="right"/>
    </xf>
    <xf numFmtId="0" fontId="24" fillId="0" borderId="0" xfId="4" applyFont="1"/>
    <xf numFmtId="164" fontId="24" fillId="0" borderId="1" xfId="3" applyNumberFormat="1" applyFont="1" applyBorder="1"/>
    <xf numFmtId="164" fontId="25" fillId="0" borderId="0" xfId="3" applyNumberFormat="1" applyFont="1"/>
    <xf numFmtId="172" fontId="20" fillId="2" borderId="1" xfId="3" applyNumberFormat="1" applyFont="1" applyFill="1" applyBorder="1"/>
    <xf numFmtId="0" fontId="21" fillId="0" borderId="0" xfId="0" applyFont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20" fillId="2" borderId="13" xfId="0" applyFont="1" applyFill="1" applyBorder="1" applyAlignment="1">
      <alignment horizontal="left"/>
    </xf>
    <xf numFmtId="0" fontId="20" fillId="0" borderId="20" xfId="0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21" xfId="0" applyFont="1" applyBorder="1" applyAlignment="1">
      <alignment horizontal="left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2" borderId="20" xfId="0" applyFont="1" applyFill="1" applyBorder="1" applyAlignment="1">
      <alignment horizontal="left"/>
    </xf>
    <xf numFmtId="0" fontId="20" fillId="2" borderId="17" xfId="0" applyFont="1" applyFill="1" applyBorder="1" applyAlignment="1">
      <alignment horizontal="left"/>
    </xf>
    <xf numFmtId="0" fontId="20" fillId="2" borderId="21" xfId="0" applyFont="1" applyFill="1" applyBorder="1" applyAlignment="1">
      <alignment horizontal="left"/>
    </xf>
  </cellXfs>
  <cellStyles count="16">
    <cellStyle name="Comma" xfId="3" builtinId="3"/>
    <cellStyle name="Comma 2" xfId="6" xr:uid="{00000000-0005-0000-0000-000001000000}"/>
    <cellStyle name="Comma 3" xfId="10" xr:uid="{00000000-0005-0000-0000-000002000000}"/>
    <cellStyle name="Comma 4" xfId="11" xr:uid="{00000000-0005-0000-0000-000003000000}"/>
    <cellStyle name="Currency" xfId="1" builtinId="4"/>
    <cellStyle name="Currency 2" xfId="5" xr:uid="{00000000-0005-0000-0000-000005000000}"/>
    <cellStyle name="Currency 3" xfId="12" xr:uid="{00000000-0005-0000-0000-000006000000}"/>
    <cellStyle name="Currency 4" xfId="13" xr:uid="{00000000-0005-0000-0000-000007000000}"/>
    <cellStyle name="Multiple (no x)" xfId="8" xr:uid="{00000000-0005-0000-0000-000008000000}"/>
    <cellStyle name="Multiple (with x)" xfId="9" xr:uid="{00000000-0005-0000-0000-000009000000}"/>
    <cellStyle name="Normal" xfId="0" builtinId="0"/>
    <cellStyle name="Normal 2" xfId="4" xr:uid="{00000000-0005-0000-0000-00000B000000}"/>
    <cellStyle name="Normal 3" xfId="14" xr:uid="{00000000-0005-0000-0000-00000C000000}"/>
    <cellStyle name="Normal 4" xfId="15" xr:uid="{00000000-0005-0000-0000-00000D000000}"/>
    <cellStyle name="Percent" xfId="2" builtinId="5"/>
    <cellStyle name="Percent 2" xfId="7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2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4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20.vml.rels><?xml version="1.0" encoding="UTF-8" standalone="yes"?>
<Relationships xmlns="http://schemas.openxmlformats.org/package/2006/relationships"><Relationship Id="rId2" Type="http://schemas.openxmlformats.org/officeDocument/2006/relationships/image" Target="../media/image17.emf"/><Relationship Id="rId1" Type="http://schemas.openxmlformats.org/officeDocument/2006/relationships/image" Target="../media/image18.emf"/></Relationships>
</file>

<file path=xl/drawings/_rels/vmlDrawing2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20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22.emf"/></Relationships>
</file>

<file path=xl/drawings/_rels/vmlDrawing2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4.emf"/></Relationships>
</file>

<file path=xl/drawings/_rels/vmlDrawing2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5.emf"/><Relationship Id="rId1" Type="http://schemas.openxmlformats.org/officeDocument/2006/relationships/image" Target="../media/image26.emf"/></Relationships>
</file>

<file path=xl/drawings/_rels/vmlDrawing2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7.emf"/><Relationship Id="rId1" Type="http://schemas.openxmlformats.org/officeDocument/2006/relationships/image" Target="../media/image28.emf"/></Relationships>
</file>

<file path=xl/drawings/_rels/vmlDrawing2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9.emf"/><Relationship Id="rId1" Type="http://schemas.openxmlformats.org/officeDocument/2006/relationships/image" Target="../media/image30.emf"/></Relationships>
</file>

<file path=xl/drawings/_rels/vmlDrawing27.vml.rels><?xml version="1.0" encoding="UTF-8" standalone="yes"?>
<Relationships xmlns="http://schemas.openxmlformats.org/package/2006/relationships"><Relationship Id="rId2" Type="http://schemas.openxmlformats.org/officeDocument/2006/relationships/image" Target="../media/image31.emf"/><Relationship Id="rId1" Type="http://schemas.openxmlformats.org/officeDocument/2006/relationships/image" Target="../media/image32.emf"/></Relationships>
</file>

<file path=xl/drawings/_rels/vmlDrawing28.vml.rels><?xml version="1.0" encoding="UTF-8" standalone="yes"?>
<Relationships xmlns="http://schemas.openxmlformats.org/package/2006/relationships"><Relationship Id="rId2" Type="http://schemas.openxmlformats.org/officeDocument/2006/relationships/image" Target="../media/image33.emf"/><Relationship Id="rId1" Type="http://schemas.openxmlformats.org/officeDocument/2006/relationships/image" Target="../media/image34.emf"/></Relationships>
</file>

<file path=xl/drawings/_rels/vmlDrawing29.vml.rels><?xml version="1.0" encoding="UTF-8" standalone="yes"?>
<Relationships xmlns="http://schemas.openxmlformats.org/package/2006/relationships"><Relationship Id="rId2" Type="http://schemas.openxmlformats.org/officeDocument/2006/relationships/image" Target="../media/image35.emf"/><Relationship Id="rId1" Type="http://schemas.openxmlformats.org/officeDocument/2006/relationships/image" Target="../media/image36.emf"/></Relationships>
</file>

<file path=xl/drawings/_rels/vmlDrawing30.vml.rels><?xml version="1.0" encoding="UTF-8" standalone="yes"?>
<Relationships xmlns="http://schemas.openxmlformats.org/package/2006/relationships"><Relationship Id="rId2" Type="http://schemas.openxmlformats.org/officeDocument/2006/relationships/image" Target="../media/image37.emf"/><Relationship Id="rId1" Type="http://schemas.openxmlformats.org/officeDocument/2006/relationships/image" Target="../media/image38.emf"/></Relationships>
</file>

<file path=xl/drawings/_rels/vmlDrawing3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9.emf"/><Relationship Id="rId1" Type="http://schemas.openxmlformats.org/officeDocument/2006/relationships/image" Target="../media/image40.emf"/></Relationships>
</file>

<file path=xl/drawings/_rels/vmlDrawing3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1.emf"/><Relationship Id="rId1" Type="http://schemas.openxmlformats.org/officeDocument/2006/relationships/image" Target="../media/image42.emf"/></Relationships>
</file>

<file path=xl/drawings/_rels/vmlDrawing3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3.emf"/><Relationship Id="rId1" Type="http://schemas.openxmlformats.org/officeDocument/2006/relationships/image" Target="../media/image44.emf"/></Relationships>
</file>

<file path=xl/drawings/_rels/vmlDrawing34.vml.rels><?xml version="1.0" encoding="UTF-8" standalone="yes"?>
<Relationships xmlns="http://schemas.openxmlformats.org/package/2006/relationships"><Relationship Id="rId2" Type="http://schemas.openxmlformats.org/officeDocument/2006/relationships/image" Target="../media/image45.emf"/><Relationship Id="rId1" Type="http://schemas.openxmlformats.org/officeDocument/2006/relationships/image" Target="../media/image46.emf"/></Relationships>
</file>

<file path=xl/drawings/_rels/vmlDrawing35.vml.rels><?xml version="1.0" encoding="UTF-8" standalone="yes"?>
<Relationships xmlns="http://schemas.openxmlformats.org/package/2006/relationships"><Relationship Id="rId2" Type="http://schemas.openxmlformats.org/officeDocument/2006/relationships/image" Target="../media/image47.emf"/><Relationship Id="rId1" Type="http://schemas.openxmlformats.org/officeDocument/2006/relationships/image" Target="../media/image48.emf"/></Relationships>
</file>

<file path=xl/drawings/_rels/vmlDrawing36.vml.rels><?xml version="1.0" encoding="UTF-8" standalone="yes"?>
<Relationships xmlns="http://schemas.openxmlformats.org/package/2006/relationships"><Relationship Id="rId2" Type="http://schemas.openxmlformats.org/officeDocument/2006/relationships/image" Target="../media/image49.emf"/><Relationship Id="rId1" Type="http://schemas.openxmlformats.org/officeDocument/2006/relationships/image" Target="../media/image50.emf"/></Relationships>
</file>

<file path=xl/drawings/_rels/vmlDrawing37.vml.rels><?xml version="1.0" encoding="UTF-8" standalone="yes"?>
<Relationships xmlns="http://schemas.openxmlformats.org/package/2006/relationships"><Relationship Id="rId2" Type="http://schemas.openxmlformats.org/officeDocument/2006/relationships/image" Target="../media/image51.emf"/><Relationship Id="rId1" Type="http://schemas.openxmlformats.org/officeDocument/2006/relationships/image" Target="../media/image52.emf"/></Relationships>
</file>

<file path=xl/drawings/_rels/vmlDrawing38.vml.rels><?xml version="1.0" encoding="UTF-8" standalone="yes"?>
<Relationships xmlns="http://schemas.openxmlformats.org/package/2006/relationships"><Relationship Id="rId2" Type="http://schemas.openxmlformats.org/officeDocument/2006/relationships/image" Target="../media/image53.emf"/><Relationship Id="rId1" Type="http://schemas.openxmlformats.org/officeDocument/2006/relationships/image" Target="../media/image54.emf"/></Relationships>
</file>

<file path=xl/drawings/_rels/vmlDrawing39.vml.rels><?xml version="1.0" encoding="UTF-8" standalone="yes"?>
<Relationships xmlns="http://schemas.openxmlformats.org/package/2006/relationships"><Relationship Id="rId2" Type="http://schemas.openxmlformats.org/officeDocument/2006/relationships/image" Target="../media/image55.emf"/><Relationship Id="rId1" Type="http://schemas.openxmlformats.org/officeDocument/2006/relationships/image" Target="../media/image56.emf"/></Relationships>
</file>

<file path=xl/drawings/_rels/vmlDrawing40.vml.rels><?xml version="1.0" encoding="UTF-8" standalone="yes"?>
<Relationships xmlns="http://schemas.openxmlformats.org/package/2006/relationships"><Relationship Id="rId2" Type="http://schemas.openxmlformats.org/officeDocument/2006/relationships/image" Target="../media/image57.emf"/><Relationship Id="rId1" Type="http://schemas.openxmlformats.org/officeDocument/2006/relationships/image" Target="../media/image58.emf"/></Relationships>
</file>

<file path=xl/drawings/_rels/vmlDrawing4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9.emf"/><Relationship Id="rId1" Type="http://schemas.openxmlformats.org/officeDocument/2006/relationships/image" Target="../media/image60.emf"/></Relationships>
</file>

<file path=xl/drawings/_rels/vmlDrawing4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1.emf"/><Relationship Id="rId1" Type="http://schemas.openxmlformats.org/officeDocument/2006/relationships/image" Target="../media/image62.emf"/></Relationships>
</file>

<file path=xl/drawings/_rels/vmlDrawing4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3.emf"/><Relationship Id="rId1" Type="http://schemas.openxmlformats.org/officeDocument/2006/relationships/image" Target="../media/image64.emf"/></Relationships>
</file>

<file path=xl/drawings/_rels/vmlDrawing4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5.emf"/><Relationship Id="rId1" Type="http://schemas.openxmlformats.org/officeDocument/2006/relationships/image" Target="../media/image66.emf"/></Relationships>
</file>

<file path=xl/drawings/_rels/vmlDrawing45.vml.rels><?xml version="1.0" encoding="UTF-8" standalone="yes"?>
<Relationships xmlns="http://schemas.openxmlformats.org/package/2006/relationships"><Relationship Id="rId2" Type="http://schemas.openxmlformats.org/officeDocument/2006/relationships/image" Target="../media/image67.emf"/><Relationship Id="rId1" Type="http://schemas.openxmlformats.org/officeDocument/2006/relationships/image" Target="../media/image68.emf"/></Relationships>
</file>

<file path=xl/drawings/_rels/vmlDrawing46.vml.rels><?xml version="1.0" encoding="UTF-8" standalone="yes"?>
<Relationships xmlns="http://schemas.openxmlformats.org/package/2006/relationships"><Relationship Id="rId2" Type="http://schemas.openxmlformats.org/officeDocument/2006/relationships/image" Target="../media/image69.emf"/><Relationship Id="rId1" Type="http://schemas.openxmlformats.org/officeDocument/2006/relationships/image" Target="../media/image70.emf"/></Relationships>
</file>

<file path=xl/drawings/_rels/vmlDrawing47.vml.rels><?xml version="1.0" encoding="UTF-8" standalone="yes"?>
<Relationships xmlns="http://schemas.openxmlformats.org/package/2006/relationships"><Relationship Id="rId2" Type="http://schemas.openxmlformats.org/officeDocument/2006/relationships/image" Target="../media/image71.emf"/><Relationship Id="rId1" Type="http://schemas.openxmlformats.org/officeDocument/2006/relationships/image" Target="../media/image72.emf"/></Relationships>
</file>

<file path=xl/drawings/_rels/vmlDrawing48.vml.rels><?xml version="1.0" encoding="UTF-8" standalone="yes"?>
<Relationships xmlns="http://schemas.openxmlformats.org/package/2006/relationships"><Relationship Id="rId2" Type="http://schemas.openxmlformats.org/officeDocument/2006/relationships/image" Target="../media/image73.emf"/><Relationship Id="rId1" Type="http://schemas.openxmlformats.org/officeDocument/2006/relationships/image" Target="../media/image74.emf"/></Relationships>
</file>

<file path=xl/drawings/_rels/vmlDrawing49.vml.rels><?xml version="1.0" encoding="UTF-8" standalone="yes"?>
<Relationships xmlns="http://schemas.openxmlformats.org/package/2006/relationships"><Relationship Id="rId2" Type="http://schemas.openxmlformats.org/officeDocument/2006/relationships/image" Target="../media/image75.emf"/><Relationship Id="rId1" Type="http://schemas.openxmlformats.org/officeDocument/2006/relationships/image" Target="../media/image76.emf"/></Relationships>
</file>

<file path=xl/drawings/_rels/vmlDrawing50.vml.rels><?xml version="1.0" encoding="UTF-8" standalone="yes"?>
<Relationships xmlns="http://schemas.openxmlformats.org/package/2006/relationships"><Relationship Id="rId2" Type="http://schemas.openxmlformats.org/officeDocument/2006/relationships/image" Target="../media/image77.emf"/><Relationship Id="rId1" Type="http://schemas.openxmlformats.org/officeDocument/2006/relationships/image" Target="../media/image78.emf"/></Relationships>
</file>

<file path=xl/drawings/_rels/vmlDrawing51.vml.rels><?xml version="1.0" encoding="UTF-8" standalone="yes"?>
<Relationships xmlns="http://schemas.openxmlformats.org/package/2006/relationships"><Relationship Id="rId2" Type="http://schemas.openxmlformats.org/officeDocument/2006/relationships/image" Target="../media/image79.emf"/><Relationship Id="rId1" Type="http://schemas.openxmlformats.org/officeDocument/2006/relationships/image" Target="../media/image8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4337" name="FILTER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F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4338" name="HEADER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F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3553" name="FILTER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8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3554" name="HEADER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8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4577" name="FILTER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9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4578" name="HEADER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9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5601" name="FILTER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A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5602" name="HEADER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A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6625" name="FILTER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B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6626" name="HEADER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B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7649" name="FILTER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C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7650" name="HEADER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C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8673" name="FILTER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D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8674" name="HEADER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D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9697" name="FILTER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E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9698" name="HEADER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E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0721" name="FILTER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F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0722" name="HEADER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F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1745" name="FILTER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20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1746" name="HEADER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20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2769" name="FILTER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21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2770" name="HEADER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21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5361" name="FILTER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10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5362" name="HEADER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1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3793" name="FILTER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22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3794" name="HEADER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22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4817" name="FILTER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23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4818" name="HEADER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23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5841" name="FILTER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24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5842" name="HEADER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24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6865" name="FILTER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25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6866" name="HEADER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25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7889" name="FILTER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26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7890" name="HEADER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26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8913" name="FILTER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7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8914" name="HEADER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7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9937" name="FILTER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8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9938" name="HEADER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8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0961" name="FILTER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9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0962" name="HEADER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9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1985" name="FILTER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A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1986" name="HEADER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A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3009" name="FILTER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2B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3010" name="HEADER" hidden="1">
              <a:extLst>
                <a:ext uri="{63B3BB69-23CF-44E3-9099-C40C66FF867C}">
                  <a14:compatExt spid="_x0000_s43010"/>
                </a:ext>
                <a:ext uri="{FF2B5EF4-FFF2-40B4-BE49-F238E27FC236}">
                  <a16:creationId xmlns:a16="http://schemas.microsoft.com/office/drawing/2014/main" id="{00000000-0008-0000-2B00-00000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6385" name="FILTER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1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6386" name="HEADER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11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4033" name="FILTER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2C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4034" name="HEADER" hidden="1">
              <a:extLst>
                <a:ext uri="{63B3BB69-23CF-44E3-9099-C40C66FF867C}">
                  <a14:compatExt spid="_x0000_s44034"/>
                </a:ext>
                <a:ext uri="{FF2B5EF4-FFF2-40B4-BE49-F238E27FC236}">
                  <a16:creationId xmlns:a16="http://schemas.microsoft.com/office/drawing/2014/main" id="{00000000-0008-0000-2C00-000002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5057" name="FILTER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2D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5058" name="HEADER" hidden="1">
              <a:extLst>
                <a:ext uri="{63B3BB69-23CF-44E3-9099-C40C66FF867C}">
                  <a14:compatExt spid="_x0000_s45058"/>
                </a:ext>
                <a:ext uri="{FF2B5EF4-FFF2-40B4-BE49-F238E27FC236}">
                  <a16:creationId xmlns:a16="http://schemas.microsoft.com/office/drawing/2014/main" id="{00000000-0008-0000-2D00-000002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6081" name="FILTER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2E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6082" name="HEADER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2E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7105" name="FILTER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2F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7106" name="HEADER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2F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8129" name="FILTER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30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8130" name="HEADER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30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9153" name="FILTER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31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9154" name="HEADER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31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50177" name="FILTER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32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50178" name="HEADER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32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51201" name="FILTER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33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51202" name="HEADER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33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297180</xdr:colOff>
          <xdr:row>1</xdr:row>
          <xdr:rowOff>38100</xdr:rowOff>
        </xdr:to>
        <xdr:sp macro="" textlink="">
          <xdr:nvSpPr>
            <xdr:cNvPr id="52225" name="FILTER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34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297180</xdr:colOff>
          <xdr:row>1</xdr:row>
          <xdr:rowOff>38100</xdr:rowOff>
        </xdr:to>
        <xdr:sp macro="" textlink="">
          <xdr:nvSpPr>
            <xdr:cNvPr id="52226" name="HEADER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34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53249" name="FILTER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35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53250" name="HEADER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35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7409" name="FILTER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2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7410" name="HEADER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12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54273" name="FILTER" hidden="1">
              <a:extLst>
                <a:ext uri="{63B3BB69-23CF-44E3-9099-C40C66FF867C}">
                  <a14:compatExt spid="_x0000_s54273"/>
                </a:ext>
                <a:ext uri="{FF2B5EF4-FFF2-40B4-BE49-F238E27FC236}">
                  <a16:creationId xmlns:a16="http://schemas.microsoft.com/office/drawing/2014/main" id="{00000000-0008-0000-3600-000001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54274" name="HEADER" hidden="1">
              <a:extLst>
                <a:ext uri="{63B3BB69-23CF-44E3-9099-C40C66FF867C}">
                  <a14:compatExt spid="_x0000_s54274"/>
                </a:ext>
                <a:ext uri="{FF2B5EF4-FFF2-40B4-BE49-F238E27FC236}">
                  <a16:creationId xmlns:a16="http://schemas.microsoft.com/office/drawing/2014/main" id="{00000000-0008-0000-3600-000002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8433" name="FILTER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13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8434" name="HEADER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13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9457" name="FILTER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14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9458" name="HEADER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14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0481" name="FILTER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15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0482" name="HEADER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15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1505" name="FILTER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16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1506" name="HEADER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16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2529" name="FILTER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7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2530" name="HEADER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7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omb/Downloads/Lease%20Analysis%20(for%20chad%20to%20approve%20financial%20deal%20terms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Analysis - LL TI Amort Sch"/>
      <sheetName val="Analysis - TI Amort Sch"/>
      <sheetName val="Proposal"/>
      <sheetName val="New Lease"/>
      <sheetName val="Renewal"/>
      <sheetName val="Expansion"/>
      <sheetName val="Data Grid"/>
      <sheetName val="Debt Schedule"/>
      <sheetName val="Newton Amort Sch"/>
      <sheetName val="21Webb Amort Sch"/>
      <sheetName val="Tyler Amort Sch"/>
      <sheetName val="Union Amort Sch"/>
      <sheetName val="OPX Amort Sch"/>
      <sheetName val="NDV Amort Sch (3)"/>
      <sheetName val="ABP-BS-13"/>
      <sheetName val="ABP-PL-13"/>
      <sheetName val="BPT-BS-13"/>
      <sheetName val="BPT-PL-13"/>
      <sheetName val="CP-BS-13"/>
      <sheetName val="CP-PL-13"/>
      <sheetName val="DGS-BS-13"/>
      <sheetName val="DGS-PL-13"/>
      <sheetName val="NDV-BS-13"/>
      <sheetName val="NDV-PL-13"/>
      <sheetName val="NR6-BS-13"/>
      <sheetName val="NR6-TotalPL-13"/>
      <sheetName val="NR6-OfficePL-13"/>
      <sheetName val="NR6-RetailPL-13"/>
      <sheetName val="NR14-BS-13"/>
      <sheetName val="NR14-PL-13"/>
      <sheetName val="NWC-BS-13"/>
      <sheetName val="NWC-PL-13"/>
      <sheetName val="OCP-BS-13"/>
      <sheetName val="OCP-PL-13"/>
      <sheetName val="OMI-BS-13"/>
      <sheetName val="OMI-PL-13"/>
      <sheetName val="ROY-BS-13"/>
      <sheetName val="ROY-PL-13"/>
      <sheetName val="SPC-BS-13"/>
      <sheetName val="SPC-PL-13"/>
      <sheetName val="TYP-BS-13"/>
      <sheetName val="TYP-PL-13"/>
      <sheetName val="UST-BS-13"/>
      <sheetName val="UST-PL-13"/>
      <sheetName val="21Webb-BS-13"/>
      <sheetName val="21Webb-PL-13"/>
      <sheetName val="127PAW-BS-13"/>
      <sheetName val="127PAW-PL-13"/>
      <sheetName val="RP21-BS-13"/>
      <sheetName val="RP21-PL-13"/>
      <sheetName val="BSQ-BS-13"/>
      <sheetName val="BSQ-PL-13"/>
      <sheetName val="Wood96-BS-13"/>
      <sheetName val="Wood96-PL-13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T4">
            <v>0.05</v>
          </cell>
        </row>
      </sheetData>
      <sheetData sheetId="8"/>
      <sheetData sheetId="9">
        <row r="4">
          <cell r="C4">
            <v>16569923</v>
          </cell>
        </row>
        <row r="19">
          <cell r="E19">
            <v>109354.15782228092</v>
          </cell>
        </row>
      </sheetData>
      <sheetData sheetId="10">
        <row r="4">
          <cell r="C4">
            <v>12006344</v>
          </cell>
        </row>
        <row r="19">
          <cell r="E19">
            <v>79236.556298094802</v>
          </cell>
        </row>
      </sheetData>
      <sheetData sheetId="11">
        <row r="4">
          <cell r="C4">
            <v>10394965</v>
          </cell>
        </row>
        <row r="19">
          <cell r="E19">
            <v>68602.168107062811</v>
          </cell>
        </row>
      </sheetData>
      <sheetData sheetId="12">
        <row r="4">
          <cell r="C4">
            <v>38097730</v>
          </cell>
        </row>
        <row r="19">
          <cell r="E19">
            <v>251428.15564626624</v>
          </cell>
        </row>
      </sheetData>
      <sheetData sheetId="13">
        <row r="4">
          <cell r="C4">
            <v>75541570</v>
          </cell>
        </row>
        <row r="19">
          <cell r="E19">
            <v>441608.49541877909</v>
          </cell>
        </row>
      </sheetData>
      <sheetData sheetId="14"/>
      <sheetData sheetId="15">
        <row r="26">
          <cell r="J26">
            <v>244315</v>
          </cell>
        </row>
        <row r="27">
          <cell r="J27">
            <v>-956120</v>
          </cell>
        </row>
        <row r="28">
          <cell r="J28">
            <v>2816643</v>
          </cell>
        </row>
        <row r="49">
          <cell r="J49">
            <v>2801086</v>
          </cell>
        </row>
      </sheetData>
      <sheetData sheetId="16">
        <row r="130">
          <cell r="L130">
            <v>191454.49000000005</v>
          </cell>
        </row>
      </sheetData>
      <sheetData sheetId="17">
        <row r="28">
          <cell r="J28">
            <v>-332914</v>
          </cell>
        </row>
        <row r="29">
          <cell r="J29">
            <v>620218</v>
          </cell>
        </row>
        <row r="48">
          <cell r="J48">
            <v>637117</v>
          </cell>
        </row>
      </sheetData>
      <sheetData sheetId="18">
        <row r="118">
          <cell r="L118">
            <v>90621.140000000014</v>
          </cell>
        </row>
      </sheetData>
      <sheetData sheetId="19">
        <row r="22">
          <cell r="J22">
            <v>-133111</v>
          </cell>
        </row>
        <row r="23">
          <cell r="J23">
            <v>514032</v>
          </cell>
        </row>
        <row r="41">
          <cell r="J41">
            <v>476177</v>
          </cell>
        </row>
      </sheetData>
      <sheetData sheetId="20">
        <row r="111">
          <cell r="L111">
            <v>37278.130000000012</v>
          </cell>
        </row>
      </sheetData>
      <sheetData sheetId="21">
        <row r="19">
          <cell r="J19">
            <v>100980</v>
          </cell>
        </row>
        <row r="20">
          <cell r="J20">
            <v>-280736</v>
          </cell>
        </row>
        <row r="21">
          <cell r="J21">
            <v>1093962</v>
          </cell>
        </row>
        <row r="39">
          <cell r="J39">
            <v>1175509</v>
          </cell>
        </row>
      </sheetData>
      <sheetData sheetId="22">
        <row r="127">
          <cell r="L127">
            <v>73361.240000000005</v>
          </cell>
        </row>
      </sheetData>
      <sheetData sheetId="23"/>
      <sheetData sheetId="24"/>
      <sheetData sheetId="25">
        <row r="20">
          <cell r="J20">
            <v>621298</v>
          </cell>
        </row>
        <row r="21">
          <cell r="J21">
            <v>7125373</v>
          </cell>
        </row>
        <row r="23">
          <cell r="J23">
            <v>619709</v>
          </cell>
        </row>
        <row r="24">
          <cell r="J24">
            <v>9898</v>
          </cell>
        </row>
        <row r="25">
          <cell r="J25">
            <v>14565</v>
          </cell>
        </row>
        <row r="26">
          <cell r="J26">
            <v>1561363</v>
          </cell>
        </row>
        <row r="27">
          <cell r="J27">
            <v>26796</v>
          </cell>
        </row>
        <row r="28">
          <cell r="J28">
            <v>28249</v>
          </cell>
        </row>
        <row r="51">
          <cell r="J51">
            <v>7442982</v>
          </cell>
        </row>
        <row r="52">
          <cell r="J52">
            <v>2145343</v>
          </cell>
        </row>
      </sheetData>
      <sheetData sheetId="26"/>
      <sheetData sheetId="27">
        <row r="134">
          <cell r="L134">
            <v>625302</v>
          </cell>
        </row>
      </sheetData>
      <sheetData sheetId="28">
        <row r="113">
          <cell r="L113">
            <v>101199</v>
          </cell>
        </row>
      </sheetData>
      <sheetData sheetId="29">
        <row r="36">
          <cell r="J36">
            <v>1647778</v>
          </cell>
        </row>
      </sheetData>
      <sheetData sheetId="30"/>
      <sheetData sheetId="31">
        <row r="23">
          <cell r="J23">
            <v>145829</v>
          </cell>
        </row>
        <row r="25">
          <cell r="J25">
            <v>-2551304</v>
          </cell>
        </row>
        <row r="26">
          <cell r="J26">
            <v>2943579</v>
          </cell>
        </row>
        <row r="44">
          <cell r="J44">
            <v>2625195</v>
          </cell>
        </row>
      </sheetData>
      <sheetData sheetId="32">
        <row r="206">
          <cell r="M206">
            <v>320124.57999999996</v>
          </cell>
        </row>
      </sheetData>
      <sheetData sheetId="33">
        <row r="20">
          <cell r="J20">
            <v>-360979</v>
          </cell>
        </row>
        <row r="21">
          <cell r="J21">
            <v>539158</v>
          </cell>
        </row>
        <row r="35">
          <cell r="J35">
            <v>225262</v>
          </cell>
        </row>
      </sheetData>
      <sheetData sheetId="34">
        <row r="143">
          <cell r="L143">
            <v>200429.37000000002</v>
          </cell>
        </row>
      </sheetData>
      <sheetData sheetId="35"/>
      <sheetData sheetId="36"/>
      <sheetData sheetId="37">
        <row r="24">
          <cell r="J24">
            <v>-772014</v>
          </cell>
        </row>
        <row r="25">
          <cell r="J25">
            <v>1699040</v>
          </cell>
        </row>
        <row r="39">
          <cell r="J39">
            <v>1624730</v>
          </cell>
        </row>
      </sheetData>
      <sheetData sheetId="38">
        <row r="98">
          <cell r="K98">
            <v>91311.790000000008</v>
          </cell>
        </row>
      </sheetData>
      <sheetData sheetId="39">
        <row r="22">
          <cell r="J22">
            <v>-614532</v>
          </cell>
        </row>
        <row r="23">
          <cell r="J23">
            <v>2614783</v>
          </cell>
        </row>
        <row r="37">
          <cell r="J37">
            <v>2938660</v>
          </cell>
        </row>
      </sheetData>
      <sheetData sheetId="40">
        <row r="150">
          <cell r="K150">
            <v>122251.04000000001</v>
          </cell>
        </row>
      </sheetData>
      <sheetData sheetId="41"/>
      <sheetData sheetId="42"/>
      <sheetData sheetId="43"/>
      <sheetData sheetId="44"/>
      <sheetData sheetId="45"/>
      <sheetData sheetId="46"/>
      <sheetData sheetId="47">
        <row r="14">
          <cell r="J14">
            <v>472813</v>
          </cell>
        </row>
      </sheetData>
      <sheetData sheetId="48"/>
      <sheetData sheetId="49">
        <row r="14">
          <cell r="J14">
            <v>2558134</v>
          </cell>
        </row>
      </sheetData>
      <sheetData sheetId="50"/>
      <sheetData sheetId="51"/>
      <sheetData sheetId="52"/>
      <sheetData sheetId="53">
        <row r="10">
          <cell r="J10">
            <v>210344.1</v>
          </cell>
        </row>
      </sheetData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.xml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7" Type="http://schemas.openxmlformats.org/officeDocument/2006/relationships/image" Target="../media/image8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8.xml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7" Type="http://schemas.openxmlformats.org/officeDocument/2006/relationships/image" Target="../media/image10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10.xml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7" Type="http://schemas.openxmlformats.org/officeDocument/2006/relationships/image" Target="../media/image12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7" Type="http://schemas.openxmlformats.org/officeDocument/2006/relationships/image" Target="../media/image14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4.xml"/><Relationship Id="rId5" Type="http://schemas.openxmlformats.org/officeDocument/2006/relationships/image" Target="../media/image13.emf"/><Relationship Id="rId4" Type="http://schemas.openxmlformats.org/officeDocument/2006/relationships/control" Target="../activeX/activeX1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16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16.xml"/><Relationship Id="rId5" Type="http://schemas.openxmlformats.org/officeDocument/2006/relationships/image" Target="../media/image15.emf"/><Relationship Id="rId4" Type="http://schemas.openxmlformats.org/officeDocument/2006/relationships/control" Target="../activeX/activeX15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7" Type="http://schemas.openxmlformats.org/officeDocument/2006/relationships/image" Target="../media/image18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7" Type="http://schemas.openxmlformats.org/officeDocument/2006/relationships/image" Target="../media/image20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20.xml"/><Relationship Id="rId5" Type="http://schemas.openxmlformats.org/officeDocument/2006/relationships/image" Target="../media/image19.emf"/><Relationship Id="rId4" Type="http://schemas.openxmlformats.org/officeDocument/2006/relationships/control" Target="../activeX/activeX1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7" Type="http://schemas.openxmlformats.org/officeDocument/2006/relationships/image" Target="../media/image22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22.xml"/><Relationship Id="rId5" Type="http://schemas.openxmlformats.org/officeDocument/2006/relationships/image" Target="../media/image21.emf"/><Relationship Id="rId4" Type="http://schemas.openxmlformats.org/officeDocument/2006/relationships/control" Target="../activeX/activeX21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7" Type="http://schemas.openxmlformats.org/officeDocument/2006/relationships/image" Target="../media/image24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24.xml"/><Relationship Id="rId5" Type="http://schemas.openxmlformats.org/officeDocument/2006/relationships/image" Target="../media/image23.emf"/><Relationship Id="rId4" Type="http://schemas.openxmlformats.org/officeDocument/2006/relationships/control" Target="../activeX/activeX2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7" Type="http://schemas.openxmlformats.org/officeDocument/2006/relationships/image" Target="../media/image26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26.xml"/><Relationship Id="rId5" Type="http://schemas.openxmlformats.org/officeDocument/2006/relationships/image" Target="../media/image25.emf"/><Relationship Id="rId4" Type="http://schemas.openxmlformats.org/officeDocument/2006/relationships/control" Target="../activeX/activeX2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image" Target="../media/image28.emf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28.xml"/><Relationship Id="rId5" Type="http://schemas.openxmlformats.org/officeDocument/2006/relationships/image" Target="../media/image27.emf"/><Relationship Id="rId4" Type="http://schemas.openxmlformats.org/officeDocument/2006/relationships/control" Target="../activeX/activeX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image" Target="../media/image30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0.bin"/><Relationship Id="rId6" Type="http://schemas.openxmlformats.org/officeDocument/2006/relationships/control" Target="../activeX/activeX30.xml"/><Relationship Id="rId5" Type="http://schemas.openxmlformats.org/officeDocument/2006/relationships/image" Target="../media/image29.emf"/><Relationship Id="rId4" Type="http://schemas.openxmlformats.org/officeDocument/2006/relationships/control" Target="../activeX/activeX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image" Target="../media/image32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1.bin"/><Relationship Id="rId6" Type="http://schemas.openxmlformats.org/officeDocument/2006/relationships/control" Target="../activeX/activeX32.xml"/><Relationship Id="rId5" Type="http://schemas.openxmlformats.org/officeDocument/2006/relationships/image" Target="../media/image31.emf"/><Relationship Id="rId4" Type="http://schemas.openxmlformats.org/officeDocument/2006/relationships/control" Target="../activeX/activeX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image" Target="../media/image34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2.bin"/><Relationship Id="rId6" Type="http://schemas.openxmlformats.org/officeDocument/2006/relationships/control" Target="../activeX/activeX34.xml"/><Relationship Id="rId5" Type="http://schemas.openxmlformats.org/officeDocument/2006/relationships/image" Target="../media/image33.emf"/><Relationship Id="rId4" Type="http://schemas.openxmlformats.org/officeDocument/2006/relationships/control" Target="../activeX/activeX3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image" Target="../media/image36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3.bin"/><Relationship Id="rId6" Type="http://schemas.openxmlformats.org/officeDocument/2006/relationships/control" Target="../activeX/activeX36.xml"/><Relationship Id="rId5" Type="http://schemas.openxmlformats.org/officeDocument/2006/relationships/image" Target="../media/image35.emf"/><Relationship Id="rId4" Type="http://schemas.openxmlformats.org/officeDocument/2006/relationships/control" Target="../activeX/activeX3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image" Target="../media/image38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4.bin"/><Relationship Id="rId6" Type="http://schemas.openxmlformats.org/officeDocument/2006/relationships/control" Target="../activeX/activeX38.xml"/><Relationship Id="rId5" Type="http://schemas.openxmlformats.org/officeDocument/2006/relationships/image" Target="../media/image37.emf"/><Relationship Id="rId4" Type="http://schemas.openxmlformats.org/officeDocument/2006/relationships/control" Target="../activeX/activeX37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7" Type="http://schemas.openxmlformats.org/officeDocument/2006/relationships/image" Target="../media/image40.emf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5.bin"/><Relationship Id="rId6" Type="http://schemas.openxmlformats.org/officeDocument/2006/relationships/control" Target="../activeX/activeX40.xml"/><Relationship Id="rId5" Type="http://schemas.openxmlformats.org/officeDocument/2006/relationships/image" Target="../media/image39.emf"/><Relationship Id="rId4" Type="http://schemas.openxmlformats.org/officeDocument/2006/relationships/control" Target="../activeX/activeX39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7" Type="http://schemas.openxmlformats.org/officeDocument/2006/relationships/image" Target="../media/image42.emf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6.bin"/><Relationship Id="rId6" Type="http://schemas.openxmlformats.org/officeDocument/2006/relationships/control" Target="../activeX/activeX42.xml"/><Relationship Id="rId5" Type="http://schemas.openxmlformats.org/officeDocument/2006/relationships/image" Target="../media/image41.emf"/><Relationship Id="rId4" Type="http://schemas.openxmlformats.org/officeDocument/2006/relationships/control" Target="../activeX/activeX41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7" Type="http://schemas.openxmlformats.org/officeDocument/2006/relationships/image" Target="../media/image44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7.bin"/><Relationship Id="rId6" Type="http://schemas.openxmlformats.org/officeDocument/2006/relationships/control" Target="../activeX/activeX44.xml"/><Relationship Id="rId5" Type="http://schemas.openxmlformats.org/officeDocument/2006/relationships/image" Target="../media/image43.emf"/><Relationship Id="rId4" Type="http://schemas.openxmlformats.org/officeDocument/2006/relationships/control" Target="../activeX/activeX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7" Type="http://schemas.openxmlformats.org/officeDocument/2006/relationships/image" Target="../media/image46.emf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8.bin"/><Relationship Id="rId6" Type="http://schemas.openxmlformats.org/officeDocument/2006/relationships/control" Target="../activeX/activeX46.xml"/><Relationship Id="rId5" Type="http://schemas.openxmlformats.org/officeDocument/2006/relationships/image" Target="../media/image45.emf"/><Relationship Id="rId4" Type="http://schemas.openxmlformats.org/officeDocument/2006/relationships/control" Target="../activeX/activeX45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7" Type="http://schemas.openxmlformats.org/officeDocument/2006/relationships/image" Target="../media/image48.emf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9.bin"/><Relationship Id="rId6" Type="http://schemas.openxmlformats.org/officeDocument/2006/relationships/control" Target="../activeX/activeX48.xml"/><Relationship Id="rId5" Type="http://schemas.openxmlformats.org/officeDocument/2006/relationships/image" Target="../media/image47.emf"/><Relationship Id="rId4" Type="http://schemas.openxmlformats.org/officeDocument/2006/relationships/control" Target="../activeX/activeX4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7" Type="http://schemas.openxmlformats.org/officeDocument/2006/relationships/image" Target="../media/image50.emf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0.bin"/><Relationship Id="rId6" Type="http://schemas.openxmlformats.org/officeDocument/2006/relationships/control" Target="../activeX/activeX50.xml"/><Relationship Id="rId5" Type="http://schemas.openxmlformats.org/officeDocument/2006/relationships/image" Target="../media/image49.emf"/><Relationship Id="rId4" Type="http://schemas.openxmlformats.org/officeDocument/2006/relationships/control" Target="../activeX/activeX49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7" Type="http://schemas.openxmlformats.org/officeDocument/2006/relationships/image" Target="../media/image52.emf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41.bin"/><Relationship Id="rId6" Type="http://schemas.openxmlformats.org/officeDocument/2006/relationships/control" Target="../activeX/activeX52.xml"/><Relationship Id="rId5" Type="http://schemas.openxmlformats.org/officeDocument/2006/relationships/image" Target="../media/image51.emf"/><Relationship Id="rId4" Type="http://schemas.openxmlformats.org/officeDocument/2006/relationships/control" Target="../activeX/activeX5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7" Type="http://schemas.openxmlformats.org/officeDocument/2006/relationships/image" Target="../media/image54.emf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42.bin"/><Relationship Id="rId6" Type="http://schemas.openxmlformats.org/officeDocument/2006/relationships/control" Target="../activeX/activeX54.xml"/><Relationship Id="rId5" Type="http://schemas.openxmlformats.org/officeDocument/2006/relationships/image" Target="../media/image53.emf"/><Relationship Id="rId4" Type="http://schemas.openxmlformats.org/officeDocument/2006/relationships/control" Target="../activeX/activeX5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7" Type="http://schemas.openxmlformats.org/officeDocument/2006/relationships/image" Target="../media/image56.emf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3.bin"/><Relationship Id="rId6" Type="http://schemas.openxmlformats.org/officeDocument/2006/relationships/control" Target="../activeX/activeX56.xml"/><Relationship Id="rId5" Type="http://schemas.openxmlformats.org/officeDocument/2006/relationships/image" Target="../media/image55.emf"/><Relationship Id="rId4" Type="http://schemas.openxmlformats.org/officeDocument/2006/relationships/control" Target="../activeX/activeX55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7" Type="http://schemas.openxmlformats.org/officeDocument/2006/relationships/image" Target="../media/image58.emf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4.bin"/><Relationship Id="rId6" Type="http://schemas.openxmlformats.org/officeDocument/2006/relationships/control" Target="../activeX/activeX58.xml"/><Relationship Id="rId5" Type="http://schemas.openxmlformats.org/officeDocument/2006/relationships/image" Target="../media/image57.emf"/><Relationship Id="rId4" Type="http://schemas.openxmlformats.org/officeDocument/2006/relationships/control" Target="../activeX/activeX57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7" Type="http://schemas.openxmlformats.org/officeDocument/2006/relationships/image" Target="../media/image60.emf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5.bin"/><Relationship Id="rId6" Type="http://schemas.openxmlformats.org/officeDocument/2006/relationships/control" Target="../activeX/activeX60.xml"/><Relationship Id="rId5" Type="http://schemas.openxmlformats.org/officeDocument/2006/relationships/image" Target="../media/image59.emf"/><Relationship Id="rId4" Type="http://schemas.openxmlformats.org/officeDocument/2006/relationships/control" Target="../activeX/activeX59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2.vml"/><Relationship Id="rId7" Type="http://schemas.openxmlformats.org/officeDocument/2006/relationships/image" Target="../media/image62.emf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6.bin"/><Relationship Id="rId6" Type="http://schemas.openxmlformats.org/officeDocument/2006/relationships/control" Target="../activeX/activeX62.xml"/><Relationship Id="rId5" Type="http://schemas.openxmlformats.org/officeDocument/2006/relationships/image" Target="../media/image61.emf"/><Relationship Id="rId4" Type="http://schemas.openxmlformats.org/officeDocument/2006/relationships/control" Target="../activeX/activeX61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3.vml"/><Relationship Id="rId7" Type="http://schemas.openxmlformats.org/officeDocument/2006/relationships/image" Target="../media/image64.emf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7.bin"/><Relationship Id="rId6" Type="http://schemas.openxmlformats.org/officeDocument/2006/relationships/control" Target="../activeX/activeX64.xml"/><Relationship Id="rId5" Type="http://schemas.openxmlformats.org/officeDocument/2006/relationships/image" Target="../media/image63.emf"/><Relationship Id="rId4" Type="http://schemas.openxmlformats.org/officeDocument/2006/relationships/control" Target="../activeX/activeX6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4.vml"/><Relationship Id="rId7" Type="http://schemas.openxmlformats.org/officeDocument/2006/relationships/image" Target="../media/image66.emf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8.bin"/><Relationship Id="rId6" Type="http://schemas.openxmlformats.org/officeDocument/2006/relationships/control" Target="../activeX/activeX66.xml"/><Relationship Id="rId5" Type="http://schemas.openxmlformats.org/officeDocument/2006/relationships/image" Target="../media/image65.emf"/><Relationship Id="rId4" Type="http://schemas.openxmlformats.org/officeDocument/2006/relationships/control" Target="../activeX/activeX65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5.vml"/><Relationship Id="rId7" Type="http://schemas.openxmlformats.org/officeDocument/2006/relationships/image" Target="../media/image68.emf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9.bin"/><Relationship Id="rId6" Type="http://schemas.openxmlformats.org/officeDocument/2006/relationships/control" Target="../activeX/activeX68.xml"/><Relationship Id="rId5" Type="http://schemas.openxmlformats.org/officeDocument/2006/relationships/image" Target="../media/image67.emf"/><Relationship Id="rId4" Type="http://schemas.openxmlformats.org/officeDocument/2006/relationships/control" Target="../activeX/activeX6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6.vml"/><Relationship Id="rId7" Type="http://schemas.openxmlformats.org/officeDocument/2006/relationships/image" Target="../media/image70.emf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50.bin"/><Relationship Id="rId6" Type="http://schemas.openxmlformats.org/officeDocument/2006/relationships/control" Target="../activeX/activeX70.xml"/><Relationship Id="rId5" Type="http://schemas.openxmlformats.org/officeDocument/2006/relationships/image" Target="../media/image69.emf"/><Relationship Id="rId4" Type="http://schemas.openxmlformats.org/officeDocument/2006/relationships/control" Target="../activeX/activeX69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7.vml"/><Relationship Id="rId7" Type="http://schemas.openxmlformats.org/officeDocument/2006/relationships/image" Target="../media/image72.emf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1.bin"/><Relationship Id="rId6" Type="http://schemas.openxmlformats.org/officeDocument/2006/relationships/control" Target="../activeX/activeX72.xml"/><Relationship Id="rId5" Type="http://schemas.openxmlformats.org/officeDocument/2006/relationships/image" Target="../media/image71.emf"/><Relationship Id="rId4" Type="http://schemas.openxmlformats.org/officeDocument/2006/relationships/control" Target="../activeX/activeX71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8.vml"/><Relationship Id="rId7" Type="http://schemas.openxmlformats.org/officeDocument/2006/relationships/image" Target="../media/image74.emf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2.bin"/><Relationship Id="rId6" Type="http://schemas.openxmlformats.org/officeDocument/2006/relationships/control" Target="../activeX/activeX74.xml"/><Relationship Id="rId5" Type="http://schemas.openxmlformats.org/officeDocument/2006/relationships/image" Target="../media/image73.emf"/><Relationship Id="rId4" Type="http://schemas.openxmlformats.org/officeDocument/2006/relationships/control" Target="../activeX/activeX7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9.vml"/><Relationship Id="rId7" Type="http://schemas.openxmlformats.org/officeDocument/2006/relationships/image" Target="../media/image76.emf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3.bin"/><Relationship Id="rId6" Type="http://schemas.openxmlformats.org/officeDocument/2006/relationships/control" Target="../activeX/activeX76.xml"/><Relationship Id="rId5" Type="http://schemas.openxmlformats.org/officeDocument/2006/relationships/image" Target="../media/image75.emf"/><Relationship Id="rId4" Type="http://schemas.openxmlformats.org/officeDocument/2006/relationships/control" Target="../activeX/activeX75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0.vml"/><Relationship Id="rId7" Type="http://schemas.openxmlformats.org/officeDocument/2006/relationships/image" Target="../media/image78.emf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Relationship Id="rId6" Type="http://schemas.openxmlformats.org/officeDocument/2006/relationships/control" Target="../activeX/activeX78.xml"/><Relationship Id="rId5" Type="http://schemas.openxmlformats.org/officeDocument/2006/relationships/image" Target="../media/image77.emf"/><Relationship Id="rId4" Type="http://schemas.openxmlformats.org/officeDocument/2006/relationships/control" Target="../activeX/activeX77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1.vml"/><Relationship Id="rId7" Type="http://schemas.openxmlformats.org/officeDocument/2006/relationships/image" Target="../media/image80.emf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5.bin"/><Relationship Id="rId6" Type="http://schemas.openxmlformats.org/officeDocument/2006/relationships/control" Target="../activeX/activeX80.xml"/><Relationship Id="rId5" Type="http://schemas.openxmlformats.org/officeDocument/2006/relationships/image" Target="../media/image79.emf"/><Relationship Id="rId4" Type="http://schemas.openxmlformats.org/officeDocument/2006/relationships/control" Target="../activeX/activeX7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6"/>
  <sheetViews>
    <sheetView topLeftCell="A38" workbookViewId="0">
      <selection activeCell="C15" sqref="C15"/>
    </sheetView>
  </sheetViews>
  <sheetFormatPr defaultColWidth="9.109375" defaultRowHeight="13.8" outlineLevelRow="1" x14ac:dyDescent="0.25"/>
  <cols>
    <col min="1" max="1" width="4.6640625" style="67" customWidth="1"/>
    <col min="2" max="2" width="37.6640625" style="67" customWidth="1"/>
    <col min="3" max="3" width="15.88671875" style="67" customWidth="1"/>
    <col min="4" max="4" width="15.88671875" style="68" customWidth="1"/>
    <col min="5" max="5" width="18.6640625" style="68" customWidth="1"/>
    <col min="6" max="6" width="4.6640625" style="67" customWidth="1"/>
    <col min="7" max="7" width="24.88671875" style="67" bestFit="1" customWidth="1"/>
    <col min="8" max="8" width="12.6640625" style="67" customWidth="1"/>
    <col min="9" max="9" width="42.6640625" style="67" bestFit="1" customWidth="1"/>
    <col min="10" max="11" width="12.6640625" style="67" customWidth="1"/>
    <col min="12" max="16384" width="9.109375" style="67"/>
  </cols>
  <sheetData>
    <row r="1" spans="1:9" ht="22.8" x14ac:dyDescent="0.4">
      <c r="A1" s="67" t="s">
        <v>1014</v>
      </c>
      <c r="B1" s="163" t="s">
        <v>51</v>
      </c>
      <c r="C1" s="163"/>
      <c r="D1" s="163"/>
      <c r="E1" s="163"/>
      <c r="F1" s="163"/>
    </row>
    <row r="5" spans="1:9" ht="15" customHeight="1" x14ac:dyDescent="0.25">
      <c r="B5" s="67" t="s">
        <v>42</v>
      </c>
      <c r="C5" s="164" t="s">
        <v>41</v>
      </c>
      <c r="D5" s="165"/>
      <c r="E5" s="67"/>
    </row>
    <row r="6" spans="1:9" x14ac:dyDescent="0.25">
      <c r="C6" s="68"/>
    </row>
    <row r="7" spans="1:9" x14ac:dyDescent="0.25">
      <c r="B7" s="67" t="s">
        <v>2</v>
      </c>
      <c r="C7" s="164" t="s">
        <v>1058</v>
      </c>
      <c r="D7" s="165"/>
    </row>
    <row r="9" spans="1:9" x14ac:dyDescent="0.25">
      <c r="B9" s="67" t="s">
        <v>99</v>
      </c>
      <c r="C9" s="69">
        <v>79290</v>
      </c>
      <c r="E9" s="70" t="s">
        <v>39</v>
      </c>
    </row>
    <row r="10" spans="1:9" x14ac:dyDescent="0.25">
      <c r="B10" s="67" t="s">
        <v>55</v>
      </c>
      <c r="C10" s="162">
        <v>5</v>
      </c>
      <c r="E10" s="71"/>
    </row>
    <row r="11" spans="1:9" x14ac:dyDescent="0.25">
      <c r="B11" s="67" t="s">
        <v>1012</v>
      </c>
      <c r="C11" s="69">
        <v>1</v>
      </c>
      <c r="E11" s="71"/>
    </row>
    <row r="12" spans="1:9" x14ac:dyDescent="0.25">
      <c r="B12" s="67" t="s">
        <v>100</v>
      </c>
      <c r="C12" s="72">
        <v>0</v>
      </c>
      <c r="E12" s="73">
        <f>C12*C9</f>
        <v>0</v>
      </c>
    </row>
    <row r="13" spans="1:9" x14ac:dyDescent="0.25">
      <c r="B13" s="67" t="s">
        <v>101</v>
      </c>
      <c r="C13" s="72"/>
      <c r="E13" s="73"/>
    </row>
    <row r="14" spans="1:9" x14ac:dyDescent="0.25">
      <c r="B14" s="67" t="s">
        <v>53</v>
      </c>
      <c r="C14" s="74"/>
      <c r="E14" s="73"/>
      <c r="I14" s="116"/>
    </row>
    <row r="15" spans="1:9" x14ac:dyDescent="0.25">
      <c r="B15" s="67" t="s">
        <v>56</v>
      </c>
      <c r="C15" s="74">
        <v>0.06</v>
      </c>
      <c r="E15" s="73">
        <f>E31*C10*C15</f>
        <v>290677.14</v>
      </c>
      <c r="G15" s="83"/>
    </row>
    <row r="17" spans="2:5" x14ac:dyDescent="0.25">
      <c r="B17" s="75" t="s">
        <v>92</v>
      </c>
      <c r="C17" s="75"/>
      <c r="D17" s="75"/>
      <c r="E17" s="75"/>
    </row>
    <row r="18" spans="2:5" ht="27.6" x14ac:dyDescent="0.25">
      <c r="B18" s="76" t="s">
        <v>0</v>
      </c>
      <c r="C18" s="77" t="s">
        <v>54</v>
      </c>
      <c r="D18" s="78" t="s">
        <v>102</v>
      </c>
      <c r="E18" s="78" t="s">
        <v>93</v>
      </c>
    </row>
    <row r="20" spans="2:5" x14ac:dyDescent="0.25">
      <c r="B20" s="76">
        <v>1</v>
      </c>
      <c r="C20" s="79">
        <v>11.72</v>
      </c>
      <c r="D20" s="80">
        <f>IF(C20&lt;&gt;0,SUM('Analysis - TI Amort Sch'!G19:G30)," ")</f>
        <v>0</v>
      </c>
      <c r="E20" s="80">
        <f>IF(C20&lt;&gt;0,(C20+D20)*$C$9," ")</f>
        <v>929278.8</v>
      </c>
    </row>
    <row r="21" spans="2:5" x14ac:dyDescent="0.25">
      <c r="B21" s="76">
        <v>2</v>
      </c>
      <c r="C21" s="81">
        <v>11.97</v>
      </c>
      <c r="D21" s="82">
        <f>IF(C21&lt;&gt;0,SUM('Analysis - TI Amort Sch'!G31:G42)," ")</f>
        <v>0</v>
      </c>
      <c r="E21" s="82">
        <f t="shared" ref="E21:E30" si="0">IF(C21&lt;&gt;0,(C21+D21)*$C$9," ")</f>
        <v>949101.3</v>
      </c>
    </row>
    <row r="22" spans="2:5" x14ac:dyDescent="0.25">
      <c r="B22" s="76">
        <v>3</v>
      </c>
      <c r="C22" s="81">
        <v>12.22</v>
      </c>
      <c r="D22" s="82">
        <f>IF(C22&lt;&gt;0,SUM('Analysis - TI Amort Sch'!G43:G54)," ")</f>
        <v>0</v>
      </c>
      <c r="E22" s="82">
        <f t="shared" si="0"/>
        <v>968923.8</v>
      </c>
    </row>
    <row r="23" spans="2:5" x14ac:dyDescent="0.25">
      <c r="B23" s="76">
        <v>4</v>
      </c>
      <c r="C23" s="81">
        <v>12.47</v>
      </c>
      <c r="D23" s="82">
        <f>IF(C23&lt;&gt;0,SUM('Analysis - TI Amort Sch'!G55:G66)," ")</f>
        <v>0</v>
      </c>
      <c r="E23" s="82">
        <f t="shared" si="0"/>
        <v>988746.3</v>
      </c>
    </row>
    <row r="24" spans="2:5" x14ac:dyDescent="0.25">
      <c r="B24" s="76">
        <v>5</v>
      </c>
      <c r="C24" s="81">
        <v>12.72</v>
      </c>
      <c r="D24" s="82">
        <f>IF(C24&lt;&gt;0,SUM('Analysis - TI Amort Sch'!G67:G78)," ")</f>
        <v>0</v>
      </c>
      <c r="E24" s="82">
        <f t="shared" si="0"/>
        <v>1008568.8</v>
      </c>
    </row>
    <row r="25" spans="2:5" x14ac:dyDescent="0.25">
      <c r="B25" s="76">
        <v>6</v>
      </c>
      <c r="C25" s="81"/>
      <c r="D25" s="82" t="str">
        <f>IF(C25&lt;&gt;0,SUM('Analysis - TI Amort Sch'!G79:G90)," ")</f>
        <v xml:space="preserve"> </v>
      </c>
      <c r="E25" s="82" t="str">
        <f t="shared" si="0"/>
        <v xml:space="preserve"> </v>
      </c>
    </row>
    <row r="26" spans="2:5" x14ac:dyDescent="0.25">
      <c r="B26" s="76">
        <v>7</v>
      </c>
      <c r="C26" s="81"/>
      <c r="D26" s="82" t="str">
        <f>IF(C26&lt;&gt;0,SUM('Analysis - TI Amort Sch'!G91:G102)," ")</f>
        <v xml:space="preserve"> </v>
      </c>
      <c r="E26" s="82" t="str">
        <f t="shared" si="0"/>
        <v xml:space="preserve"> </v>
      </c>
    </row>
    <row r="27" spans="2:5" x14ac:dyDescent="0.25">
      <c r="B27" s="76">
        <v>8</v>
      </c>
      <c r="C27" s="81"/>
      <c r="D27" s="82" t="str">
        <f>IF(C27&lt;&gt;0,SUM('Analysis - TI Amort Sch'!G103:G114)," ")</f>
        <v xml:space="preserve"> </v>
      </c>
      <c r="E27" s="82" t="str">
        <f t="shared" si="0"/>
        <v xml:space="preserve"> </v>
      </c>
    </row>
    <row r="28" spans="2:5" x14ac:dyDescent="0.25">
      <c r="B28" s="76">
        <v>9</v>
      </c>
      <c r="C28" s="81"/>
      <c r="D28" s="82" t="str">
        <f>IF(C28&lt;&gt;0,SUM('Analysis - TI Amort Sch'!G115:G126)," ")</f>
        <v xml:space="preserve"> </v>
      </c>
      <c r="E28" s="82" t="str">
        <f t="shared" si="0"/>
        <v xml:space="preserve"> </v>
      </c>
    </row>
    <row r="29" spans="2:5" x14ac:dyDescent="0.25">
      <c r="B29" s="76">
        <v>10</v>
      </c>
      <c r="C29" s="81"/>
      <c r="D29" s="82" t="str">
        <f>IF(C29&lt;&gt;0,SUM('Analysis - TI Amort Sch'!G127:G138)," ")</f>
        <v xml:space="preserve"> </v>
      </c>
      <c r="E29" s="82" t="str">
        <f t="shared" si="0"/>
        <v xml:space="preserve"> </v>
      </c>
    </row>
    <row r="30" spans="2:5" x14ac:dyDescent="0.25">
      <c r="B30" s="76">
        <v>11</v>
      </c>
      <c r="C30" s="81"/>
      <c r="D30" s="82" t="str">
        <f>IF(C30&lt;&gt;0,SUM('Analysis - TI Amort Sch'!G139:G150)," ")</f>
        <v xml:space="preserve"> </v>
      </c>
      <c r="E30" s="82" t="str">
        <f t="shared" si="0"/>
        <v xml:space="preserve"> </v>
      </c>
    </row>
    <row r="31" spans="2:5" x14ac:dyDescent="0.25">
      <c r="B31" s="76" t="s">
        <v>52</v>
      </c>
      <c r="C31" s="80">
        <f>AVERAGE(C20:C30)</f>
        <v>12.22</v>
      </c>
      <c r="D31" s="80">
        <f>AVERAGE(D20:D30)</f>
        <v>0</v>
      </c>
      <c r="E31" s="80">
        <f>AVERAGE(E20:E30)</f>
        <v>968923.8</v>
      </c>
    </row>
    <row r="32" spans="2:5" x14ac:dyDescent="0.25">
      <c r="B32" s="76"/>
      <c r="C32" s="82"/>
      <c r="D32" s="82"/>
      <c r="E32" s="82"/>
    </row>
    <row r="33" spans="2:9" ht="27.6" x14ac:dyDescent="0.25">
      <c r="B33" s="76"/>
      <c r="C33" s="127" t="s">
        <v>1005</v>
      </c>
      <c r="D33" s="127" t="s">
        <v>1006</v>
      </c>
      <c r="E33" s="67"/>
    </row>
    <row r="34" spans="2:9" x14ac:dyDescent="0.25">
      <c r="B34" s="76"/>
      <c r="C34" s="82"/>
      <c r="D34" s="82"/>
      <c r="E34" s="67"/>
    </row>
    <row r="35" spans="2:9" x14ac:dyDescent="0.25">
      <c r="B35" s="67" t="s">
        <v>1011</v>
      </c>
      <c r="C35" s="83">
        <f>AVERAGE(C20:C30)</f>
        <v>12.22</v>
      </c>
      <c r="D35" s="80">
        <f>C35*$C$9</f>
        <v>968923.8</v>
      </c>
      <c r="E35" s="67"/>
      <c r="H35" s="67" t="s">
        <v>1042</v>
      </c>
    </row>
    <row r="36" spans="2:9" x14ac:dyDescent="0.25">
      <c r="C36" s="83"/>
      <c r="E36" s="67"/>
      <c r="H36" s="67" t="s">
        <v>1043</v>
      </c>
    </row>
    <row r="37" spans="2:9" x14ac:dyDescent="0.25">
      <c r="B37" s="67" t="s">
        <v>1013</v>
      </c>
      <c r="C37" s="82">
        <f>-C20/12/C10*C11</f>
        <v>-0.19533333333333333</v>
      </c>
      <c r="D37" s="82">
        <f>C37*$C$9</f>
        <v>-15487.98</v>
      </c>
      <c r="E37" s="83"/>
      <c r="H37" s="67" t="s">
        <v>1044</v>
      </c>
      <c r="I37" s="67" t="s">
        <v>1050</v>
      </c>
    </row>
    <row r="38" spans="2:9" x14ac:dyDescent="0.25">
      <c r="C38" s="83"/>
      <c r="E38" s="67"/>
      <c r="H38" s="67" t="s">
        <v>1045</v>
      </c>
      <c r="I38" s="67" t="s">
        <v>1049</v>
      </c>
    </row>
    <row r="39" spans="2:9" x14ac:dyDescent="0.25">
      <c r="B39" s="67" t="s">
        <v>1010</v>
      </c>
      <c r="C39" s="82">
        <f>-'Analysis - LL TI Amort Sch'!G19*12</f>
        <v>0</v>
      </c>
      <c r="D39" s="82">
        <f>C39*$C$9</f>
        <v>0</v>
      </c>
      <c r="E39" s="67"/>
      <c r="H39" s="67" t="s">
        <v>1046</v>
      </c>
      <c r="I39" s="67" t="s">
        <v>1051</v>
      </c>
    </row>
    <row r="40" spans="2:9" x14ac:dyDescent="0.25">
      <c r="C40" s="82"/>
      <c r="D40" s="82"/>
      <c r="E40" s="67"/>
      <c r="I40" s="67" t="s">
        <v>1052</v>
      </c>
    </row>
    <row r="41" spans="2:9" x14ac:dyDescent="0.25">
      <c r="B41" s="67" t="s">
        <v>1009</v>
      </c>
      <c r="C41" s="82">
        <f>-E15/C9/C10</f>
        <v>-0.73320000000000007</v>
      </c>
      <c r="D41" s="82">
        <f>C41*$C$9</f>
        <v>-58135.428000000007</v>
      </c>
      <c r="E41" s="67"/>
      <c r="I41" s="67" t="s">
        <v>1047</v>
      </c>
    </row>
    <row r="42" spans="2:9" x14ac:dyDescent="0.25">
      <c r="C42" s="82"/>
      <c r="D42" s="82"/>
      <c r="E42" s="67"/>
      <c r="I42" s="67" t="s">
        <v>1048</v>
      </c>
    </row>
    <row r="43" spans="2:9" x14ac:dyDescent="0.25">
      <c r="B43" s="67" t="s">
        <v>1008</v>
      </c>
      <c r="C43" s="82">
        <f>-VLOOKUP(C5,'Data Grid'!A7:D25,2)</f>
        <v>0</v>
      </c>
      <c r="D43" s="82">
        <f>C43*$C$9</f>
        <v>0</v>
      </c>
      <c r="E43" s="67"/>
      <c r="I43" s="67" t="s">
        <v>1053</v>
      </c>
    </row>
    <row r="44" spans="2:9" x14ac:dyDescent="0.25">
      <c r="C44" s="82"/>
      <c r="D44" s="82"/>
      <c r="E44" s="67"/>
      <c r="I44" s="67" t="s">
        <v>1054</v>
      </c>
    </row>
    <row r="45" spans="2:9" ht="14.4" thickBot="1" x14ac:dyDescent="0.3">
      <c r="B45" s="67" t="s">
        <v>1007</v>
      </c>
      <c r="C45" s="84">
        <f>SUM(C35:C44)</f>
        <v>11.291466666666667</v>
      </c>
      <c r="D45" s="84">
        <f>SUM(D35:D44)</f>
        <v>895300.39200000011</v>
      </c>
      <c r="E45" s="67"/>
      <c r="I45" s="67" t="s">
        <v>1055</v>
      </c>
    </row>
    <row r="46" spans="2:9" ht="14.4" thickTop="1" x14ac:dyDescent="0.25">
      <c r="C46" s="83"/>
      <c r="D46" s="83"/>
      <c r="E46" s="67"/>
      <c r="I46" s="67" t="s">
        <v>1056</v>
      </c>
    </row>
    <row r="47" spans="2:9" x14ac:dyDescent="0.25">
      <c r="B47" s="67" t="s">
        <v>1028</v>
      </c>
      <c r="C47" s="83">
        <f>-2.89</f>
        <v>-2.89</v>
      </c>
      <c r="D47" s="80">
        <f>C47*$C$9</f>
        <v>-229148.1</v>
      </c>
      <c r="E47" s="67"/>
      <c r="I47" s="67" t="s">
        <v>1057</v>
      </c>
    </row>
    <row r="48" spans="2:9" x14ac:dyDescent="0.25">
      <c r="C48" s="83"/>
      <c r="D48" s="80"/>
      <c r="E48" s="67"/>
    </row>
    <row r="49" spans="2:5" ht="14.4" thickBot="1" x14ac:dyDescent="0.3">
      <c r="B49" s="67" t="s">
        <v>1025</v>
      </c>
      <c r="C49" s="84">
        <f>SUM(C45:C48)</f>
        <v>8.401466666666666</v>
      </c>
      <c r="D49" s="84">
        <f>SUM(D45:D48)</f>
        <v>666152.29200000013</v>
      </c>
      <c r="E49" s="67"/>
    </row>
    <row r="50" spans="2:5" ht="15" thickTop="1" thickBot="1" x14ac:dyDescent="0.3">
      <c r="C50" s="83"/>
    </row>
    <row r="51" spans="2:5" x14ac:dyDescent="0.25">
      <c r="B51" s="85"/>
      <c r="C51" s="86"/>
      <c r="D51" s="87"/>
      <c r="E51" s="88"/>
    </row>
    <row r="52" spans="2:5" x14ac:dyDescent="0.25">
      <c r="B52" s="89" t="s">
        <v>1017</v>
      </c>
      <c r="E52" s="90"/>
    </row>
    <row r="53" spans="2:5" x14ac:dyDescent="0.25">
      <c r="B53" s="91" t="s">
        <v>1016</v>
      </c>
      <c r="C53" s="83">
        <f>VLOOKUP(C5,'Data Grid'!A7:E25,4,FALSE)</f>
        <v>125.29038970866439</v>
      </c>
      <c r="E53" s="90"/>
    </row>
    <row r="54" spans="2:5" x14ac:dyDescent="0.25">
      <c r="B54" s="91" t="s">
        <v>95</v>
      </c>
      <c r="C54" s="92">
        <f>C45/C53</f>
        <v>9.0122368466747704E-2</v>
      </c>
      <c r="D54" s="92"/>
      <c r="E54" s="90"/>
    </row>
    <row r="55" spans="2:5" x14ac:dyDescent="0.25">
      <c r="B55" s="89"/>
      <c r="C55" s="83"/>
      <c r="E55" s="90"/>
    </row>
    <row r="56" spans="2:5" x14ac:dyDescent="0.25">
      <c r="B56" s="89" t="s">
        <v>94</v>
      </c>
      <c r="E56" s="90"/>
    </row>
    <row r="57" spans="2:5" x14ac:dyDescent="0.25">
      <c r="B57" s="91" t="s">
        <v>107</v>
      </c>
      <c r="C57" s="83">
        <f>VLOOKUP(C5,'Data Grid'!A7:E25,3,FALSE)</f>
        <v>10.089544709294993</v>
      </c>
      <c r="D57" s="92"/>
      <c r="E57" s="90"/>
    </row>
    <row r="58" spans="2:5" x14ac:dyDescent="0.25">
      <c r="B58" s="91" t="s">
        <v>95</v>
      </c>
      <c r="C58" s="92">
        <f>C49/C57</f>
        <v>0.83269036499999993</v>
      </c>
      <c r="E58" s="90"/>
    </row>
    <row r="59" spans="2:5" x14ac:dyDescent="0.25">
      <c r="B59" s="91"/>
      <c r="C59" s="92"/>
      <c r="E59" s="90"/>
    </row>
    <row r="60" spans="2:5" x14ac:dyDescent="0.25">
      <c r="B60" s="91" t="s">
        <v>1026</v>
      </c>
      <c r="C60" s="92">
        <f>C49/C35</f>
        <v>0.68751773049645382</v>
      </c>
      <c r="E60" s="90"/>
    </row>
    <row r="61" spans="2:5" ht="14.4" thickBot="1" x14ac:dyDescent="0.3">
      <c r="B61" s="93"/>
      <c r="C61" s="94"/>
      <c r="D61" s="95"/>
      <c r="E61" s="96"/>
    </row>
    <row r="63" spans="2:5" x14ac:dyDescent="0.25">
      <c r="B63" s="97"/>
      <c r="C63" s="83"/>
    </row>
    <row r="64" spans="2:5" hidden="1" outlineLevel="1" x14ac:dyDescent="0.25">
      <c r="B64" s="67" t="s">
        <v>1017</v>
      </c>
      <c r="C64" s="67" t="s">
        <v>1020</v>
      </c>
    </row>
    <row r="65" spans="2:3" hidden="1" outlineLevel="1" x14ac:dyDescent="0.25">
      <c r="C65" s="67" t="s">
        <v>1021</v>
      </c>
    </row>
    <row r="66" spans="2:3" hidden="1" outlineLevel="1" x14ac:dyDescent="0.25"/>
    <row r="67" spans="2:3" hidden="1" outlineLevel="1" x14ac:dyDescent="0.25"/>
    <row r="68" spans="2:3" hidden="1" outlineLevel="1" x14ac:dyDescent="0.25">
      <c r="B68" s="67" t="s">
        <v>94</v>
      </c>
      <c r="C68" s="67" t="s">
        <v>1018</v>
      </c>
    </row>
    <row r="69" spans="2:3" hidden="1" outlineLevel="1" x14ac:dyDescent="0.25">
      <c r="C69" s="67" t="s">
        <v>1019</v>
      </c>
    </row>
    <row r="70" spans="2:3" collapsed="1" x14ac:dyDescent="0.25"/>
    <row r="226" spans="9:10" x14ac:dyDescent="0.25">
      <c r="I226" s="68"/>
      <c r="J226" s="68"/>
    </row>
  </sheetData>
  <sheetProtection selectLockedCells="1"/>
  <protectedRanges>
    <protectedRange sqref="D31:E31 C27:C34" name="Range3"/>
    <protectedRange sqref="C5 E5" name="Range1"/>
    <protectedRange sqref="C9:C10 E9:E15 C12:C15" name="Range2"/>
    <protectedRange sqref="C11 E11" name="Range2_1"/>
    <protectedRange sqref="C7:D7" name="Range1_1"/>
    <protectedRange sqref="C20:C26" name="Range3_1"/>
  </protectedRanges>
  <mergeCells count="3">
    <mergeCell ref="B1:F1"/>
    <mergeCell ref="C5:D5"/>
    <mergeCell ref="C7:D7"/>
  </mergeCells>
  <dataValidations count="1">
    <dataValidation type="list" allowBlank="1" showInputMessage="1" showErrorMessage="1" sqref="C5:D5" xr:uid="{00000000-0002-0000-0000-000000000000}">
      <formula1>Property</formula1>
    </dataValidation>
  </dataValidations>
  <printOptions horizontalCentered="1"/>
  <pageMargins left="0.25" right="0.25" top="0.25" bottom="0.25" header="0.3" footer="0.3"/>
  <pageSetup scale="80" orientation="portrait" r:id="rId1"/>
  <headerFooter>
    <oddFooter>&amp;L&amp;8&amp;F - &amp;A&amp;C&amp;8Page &amp;P of &amp;N&amp;R&amp;8&amp;D -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"/>
  <sheetViews>
    <sheetView showGridLines="0" workbookViewId="0">
      <selection activeCell="C4" sqref="C4"/>
    </sheetView>
  </sheetViews>
  <sheetFormatPr defaultColWidth="9.33203125" defaultRowHeight="13.8" x14ac:dyDescent="0.25"/>
  <cols>
    <col min="1" max="1" width="12.6640625" style="134" customWidth="1"/>
    <col min="2" max="2" width="15" style="134" bestFit="1" customWidth="1"/>
    <col min="3" max="5" width="12.6640625" style="134" customWidth="1"/>
    <col min="6" max="6" width="15" style="134" bestFit="1" customWidth="1"/>
    <col min="7" max="9" width="12.6640625" style="134" customWidth="1"/>
    <col min="10" max="16384" width="9.33203125" style="134"/>
  </cols>
  <sheetData>
    <row r="1" spans="1:11" ht="14.4" thickBot="1" x14ac:dyDescent="0.3">
      <c r="A1" s="132" t="s">
        <v>1027</v>
      </c>
      <c r="B1" s="133"/>
      <c r="C1" s="133"/>
      <c r="D1" s="133"/>
      <c r="E1" s="133"/>
      <c r="F1" s="133"/>
      <c r="G1" s="133"/>
      <c r="H1" s="133"/>
    </row>
    <row r="2" spans="1:11" x14ac:dyDescent="0.25">
      <c r="A2" s="135"/>
    </row>
    <row r="3" spans="1:11" x14ac:dyDescent="0.25">
      <c r="A3" s="136"/>
      <c r="E3" s="137"/>
    </row>
    <row r="4" spans="1:11" ht="15" customHeight="1" x14ac:dyDescent="0.25">
      <c r="A4" s="134" t="s">
        <v>1024</v>
      </c>
      <c r="C4" s="156">
        <v>16569923</v>
      </c>
      <c r="D4" s="137"/>
    </row>
    <row r="5" spans="1:11" ht="15" customHeight="1" x14ac:dyDescent="0.25">
      <c r="A5" s="67"/>
      <c r="B5" s="67"/>
      <c r="C5" s="157"/>
      <c r="D5" s="139"/>
      <c r="E5" s="140"/>
      <c r="G5" s="141"/>
    </row>
    <row r="6" spans="1:11" ht="15" customHeight="1" x14ac:dyDescent="0.25">
      <c r="A6" s="134" t="s">
        <v>29</v>
      </c>
      <c r="C6" s="158">
        <v>0.05</v>
      </c>
      <c r="D6" s="139"/>
      <c r="E6" s="140"/>
      <c r="G6" s="80"/>
    </row>
    <row r="7" spans="1:11" ht="15" customHeight="1" x14ac:dyDescent="0.25">
      <c r="A7" s="136"/>
      <c r="C7" s="159"/>
      <c r="D7" s="139"/>
      <c r="E7" s="140"/>
      <c r="G7" s="80"/>
    </row>
    <row r="8" spans="1:11" ht="15" customHeight="1" x14ac:dyDescent="0.25">
      <c r="A8" s="134" t="s">
        <v>30</v>
      </c>
      <c r="C8" s="160">
        <f>20*12</f>
        <v>240</v>
      </c>
      <c r="D8" s="139"/>
      <c r="F8" s="140"/>
      <c r="G8" s="67"/>
    </row>
    <row r="9" spans="1:11" ht="15" customHeight="1" x14ac:dyDescent="0.25">
      <c r="A9" s="136"/>
      <c r="D9" s="137"/>
      <c r="E9" s="140"/>
      <c r="G9" s="67"/>
    </row>
    <row r="10" spans="1:11" ht="15" customHeight="1" x14ac:dyDescent="0.25">
      <c r="A10" s="140" t="s">
        <v>28</v>
      </c>
      <c r="C10" s="160">
        <v>67946</v>
      </c>
      <c r="D10" s="137"/>
      <c r="E10" s="140"/>
      <c r="G10" s="67"/>
      <c r="I10" s="144"/>
    </row>
    <row r="11" spans="1:11" ht="15" customHeight="1" x14ac:dyDescent="0.25">
      <c r="D11" s="137"/>
      <c r="E11" s="140"/>
      <c r="G11" s="67"/>
      <c r="K11" s="144"/>
    </row>
    <row r="12" spans="1:11" ht="15" customHeight="1" x14ac:dyDescent="0.25">
      <c r="A12" s="136"/>
      <c r="D12" s="137"/>
      <c r="F12" s="140"/>
    </row>
    <row r="13" spans="1:11" ht="15" customHeight="1" x14ac:dyDescent="0.25">
      <c r="B13" s="145" t="s">
        <v>31</v>
      </c>
      <c r="F13" s="145" t="s">
        <v>32</v>
      </c>
    </row>
    <row r="14" spans="1:11" ht="15" customHeight="1" x14ac:dyDescent="0.25">
      <c r="A14" s="145" t="s">
        <v>33</v>
      </c>
      <c r="B14" s="145" t="s">
        <v>34</v>
      </c>
      <c r="C14" s="146" t="s">
        <v>33</v>
      </c>
      <c r="D14" s="146"/>
      <c r="E14" s="147"/>
      <c r="F14" s="145" t="s">
        <v>34</v>
      </c>
    </row>
    <row r="15" spans="1:11" ht="15" customHeight="1" x14ac:dyDescent="0.25">
      <c r="A15" s="145"/>
      <c r="B15" s="145"/>
      <c r="C15" s="148" t="s">
        <v>35</v>
      </c>
      <c r="D15" s="148"/>
      <c r="E15" s="148"/>
      <c r="F15" s="145"/>
    </row>
    <row r="16" spans="1:11" ht="15" customHeight="1" x14ac:dyDescent="0.25">
      <c r="A16" s="145" t="s">
        <v>36</v>
      </c>
      <c r="B16" s="145" t="s">
        <v>37</v>
      </c>
      <c r="C16" s="145" t="s">
        <v>38</v>
      </c>
      <c r="D16" s="145" t="s">
        <v>34</v>
      </c>
      <c r="E16" s="145" t="s">
        <v>39</v>
      </c>
      <c r="F16" s="145" t="s">
        <v>37</v>
      </c>
      <c r="G16" s="145" t="s">
        <v>40</v>
      </c>
    </row>
    <row r="17" spans="1:13" ht="15" customHeight="1" x14ac:dyDescent="0.25">
      <c r="A17" s="148" t="s">
        <v>35</v>
      </c>
      <c r="B17" s="148" t="s">
        <v>35</v>
      </c>
      <c r="C17" s="148" t="s">
        <v>35</v>
      </c>
      <c r="D17" s="148" t="s">
        <v>35</v>
      </c>
      <c r="E17" s="148" t="s">
        <v>35</v>
      </c>
      <c r="F17" s="148" t="s">
        <v>35</v>
      </c>
      <c r="G17" s="148" t="s">
        <v>35</v>
      </c>
    </row>
    <row r="18" spans="1:13" ht="15" customHeight="1" x14ac:dyDescent="0.25">
      <c r="A18" s="148"/>
      <c r="B18" s="148"/>
      <c r="C18" s="148"/>
      <c r="D18" s="148"/>
      <c r="E18" s="148"/>
      <c r="F18" s="148"/>
    </row>
    <row r="19" spans="1:13" ht="15" customHeight="1" x14ac:dyDescent="0.25">
      <c r="A19" s="149">
        <v>1</v>
      </c>
      <c r="B19" s="150">
        <f>C4</f>
        <v>16569923</v>
      </c>
      <c r="C19" s="141">
        <f t="shared" ref="C19:C82" si="0">IF(ISERROR(IPMT(C$6/12,A19,$C$8,-$B$19,0)),0,IPMT(C$6/12,A19,$C$8,-$B$19,0))</f>
        <v>69041.345833333326</v>
      </c>
      <c r="D19" s="141">
        <f t="shared" ref="D19:D82" si="1">IF(ISERROR(PPMT($C$6/12,$A19,$C$8,-$B$19,0)),0,PPMT($C$6/12,$A19,$C$8,-$B$19,0))</f>
        <v>40312.8119889476</v>
      </c>
      <c r="E19" s="141">
        <f t="shared" ref="E19:E82" si="2">+C19+D19</f>
        <v>109354.15782228092</v>
      </c>
      <c r="F19" s="141">
        <f t="shared" ref="F19:F82" si="3">+B19-D19</f>
        <v>16529610.188011052</v>
      </c>
      <c r="G19" s="141">
        <f t="shared" ref="G19:G82" si="4">E19/$C$10</f>
        <v>1.609427454482691</v>
      </c>
    </row>
    <row r="20" spans="1:13" ht="15" customHeight="1" x14ac:dyDescent="0.25">
      <c r="A20" s="149">
        <f>A19+1</f>
        <v>2</v>
      </c>
      <c r="B20" s="151">
        <f t="shared" ref="B20:B83" si="5">+F19</f>
        <v>16529610.188011052</v>
      </c>
      <c r="C20" s="151">
        <f t="shared" si="0"/>
        <v>68873.375783379393</v>
      </c>
      <c r="D20" s="151">
        <f t="shared" si="1"/>
        <v>40480.782038901554</v>
      </c>
      <c r="E20" s="151">
        <f t="shared" si="2"/>
        <v>109354.15782228095</v>
      </c>
      <c r="F20" s="151">
        <f t="shared" si="3"/>
        <v>16489129.405972151</v>
      </c>
      <c r="G20" s="131">
        <f t="shared" si="4"/>
        <v>1.6094274544826914</v>
      </c>
    </row>
    <row r="21" spans="1:13" ht="15" customHeight="1" x14ac:dyDescent="0.25">
      <c r="A21" s="149">
        <f t="shared" ref="A21:A84" si="6">A20+1</f>
        <v>3</v>
      </c>
      <c r="B21" s="151">
        <f t="shared" si="5"/>
        <v>16489129.405972151</v>
      </c>
      <c r="C21" s="151">
        <f t="shared" si="0"/>
        <v>68704.70585821729</v>
      </c>
      <c r="D21" s="151">
        <f t="shared" si="1"/>
        <v>40649.451964063643</v>
      </c>
      <c r="E21" s="151">
        <f t="shared" si="2"/>
        <v>109354.15782228093</v>
      </c>
      <c r="F21" s="151">
        <f t="shared" si="3"/>
        <v>16448479.954008088</v>
      </c>
      <c r="G21" s="131">
        <f t="shared" si="4"/>
        <v>1.6094274544826912</v>
      </c>
    </row>
    <row r="22" spans="1:13" x14ac:dyDescent="0.25">
      <c r="A22" s="149">
        <f t="shared" si="6"/>
        <v>4</v>
      </c>
      <c r="B22" s="151">
        <f t="shared" si="5"/>
        <v>16448479.954008088</v>
      </c>
      <c r="C22" s="151">
        <f t="shared" si="0"/>
        <v>68535.333141700365</v>
      </c>
      <c r="D22" s="151">
        <f t="shared" si="1"/>
        <v>40818.824680580568</v>
      </c>
      <c r="E22" s="151">
        <f t="shared" si="2"/>
        <v>109354.15782228093</v>
      </c>
      <c r="F22" s="151">
        <f t="shared" si="3"/>
        <v>16407661.129327508</v>
      </c>
      <c r="G22" s="131">
        <f t="shared" si="4"/>
        <v>1.6094274544826912</v>
      </c>
      <c r="M22" s="144"/>
    </row>
    <row r="23" spans="1:13" x14ac:dyDescent="0.25">
      <c r="A23" s="149">
        <f t="shared" si="6"/>
        <v>5</v>
      </c>
      <c r="B23" s="151">
        <f t="shared" si="5"/>
        <v>16407661.129327508</v>
      </c>
      <c r="C23" s="151">
        <f t="shared" si="0"/>
        <v>68365.254705531261</v>
      </c>
      <c r="D23" s="151">
        <f t="shared" si="1"/>
        <v>40988.903116749658</v>
      </c>
      <c r="E23" s="151">
        <f t="shared" si="2"/>
        <v>109354.15782228092</v>
      </c>
      <c r="F23" s="151">
        <f t="shared" si="3"/>
        <v>16366672.226210758</v>
      </c>
      <c r="G23" s="131">
        <f t="shared" si="4"/>
        <v>1.609427454482691</v>
      </c>
    </row>
    <row r="24" spans="1:13" x14ac:dyDescent="0.25">
      <c r="A24" s="149">
        <f t="shared" si="6"/>
        <v>6</v>
      </c>
      <c r="B24" s="151">
        <f t="shared" si="5"/>
        <v>16366672.226210758</v>
      </c>
      <c r="C24" s="151">
        <f t="shared" si="0"/>
        <v>68194.467609211497</v>
      </c>
      <c r="D24" s="151">
        <f t="shared" si="1"/>
        <v>41159.690213069451</v>
      </c>
      <c r="E24" s="151">
        <f t="shared" si="2"/>
        <v>109354.15782228095</v>
      </c>
      <c r="F24" s="151">
        <f t="shared" si="3"/>
        <v>16325512.535997689</v>
      </c>
      <c r="G24" s="131">
        <f t="shared" si="4"/>
        <v>1.6094274544826914</v>
      </c>
    </row>
    <row r="25" spans="1:13" x14ac:dyDescent="0.25">
      <c r="A25" s="149">
        <f t="shared" si="6"/>
        <v>7</v>
      </c>
      <c r="B25" s="151">
        <f t="shared" si="5"/>
        <v>16325512.535997689</v>
      </c>
      <c r="C25" s="151">
        <f t="shared" si="0"/>
        <v>68022.968899990359</v>
      </c>
      <c r="D25" s="151">
        <f t="shared" si="1"/>
        <v>41331.188922290574</v>
      </c>
      <c r="E25" s="151">
        <f t="shared" si="2"/>
        <v>109354.15782228093</v>
      </c>
      <c r="F25" s="151">
        <f t="shared" si="3"/>
        <v>16284181.347075399</v>
      </c>
      <c r="G25" s="131">
        <f t="shared" si="4"/>
        <v>1.6094274544826912</v>
      </c>
    </row>
    <row r="26" spans="1:13" x14ac:dyDescent="0.25">
      <c r="A26" s="149">
        <f t="shared" si="6"/>
        <v>8</v>
      </c>
      <c r="B26" s="151">
        <f t="shared" si="5"/>
        <v>16284181.347075399</v>
      </c>
      <c r="C26" s="151">
        <f t="shared" si="0"/>
        <v>67850.755612814159</v>
      </c>
      <c r="D26" s="151">
        <f t="shared" si="1"/>
        <v>41503.402209466789</v>
      </c>
      <c r="E26" s="151">
        <f t="shared" si="2"/>
        <v>109354.15782228095</v>
      </c>
      <c r="F26" s="151">
        <f t="shared" si="3"/>
        <v>16242677.944865933</v>
      </c>
      <c r="G26" s="131">
        <f t="shared" si="4"/>
        <v>1.6094274544826914</v>
      </c>
    </row>
    <row r="27" spans="1:13" x14ac:dyDescent="0.25">
      <c r="A27" s="149">
        <f t="shared" si="6"/>
        <v>9</v>
      </c>
      <c r="B27" s="151">
        <f t="shared" si="5"/>
        <v>16242677.944865933</v>
      </c>
      <c r="C27" s="151">
        <f t="shared" si="0"/>
        <v>67677.824770274703</v>
      </c>
      <c r="D27" s="151">
        <f t="shared" si="1"/>
        <v>41676.33305200623</v>
      </c>
      <c r="E27" s="151">
        <f t="shared" si="2"/>
        <v>109354.15782228093</v>
      </c>
      <c r="F27" s="151">
        <f t="shared" si="3"/>
        <v>16201001.611813927</v>
      </c>
      <c r="G27" s="131">
        <f t="shared" si="4"/>
        <v>1.6094274544826912</v>
      </c>
    </row>
    <row r="28" spans="1:13" x14ac:dyDescent="0.25">
      <c r="A28" s="149">
        <f t="shared" si="6"/>
        <v>10</v>
      </c>
      <c r="B28" s="151">
        <f t="shared" si="5"/>
        <v>16201001.611813927</v>
      </c>
      <c r="C28" s="151">
        <f t="shared" si="0"/>
        <v>67504.173382558016</v>
      </c>
      <c r="D28" s="151">
        <f t="shared" si="1"/>
        <v>41849.984439722924</v>
      </c>
      <c r="E28" s="151">
        <f t="shared" si="2"/>
        <v>109354.15782228095</v>
      </c>
      <c r="F28" s="151">
        <f t="shared" si="3"/>
        <v>16159151.627374204</v>
      </c>
      <c r="G28" s="131">
        <f t="shared" si="4"/>
        <v>1.6094274544826914</v>
      </c>
    </row>
    <row r="29" spans="1:13" x14ac:dyDescent="0.25">
      <c r="A29" s="149">
        <f t="shared" si="6"/>
        <v>11</v>
      </c>
      <c r="B29" s="151">
        <f t="shared" si="5"/>
        <v>16159151.627374204</v>
      </c>
      <c r="C29" s="151">
        <f t="shared" si="0"/>
        <v>67329.798447392503</v>
      </c>
      <c r="D29" s="151">
        <f t="shared" si="1"/>
        <v>42024.359374888438</v>
      </c>
      <c r="E29" s="151">
        <f t="shared" si="2"/>
        <v>109354.15782228095</v>
      </c>
      <c r="F29" s="151">
        <f t="shared" si="3"/>
        <v>16117127.267999316</v>
      </c>
      <c r="G29" s="131">
        <f t="shared" si="4"/>
        <v>1.6094274544826914</v>
      </c>
    </row>
    <row r="30" spans="1:13" x14ac:dyDescent="0.25">
      <c r="A30" s="149">
        <f t="shared" si="6"/>
        <v>12</v>
      </c>
      <c r="B30" s="151">
        <f t="shared" si="5"/>
        <v>16117127.267999316</v>
      </c>
      <c r="C30" s="151">
        <f t="shared" si="0"/>
        <v>67154.696949997131</v>
      </c>
      <c r="D30" s="151">
        <f t="shared" si="1"/>
        <v>42199.460872283802</v>
      </c>
      <c r="E30" s="151">
        <f t="shared" si="2"/>
        <v>109354.15782228093</v>
      </c>
      <c r="F30" s="151">
        <f t="shared" si="3"/>
        <v>16074927.807127032</v>
      </c>
      <c r="G30" s="131">
        <f t="shared" si="4"/>
        <v>1.6094274544826912</v>
      </c>
    </row>
    <row r="31" spans="1:13" x14ac:dyDescent="0.25">
      <c r="A31" s="149">
        <f t="shared" si="6"/>
        <v>13</v>
      </c>
      <c r="B31" s="151">
        <f t="shared" si="5"/>
        <v>16074927.807127032</v>
      </c>
      <c r="C31" s="151">
        <f t="shared" si="0"/>
        <v>66978.865863029292</v>
      </c>
      <c r="D31" s="151">
        <f t="shared" si="1"/>
        <v>42375.291959251648</v>
      </c>
      <c r="E31" s="151">
        <f t="shared" si="2"/>
        <v>109354.15782228095</v>
      </c>
      <c r="F31" s="151">
        <f t="shared" si="3"/>
        <v>16032552.51516778</v>
      </c>
      <c r="G31" s="131">
        <f t="shared" si="4"/>
        <v>1.6094274544826914</v>
      </c>
    </row>
    <row r="32" spans="1:13" x14ac:dyDescent="0.25">
      <c r="A32" s="149">
        <f t="shared" si="6"/>
        <v>14</v>
      </c>
      <c r="B32" s="151">
        <f t="shared" si="5"/>
        <v>16032552.51516778</v>
      </c>
      <c r="C32" s="151">
        <f t="shared" si="0"/>
        <v>66802.302146532398</v>
      </c>
      <c r="D32" s="151">
        <f t="shared" si="1"/>
        <v>42551.855675748535</v>
      </c>
      <c r="E32" s="151">
        <f t="shared" si="2"/>
        <v>109354.15782228093</v>
      </c>
      <c r="F32" s="151">
        <f t="shared" si="3"/>
        <v>15990000.659492033</v>
      </c>
      <c r="G32" s="131">
        <f t="shared" si="4"/>
        <v>1.6094274544826912</v>
      </c>
    </row>
    <row r="33" spans="1:7" x14ac:dyDescent="0.25">
      <c r="A33" s="149">
        <f t="shared" si="6"/>
        <v>15</v>
      </c>
      <c r="B33" s="151">
        <f t="shared" si="5"/>
        <v>15990000.659492033</v>
      </c>
      <c r="C33" s="151">
        <f t="shared" si="0"/>
        <v>66625.002747883438</v>
      </c>
      <c r="D33" s="151">
        <f t="shared" si="1"/>
        <v>42729.15507439748</v>
      </c>
      <c r="E33" s="151">
        <f t="shared" si="2"/>
        <v>109354.15782228092</v>
      </c>
      <c r="F33" s="151">
        <f t="shared" si="3"/>
        <v>15947271.504417636</v>
      </c>
      <c r="G33" s="131">
        <f t="shared" si="4"/>
        <v>1.609427454482691</v>
      </c>
    </row>
    <row r="34" spans="1:7" x14ac:dyDescent="0.25">
      <c r="A34" s="149">
        <f t="shared" si="6"/>
        <v>16</v>
      </c>
      <c r="B34" s="151">
        <f t="shared" si="5"/>
        <v>15947271.504417636</v>
      </c>
      <c r="C34" s="151">
        <f t="shared" si="0"/>
        <v>66446.964601740125</v>
      </c>
      <c r="D34" s="151">
        <f t="shared" si="1"/>
        <v>42907.193220540801</v>
      </c>
      <c r="E34" s="151">
        <f t="shared" si="2"/>
        <v>109354.15782228092</v>
      </c>
      <c r="F34" s="151">
        <f t="shared" si="3"/>
        <v>15904364.311197095</v>
      </c>
      <c r="G34" s="131">
        <f t="shared" si="4"/>
        <v>1.609427454482691</v>
      </c>
    </row>
    <row r="35" spans="1:7" x14ac:dyDescent="0.25">
      <c r="A35" s="149">
        <f t="shared" si="6"/>
        <v>17</v>
      </c>
      <c r="B35" s="151">
        <f t="shared" si="5"/>
        <v>15904364.311197095</v>
      </c>
      <c r="C35" s="151">
        <f t="shared" si="0"/>
        <v>66268.184629987882</v>
      </c>
      <c r="D35" s="151">
        <f t="shared" si="1"/>
        <v>43085.973192293059</v>
      </c>
      <c r="E35" s="151">
        <f t="shared" si="2"/>
        <v>109354.15782228095</v>
      </c>
      <c r="F35" s="151">
        <f t="shared" si="3"/>
        <v>15861278.338004801</v>
      </c>
      <c r="G35" s="131">
        <f t="shared" si="4"/>
        <v>1.6094274544826914</v>
      </c>
    </row>
    <row r="36" spans="1:7" x14ac:dyDescent="0.25">
      <c r="A36" s="149">
        <f t="shared" si="6"/>
        <v>18</v>
      </c>
      <c r="B36" s="151">
        <f t="shared" si="5"/>
        <v>15861278.338004801</v>
      </c>
      <c r="C36" s="151">
        <f t="shared" si="0"/>
        <v>66088.659741686643</v>
      </c>
      <c r="D36" s="151">
        <f t="shared" si="1"/>
        <v>43265.498080594283</v>
      </c>
      <c r="E36" s="151">
        <f t="shared" si="2"/>
        <v>109354.15782228092</v>
      </c>
      <c r="F36" s="151">
        <f t="shared" si="3"/>
        <v>15818012.839924207</v>
      </c>
      <c r="G36" s="131">
        <f t="shared" si="4"/>
        <v>1.609427454482691</v>
      </c>
    </row>
    <row r="37" spans="1:7" x14ac:dyDescent="0.25">
      <c r="A37" s="149">
        <f t="shared" si="6"/>
        <v>19</v>
      </c>
      <c r="B37" s="151">
        <f t="shared" si="5"/>
        <v>15818012.839924207</v>
      </c>
      <c r="C37" s="151">
        <f t="shared" si="0"/>
        <v>65908.386833017503</v>
      </c>
      <c r="D37" s="151">
        <f t="shared" si="1"/>
        <v>43445.77098926343</v>
      </c>
      <c r="E37" s="151">
        <f t="shared" si="2"/>
        <v>109354.15782228093</v>
      </c>
      <c r="F37" s="151">
        <f t="shared" si="3"/>
        <v>15774567.068934944</v>
      </c>
      <c r="G37" s="131">
        <f t="shared" si="4"/>
        <v>1.6094274544826912</v>
      </c>
    </row>
    <row r="38" spans="1:7" x14ac:dyDescent="0.25">
      <c r="A38" s="149">
        <f t="shared" si="6"/>
        <v>20</v>
      </c>
      <c r="B38" s="151">
        <f t="shared" si="5"/>
        <v>15774567.068934944</v>
      </c>
      <c r="C38" s="151">
        <f t="shared" si="0"/>
        <v>65727.362787228907</v>
      </c>
      <c r="D38" s="151">
        <f t="shared" si="1"/>
        <v>43626.795035052026</v>
      </c>
      <c r="E38" s="151">
        <f t="shared" si="2"/>
        <v>109354.15782228093</v>
      </c>
      <c r="F38" s="151">
        <f t="shared" si="3"/>
        <v>15730940.273899892</v>
      </c>
      <c r="G38" s="131">
        <f t="shared" si="4"/>
        <v>1.6094274544826912</v>
      </c>
    </row>
    <row r="39" spans="1:7" x14ac:dyDescent="0.25">
      <c r="A39" s="149">
        <f t="shared" si="6"/>
        <v>21</v>
      </c>
      <c r="B39" s="151">
        <f t="shared" si="5"/>
        <v>15730940.273899892</v>
      </c>
      <c r="C39" s="151">
        <f t="shared" si="0"/>
        <v>65545.584474582851</v>
      </c>
      <c r="D39" s="151">
        <f t="shared" si="1"/>
        <v>43808.573347698075</v>
      </c>
      <c r="E39" s="151">
        <f t="shared" si="2"/>
        <v>109354.15782228092</v>
      </c>
      <c r="F39" s="151">
        <f t="shared" si="3"/>
        <v>15687131.700552193</v>
      </c>
      <c r="G39" s="131">
        <f t="shared" si="4"/>
        <v>1.609427454482691</v>
      </c>
    </row>
    <row r="40" spans="1:7" x14ac:dyDescent="0.25">
      <c r="A40" s="149">
        <f t="shared" si="6"/>
        <v>22</v>
      </c>
      <c r="B40" s="151">
        <f t="shared" si="5"/>
        <v>15687131.700552193</v>
      </c>
      <c r="C40" s="151">
        <f t="shared" si="0"/>
        <v>65363.048752300791</v>
      </c>
      <c r="D40" s="151">
        <f t="shared" si="1"/>
        <v>43991.109069980143</v>
      </c>
      <c r="E40" s="151">
        <f t="shared" si="2"/>
        <v>109354.15782228093</v>
      </c>
      <c r="F40" s="151">
        <f t="shared" si="3"/>
        <v>15643140.591482213</v>
      </c>
      <c r="G40" s="131">
        <f t="shared" si="4"/>
        <v>1.6094274544826912</v>
      </c>
    </row>
    <row r="41" spans="1:7" x14ac:dyDescent="0.25">
      <c r="A41" s="149">
        <f t="shared" si="6"/>
        <v>23</v>
      </c>
      <c r="B41" s="151">
        <f t="shared" si="5"/>
        <v>15643140.591482213</v>
      </c>
      <c r="C41" s="151">
        <f t="shared" si="0"/>
        <v>65179.752464509198</v>
      </c>
      <c r="D41" s="151">
        <f t="shared" si="1"/>
        <v>44174.405357771728</v>
      </c>
      <c r="E41" s="151">
        <f t="shared" si="2"/>
        <v>109354.15782228092</v>
      </c>
      <c r="F41" s="151">
        <f t="shared" si="3"/>
        <v>15598966.18612444</v>
      </c>
      <c r="G41" s="131">
        <f t="shared" si="4"/>
        <v>1.609427454482691</v>
      </c>
    </row>
    <row r="42" spans="1:7" x14ac:dyDescent="0.25">
      <c r="A42" s="149">
        <f t="shared" si="6"/>
        <v>24</v>
      </c>
      <c r="B42" s="151">
        <f t="shared" si="5"/>
        <v>15598966.18612444</v>
      </c>
      <c r="C42" s="151">
        <f t="shared" si="0"/>
        <v>64995.692442185158</v>
      </c>
      <c r="D42" s="151">
        <f t="shared" si="1"/>
        <v>44358.465380095782</v>
      </c>
      <c r="E42" s="151">
        <f t="shared" si="2"/>
        <v>109354.15782228095</v>
      </c>
      <c r="F42" s="151">
        <f t="shared" si="3"/>
        <v>15554607.720744345</v>
      </c>
      <c r="G42" s="131">
        <f t="shared" si="4"/>
        <v>1.6094274544826914</v>
      </c>
    </row>
    <row r="43" spans="1:7" x14ac:dyDescent="0.25">
      <c r="A43" s="149">
        <f t="shared" si="6"/>
        <v>25</v>
      </c>
      <c r="B43" s="151">
        <f t="shared" si="5"/>
        <v>15554607.720744345</v>
      </c>
      <c r="C43" s="151">
        <f t="shared" si="0"/>
        <v>64810.86550310142</v>
      </c>
      <c r="D43" s="151">
        <f t="shared" si="1"/>
        <v>44543.292319179513</v>
      </c>
      <c r="E43" s="151">
        <f t="shared" si="2"/>
        <v>109354.15782228093</v>
      </c>
      <c r="F43" s="151">
        <f t="shared" si="3"/>
        <v>15510064.428425167</v>
      </c>
      <c r="G43" s="131">
        <f t="shared" si="4"/>
        <v>1.6094274544826912</v>
      </c>
    </row>
    <row r="44" spans="1:7" x14ac:dyDescent="0.25">
      <c r="A44" s="149">
        <f t="shared" si="6"/>
        <v>26</v>
      </c>
      <c r="B44" s="151">
        <f t="shared" si="5"/>
        <v>15510064.428425167</v>
      </c>
      <c r="C44" s="151">
        <f t="shared" si="0"/>
        <v>64625.268451771517</v>
      </c>
      <c r="D44" s="151">
        <f t="shared" si="1"/>
        <v>44728.889370509423</v>
      </c>
      <c r="E44" s="151">
        <f t="shared" si="2"/>
        <v>109354.15782228095</v>
      </c>
      <c r="F44" s="151">
        <f t="shared" si="3"/>
        <v>15465335.539054658</v>
      </c>
      <c r="G44" s="131">
        <f t="shared" si="4"/>
        <v>1.6094274544826914</v>
      </c>
    </row>
    <row r="45" spans="1:7" x14ac:dyDescent="0.25">
      <c r="A45" s="149">
        <f t="shared" si="6"/>
        <v>27</v>
      </c>
      <c r="B45" s="151">
        <f t="shared" si="5"/>
        <v>15465335.539054658</v>
      </c>
      <c r="C45" s="151">
        <f t="shared" si="0"/>
        <v>64438.898079394392</v>
      </c>
      <c r="D45" s="151">
        <f t="shared" si="1"/>
        <v>44915.259742886548</v>
      </c>
      <c r="E45" s="151">
        <f t="shared" si="2"/>
        <v>109354.15782228095</v>
      </c>
      <c r="F45" s="151">
        <f t="shared" si="3"/>
        <v>15420420.279311772</v>
      </c>
      <c r="G45" s="131">
        <f t="shared" si="4"/>
        <v>1.6094274544826914</v>
      </c>
    </row>
    <row r="46" spans="1:7" x14ac:dyDescent="0.25">
      <c r="A46" s="149">
        <f t="shared" si="6"/>
        <v>28</v>
      </c>
      <c r="B46" s="151">
        <f t="shared" si="5"/>
        <v>15420420.279311772</v>
      </c>
      <c r="C46" s="151">
        <f t="shared" si="0"/>
        <v>64251.751163799017</v>
      </c>
      <c r="D46" s="151">
        <f t="shared" si="1"/>
        <v>45102.406658481908</v>
      </c>
      <c r="E46" s="151">
        <f t="shared" si="2"/>
        <v>109354.15782228092</v>
      </c>
      <c r="F46" s="151">
        <f t="shared" si="3"/>
        <v>15375317.872653291</v>
      </c>
      <c r="G46" s="131">
        <f t="shared" si="4"/>
        <v>1.609427454482691</v>
      </c>
    </row>
    <row r="47" spans="1:7" x14ac:dyDescent="0.25">
      <c r="A47" s="149">
        <f t="shared" si="6"/>
        <v>29</v>
      </c>
      <c r="B47" s="151">
        <f t="shared" si="5"/>
        <v>15375317.872653291</v>
      </c>
      <c r="C47" s="151">
        <f t="shared" si="0"/>
        <v>64063.824469388688</v>
      </c>
      <c r="D47" s="151">
        <f t="shared" si="1"/>
        <v>45290.333352892245</v>
      </c>
      <c r="E47" s="151">
        <f t="shared" si="2"/>
        <v>109354.15782228093</v>
      </c>
      <c r="F47" s="151">
        <f t="shared" si="3"/>
        <v>15330027.539300399</v>
      </c>
      <c r="G47" s="131">
        <f t="shared" si="4"/>
        <v>1.6094274544826912</v>
      </c>
    </row>
    <row r="48" spans="1:7" x14ac:dyDescent="0.25">
      <c r="A48" s="149">
        <f t="shared" si="6"/>
        <v>30</v>
      </c>
      <c r="B48" s="151">
        <f t="shared" si="5"/>
        <v>15330027.539300399</v>
      </c>
      <c r="C48" s="151">
        <f t="shared" si="0"/>
        <v>63875.114747084968</v>
      </c>
      <c r="D48" s="151">
        <f t="shared" si="1"/>
        <v>45479.043075195972</v>
      </c>
      <c r="E48" s="151">
        <f t="shared" si="2"/>
        <v>109354.15782228095</v>
      </c>
      <c r="F48" s="151">
        <f t="shared" si="3"/>
        <v>15284548.496225202</v>
      </c>
      <c r="G48" s="131">
        <f t="shared" si="4"/>
        <v>1.6094274544826914</v>
      </c>
    </row>
    <row r="49" spans="1:7" x14ac:dyDescent="0.25">
      <c r="A49" s="149">
        <f t="shared" si="6"/>
        <v>31</v>
      </c>
      <c r="B49" s="151">
        <f t="shared" si="5"/>
        <v>15284548.496225202</v>
      </c>
      <c r="C49" s="151">
        <f t="shared" si="0"/>
        <v>63685.618734271637</v>
      </c>
      <c r="D49" s="151">
        <f t="shared" si="1"/>
        <v>45668.539088009289</v>
      </c>
      <c r="E49" s="151">
        <f t="shared" si="2"/>
        <v>109354.15782228092</v>
      </c>
      <c r="F49" s="151">
        <f t="shared" si="3"/>
        <v>15238879.957137194</v>
      </c>
      <c r="G49" s="131">
        <f t="shared" si="4"/>
        <v>1.609427454482691</v>
      </c>
    </row>
    <row r="50" spans="1:7" x14ac:dyDescent="0.25">
      <c r="A50" s="149">
        <f t="shared" si="6"/>
        <v>32</v>
      </c>
      <c r="B50" s="151">
        <f t="shared" si="5"/>
        <v>15238879.957137194</v>
      </c>
      <c r="C50" s="151">
        <f t="shared" si="0"/>
        <v>63495.333154738277</v>
      </c>
      <c r="D50" s="151">
        <f t="shared" si="1"/>
        <v>45858.824667542664</v>
      </c>
      <c r="E50" s="151">
        <f t="shared" si="2"/>
        <v>109354.15782228095</v>
      </c>
      <c r="F50" s="151">
        <f t="shared" si="3"/>
        <v>15193021.13246965</v>
      </c>
      <c r="G50" s="131">
        <f t="shared" si="4"/>
        <v>1.6094274544826914</v>
      </c>
    </row>
    <row r="51" spans="1:7" x14ac:dyDescent="0.25">
      <c r="A51" s="149">
        <f t="shared" si="6"/>
        <v>33</v>
      </c>
      <c r="B51" s="151">
        <f t="shared" si="5"/>
        <v>15193021.13246965</v>
      </c>
      <c r="C51" s="151">
        <f t="shared" si="0"/>
        <v>63304.254718623524</v>
      </c>
      <c r="D51" s="151">
        <f t="shared" si="1"/>
        <v>46049.903103657423</v>
      </c>
      <c r="E51" s="151">
        <f t="shared" si="2"/>
        <v>109354.15782228095</v>
      </c>
      <c r="F51" s="151">
        <f t="shared" si="3"/>
        <v>15146971.229365993</v>
      </c>
      <c r="G51" s="131">
        <f t="shared" si="4"/>
        <v>1.6094274544826914</v>
      </c>
    </row>
    <row r="52" spans="1:7" x14ac:dyDescent="0.25">
      <c r="A52" s="149">
        <f t="shared" si="6"/>
        <v>34</v>
      </c>
      <c r="B52" s="151">
        <f t="shared" si="5"/>
        <v>15146971.229365993</v>
      </c>
      <c r="C52" s="151">
        <f t="shared" si="0"/>
        <v>63112.38012235827</v>
      </c>
      <c r="D52" s="151">
        <f t="shared" si="1"/>
        <v>46241.777699922663</v>
      </c>
      <c r="E52" s="151">
        <f t="shared" si="2"/>
        <v>109354.15782228093</v>
      </c>
      <c r="F52" s="151">
        <f t="shared" si="3"/>
        <v>15100729.45166607</v>
      </c>
      <c r="G52" s="131">
        <f t="shared" si="4"/>
        <v>1.6094274544826912</v>
      </c>
    </row>
    <row r="53" spans="1:7" x14ac:dyDescent="0.25">
      <c r="A53" s="149">
        <f t="shared" si="6"/>
        <v>35</v>
      </c>
      <c r="B53" s="151">
        <f t="shared" si="5"/>
        <v>15100729.45166607</v>
      </c>
      <c r="C53" s="151">
        <f t="shared" si="0"/>
        <v>62919.70604860859</v>
      </c>
      <c r="D53" s="151">
        <f t="shared" si="1"/>
        <v>46434.451773672343</v>
      </c>
      <c r="E53" s="151">
        <f t="shared" si="2"/>
        <v>109354.15782228093</v>
      </c>
      <c r="F53" s="151">
        <f t="shared" si="3"/>
        <v>15054294.999892399</v>
      </c>
      <c r="G53" s="131">
        <f t="shared" si="4"/>
        <v>1.6094274544826912</v>
      </c>
    </row>
    <row r="54" spans="1:7" x14ac:dyDescent="0.25">
      <c r="A54" s="149">
        <f t="shared" si="6"/>
        <v>36</v>
      </c>
      <c r="B54" s="151">
        <f t="shared" si="5"/>
        <v>15054294.999892399</v>
      </c>
      <c r="C54" s="151">
        <f t="shared" si="0"/>
        <v>62726.229166218298</v>
      </c>
      <c r="D54" s="151">
        <f t="shared" si="1"/>
        <v>46627.928656062635</v>
      </c>
      <c r="E54" s="151">
        <f t="shared" si="2"/>
        <v>109354.15782228093</v>
      </c>
      <c r="F54" s="151">
        <f t="shared" si="3"/>
        <v>15007667.071236337</v>
      </c>
      <c r="G54" s="131">
        <f t="shared" si="4"/>
        <v>1.6094274544826912</v>
      </c>
    </row>
    <row r="55" spans="1:7" x14ac:dyDescent="0.25">
      <c r="A55" s="149">
        <f t="shared" si="6"/>
        <v>37</v>
      </c>
      <c r="B55" s="151">
        <f t="shared" si="5"/>
        <v>15007667.071236337</v>
      </c>
      <c r="C55" s="151">
        <f t="shared" si="0"/>
        <v>62531.946130151373</v>
      </c>
      <c r="D55" s="151">
        <f t="shared" si="1"/>
        <v>46822.211692129567</v>
      </c>
      <c r="E55" s="151">
        <f t="shared" si="2"/>
        <v>109354.15782228095</v>
      </c>
      <c r="F55" s="151">
        <f t="shared" si="3"/>
        <v>14960844.859544206</v>
      </c>
      <c r="G55" s="131">
        <f t="shared" si="4"/>
        <v>1.6094274544826914</v>
      </c>
    </row>
    <row r="56" spans="1:7" x14ac:dyDescent="0.25">
      <c r="A56" s="149">
        <f t="shared" si="6"/>
        <v>38</v>
      </c>
      <c r="B56" s="151">
        <f t="shared" si="5"/>
        <v>14960844.859544206</v>
      </c>
      <c r="C56" s="151">
        <f t="shared" si="0"/>
        <v>62336.853581434159</v>
      </c>
      <c r="D56" s="151">
        <f t="shared" si="1"/>
        <v>47017.304240846766</v>
      </c>
      <c r="E56" s="151">
        <f t="shared" si="2"/>
        <v>109354.15782228092</v>
      </c>
      <c r="F56" s="151">
        <f t="shared" si="3"/>
        <v>14913827.555303359</v>
      </c>
      <c r="G56" s="131">
        <f t="shared" si="4"/>
        <v>1.609427454482691</v>
      </c>
    </row>
    <row r="57" spans="1:7" x14ac:dyDescent="0.25">
      <c r="A57" s="149">
        <f t="shared" si="6"/>
        <v>39</v>
      </c>
      <c r="B57" s="151">
        <f t="shared" si="5"/>
        <v>14913827.555303359</v>
      </c>
      <c r="C57" s="151">
        <f t="shared" si="0"/>
        <v>62140.948147097297</v>
      </c>
      <c r="D57" s="151">
        <f t="shared" si="1"/>
        <v>47213.209675183636</v>
      </c>
      <c r="E57" s="151">
        <f t="shared" si="2"/>
        <v>109354.15782228093</v>
      </c>
      <c r="F57" s="151">
        <f t="shared" si="3"/>
        <v>14866614.345628176</v>
      </c>
      <c r="G57" s="131">
        <f t="shared" si="4"/>
        <v>1.6094274544826912</v>
      </c>
    </row>
    <row r="58" spans="1:7" x14ac:dyDescent="0.25">
      <c r="A58" s="149">
        <f t="shared" si="6"/>
        <v>40</v>
      </c>
      <c r="B58" s="151">
        <f t="shared" si="5"/>
        <v>14866614.345628176</v>
      </c>
      <c r="C58" s="151">
        <f t="shared" si="0"/>
        <v>61944.226440117367</v>
      </c>
      <c r="D58" s="151">
        <f t="shared" si="1"/>
        <v>47409.931382163559</v>
      </c>
      <c r="E58" s="151">
        <f t="shared" si="2"/>
        <v>109354.15782228092</v>
      </c>
      <c r="F58" s="151">
        <f t="shared" si="3"/>
        <v>14819204.414246012</v>
      </c>
      <c r="G58" s="131">
        <f t="shared" si="4"/>
        <v>1.609427454482691</v>
      </c>
    </row>
    <row r="59" spans="1:7" x14ac:dyDescent="0.25">
      <c r="A59" s="149">
        <f t="shared" si="6"/>
        <v>41</v>
      </c>
      <c r="B59" s="151">
        <f t="shared" si="5"/>
        <v>14819204.414246012</v>
      </c>
      <c r="C59" s="151">
        <f t="shared" si="0"/>
        <v>61746.685059358359</v>
      </c>
      <c r="D59" s="151">
        <f t="shared" si="1"/>
        <v>47607.472762922574</v>
      </c>
      <c r="E59" s="151">
        <f t="shared" si="2"/>
        <v>109354.15782228093</v>
      </c>
      <c r="F59" s="151">
        <f t="shared" si="3"/>
        <v>14771596.94148309</v>
      </c>
      <c r="G59" s="131">
        <f t="shared" si="4"/>
        <v>1.6094274544826912</v>
      </c>
    </row>
    <row r="60" spans="1:7" x14ac:dyDescent="0.25">
      <c r="A60" s="149">
        <f t="shared" si="6"/>
        <v>42</v>
      </c>
      <c r="B60" s="151">
        <f t="shared" si="5"/>
        <v>14771596.94148309</v>
      </c>
      <c r="C60" s="151">
        <f t="shared" si="0"/>
        <v>61548.320589512849</v>
      </c>
      <c r="D60" s="151">
        <f t="shared" si="1"/>
        <v>47805.837232768085</v>
      </c>
      <c r="E60" s="151">
        <f t="shared" si="2"/>
        <v>109354.15782228093</v>
      </c>
      <c r="F60" s="151">
        <f t="shared" si="3"/>
        <v>14723791.104250321</v>
      </c>
      <c r="G60" s="131">
        <f t="shared" si="4"/>
        <v>1.6094274544826912</v>
      </c>
    </row>
    <row r="61" spans="1:7" x14ac:dyDescent="0.25">
      <c r="A61" s="149">
        <f t="shared" si="6"/>
        <v>43</v>
      </c>
      <c r="B61" s="151">
        <f t="shared" si="5"/>
        <v>14723791.104250321</v>
      </c>
      <c r="C61" s="151">
        <f t="shared" si="0"/>
        <v>61349.129601042965</v>
      </c>
      <c r="D61" s="151">
        <f t="shared" si="1"/>
        <v>48005.028221237961</v>
      </c>
      <c r="E61" s="151">
        <f t="shared" si="2"/>
        <v>109354.15782228092</v>
      </c>
      <c r="F61" s="151">
        <f t="shared" si="3"/>
        <v>14675786.076029083</v>
      </c>
      <c r="G61" s="131">
        <f t="shared" si="4"/>
        <v>1.609427454482691</v>
      </c>
    </row>
    <row r="62" spans="1:7" x14ac:dyDescent="0.25">
      <c r="A62" s="149">
        <f t="shared" si="6"/>
        <v>44</v>
      </c>
      <c r="B62" s="151">
        <f t="shared" si="5"/>
        <v>14675786.076029083</v>
      </c>
      <c r="C62" s="151">
        <f t="shared" si="0"/>
        <v>61149.108650121154</v>
      </c>
      <c r="D62" s="151">
        <f t="shared" si="1"/>
        <v>48205.049172159786</v>
      </c>
      <c r="E62" s="151">
        <f t="shared" si="2"/>
        <v>109354.15782228095</v>
      </c>
      <c r="F62" s="151">
        <f t="shared" si="3"/>
        <v>14627581.026856923</v>
      </c>
      <c r="G62" s="131">
        <f t="shared" si="4"/>
        <v>1.6094274544826914</v>
      </c>
    </row>
    <row r="63" spans="1:7" x14ac:dyDescent="0.25">
      <c r="A63" s="149">
        <f t="shared" si="6"/>
        <v>45</v>
      </c>
      <c r="B63" s="151">
        <f t="shared" si="5"/>
        <v>14627581.026856923</v>
      </c>
      <c r="C63" s="151">
        <f t="shared" si="0"/>
        <v>60948.254278570479</v>
      </c>
      <c r="D63" s="151">
        <f t="shared" si="1"/>
        <v>48405.903543710447</v>
      </c>
      <c r="E63" s="151">
        <f t="shared" si="2"/>
        <v>109354.15782228092</v>
      </c>
      <c r="F63" s="151">
        <f t="shared" si="3"/>
        <v>14579175.123313213</v>
      </c>
      <c r="G63" s="131">
        <f t="shared" si="4"/>
        <v>1.609427454482691</v>
      </c>
    </row>
    <row r="64" spans="1:7" x14ac:dyDescent="0.25">
      <c r="A64" s="149">
        <f t="shared" si="6"/>
        <v>46</v>
      </c>
      <c r="B64" s="151">
        <f t="shared" si="5"/>
        <v>14579175.123313213</v>
      </c>
      <c r="C64" s="151">
        <f t="shared" si="0"/>
        <v>60746.563013805018</v>
      </c>
      <c r="D64" s="151">
        <f t="shared" si="1"/>
        <v>48607.594808475907</v>
      </c>
      <c r="E64" s="151">
        <f t="shared" si="2"/>
        <v>109354.15782228092</v>
      </c>
      <c r="F64" s="151">
        <f t="shared" si="3"/>
        <v>14530567.528504737</v>
      </c>
      <c r="G64" s="131">
        <f t="shared" si="4"/>
        <v>1.609427454482691</v>
      </c>
    </row>
    <row r="65" spans="1:7" x14ac:dyDescent="0.25">
      <c r="A65" s="149">
        <f t="shared" si="6"/>
        <v>47</v>
      </c>
      <c r="B65" s="151">
        <f t="shared" si="5"/>
        <v>14530567.528504737</v>
      </c>
      <c r="C65" s="151">
        <f t="shared" si="0"/>
        <v>60544.031368769713</v>
      </c>
      <c r="D65" s="151">
        <f t="shared" si="1"/>
        <v>48810.12645351122</v>
      </c>
      <c r="E65" s="151">
        <f t="shared" si="2"/>
        <v>109354.15782228093</v>
      </c>
      <c r="F65" s="151">
        <f t="shared" si="3"/>
        <v>14481757.402051225</v>
      </c>
      <c r="G65" s="131">
        <f t="shared" si="4"/>
        <v>1.6094274544826912</v>
      </c>
    </row>
    <row r="66" spans="1:7" x14ac:dyDescent="0.25">
      <c r="A66" s="149">
        <f t="shared" si="6"/>
        <v>48</v>
      </c>
      <c r="B66" s="151">
        <f t="shared" si="5"/>
        <v>14481757.402051225</v>
      </c>
      <c r="C66" s="151">
        <f t="shared" si="0"/>
        <v>60340.655841880092</v>
      </c>
      <c r="D66" s="151">
        <f t="shared" si="1"/>
        <v>49013.501980400855</v>
      </c>
      <c r="E66" s="151">
        <f t="shared" si="2"/>
        <v>109354.15782228095</v>
      </c>
      <c r="F66" s="151">
        <f t="shared" si="3"/>
        <v>14432743.900070824</v>
      </c>
      <c r="G66" s="131">
        <f t="shared" si="4"/>
        <v>1.6094274544826914</v>
      </c>
    </row>
    <row r="67" spans="1:7" x14ac:dyDescent="0.25">
      <c r="A67" s="149">
        <f t="shared" si="6"/>
        <v>49</v>
      </c>
      <c r="B67" s="151">
        <f t="shared" si="5"/>
        <v>14432743.900070824</v>
      </c>
      <c r="C67" s="151">
        <f t="shared" si="0"/>
        <v>60136.432916961741</v>
      </c>
      <c r="D67" s="151">
        <f t="shared" si="1"/>
        <v>49217.724905319192</v>
      </c>
      <c r="E67" s="151">
        <f t="shared" si="2"/>
        <v>109354.15782228093</v>
      </c>
      <c r="F67" s="151">
        <f t="shared" si="3"/>
        <v>14383526.175165504</v>
      </c>
      <c r="G67" s="131">
        <f t="shared" si="4"/>
        <v>1.6094274544826912</v>
      </c>
    </row>
    <row r="68" spans="1:7" x14ac:dyDescent="0.25">
      <c r="A68" s="149">
        <f t="shared" si="6"/>
        <v>50</v>
      </c>
      <c r="B68" s="151">
        <f t="shared" si="5"/>
        <v>14383526.175165504</v>
      </c>
      <c r="C68" s="151">
        <f t="shared" si="0"/>
        <v>59931.359063189579</v>
      </c>
      <c r="D68" s="151">
        <f t="shared" si="1"/>
        <v>49422.798759091354</v>
      </c>
      <c r="E68" s="151">
        <f t="shared" si="2"/>
        <v>109354.15782228093</v>
      </c>
      <c r="F68" s="151">
        <f t="shared" si="3"/>
        <v>14334103.376406413</v>
      </c>
      <c r="G68" s="131">
        <f t="shared" si="4"/>
        <v>1.6094274544826912</v>
      </c>
    </row>
    <row r="69" spans="1:7" x14ac:dyDescent="0.25">
      <c r="A69" s="149">
        <f t="shared" si="6"/>
        <v>51</v>
      </c>
      <c r="B69" s="151">
        <f t="shared" si="5"/>
        <v>14334103.376406413</v>
      </c>
      <c r="C69" s="151">
        <f t="shared" si="0"/>
        <v>59725.430735026704</v>
      </c>
      <c r="D69" s="151">
        <f t="shared" si="1"/>
        <v>49628.727087254229</v>
      </c>
      <c r="E69" s="151">
        <f t="shared" si="2"/>
        <v>109354.15782228093</v>
      </c>
      <c r="F69" s="151">
        <f t="shared" si="3"/>
        <v>14284474.649319159</v>
      </c>
      <c r="G69" s="131">
        <f t="shared" si="4"/>
        <v>1.6094274544826912</v>
      </c>
    </row>
    <row r="70" spans="1:7" x14ac:dyDescent="0.25">
      <c r="A70" s="149">
        <f t="shared" si="6"/>
        <v>52</v>
      </c>
      <c r="B70" s="151">
        <f t="shared" si="5"/>
        <v>14284474.649319159</v>
      </c>
      <c r="C70" s="151">
        <f t="shared" si="0"/>
        <v>59518.644372163137</v>
      </c>
      <c r="D70" s="151">
        <f t="shared" si="1"/>
        <v>49835.513450117796</v>
      </c>
      <c r="E70" s="151">
        <f t="shared" si="2"/>
        <v>109354.15782228093</v>
      </c>
      <c r="F70" s="151">
        <f t="shared" si="3"/>
        <v>14234639.135869041</v>
      </c>
      <c r="G70" s="131">
        <f t="shared" si="4"/>
        <v>1.6094274544826912</v>
      </c>
    </row>
    <row r="71" spans="1:7" x14ac:dyDescent="0.25">
      <c r="A71" s="149">
        <f t="shared" si="6"/>
        <v>53</v>
      </c>
      <c r="B71" s="151">
        <f t="shared" si="5"/>
        <v>14234639.135869041</v>
      </c>
      <c r="C71" s="151">
        <f t="shared" si="0"/>
        <v>59310.996399454314</v>
      </c>
      <c r="D71" s="151">
        <f t="shared" si="1"/>
        <v>50043.161422826619</v>
      </c>
      <c r="E71" s="151">
        <f t="shared" si="2"/>
        <v>109354.15782228093</v>
      </c>
      <c r="F71" s="151">
        <f t="shared" si="3"/>
        <v>14184595.974446215</v>
      </c>
      <c r="G71" s="131">
        <f t="shared" si="4"/>
        <v>1.6094274544826912</v>
      </c>
    </row>
    <row r="72" spans="1:7" x14ac:dyDescent="0.25">
      <c r="A72" s="149">
        <f t="shared" si="6"/>
        <v>54</v>
      </c>
      <c r="B72" s="151">
        <f t="shared" si="5"/>
        <v>14184595.974446215</v>
      </c>
      <c r="C72" s="151">
        <f t="shared" si="0"/>
        <v>59102.483226859207</v>
      </c>
      <c r="D72" s="151">
        <f t="shared" si="1"/>
        <v>50251.674595421733</v>
      </c>
      <c r="E72" s="151">
        <f t="shared" si="2"/>
        <v>109354.15782228095</v>
      </c>
      <c r="F72" s="151">
        <f t="shared" si="3"/>
        <v>14134344.299850794</v>
      </c>
      <c r="G72" s="131">
        <f t="shared" si="4"/>
        <v>1.6094274544826914</v>
      </c>
    </row>
    <row r="73" spans="1:7" x14ac:dyDescent="0.25">
      <c r="A73" s="149">
        <f t="shared" si="6"/>
        <v>55</v>
      </c>
      <c r="B73" s="151">
        <f t="shared" si="5"/>
        <v>14134344.299850794</v>
      </c>
      <c r="C73" s="151">
        <f t="shared" si="0"/>
        <v>58893.101249378284</v>
      </c>
      <c r="D73" s="151">
        <f t="shared" si="1"/>
        <v>50461.056572902649</v>
      </c>
      <c r="E73" s="151">
        <f t="shared" si="2"/>
        <v>109354.15782228093</v>
      </c>
      <c r="F73" s="151">
        <f t="shared" si="3"/>
        <v>14083883.243277891</v>
      </c>
      <c r="G73" s="131">
        <f t="shared" si="4"/>
        <v>1.6094274544826912</v>
      </c>
    </row>
    <row r="74" spans="1:7" x14ac:dyDescent="0.25">
      <c r="A74" s="149">
        <f t="shared" si="6"/>
        <v>56</v>
      </c>
      <c r="B74" s="151">
        <f t="shared" si="5"/>
        <v>14083883.243277891</v>
      </c>
      <c r="C74" s="151">
        <f t="shared" si="0"/>
        <v>58682.84684699119</v>
      </c>
      <c r="D74" s="151">
        <f t="shared" si="1"/>
        <v>50671.310975289751</v>
      </c>
      <c r="E74" s="151">
        <f t="shared" si="2"/>
        <v>109354.15782228095</v>
      </c>
      <c r="F74" s="151">
        <f t="shared" si="3"/>
        <v>14033211.932302602</v>
      </c>
      <c r="G74" s="131">
        <f t="shared" si="4"/>
        <v>1.6094274544826914</v>
      </c>
    </row>
    <row r="75" spans="1:7" x14ac:dyDescent="0.25">
      <c r="A75" s="149">
        <f t="shared" si="6"/>
        <v>57</v>
      </c>
      <c r="B75" s="151">
        <f t="shared" si="5"/>
        <v>14033211.932302602</v>
      </c>
      <c r="C75" s="151">
        <f t="shared" si="0"/>
        <v>58471.716384594147</v>
      </c>
      <c r="D75" s="151">
        <f t="shared" si="1"/>
        <v>50882.441437686794</v>
      </c>
      <c r="E75" s="151">
        <f t="shared" si="2"/>
        <v>109354.15782228095</v>
      </c>
      <c r="F75" s="151">
        <f t="shared" si="3"/>
        <v>13982329.490864914</v>
      </c>
      <c r="G75" s="131">
        <f t="shared" si="4"/>
        <v>1.6094274544826914</v>
      </c>
    </row>
    <row r="76" spans="1:7" x14ac:dyDescent="0.25">
      <c r="A76" s="149">
        <f t="shared" si="6"/>
        <v>58</v>
      </c>
      <c r="B76" s="151">
        <f t="shared" si="5"/>
        <v>13982329.490864914</v>
      </c>
      <c r="C76" s="151">
        <f t="shared" si="0"/>
        <v>58259.706211937118</v>
      </c>
      <c r="D76" s="151">
        <f t="shared" si="1"/>
        <v>51094.451610343815</v>
      </c>
      <c r="E76" s="151">
        <f t="shared" si="2"/>
        <v>109354.15782228093</v>
      </c>
      <c r="F76" s="151">
        <f t="shared" si="3"/>
        <v>13931235.03925457</v>
      </c>
      <c r="G76" s="131">
        <f t="shared" si="4"/>
        <v>1.6094274544826912</v>
      </c>
    </row>
    <row r="77" spans="1:7" x14ac:dyDescent="0.25">
      <c r="A77" s="149">
        <f t="shared" si="6"/>
        <v>59</v>
      </c>
      <c r="B77" s="151">
        <f t="shared" si="5"/>
        <v>13931235.03925457</v>
      </c>
      <c r="C77" s="151">
        <f t="shared" si="0"/>
        <v>58046.812663560682</v>
      </c>
      <c r="D77" s="151">
        <f t="shared" si="1"/>
        <v>51307.345158720251</v>
      </c>
      <c r="E77" s="151">
        <f t="shared" si="2"/>
        <v>109354.15782228093</v>
      </c>
      <c r="F77" s="151">
        <f t="shared" si="3"/>
        <v>13879927.69409585</v>
      </c>
      <c r="G77" s="131">
        <f t="shared" si="4"/>
        <v>1.6094274544826912</v>
      </c>
    </row>
    <row r="78" spans="1:7" x14ac:dyDescent="0.25">
      <c r="A78" s="149">
        <f t="shared" si="6"/>
        <v>60</v>
      </c>
      <c r="B78" s="151">
        <f t="shared" si="5"/>
        <v>13879927.69409585</v>
      </c>
      <c r="C78" s="151">
        <f t="shared" si="0"/>
        <v>57833.032058732686</v>
      </c>
      <c r="D78" s="151">
        <f t="shared" si="1"/>
        <v>51521.125763548247</v>
      </c>
      <c r="E78" s="151">
        <f t="shared" si="2"/>
        <v>109354.15782228093</v>
      </c>
      <c r="F78" s="151">
        <f t="shared" si="3"/>
        <v>13828406.568332301</v>
      </c>
      <c r="G78" s="131">
        <f t="shared" si="4"/>
        <v>1.6094274544826912</v>
      </c>
    </row>
    <row r="79" spans="1:7" x14ac:dyDescent="0.25">
      <c r="A79" s="149">
        <f t="shared" si="6"/>
        <v>61</v>
      </c>
      <c r="B79" s="151">
        <f t="shared" si="5"/>
        <v>13828406.568332301</v>
      </c>
      <c r="C79" s="151">
        <f t="shared" si="0"/>
        <v>57618.360701384569</v>
      </c>
      <c r="D79" s="151">
        <f t="shared" si="1"/>
        <v>51735.797120896372</v>
      </c>
      <c r="E79" s="151">
        <f t="shared" si="2"/>
        <v>109354.15782228095</v>
      </c>
      <c r="F79" s="151">
        <f t="shared" si="3"/>
        <v>13776670.771211404</v>
      </c>
      <c r="G79" s="131">
        <f t="shared" si="4"/>
        <v>1.6094274544826914</v>
      </c>
    </row>
    <row r="80" spans="1:7" x14ac:dyDescent="0.25">
      <c r="A80" s="149">
        <f t="shared" si="6"/>
        <v>62</v>
      </c>
      <c r="B80" s="151">
        <f t="shared" si="5"/>
        <v>13776670.771211404</v>
      </c>
      <c r="C80" s="151">
        <f t="shared" si="0"/>
        <v>57402.794880047491</v>
      </c>
      <c r="D80" s="151">
        <f t="shared" si="1"/>
        <v>51951.362942233442</v>
      </c>
      <c r="E80" s="151">
        <f t="shared" si="2"/>
        <v>109354.15782228093</v>
      </c>
      <c r="F80" s="151">
        <f t="shared" si="3"/>
        <v>13724719.408269171</v>
      </c>
      <c r="G80" s="131">
        <f t="shared" si="4"/>
        <v>1.6094274544826912</v>
      </c>
    </row>
    <row r="81" spans="1:7" x14ac:dyDescent="0.25">
      <c r="A81" s="149">
        <f t="shared" si="6"/>
        <v>63</v>
      </c>
      <c r="B81" s="151">
        <f t="shared" si="5"/>
        <v>13724719.408269171</v>
      </c>
      <c r="C81" s="151">
        <f t="shared" si="0"/>
        <v>57186.330867788187</v>
      </c>
      <c r="D81" s="151">
        <f t="shared" si="1"/>
        <v>52167.826954492739</v>
      </c>
      <c r="E81" s="151">
        <f t="shared" si="2"/>
        <v>109354.15782228092</v>
      </c>
      <c r="F81" s="151">
        <f t="shared" si="3"/>
        <v>13672551.581314677</v>
      </c>
      <c r="G81" s="131">
        <f t="shared" si="4"/>
        <v>1.609427454482691</v>
      </c>
    </row>
    <row r="82" spans="1:7" x14ac:dyDescent="0.25">
      <c r="A82" s="149">
        <f t="shared" si="6"/>
        <v>64</v>
      </c>
      <c r="B82" s="151">
        <f t="shared" si="5"/>
        <v>13672551.581314677</v>
      </c>
      <c r="C82" s="151">
        <f t="shared" si="0"/>
        <v>56968.964922144478</v>
      </c>
      <c r="D82" s="151">
        <f t="shared" si="1"/>
        <v>52385.192900136462</v>
      </c>
      <c r="E82" s="151">
        <f t="shared" si="2"/>
        <v>109354.15782228095</v>
      </c>
      <c r="F82" s="151">
        <f t="shared" si="3"/>
        <v>13620166.388414541</v>
      </c>
      <c r="G82" s="131">
        <f t="shared" si="4"/>
        <v>1.6094274544826914</v>
      </c>
    </row>
    <row r="83" spans="1:7" x14ac:dyDescent="0.25">
      <c r="A83" s="149">
        <f t="shared" si="6"/>
        <v>65</v>
      </c>
      <c r="B83" s="151">
        <f t="shared" si="5"/>
        <v>13620166.388414541</v>
      </c>
      <c r="C83" s="151">
        <f t="shared" ref="C83:C146" si="7">IF(ISERROR(IPMT(C$6/12,A83,$C$8,-$B$19,0)),0,IPMT(C$6/12,A83,$C$8,-$B$19,0))</f>
        <v>56750.693285060574</v>
      </c>
      <c r="D83" s="151">
        <f t="shared" ref="D83:D146" si="8">IF(ISERROR(PPMT($C$6/12,$A83,$C$8,-$B$19,0)),0,PPMT($C$6/12,$A83,$C$8,-$B$19,0))</f>
        <v>52603.464537220359</v>
      </c>
      <c r="E83" s="151">
        <f t="shared" ref="E83:E146" si="9">+C83+D83</f>
        <v>109354.15782228093</v>
      </c>
      <c r="F83" s="151">
        <f t="shared" ref="F83:F146" si="10">+B83-D83</f>
        <v>13567562.923877321</v>
      </c>
      <c r="G83" s="131">
        <f t="shared" ref="G83:G146" si="11">E83/$C$10</f>
        <v>1.6094274544826912</v>
      </c>
    </row>
    <row r="84" spans="1:7" x14ac:dyDescent="0.25">
      <c r="A84" s="149">
        <f t="shared" si="6"/>
        <v>66</v>
      </c>
      <c r="B84" s="151">
        <f t="shared" ref="B84:B147" si="12">+F83</f>
        <v>13567562.923877321</v>
      </c>
      <c r="C84" s="151">
        <f t="shared" si="7"/>
        <v>56531.512182822153</v>
      </c>
      <c r="D84" s="151">
        <f t="shared" si="8"/>
        <v>52822.64563945878</v>
      </c>
      <c r="E84" s="151">
        <f t="shared" si="9"/>
        <v>109354.15782228093</v>
      </c>
      <c r="F84" s="151">
        <f t="shared" si="10"/>
        <v>13514740.278237863</v>
      </c>
      <c r="G84" s="131">
        <f t="shared" si="11"/>
        <v>1.6094274544826912</v>
      </c>
    </row>
    <row r="85" spans="1:7" x14ac:dyDescent="0.25">
      <c r="A85" s="149">
        <f t="shared" ref="A85:A148" si="13">A84+1</f>
        <v>67</v>
      </c>
      <c r="B85" s="151">
        <f t="shared" si="12"/>
        <v>13514740.278237863</v>
      </c>
      <c r="C85" s="151">
        <f t="shared" si="7"/>
        <v>56311.417825991077</v>
      </c>
      <c r="D85" s="151">
        <f t="shared" si="8"/>
        <v>53042.739996289856</v>
      </c>
      <c r="E85" s="151">
        <f t="shared" si="9"/>
        <v>109354.15782228093</v>
      </c>
      <c r="F85" s="151">
        <f t="shared" si="10"/>
        <v>13461697.538241573</v>
      </c>
      <c r="G85" s="131">
        <f t="shared" si="11"/>
        <v>1.6094274544826912</v>
      </c>
    </row>
    <row r="86" spans="1:7" x14ac:dyDescent="0.25">
      <c r="A86" s="149">
        <f t="shared" si="13"/>
        <v>68</v>
      </c>
      <c r="B86" s="151">
        <f t="shared" si="12"/>
        <v>13461697.538241573</v>
      </c>
      <c r="C86" s="151">
        <f t="shared" si="7"/>
        <v>56090.406409339877</v>
      </c>
      <c r="D86" s="151">
        <f t="shared" si="8"/>
        <v>53263.751412941063</v>
      </c>
      <c r="E86" s="151">
        <f t="shared" si="9"/>
        <v>109354.15782228095</v>
      </c>
      <c r="F86" s="151">
        <f t="shared" si="10"/>
        <v>13408433.786828632</v>
      </c>
      <c r="G86" s="131">
        <f t="shared" si="11"/>
        <v>1.6094274544826914</v>
      </c>
    </row>
    <row r="87" spans="1:7" x14ac:dyDescent="0.25">
      <c r="A87" s="149">
        <f t="shared" si="13"/>
        <v>69</v>
      </c>
      <c r="B87" s="151">
        <f t="shared" si="12"/>
        <v>13408433.786828632</v>
      </c>
      <c r="C87" s="151">
        <f t="shared" si="7"/>
        <v>55868.474111785959</v>
      </c>
      <c r="D87" s="151">
        <f t="shared" si="8"/>
        <v>53485.683710494988</v>
      </c>
      <c r="E87" s="151">
        <f t="shared" si="9"/>
        <v>109354.15782228095</v>
      </c>
      <c r="F87" s="151">
        <f t="shared" si="10"/>
        <v>13354948.103118137</v>
      </c>
      <c r="G87" s="131">
        <f t="shared" si="11"/>
        <v>1.6094274544826914</v>
      </c>
    </row>
    <row r="88" spans="1:7" x14ac:dyDescent="0.25">
      <c r="A88" s="149">
        <f t="shared" si="13"/>
        <v>70</v>
      </c>
      <c r="B88" s="151">
        <f t="shared" si="12"/>
        <v>13354948.103118137</v>
      </c>
      <c r="C88" s="151">
        <f t="shared" si="7"/>
        <v>55645.61709632555</v>
      </c>
      <c r="D88" s="151">
        <f t="shared" si="8"/>
        <v>53708.540725955383</v>
      </c>
      <c r="E88" s="151">
        <f t="shared" si="9"/>
        <v>109354.15782228093</v>
      </c>
      <c r="F88" s="151">
        <f t="shared" si="10"/>
        <v>13301239.562392181</v>
      </c>
      <c r="G88" s="131">
        <f t="shared" si="11"/>
        <v>1.6094274544826912</v>
      </c>
    </row>
    <row r="89" spans="1:7" x14ac:dyDescent="0.25">
      <c r="A89" s="149">
        <f t="shared" si="13"/>
        <v>71</v>
      </c>
      <c r="B89" s="151">
        <f t="shared" si="12"/>
        <v>13301239.562392181</v>
      </c>
      <c r="C89" s="151">
        <f t="shared" si="7"/>
        <v>55421.831509967393</v>
      </c>
      <c r="D89" s="151">
        <f t="shared" si="8"/>
        <v>53932.326312313533</v>
      </c>
      <c r="E89" s="151">
        <f t="shared" si="9"/>
        <v>109354.15782228092</v>
      </c>
      <c r="F89" s="151">
        <f t="shared" si="10"/>
        <v>13247307.236079868</v>
      </c>
      <c r="G89" s="131">
        <f t="shared" si="11"/>
        <v>1.609427454482691</v>
      </c>
    </row>
    <row r="90" spans="1:7" x14ac:dyDescent="0.25">
      <c r="A90" s="149">
        <f t="shared" si="13"/>
        <v>72</v>
      </c>
      <c r="B90" s="151">
        <f t="shared" si="12"/>
        <v>13247307.236079868</v>
      </c>
      <c r="C90" s="151">
        <f t="shared" si="7"/>
        <v>55197.113483666093</v>
      </c>
      <c r="D90" s="151">
        <f t="shared" si="8"/>
        <v>54157.044338614833</v>
      </c>
      <c r="E90" s="151">
        <f t="shared" si="9"/>
        <v>109354.15782228092</v>
      </c>
      <c r="F90" s="151">
        <f t="shared" si="10"/>
        <v>13193150.191741252</v>
      </c>
      <c r="G90" s="131">
        <f t="shared" si="11"/>
        <v>1.609427454482691</v>
      </c>
    </row>
    <row r="91" spans="1:7" x14ac:dyDescent="0.25">
      <c r="A91" s="149">
        <f t="shared" si="13"/>
        <v>73</v>
      </c>
      <c r="B91" s="151">
        <f t="shared" si="12"/>
        <v>13193150.191741252</v>
      </c>
      <c r="C91" s="151">
        <f t="shared" si="7"/>
        <v>54971.459132255201</v>
      </c>
      <c r="D91" s="151">
        <f t="shared" si="8"/>
        <v>54382.698690025733</v>
      </c>
      <c r="E91" s="151">
        <f t="shared" si="9"/>
        <v>109354.15782228093</v>
      </c>
      <c r="F91" s="151">
        <f t="shared" si="10"/>
        <v>13138767.493051227</v>
      </c>
      <c r="G91" s="131">
        <f t="shared" si="11"/>
        <v>1.6094274544826912</v>
      </c>
    </row>
    <row r="92" spans="1:7" x14ac:dyDescent="0.25">
      <c r="A92" s="149">
        <f t="shared" si="13"/>
        <v>74</v>
      </c>
      <c r="B92" s="151">
        <f t="shared" si="12"/>
        <v>13138767.493051227</v>
      </c>
      <c r="C92" s="151">
        <f t="shared" si="7"/>
        <v>54744.864554380096</v>
      </c>
      <c r="D92" s="151">
        <f t="shared" si="8"/>
        <v>54609.293267900837</v>
      </c>
      <c r="E92" s="151">
        <f t="shared" si="9"/>
        <v>109354.15782228093</v>
      </c>
      <c r="F92" s="151">
        <f t="shared" si="10"/>
        <v>13084158.199783327</v>
      </c>
      <c r="G92" s="131">
        <f t="shared" si="11"/>
        <v>1.6094274544826912</v>
      </c>
    </row>
    <row r="93" spans="1:7" x14ac:dyDescent="0.25">
      <c r="A93" s="149">
        <f t="shared" si="13"/>
        <v>75</v>
      </c>
      <c r="B93" s="151">
        <f t="shared" si="12"/>
        <v>13084158.199783327</v>
      </c>
      <c r="C93" s="151">
        <f t="shared" si="7"/>
        <v>54517.325832430506</v>
      </c>
      <c r="D93" s="151">
        <f t="shared" si="8"/>
        <v>54836.83198985042</v>
      </c>
      <c r="E93" s="151">
        <f t="shared" si="9"/>
        <v>109354.15782228092</v>
      </c>
      <c r="F93" s="151">
        <f t="shared" si="10"/>
        <v>13029321.367793476</v>
      </c>
      <c r="G93" s="131">
        <f t="shared" si="11"/>
        <v>1.609427454482691</v>
      </c>
    </row>
    <row r="94" spans="1:7" x14ac:dyDescent="0.25">
      <c r="A94" s="149">
        <f t="shared" si="13"/>
        <v>76</v>
      </c>
      <c r="B94" s="151">
        <f t="shared" si="12"/>
        <v>13029321.367793476</v>
      </c>
      <c r="C94" s="151">
        <f t="shared" si="7"/>
        <v>54288.839032472795</v>
      </c>
      <c r="D94" s="151">
        <f t="shared" si="8"/>
        <v>55065.318789808131</v>
      </c>
      <c r="E94" s="151">
        <f t="shared" si="9"/>
        <v>109354.15782228092</v>
      </c>
      <c r="F94" s="151">
        <f t="shared" si="10"/>
        <v>12974256.049003668</v>
      </c>
      <c r="G94" s="131">
        <f t="shared" si="11"/>
        <v>1.609427454482691</v>
      </c>
    </row>
    <row r="95" spans="1:7" x14ac:dyDescent="0.25">
      <c r="A95" s="149">
        <f t="shared" si="13"/>
        <v>77</v>
      </c>
      <c r="B95" s="151">
        <f t="shared" si="12"/>
        <v>12974256.049003668</v>
      </c>
      <c r="C95" s="151">
        <f t="shared" si="7"/>
        <v>54059.400204181933</v>
      </c>
      <c r="D95" s="151">
        <f t="shared" si="8"/>
        <v>55294.757618099007</v>
      </c>
      <c r="E95" s="151">
        <f t="shared" si="9"/>
        <v>109354.15782228095</v>
      </c>
      <c r="F95" s="151">
        <f t="shared" si="10"/>
        <v>12918961.291385569</v>
      </c>
      <c r="G95" s="131">
        <f t="shared" si="11"/>
        <v>1.6094274544826914</v>
      </c>
    </row>
    <row r="96" spans="1:7" x14ac:dyDescent="0.25">
      <c r="A96" s="149">
        <f t="shared" si="13"/>
        <v>78</v>
      </c>
      <c r="B96" s="151">
        <f t="shared" si="12"/>
        <v>12918961.291385569</v>
      </c>
      <c r="C96" s="151">
        <f t="shared" si="7"/>
        <v>53829.005380773197</v>
      </c>
      <c r="D96" s="151">
        <f t="shared" si="8"/>
        <v>55525.152441507751</v>
      </c>
      <c r="E96" s="151">
        <f t="shared" si="9"/>
        <v>109354.15782228095</v>
      </c>
      <c r="F96" s="151">
        <f t="shared" si="10"/>
        <v>12863436.138944061</v>
      </c>
      <c r="G96" s="131">
        <f t="shared" si="11"/>
        <v>1.6094274544826914</v>
      </c>
    </row>
    <row r="97" spans="1:7" x14ac:dyDescent="0.25">
      <c r="A97" s="149">
        <f t="shared" si="13"/>
        <v>79</v>
      </c>
      <c r="B97" s="151">
        <f t="shared" si="12"/>
        <v>12863436.138944061</v>
      </c>
      <c r="C97" s="151">
        <f t="shared" si="7"/>
        <v>53597.650578933579</v>
      </c>
      <c r="D97" s="151">
        <f t="shared" si="8"/>
        <v>55756.507243347369</v>
      </c>
      <c r="E97" s="151">
        <f t="shared" si="9"/>
        <v>109354.15782228095</v>
      </c>
      <c r="F97" s="151">
        <f t="shared" si="10"/>
        <v>12807679.631700713</v>
      </c>
      <c r="G97" s="131">
        <f t="shared" si="11"/>
        <v>1.6094274544826914</v>
      </c>
    </row>
    <row r="98" spans="1:7" x14ac:dyDescent="0.25">
      <c r="A98" s="149">
        <f t="shared" si="13"/>
        <v>80</v>
      </c>
      <c r="B98" s="151">
        <f t="shared" si="12"/>
        <v>12807679.631700713</v>
      </c>
      <c r="C98" s="151">
        <f t="shared" si="7"/>
        <v>53365.331798752952</v>
      </c>
      <c r="D98" s="151">
        <f t="shared" si="8"/>
        <v>55988.826023527974</v>
      </c>
      <c r="E98" s="151">
        <f t="shared" si="9"/>
        <v>109354.15782228092</v>
      </c>
      <c r="F98" s="151">
        <f t="shared" si="10"/>
        <v>12751690.805677185</v>
      </c>
      <c r="G98" s="131">
        <f t="shared" si="11"/>
        <v>1.609427454482691</v>
      </c>
    </row>
    <row r="99" spans="1:7" x14ac:dyDescent="0.25">
      <c r="A99" s="149">
        <f t="shared" si="13"/>
        <v>81</v>
      </c>
      <c r="B99" s="151">
        <f t="shared" si="12"/>
        <v>12751690.805677185</v>
      </c>
      <c r="C99" s="151">
        <f t="shared" si="7"/>
        <v>53132.045023654922</v>
      </c>
      <c r="D99" s="151">
        <f t="shared" si="8"/>
        <v>56222.112798626018</v>
      </c>
      <c r="E99" s="151">
        <f t="shared" si="9"/>
        <v>109354.15782228095</v>
      </c>
      <c r="F99" s="151">
        <f t="shared" si="10"/>
        <v>12695468.692878559</v>
      </c>
      <c r="G99" s="131">
        <f t="shared" si="11"/>
        <v>1.6094274544826914</v>
      </c>
    </row>
    <row r="100" spans="1:7" x14ac:dyDescent="0.25">
      <c r="A100" s="149">
        <f t="shared" si="13"/>
        <v>82</v>
      </c>
      <c r="B100" s="151">
        <f t="shared" si="12"/>
        <v>12695468.692878559</v>
      </c>
      <c r="C100" s="151">
        <f t="shared" si="7"/>
        <v>52897.786220327311</v>
      </c>
      <c r="D100" s="151">
        <f t="shared" si="8"/>
        <v>56456.371601953622</v>
      </c>
      <c r="E100" s="151">
        <f t="shared" si="9"/>
        <v>109354.15782228093</v>
      </c>
      <c r="F100" s="151">
        <f t="shared" si="10"/>
        <v>12639012.321276605</v>
      </c>
      <c r="G100" s="131">
        <f t="shared" si="11"/>
        <v>1.6094274544826912</v>
      </c>
    </row>
    <row r="101" spans="1:7" x14ac:dyDescent="0.25">
      <c r="A101" s="149">
        <f t="shared" si="13"/>
        <v>83</v>
      </c>
      <c r="B101" s="151">
        <f t="shared" si="12"/>
        <v>12639012.321276605</v>
      </c>
      <c r="C101" s="151">
        <f t="shared" si="7"/>
        <v>52662.551338652498</v>
      </c>
      <c r="D101" s="151">
        <f t="shared" si="8"/>
        <v>56691.606483628428</v>
      </c>
      <c r="E101" s="151">
        <f t="shared" si="9"/>
        <v>109354.15782228092</v>
      </c>
      <c r="F101" s="151">
        <f t="shared" si="10"/>
        <v>12582320.714792976</v>
      </c>
      <c r="G101" s="131">
        <f t="shared" si="11"/>
        <v>1.609427454482691</v>
      </c>
    </row>
    <row r="102" spans="1:7" x14ac:dyDescent="0.25">
      <c r="A102" s="149">
        <f t="shared" si="13"/>
        <v>84</v>
      </c>
      <c r="B102" s="151">
        <f t="shared" si="12"/>
        <v>12582320.714792976</v>
      </c>
      <c r="C102" s="151">
        <f t="shared" si="7"/>
        <v>52426.336311637388</v>
      </c>
      <c r="D102" s="151">
        <f t="shared" si="8"/>
        <v>56927.821510643553</v>
      </c>
      <c r="E102" s="151">
        <f t="shared" si="9"/>
        <v>109354.15782228095</v>
      </c>
      <c r="F102" s="151">
        <f t="shared" si="10"/>
        <v>12525392.893282333</v>
      </c>
      <c r="G102" s="131">
        <f t="shared" si="11"/>
        <v>1.6094274544826914</v>
      </c>
    </row>
    <row r="103" spans="1:7" x14ac:dyDescent="0.25">
      <c r="A103" s="149">
        <f t="shared" si="13"/>
        <v>85</v>
      </c>
      <c r="B103" s="151">
        <f t="shared" si="12"/>
        <v>12525392.893282333</v>
      </c>
      <c r="C103" s="151">
        <f t="shared" si="7"/>
        <v>52189.137055343046</v>
      </c>
      <c r="D103" s="151">
        <f t="shared" si="8"/>
        <v>57165.020766937894</v>
      </c>
      <c r="E103" s="151">
        <f t="shared" si="9"/>
        <v>109354.15782228095</v>
      </c>
      <c r="F103" s="151">
        <f t="shared" si="10"/>
        <v>12468227.872515395</v>
      </c>
      <c r="G103" s="131">
        <f t="shared" si="11"/>
        <v>1.6094274544826914</v>
      </c>
    </row>
    <row r="104" spans="1:7" x14ac:dyDescent="0.25">
      <c r="A104" s="149">
        <f t="shared" si="13"/>
        <v>86</v>
      </c>
      <c r="B104" s="151">
        <f t="shared" si="12"/>
        <v>12468227.872515395</v>
      </c>
      <c r="C104" s="151">
        <f t="shared" si="7"/>
        <v>51950.949468814128</v>
      </c>
      <c r="D104" s="151">
        <f t="shared" si="8"/>
        <v>57403.208353466805</v>
      </c>
      <c r="E104" s="151">
        <f t="shared" si="9"/>
        <v>109354.15782228093</v>
      </c>
      <c r="F104" s="151">
        <f t="shared" si="10"/>
        <v>12410824.664161928</v>
      </c>
      <c r="G104" s="131">
        <f t="shared" si="11"/>
        <v>1.6094274544826912</v>
      </c>
    </row>
    <row r="105" spans="1:7" x14ac:dyDescent="0.25">
      <c r="A105" s="149">
        <f t="shared" si="13"/>
        <v>87</v>
      </c>
      <c r="B105" s="151">
        <f t="shared" si="12"/>
        <v>12410824.664161928</v>
      </c>
      <c r="C105" s="151">
        <f t="shared" si="7"/>
        <v>51711.769434008027</v>
      </c>
      <c r="D105" s="151">
        <f t="shared" si="8"/>
        <v>57642.388388272906</v>
      </c>
      <c r="E105" s="151">
        <f t="shared" si="9"/>
        <v>109354.15782228093</v>
      </c>
      <c r="F105" s="151">
        <f t="shared" si="10"/>
        <v>12353182.275773656</v>
      </c>
      <c r="G105" s="131">
        <f t="shared" si="11"/>
        <v>1.6094274544826912</v>
      </c>
    </row>
    <row r="106" spans="1:7" x14ac:dyDescent="0.25">
      <c r="A106" s="149">
        <f t="shared" si="13"/>
        <v>88</v>
      </c>
      <c r="B106" s="151">
        <f t="shared" si="12"/>
        <v>12353182.275773656</v>
      </c>
      <c r="C106" s="151">
        <f t="shared" si="7"/>
        <v>51471.592815723554</v>
      </c>
      <c r="D106" s="151">
        <f t="shared" si="8"/>
        <v>57882.565006557386</v>
      </c>
      <c r="E106" s="151">
        <f t="shared" si="9"/>
        <v>109354.15782228095</v>
      </c>
      <c r="F106" s="151">
        <f t="shared" si="10"/>
        <v>12295299.710767098</v>
      </c>
      <c r="G106" s="131">
        <f t="shared" si="11"/>
        <v>1.6094274544826914</v>
      </c>
    </row>
    <row r="107" spans="1:7" x14ac:dyDescent="0.25">
      <c r="A107" s="149">
        <f t="shared" si="13"/>
        <v>89</v>
      </c>
      <c r="B107" s="151">
        <f t="shared" si="12"/>
        <v>12295299.710767098</v>
      </c>
      <c r="C107" s="151">
        <f t="shared" si="7"/>
        <v>51230.415461529556</v>
      </c>
      <c r="D107" s="151">
        <f t="shared" si="8"/>
        <v>58123.742360751377</v>
      </c>
      <c r="E107" s="151">
        <f t="shared" si="9"/>
        <v>109354.15782228093</v>
      </c>
      <c r="F107" s="151">
        <f t="shared" si="10"/>
        <v>12237175.968406346</v>
      </c>
      <c r="G107" s="131">
        <f t="shared" si="11"/>
        <v>1.6094274544826912</v>
      </c>
    </row>
    <row r="108" spans="1:7" x14ac:dyDescent="0.25">
      <c r="A108" s="149">
        <f t="shared" si="13"/>
        <v>90</v>
      </c>
      <c r="B108" s="151">
        <f t="shared" si="12"/>
        <v>12237175.968406346</v>
      </c>
      <c r="C108" s="151">
        <f t="shared" si="7"/>
        <v>50988.233201693089</v>
      </c>
      <c r="D108" s="151">
        <f t="shared" si="8"/>
        <v>58365.92462058783</v>
      </c>
      <c r="E108" s="151">
        <f t="shared" si="9"/>
        <v>109354.15782228092</v>
      </c>
      <c r="F108" s="151">
        <f t="shared" si="10"/>
        <v>12178810.043785758</v>
      </c>
      <c r="G108" s="131">
        <f t="shared" si="11"/>
        <v>1.609427454482691</v>
      </c>
    </row>
    <row r="109" spans="1:7" x14ac:dyDescent="0.25">
      <c r="A109" s="149">
        <f t="shared" si="13"/>
        <v>91</v>
      </c>
      <c r="B109" s="151">
        <f t="shared" si="12"/>
        <v>12178810.043785758</v>
      </c>
      <c r="C109" s="151">
        <f t="shared" si="7"/>
        <v>50745.041849107307</v>
      </c>
      <c r="D109" s="151">
        <f t="shared" si="8"/>
        <v>58609.115973173612</v>
      </c>
      <c r="E109" s="151">
        <f t="shared" si="9"/>
        <v>109354.15782228092</v>
      </c>
      <c r="F109" s="151">
        <f t="shared" si="10"/>
        <v>12120200.927812586</v>
      </c>
      <c r="G109" s="131">
        <f t="shared" si="11"/>
        <v>1.609427454482691</v>
      </c>
    </row>
    <row r="110" spans="1:7" x14ac:dyDescent="0.25">
      <c r="A110" s="149">
        <f t="shared" si="13"/>
        <v>92</v>
      </c>
      <c r="B110" s="151">
        <f t="shared" si="12"/>
        <v>12120200.927812586</v>
      </c>
      <c r="C110" s="151">
        <f t="shared" si="7"/>
        <v>50500.837199219081</v>
      </c>
      <c r="D110" s="151">
        <f t="shared" si="8"/>
        <v>58853.320623061845</v>
      </c>
      <c r="E110" s="151">
        <f t="shared" si="9"/>
        <v>109354.15782228092</v>
      </c>
      <c r="F110" s="151">
        <f t="shared" si="10"/>
        <v>12061347.607189523</v>
      </c>
      <c r="G110" s="131">
        <f t="shared" si="11"/>
        <v>1.609427454482691</v>
      </c>
    </row>
    <row r="111" spans="1:7" x14ac:dyDescent="0.25">
      <c r="A111" s="149">
        <f t="shared" si="13"/>
        <v>93</v>
      </c>
      <c r="B111" s="151">
        <f t="shared" si="12"/>
        <v>12061347.607189523</v>
      </c>
      <c r="C111" s="151">
        <f t="shared" si="7"/>
        <v>50255.615029956331</v>
      </c>
      <c r="D111" s="151">
        <f t="shared" si="8"/>
        <v>59098.542792324595</v>
      </c>
      <c r="E111" s="151">
        <f t="shared" si="9"/>
        <v>109354.15782228092</v>
      </c>
      <c r="F111" s="151">
        <f t="shared" si="10"/>
        <v>12002249.064397199</v>
      </c>
      <c r="G111" s="131">
        <f t="shared" si="11"/>
        <v>1.609427454482691</v>
      </c>
    </row>
    <row r="112" spans="1:7" x14ac:dyDescent="0.25">
      <c r="A112" s="149">
        <f t="shared" si="13"/>
        <v>94</v>
      </c>
      <c r="B112" s="151">
        <f t="shared" si="12"/>
        <v>12002249.064397199</v>
      </c>
      <c r="C112" s="151">
        <f t="shared" si="7"/>
        <v>50009.371101654986</v>
      </c>
      <c r="D112" s="151">
        <f t="shared" si="8"/>
        <v>59344.786720625962</v>
      </c>
      <c r="E112" s="151">
        <f t="shared" si="9"/>
        <v>109354.15782228095</v>
      </c>
      <c r="F112" s="151">
        <f t="shared" si="10"/>
        <v>11942904.277676573</v>
      </c>
      <c r="G112" s="131">
        <f t="shared" si="11"/>
        <v>1.6094274544826914</v>
      </c>
    </row>
    <row r="113" spans="1:7" x14ac:dyDescent="0.25">
      <c r="A113" s="149">
        <f t="shared" si="13"/>
        <v>95</v>
      </c>
      <c r="B113" s="151">
        <f t="shared" si="12"/>
        <v>11942904.277676573</v>
      </c>
      <c r="C113" s="151">
        <f t="shared" si="7"/>
        <v>49762.101156985715</v>
      </c>
      <c r="D113" s="151">
        <f t="shared" si="8"/>
        <v>59592.05666529524</v>
      </c>
      <c r="E113" s="151">
        <f t="shared" si="9"/>
        <v>109354.15782228095</v>
      </c>
      <c r="F113" s="151">
        <f t="shared" si="10"/>
        <v>11883312.221011277</v>
      </c>
      <c r="G113" s="131">
        <f t="shared" si="11"/>
        <v>1.6094274544826914</v>
      </c>
    </row>
    <row r="114" spans="1:7" x14ac:dyDescent="0.25">
      <c r="A114" s="149">
        <f t="shared" si="13"/>
        <v>96</v>
      </c>
      <c r="B114" s="151">
        <f t="shared" si="12"/>
        <v>11883312.221011277</v>
      </c>
      <c r="C114" s="151">
        <f t="shared" si="7"/>
        <v>49513.800920880305</v>
      </c>
      <c r="D114" s="151">
        <f t="shared" si="8"/>
        <v>59840.356901400621</v>
      </c>
      <c r="E114" s="151">
        <f t="shared" si="9"/>
        <v>109354.15782228092</v>
      </c>
      <c r="F114" s="151">
        <f t="shared" si="10"/>
        <v>11823471.864109877</v>
      </c>
      <c r="G114" s="131">
        <f t="shared" si="11"/>
        <v>1.609427454482691</v>
      </c>
    </row>
    <row r="115" spans="1:7" x14ac:dyDescent="0.25">
      <c r="A115" s="149">
        <f t="shared" si="13"/>
        <v>97</v>
      </c>
      <c r="B115" s="151">
        <f t="shared" si="12"/>
        <v>11823471.864109877</v>
      </c>
      <c r="C115" s="151">
        <f t="shared" si="7"/>
        <v>49264.466100457808</v>
      </c>
      <c r="D115" s="151">
        <f t="shared" si="8"/>
        <v>60089.691721823125</v>
      </c>
      <c r="E115" s="151">
        <f t="shared" si="9"/>
        <v>109354.15782228093</v>
      </c>
      <c r="F115" s="151">
        <f t="shared" si="10"/>
        <v>11763382.172388054</v>
      </c>
      <c r="G115" s="131">
        <f t="shared" si="11"/>
        <v>1.6094274544826912</v>
      </c>
    </row>
    <row r="116" spans="1:7" x14ac:dyDescent="0.25">
      <c r="A116" s="149">
        <f t="shared" si="13"/>
        <v>98</v>
      </c>
      <c r="B116" s="151">
        <f t="shared" si="12"/>
        <v>11763382.172388054</v>
      </c>
      <c r="C116" s="151">
        <f t="shared" si="7"/>
        <v>49014.092384950221</v>
      </c>
      <c r="D116" s="151">
        <f t="shared" si="8"/>
        <v>60340.065437330726</v>
      </c>
      <c r="E116" s="151">
        <f t="shared" si="9"/>
        <v>109354.15782228095</v>
      </c>
      <c r="F116" s="151">
        <f t="shared" si="10"/>
        <v>11703042.106950724</v>
      </c>
      <c r="G116" s="131">
        <f t="shared" si="11"/>
        <v>1.6094274544826914</v>
      </c>
    </row>
    <row r="117" spans="1:7" x14ac:dyDescent="0.25">
      <c r="A117" s="149">
        <f t="shared" si="13"/>
        <v>99</v>
      </c>
      <c r="B117" s="151">
        <f t="shared" si="12"/>
        <v>11703042.106950724</v>
      </c>
      <c r="C117" s="151">
        <f t="shared" si="7"/>
        <v>48762.675445627996</v>
      </c>
      <c r="D117" s="151">
        <f t="shared" si="8"/>
        <v>60591.48237665293</v>
      </c>
      <c r="E117" s="151">
        <f t="shared" si="9"/>
        <v>109354.15782228092</v>
      </c>
      <c r="F117" s="151">
        <f t="shared" si="10"/>
        <v>11642450.624574071</v>
      </c>
      <c r="G117" s="131">
        <f t="shared" si="11"/>
        <v>1.609427454482691</v>
      </c>
    </row>
    <row r="118" spans="1:7" x14ac:dyDescent="0.25">
      <c r="A118" s="149">
        <f t="shared" si="13"/>
        <v>100</v>
      </c>
      <c r="B118" s="151">
        <f t="shared" si="12"/>
        <v>11642450.624574071</v>
      </c>
      <c r="C118" s="151">
        <f t="shared" si="7"/>
        <v>48510.210935725278</v>
      </c>
      <c r="D118" s="151">
        <f t="shared" si="8"/>
        <v>60843.946886555656</v>
      </c>
      <c r="E118" s="151">
        <f t="shared" si="9"/>
        <v>109354.15782228093</v>
      </c>
      <c r="F118" s="151">
        <f t="shared" si="10"/>
        <v>11581606.677687515</v>
      </c>
      <c r="G118" s="131">
        <f t="shared" si="11"/>
        <v>1.6094274544826912</v>
      </c>
    </row>
    <row r="119" spans="1:7" x14ac:dyDescent="0.25">
      <c r="A119" s="149">
        <f t="shared" si="13"/>
        <v>101</v>
      </c>
      <c r="B119" s="151">
        <f t="shared" si="12"/>
        <v>11581606.677687515</v>
      </c>
      <c r="C119" s="151">
        <f t="shared" si="7"/>
        <v>48256.694490364622</v>
      </c>
      <c r="D119" s="151">
        <f t="shared" si="8"/>
        <v>61097.463331916297</v>
      </c>
      <c r="E119" s="151">
        <f t="shared" si="9"/>
        <v>109354.15782228092</v>
      </c>
      <c r="F119" s="151">
        <f t="shared" si="10"/>
        <v>11520509.214355599</v>
      </c>
      <c r="G119" s="131">
        <f t="shared" si="11"/>
        <v>1.609427454482691</v>
      </c>
    </row>
    <row r="120" spans="1:7" x14ac:dyDescent="0.25">
      <c r="A120" s="149">
        <f t="shared" si="13"/>
        <v>102</v>
      </c>
      <c r="B120" s="151">
        <f t="shared" si="12"/>
        <v>11520509.214355599</v>
      </c>
      <c r="C120" s="151">
        <f t="shared" si="7"/>
        <v>48002.121726481637</v>
      </c>
      <c r="D120" s="151">
        <f t="shared" si="8"/>
        <v>61352.036095799282</v>
      </c>
      <c r="E120" s="151">
        <f t="shared" si="9"/>
        <v>109354.15782228092</v>
      </c>
      <c r="F120" s="151">
        <f t="shared" si="10"/>
        <v>11459157.178259799</v>
      </c>
      <c r="G120" s="131">
        <f t="shared" si="11"/>
        <v>1.609427454482691</v>
      </c>
    </row>
    <row r="121" spans="1:7" x14ac:dyDescent="0.25">
      <c r="A121" s="149">
        <f t="shared" si="13"/>
        <v>103</v>
      </c>
      <c r="B121" s="151">
        <f t="shared" si="12"/>
        <v>11459157.178259799</v>
      </c>
      <c r="C121" s="151">
        <f t="shared" si="7"/>
        <v>47746.488242749154</v>
      </c>
      <c r="D121" s="151">
        <f t="shared" si="8"/>
        <v>61607.669579531786</v>
      </c>
      <c r="E121" s="151">
        <f t="shared" si="9"/>
        <v>109354.15782228095</v>
      </c>
      <c r="F121" s="151">
        <f t="shared" si="10"/>
        <v>11397549.508680267</v>
      </c>
      <c r="G121" s="131">
        <f t="shared" si="11"/>
        <v>1.6094274544826914</v>
      </c>
    </row>
    <row r="122" spans="1:7" x14ac:dyDescent="0.25">
      <c r="A122" s="149">
        <f t="shared" si="13"/>
        <v>104</v>
      </c>
      <c r="B122" s="151">
        <f t="shared" si="12"/>
        <v>11397549.508680267</v>
      </c>
      <c r="C122" s="151">
        <f t="shared" si="7"/>
        <v>47489.789619501098</v>
      </c>
      <c r="D122" s="151">
        <f t="shared" si="8"/>
        <v>61864.368202779828</v>
      </c>
      <c r="E122" s="151">
        <f t="shared" si="9"/>
        <v>109354.15782228092</v>
      </c>
      <c r="F122" s="151">
        <f t="shared" si="10"/>
        <v>11335685.140477488</v>
      </c>
      <c r="G122" s="131">
        <f t="shared" si="11"/>
        <v>1.609427454482691</v>
      </c>
    </row>
    <row r="123" spans="1:7" x14ac:dyDescent="0.25">
      <c r="A123" s="149">
        <f t="shared" si="13"/>
        <v>105</v>
      </c>
      <c r="B123" s="151">
        <f t="shared" si="12"/>
        <v>11335685.140477488</v>
      </c>
      <c r="C123" s="151">
        <f t="shared" si="7"/>
        <v>47232.021418656201</v>
      </c>
      <c r="D123" s="151">
        <f t="shared" si="8"/>
        <v>62122.136403624754</v>
      </c>
      <c r="E123" s="151">
        <f t="shared" si="9"/>
        <v>109354.15782228095</v>
      </c>
      <c r="F123" s="151">
        <f t="shared" si="10"/>
        <v>11273563.004073864</v>
      </c>
      <c r="G123" s="131">
        <f t="shared" si="11"/>
        <v>1.6094274544826914</v>
      </c>
    </row>
    <row r="124" spans="1:7" x14ac:dyDescent="0.25">
      <c r="A124" s="149">
        <f t="shared" si="13"/>
        <v>106</v>
      </c>
      <c r="B124" s="151">
        <f t="shared" si="12"/>
        <v>11273563.004073864</v>
      </c>
      <c r="C124" s="151">
        <f t="shared" si="7"/>
        <v>46973.179183641085</v>
      </c>
      <c r="D124" s="151">
        <f t="shared" si="8"/>
        <v>62380.978638639848</v>
      </c>
      <c r="E124" s="151">
        <f t="shared" si="9"/>
        <v>109354.15782228093</v>
      </c>
      <c r="F124" s="151">
        <f t="shared" si="10"/>
        <v>11211182.025435224</v>
      </c>
      <c r="G124" s="131">
        <f t="shared" si="11"/>
        <v>1.6094274544826912</v>
      </c>
    </row>
    <row r="125" spans="1:7" x14ac:dyDescent="0.25">
      <c r="A125" s="149">
        <f t="shared" si="13"/>
        <v>107</v>
      </c>
      <c r="B125" s="151">
        <f t="shared" si="12"/>
        <v>11211182.025435224</v>
      </c>
      <c r="C125" s="151">
        <f t="shared" si="7"/>
        <v>46713.258439313402</v>
      </c>
      <c r="D125" s="151">
        <f t="shared" si="8"/>
        <v>62640.899382967516</v>
      </c>
      <c r="E125" s="151">
        <f t="shared" si="9"/>
        <v>109354.15782228092</v>
      </c>
      <c r="F125" s="151">
        <f t="shared" si="10"/>
        <v>11148541.126052257</v>
      </c>
      <c r="G125" s="131">
        <f t="shared" si="11"/>
        <v>1.609427454482691</v>
      </c>
    </row>
    <row r="126" spans="1:7" x14ac:dyDescent="0.25">
      <c r="A126" s="149">
        <f t="shared" si="13"/>
        <v>108</v>
      </c>
      <c r="B126" s="151">
        <f t="shared" si="12"/>
        <v>11148541.126052257</v>
      </c>
      <c r="C126" s="151">
        <f t="shared" si="7"/>
        <v>46452.25469188438</v>
      </c>
      <c r="D126" s="151">
        <f t="shared" si="8"/>
        <v>62901.903130396553</v>
      </c>
      <c r="E126" s="151">
        <f t="shared" si="9"/>
        <v>109354.15782228093</v>
      </c>
      <c r="F126" s="151">
        <f t="shared" si="10"/>
        <v>11085639.222921859</v>
      </c>
      <c r="G126" s="131">
        <f t="shared" si="11"/>
        <v>1.6094274544826912</v>
      </c>
    </row>
    <row r="127" spans="1:7" x14ac:dyDescent="0.25">
      <c r="A127" s="149">
        <f t="shared" si="13"/>
        <v>109</v>
      </c>
      <c r="B127" s="151">
        <f t="shared" si="12"/>
        <v>11085639.222921859</v>
      </c>
      <c r="C127" s="151">
        <f t="shared" si="7"/>
        <v>46190.163428841064</v>
      </c>
      <c r="D127" s="151">
        <f t="shared" si="8"/>
        <v>63163.994393439869</v>
      </c>
      <c r="E127" s="151">
        <f t="shared" si="9"/>
        <v>109354.15782228093</v>
      </c>
      <c r="F127" s="151">
        <f t="shared" si="10"/>
        <v>11022475.22852842</v>
      </c>
      <c r="G127" s="131">
        <f t="shared" si="11"/>
        <v>1.6094274544826912</v>
      </c>
    </row>
    <row r="128" spans="1:7" x14ac:dyDescent="0.25">
      <c r="A128" s="149">
        <f t="shared" si="13"/>
        <v>110</v>
      </c>
      <c r="B128" s="151">
        <f t="shared" si="12"/>
        <v>11022475.22852842</v>
      </c>
      <c r="C128" s="151">
        <f t="shared" si="7"/>
        <v>45926.9801188684</v>
      </c>
      <c r="D128" s="151">
        <f t="shared" si="8"/>
        <v>63427.177703412533</v>
      </c>
      <c r="E128" s="151">
        <f t="shared" si="9"/>
        <v>109354.15782228093</v>
      </c>
      <c r="F128" s="151">
        <f t="shared" si="10"/>
        <v>10959048.050825007</v>
      </c>
      <c r="G128" s="131">
        <f t="shared" si="11"/>
        <v>1.6094274544826912</v>
      </c>
    </row>
    <row r="129" spans="1:7" x14ac:dyDescent="0.25">
      <c r="A129" s="149">
        <f t="shared" si="13"/>
        <v>111</v>
      </c>
      <c r="B129" s="151">
        <f t="shared" si="12"/>
        <v>10959048.050825007</v>
      </c>
      <c r="C129" s="151">
        <f t="shared" si="7"/>
        <v>45662.70021177084</v>
      </c>
      <c r="D129" s="151">
        <f t="shared" si="8"/>
        <v>63691.457610510093</v>
      </c>
      <c r="E129" s="151">
        <f t="shared" si="9"/>
        <v>109354.15782228093</v>
      </c>
      <c r="F129" s="151">
        <f t="shared" si="10"/>
        <v>10895356.593214497</v>
      </c>
      <c r="G129" s="131">
        <f t="shared" si="11"/>
        <v>1.6094274544826912</v>
      </c>
    </row>
    <row r="130" spans="1:7" x14ac:dyDescent="0.25">
      <c r="A130" s="149">
        <f t="shared" si="13"/>
        <v>112</v>
      </c>
      <c r="B130" s="151">
        <f t="shared" si="12"/>
        <v>10895356.593214497</v>
      </c>
      <c r="C130" s="151">
        <f t="shared" si="7"/>
        <v>45397.319138393723</v>
      </c>
      <c r="D130" s="151">
        <f t="shared" si="8"/>
        <v>63956.838683887217</v>
      </c>
      <c r="E130" s="151">
        <f t="shared" si="9"/>
        <v>109354.15782228095</v>
      </c>
      <c r="F130" s="151">
        <f t="shared" si="10"/>
        <v>10831399.754530611</v>
      </c>
      <c r="G130" s="131">
        <f t="shared" si="11"/>
        <v>1.6094274544826914</v>
      </c>
    </row>
    <row r="131" spans="1:7" x14ac:dyDescent="0.25">
      <c r="A131" s="149">
        <f t="shared" si="13"/>
        <v>113</v>
      </c>
      <c r="B131" s="151">
        <f t="shared" si="12"/>
        <v>10831399.754530611</v>
      </c>
      <c r="C131" s="151">
        <f t="shared" si="7"/>
        <v>45130.832310544203</v>
      </c>
      <c r="D131" s="151">
        <f t="shared" si="8"/>
        <v>64223.325511736744</v>
      </c>
      <c r="E131" s="151">
        <f t="shared" si="9"/>
        <v>109354.15782228095</v>
      </c>
      <c r="F131" s="151">
        <f t="shared" si="10"/>
        <v>10767176.429018874</v>
      </c>
      <c r="G131" s="131">
        <f t="shared" si="11"/>
        <v>1.6094274544826914</v>
      </c>
    </row>
    <row r="132" spans="1:7" x14ac:dyDescent="0.25">
      <c r="A132" s="149">
        <f t="shared" si="13"/>
        <v>114</v>
      </c>
      <c r="B132" s="151">
        <f t="shared" si="12"/>
        <v>10767176.429018874</v>
      </c>
      <c r="C132" s="151">
        <f t="shared" si="7"/>
        <v>44863.235120911959</v>
      </c>
      <c r="D132" s="151">
        <f t="shared" si="8"/>
        <v>64490.922701368974</v>
      </c>
      <c r="E132" s="151">
        <f t="shared" si="9"/>
        <v>109354.15782228093</v>
      </c>
      <c r="F132" s="151">
        <f t="shared" si="10"/>
        <v>10702685.506317506</v>
      </c>
      <c r="G132" s="131">
        <f t="shared" si="11"/>
        <v>1.6094274544826912</v>
      </c>
    </row>
    <row r="133" spans="1:7" x14ac:dyDescent="0.25">
      <c r="A133" s="149">
        <f t="shared" si="13"/>
        <v>115</v>
      </c>
      <c r="B133" s="151">
        <f t="shared" si="12"/>
        <v>10702685.506317506</v>
      </c>
      <c r="C133" s="151">
        <f t="shared" si="7"/>
        <v>44594.522942989584</v>
      </c>
      <c r="D133" s="151">
        <f t="shared" si="8"/>
        <v>64759.634879291349</v>
      </c>
      <c r="E133" s="151">
        <f t="shared" si="9"/>
        <v>109354.15782228093</v>
      </c>
      <c r="F133" s="151">
        <f t="shared" si="10"/>
        <v>10637925.871438215</v>
      </c>
      <c r="G133" s="131">
        <f t="shared" si="11"/>
        <v>1.6094274544826912</v>
      </c>
    </row>
    <row r="134" spans="1:7" x14ac:dyDescent="0.25">
      <c r="A134" s="149">
        <f t="shared" si="13"/>
        <v>116</v>
      </c>
      <c r="B134" s="151">
        <f t="shared" si="12"/>
        <v>10637925.871438215</v>
      </c>
      <c r="C134" s="151">
        <f t="shared" si="7"/>
        <v>44324.691130992534</v>
      </c>
      <c r="D134" s="151">
        <f t="shared" si="8"/>
        <v>65029.466691288391</v>
      </c>
      <c r="E134" s="151">
        <f t="shared" si="9"/>
        <v>109354.15782228092</v>
      </c>
      <c r="F134" s="151">
        <f t="shared" si="10"/>
        <v>10572896.404746925</v>
      </c>
      <c r="G134" s="131">
        <f t="shared" si="11"/>
        <v>1.609427454482691</v>
      </c>
    </row>
    <row r="135" spans="1:7" x14ac:dyDescent="0.25">
      <c r="A135" s="149">
        <f t="shared" si="13"/>
        <v>117</v>
      </c>
      <c r="B135" s="151">
        <f t="shared" si="12"/>
        <v>10572896.404746925</v>
      </c>
      <c r="C135" s="151">
        <f t="shared" si="7"/>
        <v>44053.735019778847</v>
      </c>
      <c r="D135" s="151">
        <f t="shared" si="8"/>
        <v>65300.4228025021</v>
      </c>
      <c r="E135" s="151">
        <f t="shared" si="9"/>
        <v>109354.15782228095</v>
      </c>
      <c r="F135" s="151">
        <f t="shared" si="10"/>
        <v>10507595.981944423</v>
      </c>
      <c r="G135" s="131">
        <f t="shared" si="11"/>
        <v>1.6094274544826914</v>
      </c>
    </row>
    <row r="136" spans="1:7" x14ac:dyDescent="0.25">
      <c r="A136" s="149">
        <f t="shared" si="13"/>
        <v>118</v>
      </c>
      <c r="B136" s="151">
        <f t="shared" si="12"/>
        <v>10507595.981944423</v>
      </c>
      <c r="C136" s="151">
        <f t="shared" si="7"/>
        <v>43781.649924768404</v>
      </c>
      <c r="D136" s="151">
        <f t="shared" si="8"/>
        <v>65572.507897512507</v>
      </c>
      <c r="E136" s="151">
        <f t="shared" si="9"/>
        <v>109354.15782228092</v>
      </c>
      <c r="F136" s="151">
        <f t="shared" si="10"/>
        <v>10442023.47404691</v>
      </c>
      <c r="G136" s="131">
        <f t="shared" si="11"/>
        <v>1.609427454482691</v>
      </c>
    </row>
    <row r="137" spans="1:7" x14ac:dyDescent="0.25">
      <c r="A137" s="149">
        <f t="shared" si="13"/>
        <v>119</v>
      </c>
      <c r="B137" s="151">
        <f t="shared" si="12"/>
        <v>10442023.47404691</v>
      </c>
      <c r="C137" s="151">
        <f t="shared" si="7"/>
        <v>43508.431141862107</v>
      </c>
      <c r="D137" s="151">
        <f t="shared" si="8"/>
        <v>65845.726680418826</v>
      </c>
      <c r="E137" s="151">
        <f t="shared" si="9"/>
        <v>109354.15782228093</v>
      </c>
      <c r="F137" s="151">
        <f t="shared" si="10"/>
        <v>10376177.747366492</v>
      </c>
      <c r="G137" s="131">
        <f t="shared" si="11"/>
        <v>1.6094274544826912</v>
      </c>
    </row>
    <row r="138" spans="1:7" x14ac:dyDescent="0.25">
      <c r="A138" s="149">
        <f t="shared" si="13"/>
        <v>120</v>
      </c>
      <c r="B138" s="151">
        <f t="shared" si="12"/>
        <v>10376177.747366492</v>
      </c>
      <c r="C138" s="151">
        <f t="shared" si="7"/>
        <v>43234.073947360361</v>
      </c>
      <c r="D138" s="151">
        <f t="shared" si="8"/>
        <v>66120.083874920572</v>
      </c>
      <c r="E138" s="151">
        <f t="shared" si="9"/>
        <v>109354.15782228093</v>
      </c>
      <c r="F138" s="151">
        <f t="shared" si="10"/>
        <v>10310057.663491571</v>
      </c>
      <c r="G138" s="131">
        <f t="shared" si="11"/>
        <v>1.6094274544826912</v>
      </c>
    </row>
    <row r="139" spans="1:7" x14ac:dyDescent="0.25">
      <c r="A139" s="149">
        <f t="shared" si="13"/>
        <v>121</v>
      </c>
      <c r="B139" s="151">
        <f t="shared" si="12"/>
        <v>10310057.663491571</v>
      </c>
      <c r="C139" s="151">
        <f t="shared" si="7"/>
        <v>42958.573597881528</v>
      </c>
      <c r="D139" s="151">
        <f t="shared" si="8"/>
        <v>66395.584224399397</v>
      </c>
      <c r="E139" s="151">
        <f t="shared" si="9"/>
        <v>109354.15782228092</v>
      </c>
      <c r="F139" s="151">
        <f t="shared" si="10"/>
        <v>10243662.079267172</v>
      </c>
      <c r="G139" s="131">
        <f t="shared" si="11"/>
        <v>1.609427454482691</v>
      </c>
    </row>
    <row r="140" spans="1:7" x14ac:dyDescent="0.25">
      <c r="A140" s="149">
        <f t="shared" si="13"/>
        <v>122</v>
      </c>
      <c r="B140" s="151">
        <f t="shared" si="12"/>
        <v>10243662.079267172</v>
      </c>
      <c r="C140" s="151">
        <f t="shared" si="7"/>
        <v>42681.925330279861</v>
      </c>
      <c r="D140" s="151">
        <f t="shared" si="8"/>
        <v>66672.232492001072</v>
      </c>
      <c r="E140" s="151">
        <f t="shared" si="9"/>
        <v>109354.15782228093</v>
      </c>
      <c r="F140" s="151">
        <f t="shared" si="10"/>
        <v>10176989.84677517</v>
      </c>
      <c r="G140" s="131">
        <f t="shared" si="11"/>
        <v>1.6094274544826912</v>
      </c>
    </row>
    <row r="141" spans="1:7" x14ac:dyDescent="0.25">
      <c r="A141" s="149">
        <f t="shared" si="13"/>
        <v>123</v>
      </c>
      <c r="B141" s="151">
        <f t="shared" si="12"/>
        <v>10176989.84677517</v>
      </c>
      <c r="C141" s="151">
        <f t="shared" si="7"/>
        <v>42404.124361563183</v>
      </c>
      <c r="D141" s="151">
        <f t="shared" si="8"/>
        <v>66950.033460717736</v>
      </c>
      <c r="E141" s="151">
        <f t="shared" si="9"/>
        <v>109354.15782228092</v>
      </c>
      <c r="F141" s="151">
        <f t="shared" si="10"/>
        <v>10110039.813314453</v>
      </c>
      <c r="G141" s="131">
        <f t="shared" si="11"/>
        <v>1.609427454482691</v>
      </c>
    </row>
    <row r="142" spans="1:7" x14ac:dyDescent="0.25">
      <c r="A142" s="149">
        <f t="shared" si="13"/>
        <v>124</v>
      </c>
      <c r="B142" s="151">
        <f t="shared" si="12"/>
        <v>10110039.813314453</v>
      </c>
      <c r="C142" s="151">
        <f t="shared" si="7"/>
        <v>42125.165888810203</v>
      </c>
      <c r="D142" s="151">
        <f t="shared" si="8"/>
        <v>67228.991933470737</v>
      </c>
      <c r="E142" s="151">
        <f t="shared" si="9"/>
        <v>109354.15782228095</v>
      </c>
      <c r="F142" s="151">
        <f t="shared" si="10"/>
        <v>10042810.821380982</v>
      </c>
      <c r="G142" s="131">
        <f t="shared" si="11"/>
        <v>1.6094274544826914</v>
      </c>
    </row>
    <row r="143" spans="1:7" x14ac:dyDescent="0.25">
      <c r="A143" s="149">
        <f t="shared" si="13"/>
        <v>125</v>
      </c>
      <c r="B143" s="151">
        <f t="shared" si="12"/>
        <v>10042810.821380982</v>
      </c>
      <c r="C143" s="151">
        <f t="shared" si="7"/>
        <v>41845.045089087413</v>
      </c>
      <c r="D143" s="151">
        <f t="shared" si="8"/>
        <v>67509.112733193528</v>
      </c>
      <c r="E143" s="151">
        <f t="shared" si="9"/>
        <v>109354.15782228095</v>
      </c>
      <c r="F143" s="151">
        <f t="shared" si="10"/>
        <v>9975301.7086477894</v>
      </c>
      <c r="G143" s="131">
        <f t="shared" si="11"/>
        <v>1.6094274544826914</v>
      </c>
    </row>
    <row r="144" spans="1:7" x14ac:dyDescent="0.25">
      <c r="A144" s="149">
        <f t="shared" si="13"/>
        <v>126</v>
      </c>
      <c r="B144" s="151">
        <f t="shared" si="12"/>
        <v>9975301.7086477894</v>
      </c>
      <c r="C144" s="151">
        <f t="shared" si="7"/>
        <v>41563.757119365771</v>
      </c>
      <c r="D144" s="151">
        <f t="shared" si="8"/>
        <v>67790.400702915154</v>
      </c>
      <c r="E144" s="151">
        <f t="shared" si="9"/>
        <v>109354.15782228092</v>
      </c>
      <c r="F144" s="151">
        <f t="shared" si="10"/>
        <v>9907511.3079448752</v>
      </c>
      <c r="G144" s="131">
        <f t="shared" si="11"/>
        <v>1.609427454482691</v>
      </c>
    </row>
    <row r="145" spans="1:7" x14ac:dyDescent="0.25">
      <c r="A145" s="149">
        <f t="shared" si="13"/>
        <v>127</v>
      </c>
      <c r="B145" s="151">
        <f t="shared" si="12"/>
        <v>9907511.3079448752</v>
      </c>
      <c r="C145" s="151">
        <f t="shared" si="7"/>
        <v>41281.297116436959</v>
      </c>
      <c r="D145" s="151">
        <f t="shared" si="8"/>
        <v>68072.860705843981</v>
      </c>
      <c r="E145" s="151">
        <f t="shared" si="9"/>
        <v>109354.15782228095</v>
      </c>
      <c r="F145" s="151">
        <f t="shared" si="10"/>
        <v>9839438.447239032</v>
      </c>
      <c r="G145" s="131">
        <f t="shared" si="11"/>
        <v>1.6094274544826914</v>
      </c>
    </row>
    <row r="146" spans="1:7" x14ac:dyDescent="0.25">
      <c r="A146" s="149">
        <f t="shared" si="13"/>
        <v>128</v>
      </c>
      <c r="B146" s="151">
        <f t="shared" si="12"/>
        <v>9839438.447239032</v>
      </c>
      <c r="C146" s="151">
        <f t="shared" si="7"/>
        <v>40997.660196829267</v>
      </c>
      <c r="D146" s="151">
        <f t="shared" si="8"/>
        <v>68356.497625451666</v>
      </c>
      <c r="E146" s="151">
        <f t="shared" si="9"/>
        <v>109354.15782228093</v>
      </c>
      <c r="F146" s="151">
        <f t="shared" si="10"/>
        <v>9771081.9496135805</v>
      </c>
      <c r="G146" s="131">
        <f t="shared" si="11"/>
        <v>1.6094274544826912</v>
      </c>
    </row>
    <row r="147" spans="1:7" x14ac:dyDescent="0.25">
      <c r="A147" s="149">
        <f t="shared" si="13"/>
        <v>129</v>
      </c>
      <c r="B147" s="151">
        <f t="shared" si="12"/>
        <v>9771081.9496135805</v>
      </c>
      <c r="C147" s="151">
        <f t="shared" ref="C147:C150" si="14">IF(ISERROR(IPMT(C$6/12,A147,$C$8,-$B$19,0)),0,IPMT(C$6/12,A147,$C$8,-$B$19,0))</f>
        <v>40712.841456723218</v>
      </c>
      <c r="D147" s="151">
        <f t="shared" ref="D147:D150" si="15">IF(ISERROR(PPMT($C$6/12,$A147,$C$8,-$B$19,0)),0,PPMT($C$6/12,$A147,$C$8,-$B$19,0))</f>
        <v>68641.316365557708</v>
      </c>
      <c r="E147" s="151">
        <f t="shared" ref="E147:E150" si="16">+C147+D147</f>
        <v>109354.15782228092</v>
      </c>
      <c r="F147" s="151">
        <f t="shared" ref="F147:F150" si="17">+B147-D147</f>
        <v>9702440.6332480237</v>
      </c>
      <c r="G147" s="131">
        <f t="shared" ref="G147:G150" si="18">E147/$C$10</f>
        <v>1.609427454482691</v>
      </c>
    </row>
    <row r="148" spans="1:7" x14ac:dyDescent="0.25">
      <c r="A148" s="149">
        <f t="shared" si="13"/>
        <v>130</v>
      </c>
      <c r="B148" s="151">
        <f t="shared" ref="B148:B150" si="19">+F147</f>
        <v>9702440.6332480237</v>
      </c>
      <c r="C148" s="151">
        <f t="shared" si="14"/>
        <v>40426.835971866734</v>
      </c>
      <c r="D148" s="151">
        <f t="shared" si="15"/>
        <v>68927.321850414199</v>
      </c>
      <c r="E148" s="151">
        <f t="shared" si="16"/>
        <v>109354.15782228093</v>
      </c>
      <c r="F148" s="151">
        <f t="shared" si="17"/>
        <v>9633513.3113976102</v>
      </c>
      <c r="G148" s="131">
        <f t="shared" si="18"/>
        <v>1.6094274544826912</v>
      </c>
    </row>
    <row r="149" spans="1:7" x14ac:dyDescent="0.25">
      <c r="A149" s="149">
        <f t="shared" ref="A149:A150" si="20">A148+1</f>
        <v>131</v>
      </c>
      <c r="B149" s="151">
        <f t="shared" si="19"/>
        <v>9633513.3113976102</v>
      </c>
      <c r="C149" s="151">
        <f t="shared" si="14"/>
        <v>40139.638797490006</v>
      </c>
      <c r="D149" s="151">
        <f t="shared" si="15"/>
        <v>69214.519024790934</v>
      </c>
      <c r="E149" s="151">
        <f t="shared" si="16"/>
        <v>109354.15782228095</v>
      </c>
      <c r="F149" s="151">
        <f t="shared" si="17"/>
        <v>9564298.792372819</v>
      </c>
      <c r="G149" s="131">
        <f t="shared" si="18"/>
        <v>1.6094274544826914</v>
      </c>
    </row>
    <row r="150" spans="1:7" x14ac:dyDescent="0.25">
      <c r="A150" s="149">
        <f t="shared" si="20"/>
        <v>132</v>
      </c>
      <c r="B150" s="151">
        <f t="shared" si="19"/>
        <v>9564298.792372819</v>
      </c>
      <c r="C150" s="151">
        <f t="shared" si="14"/>
        <v>39851.244968220046</v>
      </c>
      <c r="D150" s="151">
        <f t="shared" si="15"/>
        <v>69502.912854060894</v>
      </c>
      <c r="E150" s="151">
        <f t="shared" si="16"/>
        <v>109354.15782228095</v>
      </c>
      <c r="F150" s="151">
        <f t="shared" si="17"/>
        <v>9494795.8795187585</v>
      </c>
      <c r="G150" s="131">
        <f t="shared" si="18"/>
        <v>1.6094274544826914</v>
      </c>
    </row>
  </sheetData>
  <pageMargins left="0.5" right="0.5" top="0.5" bottom="0.5" header="0.5" footer="0.5"/>
  <pageSetup scale="90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"/>
  <sheetViews>
    <sheetView showGridLines="0" workbookViewId="0"/>
  </sheetViews>
  <sheetFormatPr defaultColWidth="9.33203125" defaultRowHeight="13.8" x14ac:dyDescent="0.25"/>
  <cols>
    <col min="1" max="1" width="12.6640625" style="134" customWidth="1"/>
    <col min="2" max="2" width="15" style="134" bestFit="1" customWidth="1"/>
    <col min="3" max="5" width="12.6640625" style="134" customWidth="1"/>
    <col min="6" max="6" width="15" style="134" bestFit="1" customWidth="1"/>
    <col min="7" max="9" width="12.6640625" style="134" customWidth="1"/>
    <col min="10" max="16384" width="9.33203125" style="134"/>
  </cols>
  <sheetData>
    <row r="1" spans="1:11" ht="14.4" thickBot="1" x14ac:dyDescent="0.3">
      <c r="A1" s="132" t="s">
        <v>1022</v>
      </c>
      <c r="B1" s="133"/>
      <c r="C1" s="133"/>
      <c r="D1" s="133"/>
      <c r="E1" s="133"/>
      <c r="F1" s="133"/>
      <c r="G1" s="133"/>
      <c r="H1" s="133"/>
    </row>
    <row r="2" spans="1:11" x14ac:dyDescent="0.25">
      <c r="A2" s="135"/>
    </row>
    <row r="3" spans="1:11" x14ac:dyDescent="0.25">
      <c r="A3" s="136"/>
      <c r="E3" s="137"/>
    </row>
    <row r="4" spans="1:11" ht="15" customHeight="1" x14ac:dyDescent="0.25">
      <c r="A4" s="134" t="s">
        <v>27</v>
      </c>
      <c r="C4" s="156">
        <f>12256344-250000</f>
        <v>12006344</v>
      </c>
      <c r="D4" s="137"/>
    </row>
    <row r="5" spans="1:11" ht="15" customHeight="1" x14ac:dyDescent="0.25">
      <c r="A5" s="67"/>
      <c r="B5" s="67"/>
      <c r="C5" s="157"/>
      <c r="D5" s="139"/>
      <c r="E5" s="140"/>
      <c r="G5" s="141"/>
    </row>
    <row r="6" spans="1:11" ht="15" customHeight="1" x14ac:dyDescent="0.25">
      <c r="A6" s="134" t="s">
        <v>29</v>
      </c>
      <c r="C6" s="158">
        <v>0.05</v>
      </c>
      <c r="D6" s="139"/>
      <c r="E6" s="140"/>
      <c r="G6" s="80"/>
    </row>
    <row r="7" spans="1:11" ht="15" customHeight="1" x14ac:dyDescent="0.25">
      <c r="A7" s="136"/>
      <c r="C7" s="159"/>
      <c r="D7" s="139"/>
      <c r="E7" s="140"/>
      <c r="G7" s="80"/>
    </row>
    <row r="8" spans="1:11" ht="15" customHeight="1" x14ac:dyDescent="0.25">
      <c r="A8" s="134" t="s">
        <v>30</v>
      </c>
      <c r="C8" s="160">
        <f>20*12</f>
        <v>240</v>
      </c>
      <c r="D8" s="139"/>
      <c r="F8" s="140"/>
      <c r="G8" s="67"/>
    </row>
    <row r="9" spans="1:11" ht="15" customHeight="1" x14ac:dyDescent="0.25">
      <c r="A9" s="136"/>
      <c r="D9" s="137"/>
      <c r="E9" s="140"/>
      <c r="G9" s="67"/>
    </row>
    <row r="10" spans="1:11" ht="15" customHeight="1" x14ac:dyDescent="0.25">
      <c r="A10" s="140" t="s">
        <v>28</v>
      </c>
      <c r="C10" s="160">
        <v>81500</v>
      </c>
      <c r="D10" s="137"/>
      <c r="E10" s="140"/>
      <c r="G10" s="67"/>
      <c r="I10" s="144"/>
    </row>
    <row r="11" spans="1:11" ht="15" customHeight="1" x14ac:dyDescent="0.25">
      <c r="D11" s="137"/>
      <c r="E11" s="140"/>
      <c r="G11" s="67"/>
      <c r="K11" s="144"/>
    </row>
    <row r="12" spans="1:11" ht="15" customHeight="1" x14ac:dyDescent="0.25">
      <c r="A12" s="136"/>
      <c r="D12" s="137"/>
      <c r="F12" s="140"/>
    </row>
    <row r="13" spans="1:11" ht="15" customHeight="1" x14ac:dyDescent="0.25">
      <c r="B13" s="145" t="s">
        <v>31</v>
      </c>
      <c r="F13" s="145" t="s">
        <v>32</v>
      </c>
    </row>
    <row r="14" spans="1:11" ht="15" customHeight="1" x14ac:dyDescent="0.25">
      <c r="A14" s="145" t="s">
        <v>33</v>
      </c>
      <c r="B14" s="145" t="s">
        <v>34</v>
      </c>
      <c r="C14" s="146" t="s">
        <v>33</v>
      </c>
      <c r="D14" s="146"/>
      <c r="E14" s="147"/>
      <c r="F14" s="145" t="s">
        <v>34</v>
      </c>
    </row>
    <row r="15" spans="1:11" ht="15" customHeight="1" x14ac:dyDescent="0.25">
      <c r="A15" s="145"/>
      <c r="B15" s="145"/>
      <c r="C15" s="148" t="s">
        <v>35</v>
      </c>
      <c r="D15" s="148"/>
      <c r="E15" s="148"/>
      <c r="F15" s="145"/>
    </row>
    <row r="16" spans="1:11" ht="15" customHeight="1" x14ac:dyDescent="0.25">
      <c r="A16" s="145" t="s">
        <v>36</v>
      </c>
      <c r="B16" s="145" t="s">
        <v>37</v>
      </c>
      <c r="C16" s="145" t="s">
        <v>38</v>
      </c>
      <c r="D16" s="145" t="s">
        <v>34</v>
      </c>
      <c r="E16" s="145" t="s">
        <v>39</v>
      </c>
      <c r="F16" s="145" t="s">
        <v>37</v>
      </c>
      <c r="G16" s="145" t="s">
        <v>40</v>
      </c>
    </row>
    <row r="17" spans="1:13" ht="15" customHeight="1" x14ac:dyDescent="0.25">
      <c r="A17" s="148" t="s">
        <v>35</v>
      </c>
      <c r="B17" s="148" t="s">
        <v>35</v>
      </c>
      <c r="C17" s="148" t="s">
        <v>35</v>
      </c>
      <c r="D17" s="148" t="s">
        <v>35</v>
      </c>
      <c r="E17" s="148" t="s">
        <v>35</v>
      </c>
      <c r="F17" s="148" t="s">
        <v>35</v>
      </c>
      <c r="G17" s="148" t="s">
        <v>35</v>
      </c>
    </row>
    <row r="18" spans="1:13" ht="15" customHeight="1" x14ac:dyDescent="0.25">
      <c r="A18" s="148"/>
      <c r="B18" s="148"/>
      <c r="C18" s="148"/>
      <c r="D18" s="148"/>
      <c r="E18" s="148"/>
      <c r="F18" s="148"/>
    </row>
    <row r="19" spans="1:13" ht="15" customHeight="1" x14ac:dyDescent="0.25">
      <c r="A19" s="149">
        <v>1</v>
      </c>
      <c r="B19" s="150">
        <f>C4</f>
        <v>12006344</v>
      </c>
      <c r="C19" s="141">
        <f t="shared" ref="C19:C82" si="0">IF(ISERROR(IPMT(C$6/12,A19,$C$8,-$B$19,0)),0,IPMT(C$6/12,A19,$C$8,-$B$19,0))</f>
        <v>50026.433333333334</v>
      </c>
      <c r="D19" s="141">
        <f t="shared" ref="D19:D82" si="1">IF(ISERROR(PPMT($C$6/12,$A19,$C$8,-$B$19,0)),0,PPMT($C$6/12,$A19,$C$8,-$B$19,0))</f>
        <v>29210.122964761464</v>
      </c>
      <c r="E19" s="141">
        <f t="shared" ref="E19:E82" si="2">+C19+D19</f>
        <v>79236.556298094802</v>
      </c>
      <c r="F19" s="141">
        <f t="shared" ref="F19:F82" si="3">+B19-D19</f>
        <v>11977133.877035238</v>
      </c>
      <c r="G19" s="141">
        <f t="shared" ref="G19:G82" si="4">E19/$C$10</f>
        <v>0.97222768463920006</v>
      </c>
    </row>
    <row r="20" spans="1:13" ht="15" customHeight="1" x14ac:dyDescent="0.25">
      <c r="A20" s="149">
        <f>A19+1</f>
        <v>2</v>
      </c>
      <c r="B20" s="151">
        <f t="shared" ref="B20:B83" si="5">+F19</f>
        <v>11977133.877035238</v>
      </c>
      <c r="C20" s="151">
        <f t="shared" si="0"/>
        <v>49904.724487646839</v>
      </c>
      <c r="D20" s="151">
        <f t="shared" si="1"/>
        <v>29331.831810447973</v>
      </c>
      <c r="E20" s="151">
        <f t="shared" si="2"/>
        <v>79236.556298094816</v>
      </c>
      <c r="F20" s="151">
        <f t="shared" si="3"/>
        <v>11947802.04522479</v>
      </c>
      <c r="G20" s="131">
        <f t="shared" si="4"/>
        <v>0.97222768463920017</v>
      </c>
    </row>
    <row r="21" spans="1:13" ht="15" customHeight="1" x14ac:dyDescent="0.25">
      <c r="A21" s="149">
        <f t="shared" ref="A21:A84" si="6">A20+1</f>
        <v>3</v>
      </c>
      <c r="B21" s="151">
        <f t="shared" si="5"/>
        <v>11947802.04522479</v>
      </c>
      <c r="C21" s="151">
        <f t="shared" si="0"/>
        <v>49782.508521769967</v>
      </c>
      <c r="D21" s="151">
        <f t="shared" si="1"/>
        <v>29454.047776324838</v>
      </c>
      <c r="E21" s="151">
        <f t="shared" si="2"/>
        <v>79236.556298094802</v>
      </c>
      <c r="F21" s="151">
        <f t="shared" si="3"/>
        <v>11918347.997448465</v>
      </c>
      <c r="G21" s="131">
        <f t="shared" si="4"/>
        <v>0.97222768463920006</v>
      </c>
    </row>
    <row r="22" spans="1:13" x14ac:dyDescent="0.25">
      <c r="A22" s="149">
        <f t="shared" si="6"/>
        <v>4</v>
      </c>
      <c r="B22" s="151">
        <f t="shared" si="5"/>
        <v>11918347.997448465</v>
      </c>
      <c r="C22" s="151">
        <f t="shared" si="0"/>
        <v>49659.783322701951</v>
      </c>
      <c r="D22" s="151">
        <f t="shared" si="1"/>
        <v>29576.772975392858</v>
      </c>
      <c r="E22" s="151">
        <f t="shared" si="2"/>
        <v>79236.556298094802</v>
      </c>
      <c r="F22" s="151">
        <f t="shared" si="3"/>
        <v>11888771.224473072</v>
      </c>
      <c r="G22" s="131">
        <f t="shared" si="4"/>
        <v>0.97222768463920006</v>
      </c>
      <c r="M22" s="144"/>
    </row>
    <row r="23" spans="1:13" x14ac:dyDescent="0.25">
      <c r="A23" s="149">
        <f t="shared" si="6"/>
        <v>5</v>
      </c>
      <c r="B23" s="151">
        <f t="shared" si="5"/>
        <v>11888771.224473072</v>
      </c>
      <c r="C23" s="151">
        <f t="shared" si="0"/>
        <v>49536.546768637803</v>
      </c>
      <c r="D23" s="151">
        <f t="shared" si="1"/>
        <v>29700.009529456995</v>
      </c>
      <c r="E23" s="151">
        <f t="shared" si="2"/>
        <v>79236.556298094802</v>
      </c>
      <c r="F23" s="151">
        <f t="shared" si="3"/>
        <v>11859071.214943616</v>
      </c>
      <c r="G23" s="131">
        <f t="shared" si="4"/>
        <v>0.97222768463920006</v>
      </c>
    </row>
    <row r="24" spans="1:13" x14ac:dyDescent="0.25">
      <c r="A24" s="149">
        <f t="shared" si="6"/>
        <v>6</v>
      </c>
      <c r="B24" s="151">
        <f t="shared" si="5"/>
        <v>11859071.214943616</v>
      </c>
      <c r="C24" s="151">
        <f t="shared" si="0"/>
        <v>49412.796728931746</v>
      </c>
      <c r="D24" s="151">
        <f t="shared" si="1"/>
        <v>29823.75956916307</v>
      </c>
      <c r="E24" s="151">
        <f t="shared" si="2"/>
        <v>79236.556298094816</v>
      </c>
      <c r="F24" s="151">
        <f t="shared" si="3"/>
        <v>11829247.455374453</v>
      </c>
      <c r="G24" s="131">
        <f t="shared" si="4"/>
        <v>0.97222768463920017</v>
      </c>
    </row>
    <row r="25" spans="1:13" x14ac:dyDescent="0.25">
      <c r="A25" s="149">
        <f t="shared" si="6"/>
        <v>7</v>
      </c>
      <c r="B25" s="151">
        <f t="shared" si="5"/>
        <v>11829247.455374453</v>
      </c>
      <c r="C25" s="151">
        <f t="shared" si="0"/>
        <v>49288.531064060218</v>
      </c>
      <c r="D25" s="151">
        <f t="shared" si="1"/>
        <v>29948.02523403458</v>
      </c>
      <c r="E25" s="151">
        <f t="shared" si="2"/>
        <v>79236.556298094802</v>
      </c>
      <c r="F25" s="151">
        <f t="shared" si="3"/>
        <v>11799299.430140419</v>
      </c>
      <c r="G25" s="131">
        <f t="shared" si="4"/>
        <v>0.97222768463920006</v>
      </c>
    </row>
    <row r="26" spans="1:13" x14ac:dyDescent="0.25">
      <c r="A26" s="149">
        <f t="shared" si="6"/>
        <v>8</v>
      </c>
      <c r="B26" s="151">
        <f t="shared" si="5"/>
        <v>11799299.430140419</v>
      </c>
      <c r="C26" s="151">
        <f t="shared" si="0"/>
        <v>49163.747625585078</v>
      </c>
      <c r="D26" s="151">
        <f t="shared" si="1"/>
        <v>30072.808672509724</v>
      </c>
      <c r="E26" s="151">
        <f t="shared" si="2"/>
        <v>79236.556298094802</v>
      </c>
      <c r="F26" s="151">
        <f t="shared" si="3"/>
        <v>11769226.621467909</v>
      </c>
      <c r="G26" s="131">
        <f t="shared" si="4"/>
        <v>0.97222768463920006</v>
      </c>
    </row>
    <row r="27" spans="1:13" x14ac:dyDescent="0.25">
      <c r="A27" s="149">
        <f t="shared" si="6"/>
        <v>9</v>
      </c>
      <c r="B27" s="151">
        <f t="shared" si="5"/>
        <v>11769226.621467909</v>
      </c>
      <c r="C27" s="151">
        <f t="shared" si="0"/>
        <v>49038.444256116287</v>
      </c>
      <c r="D27" s="151">
        <f t="shared" si="1"/>
        <v>30198.112041978511</v>
      </c>
      <c r="E27" s="151">
        <f t="shared" si="2"/>
        <v>79236.556298094802</v>
      </c>
      <c r="F27" s="151">
        <f t="shared" si="3"/>
        <v>11739028.509425931</v>
      </c>
      <c r="G27" s="131">
        <f t="shared" si="4"/>
        <v>0.97222768463920006</v>
      </c>
    </row>
    <row r="28" spans="1:13" x14ac:dyDescent="0.25">
      <c r="A28" s="149">
        <f t="shared" si="6"/>
        <v>10</v>
      </c>
      <c r="B28" s="151">
        <f t="shared" si="5"/>
        <v>11739028.509425931</v>
      </c>
      <c r="C28" s="151">
        <f t="shared" si="0"/>
        <v>48912.618789274718</v>
      </c>
      <c r="D28" s="151">
        <f t="shared" si="1"/>
        <v>30323.937508820087</v>
      </c>
      <c r="E28" s="151">
        <f t="shared" si="2"/>
        <v>79236.556298094802</v>
      </c>
      <c r="F28" s="151">
        <f t="shared" si="3"/>
        <v>11708704.571917111</v>
      </c>
      <c r="G28" s="131">
        <f t="shared" si="4"/>
        <v>0.97222768463920006</v>
      </c>
    </row>
    <row r="29" spans="1:13" x14ac:dyDescent="0.25">
      <c r="A29" s="149">
        <f t="shared" si="6"/>
        <v>11</v>
      </c>
      <c r="B29" s="151">
        <f t="shared" si="5"/>
        <v>11708704.571917111</v>
      </c>
      <c r="C29" s="151">
        <f t="shared" si="0"/>
        <v>48786.269049654627</v>
      </c>
      <c r="D29" s="151">
        <f t="shared" si="1"/>
        <v>30450.287248440174</v>
      </c>
      <c r="E29" s="151">
        <f t="shared" si="2"/>
        <v>79236.556298094802</v>
      </c>
      <c r="F29" s="151">
        <f t="shared" si="3"/>
        <v>11678254.284668671</v>
      </c>
      <c r="G29" s="131">
        <f t="shared" si="4"/>
        <v>0.97222768463920006</v>
      </c>
    </row>
    <row r="30" spans="1:13" x14ac:dyDescent="0.25">
      <c r="A30" s="149">
        <f t="shared" si="6"/>
        <v>12</v>
      </c>
      <c r="B30" s="151">
        <f t="shared" si="5"/>
        <v>11678254.284668671</v>
      </c>
      <c r="C30" s="151">
        <f t="shared" si="0"/>
        <v>48659.392852786121</v>
      </c>
      <c r="D30" s="151">
        <f t="shared" si="1"/>
        <v>30577.163445308677</v>
      </c>
      <c r="E30" s="151">
        <f t="shared" si="2"/>
        <v>79236.556298094802</v>
      </c>
      <c r="F30" s="151">
        <f t="shared" si="3"/>
        <v>11647677.121223362</v>
      </c>
      <c r="G30" s="131">
        <f t="shared" si="4"/>
        <v>0.97222768463920006</v>
      </c>
    </row>
    <row r="31" spans="1:13" x14ac:dyDescent="0.25">
      <c r="A31" s="149">
        <f t="shared" si="6"/>
        <v>13</v>
      </c>
      <c r="B31" s="151">
        <f t="shared" si="5"/>
        <v>11647677.121223362</v>
      </c>
      <c r="C31" s="151">
        <f t="shared" si="0"/>
        <v>48531.988005097344</v>
      </c>
      <c r="D31" s="151">
        <f t="shared" si="1"/>
        <v>30704.568292997457</v>
      </c>
      <c r="E31" s="151">
        <f t="shared" si="2"/>
        <v>79236.556298094802</v>
      </c>
      <c r="F31" s="151">
        <f t="shared" si="3"/>
        <v>11616972.552930364</v>
      </c>
      <c r="G31" s="131">
        <f t="shared" si="4"/>
        <v>0.97222768463920006</v>
      </c>
    </row>
    <row r="32" spans="1:13" x14ac:dyDescent="0.25">
      <c r="A32" s="149">
        <f t="shared" si="6"/>
        <v>14</v>
      </c>
      <c r="B32" s="151">
        <f t="shared" si="5"/>
        <v>11616972.552930364</v>
      </c>
      <c r="C32" s="151">
        <f t="shared" si="0"/>
        <v>48404.052303876517</v>
      </c>
      <c r="D32" s="151">
        <f t="shared" si="1"/>
        <v>30832.503994218281</v>
      </c>
      <c r="E32" s="151">
        <f t="shared" si="2"/>
        <v>79236.556298094802</v>
      </c>
      <c r="F32" s="151">
        <f t="shared" si="3"/>
        <v>11586140.048936145</v>
      </c>
      <c r="G32" s="131">
        <f t="shared" si="4"/>
        <v>0.97222768463920006</v>
      </c>
    </row>
    <row r="33" spans="1:7" x14ac:dyDescent="0.25">
      <c r="A33" s="149">
        <f t="shared" si="6"/>
        <v>15</v>
      </c>
      <c r="B33" s="151">
        <f t="shared" si="5"/>
        <v>11586140.048936145</v>
      </c>
      <c r="C33" s="151">
        <f t="shared" si="0"/>
        <v>48275.583537233935</v>
      </c>
      <c r="D33" s="151">
        <f t="shared" si="1"/>
        <v>30960.972760860855</v>
      </c>
      <c r="E33" s="151">
        <f t="shared" si="2"/>
        <v>79236.556298094787</v>
      </c>
      <c r="F33" s="151">
        <f t="shared" si="3"/>
        <v>11555179.076175284</v>
      </c>
      <c r="G33" s="131">
        <f t="shared" si="4"/>
        <v>0.97222768463919984</v>
      </c>
    </row>
    <row r="34" spans="1:7" x14ac:dyDescent="0.25">
      <c r="A34" s="149">
        <f t="shared" si="6"/>
        <v>16</v>
      </c>
      <c r="B34" s="151">
        <f t="shared" si="5"/>
        <v>11555179.076175284</v>
      </c>
      <c r="C34" s="151">
        <f t="shared" si="0"/>
        <v>48146.579484063695</v>
      </c>
      <c r="D34" s="151">
        <f t="shared" si="1"/>
        <v>31089.97681403111</v>
      </c>
      <c r="E34" s="151">
        <f t="shared" si="2"/>
        <v>79236.556298094802</v>
      </c>
      <c r="F34" s="151">
        <f t="shared" si="3"/>
        <v>11524089.099361252</v>
      </c>
      <c r="G34" s="131">
        <f t="shared" si="4"/>
        <v>0.97222768463920006</v>
      </c>
    </row>
    <row r="35" spans="1:7" x14ac:dyDescent="0.25">
      <c r="A35" s="149">
        <f t="shared" si="6"/>
        <v>17</v>
      </c>
      <c r="B35" s="151">
        <f t="shared" si="5"/>
        <v>11524089.099361252</v>
      </c>
      <c r="C35" s="151">
        <f t="shared" si="0"/>
        <v>48017.037914005232</v>
      </c>
      <c r="D35" s="151">
        <f t="shared" si="1"/>
        <v>31219.518384089573</v>
      </c>
      <c r="E35" s="151">
        <f t="shared" si="2"/>
        <v>79236.556298094802</v>
      </c>
      <c r="F35" s="151">
        <f t="shared" si="3"/>
        <v>11492869.580977162</v>
      </c>
      <c r="G35" s="131">
        <f t="shared" si="4"/>
        <v>0.97222768463920006</v>
      </c>
    </row>
    <row r="36" spans="1:7" x14ac:dyDescent="0.25">
      <c r="A36" s="149">
        <f t="shared" si="6"/>
        <v>18</v>
      </c>
      <c r="B36" s="151">
        <f t="shared" si="5"/>
        <v>11492869.580977162</v>
      </c>
      <c r="C36" s="151">
        <f t="shared" si="0"/>
        <v>47886.956587404842</v>
      </c>
      <c r="D36" s="151">
        <f t="shared" si="1"/>
        <v>31349.599710689949</v>
      </c>
      <c r="E36" s="151">
        <f t="shared" si="2"/>
        <v>79236.556298094787</v>
      </c>
      <c r="F36" s="151">
        <f t="shared" si="3"/>
        <v>11461519.981266472</v>
      </c>
      <c r="G36" s="131">
        <f t="shared" si="4"/>
        <v>0.97222768463919984</v>
      </c>
    </row>
    <row r="37" spans="1:7" x14ac:dyDescent="0.25">
      <c r="A37" s="149">
        <f t="shared" si="6"/>
        <v>19</v>
      </c>
      <c r="B37" s="151">
        <f t="shared" si="5"/>
        <v>11461519.981266472</v>
      </c>
      <c r="C37" s="151">
        <f t="shared" si="0"/>
        <v>47756.333255276979</v>
      </c>
      <c r="D37" s="151">
        <f t="shared" si="1"/>
        <v>31480.223042817826</v>
      </c>
      <c r="E37" s="151">
        <f t="shared" si="2"/>
        <v>79236.556298094802</v>
      </c>
      <c r="F37" s="151">
        <f t="shared" si="3"/>
        <v>11430039.758223655</v>
      </c>
      <c r="G37" s="131">
        <f t="shared" si="4"/>
        <v>0.97222768463920006</v>
      </c>
    </row>
    <row r="38" spans="1:7" x14ac:dyDescent="0.25">
      <c r="A38" s="149">
        <f t="shared" si="6"/>
        <v>20</v>
      </c>
      <c r="B38" s="151">
        <f t="shared" si="5"/>
        <v>11430039.758223655</v>
      </c>
      <c r="C38" s="151">
        <f t="shared" si="0"/>
        <v>47625.165659265229</v>
      </c>
      <c r="D38" s="151">
        <f t="shared" si="1"/>
        <v>31611.390638829565</v>
      </c>
      <c r="E38" s="151">
        <f t="shared" si="2"/>
        <v>79236.556298094802</v>
      </c>
      <c r="F38" s="151">
        <f t="shared" si="3"/>
        <v>11398428.367584825</v>
      </c>
      <c r="G38" s="131">
        <f t="shared" si="4"/>
        <v>0.97222768463920006</v>
      </c>
    </row>
    <row r="39" spans="1:7" x14ac:dyDescent="0.25">
      <c r="A39" s="149">
        <f t="shared" si="6"/>
        <v>21</v>
      </c>
      <c r="B39" s="151">
        <f t="shared" si="5"/>
        <v>11398428.367584825</v>
      </c>
      <c r="C39" s="151">
        <f t="shared" si="0"/>
        <v>47493.451531603445</v>
      </c>
      <c r="D39" s="151">
        <f t="shared" si="1"/>
        <v>31743.104766491353</v>
      </c>
      <c r="E39" s="151">
        <f t="shared" si="2"/>
        <v>79236.556298094802</v>
      </c>
      <c r="F39" s="151">
        <f t="shared" si="3"/>
        <v>11366685.262818333</v>
      </c>
      <c r="G39" s="131">
        <f t="shared" si="4"/>
        <v>0.97222768463920006</v>
      </c>
    </row>
    <row r="40" spans="1:7" x14ac:dyDescent="0.25">
      <c r="A40" s="149">
        <f t="shared" si="6"/>
        <v>22</v>
      </c>
      <c r="B40" s="151">
        <f t="shared" si="5"/>
        <v>11366685.262818333</v>
      </c>
      <c r="C40" s="151">
        <f t="shared" si="0"/>
        <v>47361.188595076404</v>
      </c>
      <c r="D40" s="151">
        <f t="shared" si="1"/>
        <v>31875.367703018401</v>
      </c>
      <c r="E40" s="151">
        <f t="shared" si="2"/>
        <v>79236.556298094802</v>
      </c>
      <c r="F40" s="151">
        <f t="shared" si="3"/>
        <v>11334809.895115314</v>
      </c>
      <c r="G40" s="131">
        <f t="shared" si="4"/>
        <v>0.97222768463920006</v>
      </c>
    </row>
    <row r="41" spans="1:7" x14ac:dyDescent="0.25">
      <c r="A41" s="149">
        <f t="shared" si="6"/>
        <v>23</v>
      </c>
      <c r="B41" s="151">
        <f t="shared" si="5"/>
        <v>11334809.895115314</v>
      </c>
      <c r="C41" s="151">
        <f t="shared" si="0"/>
        <v>47228.374562980491</v>
      </c>
      <c r="D41" s="151">
        <f t="shared" si="1"/>
        <v>32008.181735114311</v>
      </c>
      <c r="E41" s="151">
        <f t="shared" si="2"/>
        <v>79236.556298094802</v>
      </c>
      <c r="F41" s="151">
        <f t="shared" si="3"/>
        <v>11302801.713380199</v>
      </c>
      <c r="G41" s="131">
        <f t="shared" si="4"/>
        <v>0.97222768463920006</v>
      </c>
    </row>
    <row r="42" spans="1:7" x14ac:dyDescent="0.25">
      <c r="A42" s="149">
        <f t="shared" si="6"/>
        <v>24</v>
      </c>
      <c r="B42" s="151">
        <f t="shared" si="5"/>
        <v>11302801.713380199</v>
      </c>
      <c r="C42" s="151">
        <f t="shared" si="0"/>
        <v>47095.007139084184</v>
      </c>
      <c r="D42" s="151">
        <f t="shared" si="1"/>
        <v>32141.549159010625</v>
      </c>
      <c r="E42" s="151">
        <f t="shared" si="2"/>
        <v>79236.556298094802</v>
      </c>
      <c r="F42" s="151">
        <f t="shared" si="3"/>
        <v>11270660.164221188</v>
      </c>
      <c r="G42" s="131">
        <f t="shared" si="4"/>
        <v>0.97222768463920006</v>
      </c>
    </row>
    <row r="43" spans="1:7" x14ac:dyDescent="0.25">
      <c r="A43" s="149">
        <f t="shared" si="6"/>
        <v>25</v>
      </c>
      <c r="B43" s="151">
        <f t="shared" si="5"/>
        <v>11270660.164221188</v>
      </c>
      <c r="C43" s="151">
        <f t="shared" si="0"/>
        <v>46961.084017588299</v>
      </c>
      <c r="D43" s="151">
        <f t="shared" si="1"/>
        <v>32275.472280506496</v>
      </c>
      <c r="E43" s="151">
        <f t="shared" si="2"/>
        <v>79236.556298094802</v>
      </c>
      <c r="F43" s="151">
        <f t="shared" si="3"/>
        <v>11238384.691940682</v>
      </c>
      <c r="G43" s="131">
        <f t="shared" si="4"/>
        <v>0.97222768463920006</v>
      </c>
    </row>
    <row r="44" spans="1:7" x14ac:dyDescent="0.25">
      <c r="A44" s="149">
        <f t="shared" si="6"/>
        <v>26</v>
      </c>
      <c r="B44" s="151">
        <f t="shared" si="5"/>
        <v>11238384.691940682</v>
      </c>
      <c r="C44" s="151">
        <f t="shared" si="0"/>
        <v>46826.602883086198</v>
      </c>
      <c r="D44" s="151">
        <f t="shared" si="1"/>
        <v>32409.953415008607</v>
      </c>
      <c r="E44" s="151">
        <f t="shared" si="2"/>
        <v>79236.556298094802</v>
      </c>
      <c r="F44" s="151">
        <f t="shared" si="3"/>
        <v>11205974.738525674</v>
      </c>
      <c r="G44" s="131">
        <f t="shared" si="4"/>
        <v>0.97222768463920006</v>
      </c>
    </row>
    <row r="45" spans="1:7" x14ac:dyDescent="0.25">
      <c r="A45" s="149">
        <f t="shared" si="6"/>
        <v>27</v>
      </c>
      <c r="B45" s="151">
        <f t="shared" si="5"/>
        <v>11205974.738525674</v>
      </c>
      <c r="C45" s="151">
        <f t="shared" si="0"/>
        <v>46691.56141052366</v>
      </c>
      <c r="D45" s="151">
        <f t="shared" si="1"/>
        <v>32544.994887571142</v>
      </c>
      <c r="E45" s="151">
        <f t="shared" si="2"/>
        <v>79236.556298094802</v>
      </c>
      <c r="F45" s="151">
        <f t="shared" si="3"/>
        <v>11173429.743638102</v>
      </c>
      <c r="G45" s="131">
        <f t="shared" si="4"/>
        <v>0.97222768463920006</v>
      </c>
    </row>
    <row r="46" spans="1:7" x14ac:dyDescent="0.25">
      <c r="A46" s="149">
        <f t="shared" si="6"/>
        <v>28</v>
      </c>
      <c r="B46" s="151">
        <f t="shared" si="5"/>
        <v>11173429.743638102</v>
      </c>
      <c r="C46" s="151">
        <f t="shared" si="0"/>
        <v>46555.957265158773</v>
      </c>
      <c r="D46" s="151">
        <f t="shared" si="1"/>
        <v>32680.599032936025</v>
      </c>
      <c r="E46" s="151">
        <f t="shared" si="2"/>
        <v>79236.556298094802</v>
      </c>
      <c r="F46" s="151">
        <f t="shared" si="3"/>
        <v>11140749.144605165</v>
      </c>
      <c r="G46" s="131">
        <f t="shared" si="4"/>
        <v>0.97222768463920006</v>
      </c>
    </row>
    <row r="47" spans="1:7" x14ac:dyDescent="0.25">
      <c r="A47" s="149">
        <f t="shared" si="6"/>
        <v>29</v>
      </c>
      <c r="B47" s="151">
        <f t="shared" si="5"/>
        <v>11140749.144605165</v>
      </c>
      <c r="C47" s="151">
        <f t="shared" si="0"/>
        <v>46419.788102521547</v>
      </c>
      <c r="D47" s="151">
        <f t="shared" si="1"/>
        <v>32816.768195573255</v>
      </c>
      <c r="E47" s="151">
        <f t="shared" si="2"/>
        <v>79236.556298094802</v>
      </c>
      <c r="F47" s="151">
        <f t="shared" si="3"/>
        <v>11107932.376409592</v>
      </c>
      <c r="G47" s="131">
        <f t="shared" si="4"/>
        <v>0.97222768463920006</v>
      </c>
    </row>
    <row r="48" spans="1:7" x14ac:dyDescent="0.25">
      <c r="A48" s="149">
        <f t="shared" si="6"/>
        <v>30</v>
      </c>
      <c r="B48" s="151">
        <f t="shared" si="5"/>
        <v>11107932.376409592</v>
      </c>
      <c r="C48" s="151">
        <f t="shared" si="0"/>
        <v>46283.051568373325</v>
      </c>
      <c r="D48" s="151">
        <f t="shared" si="1"/>
        <v>32953.504729721484</v>
      </c>
      <c r="E48" s="151">
        <f t="shared" si="2"/>
        <v>79236.556298094802</v>
      </c>
      <c r="F48" s="151">
        <f t="shared" si="3"/>
        <v>11074978.87167987</v>
      </c>
      <c r="G48" s="131">
        <f t="shared" si="4"/>
        <v>0.97222768463920006</v>
      </c>
    </row>
    <row r="49" spans="1:7" x14ac:dyDescent="0.25">
      <c r="A49" s="149">
        <f t="shared" si="6"/>
        <v>31</v>
      </c>
      <c r="B49" s="151">
        <f t="shared" si="5"/>
        <v>11074978.87167987</v>
      </c>
      <c r="C49" s="151">
        <f t="shared" si="0"/>
        <v>46145.745298666145</v>
      </c>
      <c r="D49" s="151">
        <f t="shared" si="1"/>
        <v>33090.810999428657</v>
      </c>
      <c r="E49" s="151">
        <f t="shared" si="2"/>
        <v>79236.556298094802</v>
      </c>
      <c r="F49" s="151">
        <f t="shared" si="3"/>
        <v>11041888.060680442</v>
      </c>
      <c r="G49" s="131">
        <f t="shared" si="4"/>
        <v>0.97222768463920006</v>
      </c>
    </row>
    <row r="50" spans="1:7" x14ac:dyDescent="0.25">
      <c r="A50" s="149">
        <f t="shared" si="6"/>
        <v>32</v>
      </c>
      <c r="B50" s="151">
        <f t="shared" si="5"/>
        <v>11041888.060680442</v>
      </c>
      <c r="C50" s="151">
        <f t="shared" si="0"/>
        <v>46007.866919501859</v>
      </c>
      <c r="D50" s="151">
        <f t="shared" si="1"/>
        <v>33228.689378592935</v>
      </c>
      <c r="E50" s="151">
        <f t="shared" si="2"/>
        <v>79236.556298094802</v>
      </c>
      <c r="F50" s="151">
        <f t="shared" si="3"/>
        <v>11008659.371301848</v>
      </c>
      <c r="G50" s="131">
        <f t="shared" si="4"/>
        <v>0.97222768463920006</v>
      </c>
    </row>
    <row r="51" spans="1:7" x14ac:dyDescent="0.25">
      <c r="A51" s="149">
        <f t="shared" si="6"/>
        <v>33</v>
      </c>
      <c r="B51" s="151">
        <f t="shared" si="5"/>
        <v>11008659.371301848</v>
      </c>
      <c r="C51" s="151">
        <f t="shared" si="0"/>
        <v>45869.414047091064</v>
      </c>
      <c r="D51" s="151">
        <f t="shared" si="1"/>
        <v>33367.142251003745</v>
      </c>
      <c r="E51" s="151">
        <f t="shared" si="2"/>
        <v>79236.556298094802</v>
      </c>
      <c r="F51" s="151">
        <f t="shared" si="3"/>
        <v>10975292.229050845</v>
      </c>
      <c r="G51" s="131">
        <f t="shared" si="4"/>
        <v>0.97222768463920006</v>
      </c>
    </row>
    <row r="52" spans="1:7" x14ac:dyDescent="0.25">
      <c r="A52" s="149">
        <f t="shared" si="6"/>
        <v>34</v>
      </c>
      <c r="B52" s="151">
        <f t="shared" si="5"/>
        <v>10975292.229050845</v>
      </c>
      <c r="C52" s="151">
        <f t="shared" si="0"/>
        <v>45730.384287711873</v>
      </c>
      <c r="D52" s="151">
        <f t="shared" si="1"/>
        <v>33506.172010382921</v>
      </c>
      <c r="E52" s="151">
        <f t="shared" si="2"/>
        <v>79236.556298094802</v>
      </c>
      <c r="F52" s="151">
        <f t="shared" si="3"/>
        <v>10941786.057040462</v>
      </c>
      <c r="G52" s="131">
        <f t="shared" si="4"/>
        <v>0.97222768463920006</v>
      </c>
    </row>
    <row r="53" spans="1:7" x14ac:dyDescent="0.25">
      <c r="A53" s="149">
        <f t="shared" si="6"/>
        <v>35</v>
      </c>
      <c r="B53" s="151">
        <f t="shared" si="5"/>
        <v>10941786.057040462</v>
      </c>
      <c r="C53" s="151">
        <f t="shared" si="0"/>
        <v>45590.775237668619</v>
      </c>
      <c r="D53" s="151">
        <f t="shared" si="1"/>
        <v>33645.78106042619</v>
      </c>
      <c r="E53" s="151">
        <f t="shared" si="2"/>
        <v>79236.556298094802</v>
      </c>
      <c r="F53" s="151">
        <f t="shared" si="3"/>
        <v>10908140.275980037</v>
      </c>
      <c r="G53" s="131">
        <f t="shared" si="4"/>
        <v>0.97222768463920006</v>
      </c>
    </row>
    <row r="54" spans="1:7" x14ac:dyDescent="0.25">
      <c r="A54" s="149">
        <f t="shared" si="6"/>
        <v>36</v>
      </c>
      <c r="B54" s="151">
        <f t="shared" si="5"/>
        <v>10908140.275980037</v>
      </c>
      <c r="C54" s="151">
        <f t="shared" si="0"/>
        <v>45450.584483250168</v>
      </c>
      <c r="D54" s="151">
        <f t="shared" si="1"/>
        <v>33785.971814844626</v>
      </c>
      <c r="E54" s="151">
        <f t="shared" si="2"/>
        <v>79236.556298094802</v>
      </c>
      <c r="F54" s="151">
        <f t="shared" si="3"/>
        <v>10874354.304165192</v>
      </c>
      <c r="G54" s="131">
        <f t="shared" si="4"/>
        <v>0.97222768463920006</v>
      </c>
    </row>
    <row r="55" spans="1:7" x14ac:dyDescent="0.25">
      <c r="A55" s="149">
        <f t="shared" si="6"/>
        <v>37</v>
      </c>
      <c r="B55" s="151">
        <f t="shared" si="5"/>
        <v>10874354.304165192</v>
      </c>
      <c r="C55" s="151">
        <f t="shared" si="0"/>
        <v>45309.809600688313</v>
      </c>
      <c r="D55" s="151">
        <f t="shared" si="1"/>
        <v>33926.746697406481</v>
      </c>
      <c r="E55" s="151">
        <f t="shared" si="2"/>
        <v>79236.556298094802</v>
      </c>
      <c r="F55" s="151">
        <f t="shared" si="3"/>
        <v>10840427.557467785</v>
      </c>
      <c r="G55" s="131">
        <f t="shared" si="4"/>
        <v>0.97222768463920006</v>
      </c>
    </row>
    <row r="56" spans="1:7" x14ac:dyDescent="0.25">
      <c r="A56" s="149">
        <f t="shared" si="6"/>
        <v>38</v>
      </c>
      <c r="B56" s="151">
        <f t="shared" si="5"/>
        <v>10840427.557467785</v>
      </c>
      <c r="C56" s="151">
        <f t="shared" si="0"/>
        <v>45168.448156115795</v>
      </c>
      <c r="D56" s="151">
        <f t="shared" si="1"/>
        <v>34068.108141979006</v>
      </c>
      <c r="E56" s="151">
        <f t="shared" si="2"/>
        <v>79236.556298094802</v>
      </c>
      <c r="F56" s="151">
        <f t="shared" si="3"/>
        <v>10806359.449325806</v>
      </c>
      <c r="G56" s="131">
        <f t="shared" si="4"/>
        <v>0.97222768463920006</v>
      </c>
    </row>
    <row r="57" spans="1:7" x14ac:dyDescent="0.25">
      <c r="A57" s="149">
        <f t="shared" si="6"/>
        <v>39</v>
      </c>
      <c r="B57" s="151">
        <f t="shared" si="5"/>
        <v>10806359.449325806</v>
      </c>
      <c r="C57" s="151">
        <f t="shared" si="0"/>
        <v>45026.497705524205</v>
      </c>
      <c r="D57" s="151">
        <f t="shared" si="1"/>
        <v>34210.058592570589</v>
      </c>
      <c r="E57" s="151">
        <f t="shared" si="2"/>
        <v>79236.556298094802</v>
      </c>
      <c r="F57" s="151">
        <f t="shared" si="3"/>
        <v>10772149.390733235</v>
      </c>
      <c r="G57" s="131">
        <f t="shared" si="4"/>
        <v>0.97222768463920006</v>
      </c>
    </row>
    <row r="58" spans="1:7" x14ac:dyDescent="0.25">
      <c r="A58" s="149">
        <f t="shared" si="6"/>
        <v>40</v>
      </c>
      <c r="B58" s="151">
        <f t="shared" si="5"/>
        <v>10772149.390733235</v>
      </c>
      <c r="C58" s="151">
        <f t="shared" si="0"/>
        <v>44883.955794721835</v>
      </c>
      <c r="D58" s="151">
        <f t="shared" si="1"/>
        <v>34352.60050337296</v>
      </c>
      <c r="E58" s="151">
        <f t="shared" si="2"/>
        <v>79236.556298094802</v>
      </c>
      <c r="F58" s="151">
        <f t="shared" si="3"/>
        <v>10737796.790229861</v>
      </c>
      <c r="G58" s="131">
        <f t="shared" si="4"/>
        <v>0.97222768463920006</v>
      </c>
    </row>
    <row r="59" spans="1:7" x14ac:dyDescent="0.25">
      <c r="A59" s="149">
        <f t="shared" si="6"/>
        <v>41</v>
      </c>
      <c r="B59" s="151">
        <f t="shared" si="5"/>
        <v>10737796.790229861</v>
      </c>
      <c r="C59" s="151">
        <f t="shared" si="0"/>
        <v>44740.819959291119</v>
      </c>
      <c r="D59" s="151">
        <f t="shared" si="1"/>
        <v>34495.736338803683</v>
      </c>
      <c r="E59" s="151">
        <f t="shared" si="2"/>
        <v>79236.556298094802</v>
      </c>
      <c r="F59" s="151">
        <f t="shared" si="3"/>
        <v>10703301.053891057</v>
      </c>
      <c r="G59" s="131">
        <f t="shared" si="4"/>
        <v>0.97222768463920006</v>
      </c>
    </row>
    <row r="60" spans="1:7" x14ac:dyDescent="0.25">
      <c r="A60" s="149">
        <f t="shared" si="6"/>
        <v>42</v>
      </c>
      <c r="B60" s="151">
        <f t="shared" si="5"/>
        <v>10703301.053891057</v>
      </c>
      <c r="C60" s="151">
        <f t="shared" si="0"/>
        <v>44597.087724546102</v>
      </c>
      <c r="D60" s="151">
        <f t="shared" si="1"/>
        <v>34639.4685735487</v>
      </c>
      <c r="E60" s="151">
        <f t="shared" si="2"/>
        <v>79236.556298094802</v>
      </c>
      <c r="F60" s="151">
        <f t="shared" si="3"/>
        <v>10668661.585317509</v>
      </c>
      <c r="G60" s="131">
        <f t="shared" si="4"/>
        <v>0.97222768463920006</v>
      </c>
    </row>
    <row r="61" spans="1:7" x14ac:dyDescent="0.25">
      <c r="A61" s="149">
        <f t="shared" si="6"/>
        <v>43</v>
      </c>
      <c r="B61" s="151">
        <f t="shared" si="5"/>
        <v>10668661.585317509</v>
      </c>
      <c r="C61" s="151">
        <f t="shared" si="0"/>
        <v>44452.756605489638</v>
      </c>
      <c r="D61" s="151">
        <f t="shared" si="1"/>
        <v>34783.799692605156</v>
      </c>
      <c r="E61" s="151">
        <f t="shared" si="2"/>
        <v>79236.556298094802</v>
      </c>
      <c r="F61" s="151">
        <f t="shared" si="3"/>
        <v>10633877.785624905</v>
      </c>
      <c r="G61" s="131">
        <f t="shared" si="4"/>
        <v>0.97222768463920006</v>
      </c>
    </row>
    <row r="62" spans="1:7" x14ac:dyDescent="0.25">
      <c r="A62" s="149">
        <f t="shared" si="6"/>
        <v>44</v>
      </c>
      <c r="B62" s="151">
        <f t="shared" si="5"/>
        <v>10633877.785624905</v>
      </c>
      <c r="C62" s="151">
        <f t="shared" si="0"/>
        <v>44307.824106770458</v>
      </c>
      <c r="D62" s="151">
        <f t="shared" si="1"/>
        <v>34928.732191324343</v>
      </c>
      <c r="E62" s="151">
        <f t="shared" si="2"/>
        <v>79236.556298094802</v>
      </c>
      <c r="F62" s="151">
        <f t="shared" si="3"/>
        <v>10598949.05343358</v>
      </c>
      <c r="G62" s="131">
        <f t="shared" si="4"/>
        <v>0.97222768463920006</v>
      </c>
    </row>
    <row r="63" spans="1:7" x14ac:dyDescent="0.25">
      <c r="A63" s="149">
        <f t="shared" si="6"/>
        <v>45</v>
      </c>
      <c r="B63" s="151">
        <f t="shared" si="5"/>
        <v>10598949.05343358</v>
      </c>
      <c r="C63" s="151">
        <f t="shared" si="0"/>
        <v>44162.287722639943</v>
      </c>
      <c r="D63" s="151">
        <f t="shared" si="1"/>
        <v>35074.268575454858</v>
      </c>
      <c r="E63" s="151">
        <f t="shared" si="2"/>
        <v>79236.556298094802</v>
      </c>
      <c r="F63" s="151">
        <f t="shared" si="3"/>
        <v>10563874.784858126</v>
      </c>
      <c r="G63" s="131">
        <f t="shared" si="4"/>
        <v>0.97222768463920006</v>
      </c>
    </row>
    <row r="64" spans="1:7" x14ac:dyDescent="0.25">
      <c r="A64" s="149">
        <f t="shared" si="6"/>
        <v>46</v>
      </c>
      <c r="B64" s="151">
        <f t="shared" si="5"/>
        <v>10563874.784858126</v>
      </c>
      <c r="C64" s="151">
        <f t="shared" si="0"/>
        <v>44016.144936908873</v>
      </c>
      <c r="D64" s="151">
        <f t="shared" si="1"/>
        <v>35220.411361185921</v>
      </c>
      <c r="E64" s="151">
        <f t="shared" si="2"/>
        <v>79236.556298094802</v>
      </c>
      <c r="F64" s="151">
        <f t="shared" si="3"/>
        <v>10528654.37349694</v>
      </c>
      <c r="G64" s="131">
        <f t="shared" si="4"/>
        <v>0.97222768463920006</v>
      </c>
    </row>
    <row r="65" spans="1:7" x14ac:dyDescent="0.25">
      <c r="A65" s="149">
        <f t="shared" si="6"/>
        <v>47</v>
      </c>
      <c r="B65" s="151">
        <f t="shared" si="5"/>
        <v>10528654.37349694</v>
      </c>
      <c r="C65" s="151">
        <f t="shared" si="0"/>
        <v>43869.393222903942</v>
      </c>
      <c r="D65" s="151">
        <f t="shared" si="1"/>
        <v>35367.16307519086</v>
      </c>
      <c r="E65" s="151">
        <f t="shared" si="2"/>
        <v>79236.556298094802</v>
      </c>
      <c r="F65" s="151">
        <f t="shared" si="3"/>
        <v>10493287.21042175</v>
      </c>
      <c r="G65" s="131">
        <f t="shared" si="4"/>
        <v>0.97222768463920006</v>
      </c>
    </row>
    <row r="66" spans="1:7" x14ac:dyDescent="0.25">
      <c r="A66" s="149">
        <f t="shared" si="6"/>
        <v>48</v>
      </c>
      <c r="B66" s="151">
        <f t="shared" si="5"/>
        <v>10493287.21042175</v>
      </c>
      <c r="C66" s="151">
        <f t="shared" si="0"/>
        <v>43722.030043423983</v>
      </c>
      <c r="D66" s="151">
        <f t="shared" si="1"/>
        <v>35514.526254670825</v>
      </c>
      <c r="E66" s="151">
        <f t="shared" si="2"/>
        <v>79236.556298094802</v>
      </c>
      <c r="F66" s="151">
        <f t="shared" si="3"/>
        <v>10457772.68416708</v>
      </c>
      <c r="G66" s="131">
        <f t="shared" si="4"/>
        <v>0.97222768463920006</v>
      </c>
    </row>
    <row r="67" spans="1:7" x14ac:dyDescent="0.25">
      <c r="A67" s="149">
        <f t="shared" si="6"/>
        <v>49</v>
      </c>
      <c r="B67" s="151">
        <f t="shared" si="5"/>
        <v>10457772.68416708</v>
      </c>
      <c r="C67" s="151">
        <f t="shared" si="0"/>
        <v>43574.052850696178</v>
      </c>
      <c r="D67" s="151">
        <f t="shared" si="1"/>
        <v>35662.503447398623</v>
      </c>
      <c r="E67" s="151">
        <f t="shared" si="2"/>
        <v>79236.556298094802</v>
      </c>
      <c r="F67" s="151">
        <f t="shared" si="3"/>
        <v>10422110.180719681</v>
      </c>
      <c r="G67" s="131">
        <f t="shared" si="4"/>
        <v>0.97222768463920006</v>
      </c>
    </row>
    <row r="68" spans="1:7" x14ac:dyDescent="0.25">
      <c r="A68" s="149">
        <f t="shared" si="6"/>
        <v>50</v>
      </c>
      <c r="B68" s="151">
        <f t="shared" si="5"/>
        <v>10422110.180719681</v>
      </c>
      <c r="C68" s="151">
        <f t="shared" si="0"/>
        <v>43425.459086332019</v>
      </c>
      <c r="D68" s="151">
        <f t="shared" si="1"/>
        <v>35811.097211762783</v>
      </c>
      <c r="E68" s="151">
        <f t="shared" si="2"/>
        <v>79236.556298094802</v>
      </c>
      <c r="F68" s="151">
        <f t="shared" si="3"/>
        <v>10386299.083507918</v>
      </c>
      <c r="G68" s="131">
        <f t="shared" si="4"/>
        <v>0.97222768463920006</v>
      </c>
    </row>
    <row r="69" spans="1:7" x14ac:dyDescent="0.25">
      <c r="A69" s="149">
        <f t="shared" si="6"/>
        <v>51</v>
      </c>
      <c r="B69" s="151">
        <f t="shared" si="5"/>
        <v>10386299.083507918</v>
      </c>
      <c r="C69" s="151">
        <f t="shared" si="0"/>
        <v>43276.246181283008</v>
      </c>
      <c r="D69" s="151">
        <f t="shared" si="1"/>
        <v>35960.310116811794</v>
      </c>
      <c r="E69" s="151">
        <f t="shared" si="2"/>
        <v>79236.556298094802</v>
      </c>
      <c r="F69" s="151">
        <f t="shared" si="3"/>
        <v>10350338.773391105</v>
      </c>
      <c r="G69" s="131">
        <f t="shared" si="4"/>
        <v>0.97222768463920006</v>
      </c>
    </row>
    <row r="70" spans="1:7" x14ac:dyDescent="0.25">
      <c r="A70" s="149">
        <f t="shared" si="6"/>
        <v>52</v>
      </c>
      <c r="B70" s="151">
        <f t="shared" si="5"/>
        <v>10350338.773391105</v>
      </c>
      <c r="C70" s="151">
        <f t="shared" si="0"/>
        <v>43126.411555796294</v>
      </c>
      <c r="D70" s="151">
        <f t="shared" si="1"/>
        <v>36110.144742298507</v>
      </c>
      <c r="E70" s="151">
        <f t="shared" si="2"/>
        <v>79236.556298094802</v>
      </c>
      <c r="F70" s="151">
        <f t="shared" si="3"/>
        <v>10314228.628648806</v>
      </c>
      <c r="G70" s="131">
        <f t="shared" si="4"/>
        <v>0.97222768463920006</v>
      </c>
    </row>
    <row r="71" spans="1:7" x14ac:dyDescent="0.25">
      <c r="A71" s="149">
        <f t="shared" si="6"/>
        <v>53</v>
      </c>
      <c r="B71" s="151">
        <f t="shared" si="5"/>
        <v>10314228.628648806</v>
      </c>
      <c r="C71" s="151">
        <f t="shared" si="0"/>
        <v>42975.952619370051</v>
      </c>
      <c r="D71" s="151">
        <f t="shared" si="1"/>
        <v>36260.60367872475</v>
      </c>
      <c r="E71" s="151">
        <f t="shared" si="2"/>
        <v>79236.556298094802</v>
      </c>
      <c r="F71" s="151">
        <f t="shared" si="3"/>
        <v>10277968.024970081</v>
      </c>
      <c r="G71" s="131">
        <f t="shared" si="4"/>
        <v>0.97222768463920006</v>
      </c>
    </row>
    <row r="72" spans="1:7" x14ac:dyDescent="0.25">
      <c r="A72" s="149">
        <f t="shared" si="6"/>
        <v>54</v>
      </c>
      <c r="B72" s="151">
        <f t="shared" si="5"/>
        <v>10277968.024970081</v>
      </c>
      <c r="C72" s="151">
        <f t="shared" si="0"/>
        <v>42824.866770708693</v>
      </c>
      <c r="D72" s="151">
        <f t="shared" si="1"/>
        <v>36411.689527386108</v>
      </c>
      <c r="E72" s="151">
        <f t="shared" si="2"/>
        <v>79236.556298094802</v>
      </c>
      <c r="F72" s="151">
        <f t="shared" si="3"/>
        <v>10241556.335442694</v>
      </c>
      <c r="G72" s="131">
        <f t="shared" si="4"/>
        <v>0.97222768463920006</v>
      </c>
    </row>
    <row r="73" spans="1:7" x14ac:dyDescent="0.25">
      <c r="A73" s="149">
        <f t="shared" si="6"/>
        <v>55</v>
      </c>
      <c r="B73" s="151">
        <f t="shared" si="5"/>
        <v>10241556.335442694</v>
      </c>
      <c r="C73" s="151">
        <f t="shared" si="0"/>
        <v>42673.151397677924</v>
      </c>
      <c r="D73" s="151">
        <f t="shared" si="1"/>
        <v>36563.404900416877</v>
      </c>
      <c r="E73" s="151">
        <f t="shared" si="2"/>
        <v>79236.556298094802</v>
      </c>
      <c r="F73" s="151">
        <f t="shared" si="3"/>
        <v>10204992.930542277</v>
      </c>
      <c r="G73" s="131">
        <f t="shared" si="4"/>
        <v>0.97222768463920006</v>
      </c>
    </row>
    <row r="74" spans="1:7" x14ac:dyDescent="0.25">
      <c r="A74" s="149">
        <f t="shared" si="6"/>
        <v>56</v>
      </c>
      <c r="B74" s="151">
        <f t="shared" si="5"/>
        <v>10204992.930542277</v>
      </c>
      <c r="C74" s="151">
        <f t="shared" si="0"/>
        <v>42520.80387725951</v>
      </c>
      <c r="D74" s="151">
        <f t="shared" si="1"/>
        <v>36715.752420835292</v>
      </c>
      <c r="E74" s="151">
        <f t="shared" si="2"/>
        <v>79236.556298094802</v>
      </c>
      <c r="F74" s="151">
        <f t="shared" si="3"/>
        <v>10168277.178121442</v>
      </c>
      <c r="G74" s="131">
        <f t="shared" si="4"/>
        <v>0.97222768463920006</v>
      </c>
    </row>
    <row r="75" spans="1:7" x14ac:dyDescent="0.25">
      <c r="A75" s="149">
        <f t="shared" si="6"/>
        <v>57</v>
      </c>
      <c r="B75" s="151">
        <f t="shared" si="5"/>
        <v>10168277.178121442</v>
      </c>
      <c r="C75" s="151">
        <f t="shared" si="0"/>
        <v>42367.821575506037</v>
      </c>
      <c r="D75" s="151">
        <f t="shared" si="1"/>
        <v>36868.734722588772</v>
      </c>
      <c r="E75" s="151">
        <f t="shared" si="2"/>
        <v>79236.556298094802</v>
      </c>
      <c r="F75" s="151">
        <f t="shared" si="3"/>
        <v>10131408.443398854</v>
      </c>
      <c r="G75" s="131">
        <f t="shared" si="4"/>
        <v>0.97222768463920006</v>
      </c>
    </row>
    <row r="76" spans="1:7" x14ac:dyDescent="0.25">
      <c r="A76" s="149">
        <f t="shared" si="6"/>
        <v>58</v>
      </c>
      <c r="B76" s="151">
        <f t="shared" si="5"/>
        <v>10131408.443398854</v>
      </c>
      <c r="C76" s="151">
        <f t="shared" si="0"/>
        <v>42214.201847495249</v>
      </c>
      <c r="D76" s="151">
        <f t="shared" si="1"/>
        <v>37022.354450599552</v>
      </c>
      <c r="E76" s="151">
        <f t="shared" si="2"/>
        <v>79236.556298094802</v>
      </c>
      <c r="F76" s="151">
        <f t="shared" si="3"/>
        <v>10094386.088948254</v>
      </c>
      <c r="G76" s="131">
        <f t="shared" si="4"/>
        <v>0.97222768463920006</v>
      </c>
    </row>
    <row r="77" spans="1:7" x14ac:dyDescent="0.25">
      <c r="A77" s="149">
        <f t="shared" si="6"/>
        <v>59</v>
      </c>
      <c r="B77" s="151">
        <f t="shared" si="5"/>
        <v>10094386.088948254</v>
      </c>
      <c r="C77" s="151">
        <f t="shared" si="0"/>
        <v>42059.942037284411</v>
      </c>
      <c r="D77" s="151">
        <f t="shared" si="1"/>
        <v>37176.614260810391</v>
      </c>
      <c r="E77" s="151">
        <f t="shared" si="2"/>
        <v>79236.556298094802</v>
      </c>
      <c r="F77" s="151">
        <f t="shared" si="3"/>
        <v>10057209.474687444</v>
      </c>
      <c r="G77" s="131">
        <f t="shared" si="4"/>
        <v>0.97222768463920006</v>
      </c>
    </row>
    <row r="78" spans="1:7" x14ac:dyDescent="0.25">
      <c r="A78" s="149">
        <f t="shared" si="6"/>
        <v>60</v>
      </c>
      <c r="B78" s="151">
        <f t="shared" si="5"/>
        <v>10057209.474687444</v>
      </c>
      <c r="C78" s="151">
        <f t="shared" si="0"/>
        <v>41905.039477864375</v>
      </c>
      <c r="D78" s="151">
        <f t="shared" si="1"/>
        <v>37331.516820230427</v>
      </c>
      <c r="E78" s="151">
        <f t="shared" si="2"/>
        <v>79236.556298094802</v>
      </c>
      <c r="F78" s="151">
        <f t="shared" si="3"/>
        <v>10019877.957867214</v>
      </c>
      <c r="G78" s="131">
        <f t="shared" si="4"/>
        <v>0.97222768463920006</v>
      </c>
    </row>
    <row r="79" spans="1:7" x14ac:dyDescent="0.25">
      <c r="A79" s="149">
        <f t="shared" si="6"/>
        <v>61</v>
      </c>
      <c r="B79" s="151">
        <f t="shared" si="5"/>
        <v>10019877.957867214</v>
      </c>
      <c r="C79" s="151">
        <f t="shared" si="0"/>
        <v>41749.491491113418</v>
      </c>
      <c r="D79" s="151">
        <f t="shared" si="1"/>
        <v>37487.064806981383</v>
      </c>
      <c r="E79" s="151">
        <f t="shared" si="2"/>
        <v>79236.556298094802</v>
      </c>
      <c r="F79" s="151">
        <f t="shared" si="3"/>
        <v>9982390.8930602334</v>
      </c>
      <c r="G79" s="131">
        <f t="shared" si="4"/>
        <v>0.97222768463920006</v>
      </c>
    </row>
    <row r="80" spans="1:7" x14ac:dyDescent="0.25">
      <c r="A80" s="149">
        <f t="shared" si="6"/>
        <v>62</v>
      </c>
      <c r="B80" s="151">
        <f t="shared" si="5"/>
        <v>9982390.8930602334</v>
      </c>
      <c r="C80" s="151">
        <f t="shared" si="0"/>
        <v>41593.295387750986</v>
      </c>
      <c r="D80" s="151">
        <f t="shared" si="1"/>
        <v>37643.260910343815</v>
      </c>
      <c r="E80" s="151">
        <f t="shared" si="2"/>
        <v>79236.556298094802</v>
      </c>
      <c r="F80" s="151">
        <f t="shared" si="3"/>
        <v>9944747.6321498901</v>
      </c>
      <c r="G80" s="131">
        <f t="shared" si="4"/>
        <v>0.97222768463920006</v>
      </c>
    </row>
    <row r="81" spans="1:7" x14ac:dyDescent="0.25">
      <c r="A81" s="149">
        <f t="shared" si="6"/>
        <v>63</v>
      </c>
      <c r="B81" s="151">
        <f t="shared" si="5"/>
        <v>9944747.6321498901</v>
      </c>
      <c r="C81" s="151">
        <f t="shared" si="0"/>
        <v>41436.448467291222</v>
      </c>
      <c r="D81" s="151">
        <f t="shared" si="1"/>
        <v>37800.107830803579</v>
      </c>
      <c r="E81" s="151">
        <f t="shared" si="2"/>
        <v>79236.556298094802</v>
      </c>
      <c r="F81" s="151">
        <f t="shared" si="3"/>
        <v>9906947.5243190862</v>
      </c>
      <c r="G81" s="131">
        <f t="shared" si="4"/>
        <v>0.97222768463920006</v>
      </c>
    </row>
    <row r="82" spans="1:7" x14ac:dyDescent="0.25">
      <c r="A82" s="149">
        <f t="shared" si="6"/>
        <v>64</v>
      </c>
      <c r="B82" s="151">
        <f t="shared" si="5"/>
        <v>9906947.5243190862</v>
      </c>
      <c r="C82" s="151">
        <f t="shared" si="0"/>
        <v>41278.948017996212</v>
      </c>
      <c r="D82" s="151">
        <f t="shared" si="1"/>
        <v>37957.608280098582</v>
      </c>
      <c r="E82" s="151">
        <f t="shared" si="2"/>
        <v>79236.556298094802</v>
      </c>
      <c r="F82" s="151">
        <f t="shared" si="3"/>
        <v>9868989.9160389882</v>
      </c>
      <c r="G82" s="131">
        <f t="shared" si="4"/>
        <v>0.97222768463920006</v>
      </c>
    </row>
    <row r="83" spans="1:7" x14ac:dyDescent="0.25">
      <c r="A83" s="149">
        <f t="shared" si="6"/>
        <v>65</v>
      </c>
      <c r="B83" s="151">
        <f t="shared" si="5"/>
        <v>9868989.9160389882</v>
      </c>
      <c r="C83" s="151">
        <f t="shared" ref="C83:C146" si="7">IF(ISERROR(IPMT(C$6/12,A83,$C$8,-$B$19,0)),0,IPMT(C$6/12,A83,$C$8,-$B$19,0))</f>
        <v>41120.791316829134</v>
      </c>
      <c r="D83" s="151">
        <f t="shared" ref="D83:D146" si="8">IF(ISERROR(PPMT($C$6/12,$A83,$C$8,-$B$19,0)),0,PPMT($C$6/12,$A83,$C$8,-$B$19,0))</f>
        <v>38115.764981265667</v>
      </c>
      <c r="E83" s="151">
        <f t="shared" ref="E83:E146" si="9">+C83+D83</f>
        <v>79236.556298094802</v>
      </c>
      <c r="F83" s="151">
        <f t="shared" ref="F83:F146" si="10">+B83-D83</f>
        <v>9830874.151057722</v>
      </c>
      <c r="G83" s="131">
        <f t="shared" ref="G83:G146" si="11">E83/$C$10</f>
        <v>0.97222768463920006</v>
      </c>
    </row>
    <row r="84" spans="1:7" x14ac:dyDescent="0.25">
      <c r="A84" s="149">
        <f t="shared" si="6"/>
        <v>66</v>
      </c>
      <c r="B84" s="151">
        <f t="shared" ref="B84:B147" si="12">+F83</f>
        <v>9830874.151057722</v>
      </c>
      <c r="C84" s="151">
        <f t="shared" si="7"/>
        <v>40961.975629407199</v>
      </c>
      <c r="D84" s="151">
        <f t="shared" si="8"/>
        <v>38274.580668687602</v>
      </c>
      <c r="E84" s="151">
        <f t="shared" si="9"/>
        <v>79236.556298094802</v>
      </c>
      <c r="F84" s="151">
        <f t="shared" si="10"/>
        <v>9792599.5703890342</v>
      </c>
      <c r="G84" s="131">
        <f t="shared" si="11"/>
        <v>0.97222768463920006</v>
      </c>
    </row>
    <row r="85" spans="1:7" x14ac:dyDescent="0.25">
      <c r="A85" s="149">
        <f t="shared" ref="A85:A148" si="13">A84+1</f>
        <v>67</v>
      </c>
      <c r="B85" s="151">
        <f t="shared" si="12"/>
        <v>9792599.5703890342</v>
      </c>
      <c r="C85" s="151">
        <f t="shared" si="7"/>
        <v>40802.498209954334</v>
      </c>
      <c r="D85" s="151">
        <f t="shared" si="8"/>
        <v>38434.058088140468</v>
      </c>
      <c r="E85" s="151">
        <f t="shared" si="9"/>
        <v>79236.556298094802</v>
      </c>
      <c r="F85" s="151">
        <f t="shared" si="10"/>
        <v>9754165.5123008937</v>
      </c>
      <c r="G85" s="131">
        <f t="shared" si="11"/>
        <v>0.97222768463920006</v>
      </c>
    </row>
    <row r="86" spans="1:7" x14ac:dyDescent="0.25">
      <c r="A86" s="149">
        <f t="shared" si="13"/>
        <v>68</v>
      </c>
      <c r="B86" s="151">
        <f t="shared" si="12"/>
        <v>9754165.5123008937</v>
      </c>
      <c r="C86" s="151">
        <f t="shared" si="7"/>
        <v>40642.356301253749</v>
      </c>
      <c r="D86" s="151">
        <f t="shared" si="8"/>
        <v>38594.199996841053</v>
      </c>
      <c r="E86" s="151">
        <f t="shared" si="9"/>
        <v>79236.556298094802</v>
      </c>
      <c r="F86" s="151">
        <f t="shared" si="10"/>
        <v>9715571.3123040535</v>
      </c>
      <c r="G86" s="131">
        <f t="shared" si="11"/>
        <v>0.97222768463920006</v>
      </c>
    </row>
    <row r="87" spans="1:7" x14ac:dyDescent="0.25">
      <c r="A87" s="149">
        <f t="shared" si="13"/>
        <v>69</v>
      </c>
      <c r="B87" s="151">
        <f t="shared" si="12"/>
        <v>9715571.3123040535</v>
      </c>
      <c r="C87" s="151">
        <f t="shared" si="7"/>
        <v>40481.547134600245</v>
      </c>
      <c r="D87" s="151">
        <f t="shared" si="8"/>
        <v>38755.009163494564</v>
      </c>
      <c r="E87" s="151">
        <f t="shared" si="9"/>
        <v>79236.556298094802</v>
      </c>
      <c r="F87" s="151">
        <f t="shared" si="10"/>
        <v>9676816.3031405583</v>
      </c>
      <c r="G87" s="131">
        <f t="shared" si="11"/>
        <v>0.97222768463920006</v>
      </c>
    </row>
    <row r="88" spans="1:7" x14ac:dyDescent="0.25">
      <c r="A88" s="149">
        <f t="shared" si="13"/>
        <v>70</v>
      </c>
      <c r="B88" s="151">
        <f t="shared" si="12"/>
        <v>9676816.3031405583</v>
      </c>
      <c r="C88" s="151">
        <f t="shared" si="7"/>
        <v>40320.067929752346</v>
      </c>
      <c r="D88" s="151">
        <f t="shared" si="8"/>
        <v>38916.488368342456</v>
      </c>
      <c r="E88" s="151">
        <f t="shared" si="9"/>
        <v>79236.556298094802</v>
      </c>
      <c r="F88" s="151">
        <f t="shared" si="10"/>
        <v>9637899.8147722166</v>
      </c>
      <c r="G88" s="131">
        <f t="shared" si="11"/>
        <v>0.97222768463920006</v>
      </c>
    </row>
    <row r="89" spans="1:7" x14ac:dyDescent="0.25">
      <c r="A89" s="149">
        <f t="shared" si="13"/>
        <v>71</v>
      </c>
      <c r="B89" s="151">
        <f t="shared" si="12"/>
        <v>9637899.8147722166</v>
      </c>
      <c r="C89" s="151">
        <f t="shared" si="7"/>
        <v>40157.915894884252</v>
      </c>
      <c r="D89" s="151">
        <f t="shared" si="8"/>
        <v>39078.640403210549</v>
      </c>
      <c r="E89" s="151">
        <f t="shared" si="9"/>
        <v>79236.556298094802</v>
      </c>
      <c r="F89" s="151">
        <f t="shared" si="10"/>
        <v>9598821.1743690055</v>
      </c>
      <c r="G89" s="131">
        <f t="shared" si="11"/>
        <v>0.97222768463920006</v>
      </c>
    </row>
    <row r="90" spans="1:7" x14ac:dyDescent="0.25">
      <c r="A90" s="149">
        <f t="shared" si="13"/>
        <v>72</v>
      </c>
      <c r="B90" s="151">
        <f t="shared" si="12"/>
        <v>9598821.1743690055</v>
      </c>
      <c r="C90" s="151">
        <f t="shared" si="7"/>
        <v>39995.08822653754</v>
      </c>
      <c r="D90" s="151">
        <f t="shared" si="8"/>
        <v>39241.468071557261</v>
      </c>
      <c r="E90" s="151">
        <f t="shared" si="9"/>
        <v>79236.556298094802</v>
      </c>
      <c r="F90" s="151">
        <f t="shared" si="10"/>
        <v>9559579.7062974479</v>
      </c>
      <c r="G90" s="131">
        <f t="shared" si="11"/>
        <v>0.97222768463920006</v>
      </c>
    </row>
    <row r="91" spans="1:7" x14ac:dyDescent="0.25">
      <c r="A91" s="149">
        <f t="shared" si="13"/>
        <v>73</v>
      </c>
      <c r="B91" s="151">
        <f t="shared" si="12"/>
        <v>9559579.7062974479</v>
      </c>
      <c r="C91" s="151">
        <f t="shared" si="7"/>
        <v>39831.582109572715</v>
      </c>
      <c r="D91" s="151">
        <f t="shared" si="8"/>
        <v>39404.974188522079</v>
      </c>
      <c r="E91" s="151">
        <f t="shared" si="9"/>
        <v>79236.556298094802</v>
      </c>
      <c r="F91" s="151">
        <f t="shared" si="10"/>
        <v>9520174.7321089264</v>
      </c>
      <c r="G91" s="131">
        <f t="shared" si="11"/>
        <v>0.97222768463920006</v>
      </c>
    </row>
    <row r="92" spans="1:7" x14ac:dyDescent="0.25">
      <c r="A92" s="149">
        <f t="shared" si="13"/>
        <v>74</v>
      </c>
      <c r="B92" s="151">
        <f t="shared" si="12"/>
        <v>9520174.7321089264</v>
      </c>
      <c r="C92" s="151">
        <f t="shared" si="7"/>
        <v>39667.394717120551</v>
      </c>
      <c r="D92" s="151">
        <f t="shared" si="8"/>
        <v>39569.161580974258</v>
      </c>
      <c r="E92" s="151">
        <f t="shared" si="9"/>
        <v>79236.556298094802</v>
      </c>
      <c r="F92" s="151">
        <f t="shared" si="10"/>
        <v>9480605.5705279522</v>
      </c>
      <c r="G92" s="131">
        <f t="shared" si="11"/>
        <v>0.97222768463920006</v>
      </c>
    </row>
    <row r="93" spans="1:7" x14ac:dyDescent="0.25">
      <c r="A93" s="149">
        <f t="shared" si="13"/>
        <v>75</v>
      </c>
      <c r="B93" s="151">
        <f t="shared" si="12"/>
        <v>9480605.5705279522</v>
      </c>
      <c r="C93" s="151">
        <f t="shared" si="7"/>
        <v>39502.523210533152</v>
      </c>
      <c r="D93" s="151">
        <f t="shared" si="8"/>
        <v>39734.033087561642</v>
      </c>
      <c r="E93" s="151">
        <f t="shared" si="9"/>
        <v>79236.556298094802</v>
      </c>
      <c r="F93" s="151">
        <f t="shared" si="10"/>
        <v>9440871.5374403913</v>
      </c>
      <c r="G93" s="131">
        <f t="shared" si="11"/>
        <v>0.97222768463920006</v>
      </c>
    </row>
    <row r="94" spans="1:7" x14ac:dyDescent="0.25">
      <c r="A94" s="149">
        <f t="shared" si="13"/>
        <v>76</v>
      </c>
      <c r="B94" s="151">
        <f t="shared" si="12"/>
        <v>9440871.5374403913</v>
      </c>
      <c r="C94" s="151">
        <f t="shared" si="7"/>
        <v>39336.964739334973</v>
      </c>
      <c r="D94" s="151">
        <f t="shared" si="8"/>
        <v>39899.591558759821</v>
      </c>
      <c r="E94" s="151">
        <f t="shared" si="9"/>
        <v>79236.556298094802</v>
      </c>
      <c r="F94" s="151">
        <f t="shared" si="10"/>
        <v>9400971.9458816312</v>
      </c>
      <c r="G94" s="131">
        <f t="shared" si="11"/>
        <v>0.97222768463920006</v>
      </c>
    </row>
    <row r="95" spans="1:7" x14ac:dyDescent="0.25">
      <c r="A95" s="149">
        <f t="shared" si="13"/>
        <v>77</v>
      </c>
      <c r="B95" s="151">
        <f t="shared" si="12"/>
        <v>9400971.9458816312</v>
      </c>
      <c r="C95" s="151">
        <f t="shared" si="7"/>
        <v>39170.716441173478</v>
      </c>
      <c r="D95" s="151">
        <f t="shared" si="8"/>
        <v>40065.839856921324</v>
      </c>
      <c r="E95" s="151">
        <f t="shared" si="9"/>
        <v>79236.556298094802</v>
      </c>
      <c r="F95" s="151">
        <f t="shared" si="10"/>
        <v>9360906.1060247105</v>
      </c>
      <c r="G95" s="131">
        <f t="shared" si="11"/>
        <v>0.97222768463920006</v>
      </c>
    </row>
    <row r="96" spans="1:7" x14ac:dyDescent="0.25">
      <c r="A96" s="149">
        <f t="shared" si="13"/>
        <v>78</v>
      </c>
      <c r="B96" s="151">
        <f t="shared" si="12"/>
        <v>9360906.1060247105</v>
      </c>
      <c r="C96" s="151">
        <f t="shared" si="7"/>
        <v>39003.775441769649</v>
      </c>
      <c r="D96" s="151">
        <f t="shared" si="8"/>
        <v>40232.78085632516</v>
      </c>
      <c r="E96" s="151">
        <f t="shared" si="9"/>
        <v>79236.556298094802</v>
      </c>
      <c r="F96" s="151">
        <f t="shared" si="10"/>
        <v>9320673.3251683861</v>
      </c>
      <c r="G96" s="131">
        <f t="shared" si="11"/>
        <v>0.97222768463920006</v>
      </c>
    </row>
    <row r="97" spans="1:7" x14ac:dyDescent="0.25">
      <c r="A97" s="149">
        <f t="shared" si="13"/>
        <v>79</v>
      </c>
      <c r="B97" s="151">
        <f t="shared" si="12"/>
        <v>9320673.3251683861</v>
      </c>
      <c r="C97" s="151">
        <f t="shared" si="7"/>
        <v>38836.138854868288</v>
      </c>
      <c r="D97" s="151">
        <f t="shared" si="8"/>
        <v>40400.417443226521</v>
      </c>
      <c r="E97" s="151">
        <f t="shared" si="9"/>
        <v>79236.556298094802</v>
      </c>
      <c r="F97" s="151">
        <f t="shared" si="10"/>
        <v>9280272.9077251591</v>
      </c>
      <c r="G97" s="131">
        <f t="shared" si="11"/>
        <v>0.97222768463920006</v>
      </c>
    </row>
    <row r="98" spans="1:7" x14ac:dyDescent="0.25">
      <c r="A98" s="149">
        <f t="shared" si="13"/>
        <v>80</v>
      </c>
      <c r="B98" s="151">
        <f t="shared" si="12"/>
        <v>9280272.9077251591</v>
      </c>
      <c r="C98" s="151">
        <f t="shared" si="7"/>
        <v>38667.803782188181</v>
      </c>
      <c r="D98" s="151">
        <f t="shared" si="8"/>
        <v>40568.752515906621</v>
      </c>
      <c r="E98" s="151">
        <f t="shared" si="9"/>
        <v>79236.556298094802</v>
      </c>
      <c r="F98" s="151">
        <f t="shared" si="10"/>
        <v>9239704.1552092526</v>
      </c>
      <c r="G98" s="131">
        <f t="shared" si="11"/>
        <v>0.97222768463920006</v>
      </c>
    </row>
    <row r="99" spans="1:7" x14ac:dyDescent="0.25">
      <c r="A99" s="149">
        <f t="shared" si="13"/>
        <v>81</v>
      </c>
      <c r="B99" s="151">
        <f t="shared" si="12"/>
        <v>9239704.1552092526</v>
      </c>
      <c r="C99" s="151">
        <f t="shared" si="7"/>
        <v>38498.767313371893</v>
      </c>
      <c r="D99" s="151">
        <f t="shared" si="8"/>
        <v>40737.788984722909</v>
      </c>
      <c r="E99" s="151">
        <f t="shared" si="9"/>
        <v>79236.556298094802</v>
      </c>
      <c r="F99" s="151">
        <f t="shared" si="10"/>
        <v>9198966.3662245292</v>
      </c>
      <c r="G99" s="131">
        <f t="shared" si="11"/>
        <v>0.97222768463920006</v>
      </c>
    </row>
    <row r="100" spans="1:7" x14ac:dyDescent="0.25">
      <c r="A100" s="149">
        <f t="shared" si="13"/>
        <v>82</v>
      </c>
      <c r="B100" s="151">
        <f t="shared" si="12"/>
        <v>9198966.3662245292</v>
      </c>
      <c r="C100" s="151">
        <f t="shared" si="7"/>
        <v>38329.026525935551</v>
      </c>
      <c r="D100" s="151">
        <f t="shared" si="8"/>
        <v>40907.529772159251</v>
      </c>
      <c r="E100" s="151">
        <f t="shared" si="9"/>
        <v>79236.556298094802</v>
      </c>
      <c r="F100" s="151">
        <f t="shared" si="10"/>
        <v>9158058.8364523705</v>
      </c>
      <c r="G100" s="131">
        <f t="shared" si="11"/>
        <v>0.97222768463920006</v>
      </c>
    </row>
    <row r="101" spans="1:7" x14ac:dyDescent="0.25">
      <c r="A101" s="149">
        <f t="shared" si="13"/>
        <v>83</v>
      </c>
      <c r="B101" s="151">
        <f t="shared" si="12"/>
        <v>9158058.8364523705</v>
      </c>
      <c r="C101" s="151">
        <f t="shared" si="7"/>
        <v>38158.578485218211</v>
      </c>
      <c r="D101" s="151">
        <f t="shared" si="8"/>
        <v>41077.977812876583</v>
      </c>
      <c r="E101" s="151">
        <f t="shared" si="9"/>
        <v>79236.556298094802</v>
      </c>
      <c r="F101" s="151">
        <f t="shared" si="10"/>
        <v>9116980.8586394936</v>
      </c>
      <c r="G101" s="131">
        <f t="shared" si="11"/>
        <v>0.97222768463920006</v>
      </c>
    </row>
    <row r="102" spans="1:7" x14ac:dyDescent="0.25">
      <c r="A102" s="149">
        <f t="shared" si="13"/>
        <v>84</v>
      </c>
      <c r="B102" s="151">
        <f t="shared" si="12"/>
        <v>9116980.8586394936</v>
      </c>
      <c r="C102" s="151">
        <f t="shared" si="7"/>
        <v>37987.420244331232</v>
      </c>
      <c r="D102" s="151">
        <f t="shared" si="8"/>
        <v>41249.13605376357</v>
      </c>
      <c r="E102" s="151">
        <f t="shared" si="9"/>
        <v>79236.556298094802</v>
      </c>
      <c r="F102" s="151">
        <f t="shared" si="10"/>
        <v>9075731.7225857303</v>
      </c>
      <c r="G102" s="131">
        <f t="shared" si="11"/>
        <v>0.97222768463920006</v>
      </c>
    </row>
    <row r="103" spans="1:7" x14ac:dyDescent="0.25">
      <c r="A103" s="149">
        <f t="shared" si="13"/>
        <v>85</v>
      </c>
      <c r="B103" s="151">
        <f t="shared" si="12"/>
        <v>9075731.7225857303</v>
      </c>
      <c r="C103" s="151">
        <f t="shared" si="7"/>
        <v>37815.548844107223</v>
      </c>
      <c r="D103" s="151">
        <f t="shared" si="8"/>
        <v>41421.007453987586</v>
      </c>
      <c r="E103" s="151">
        <f t="shared" si="9"/>
        <v>79236.556298094802</v>
      </c>
      <c r="F103" s="151">
        <f t="shared" si="10"/>
        <v>9034310.7151317429</v>
      </c>
      <c r="G103" s="131">
        <f t="shared" si="11"/>
        <v>0.97222768463920006</v>
      </c>
    </row>
    <row r="104" spans="1:7" x14ac:dyDescent="0.25">
      <c r="A104" s="149">
        <f t="shared" si="13"/>
        <v>86</v>
      </c>
      <c r="B104" s="151">
        <f t="shared" si="12"/>
        <v>9034310.7151317429</v>
      </c>
      <c r="C104" s="151">
        <f t="shared" si="7"/>
        <v>37642.961313048938</v>
      </c>
      <c r="D104" s="151">
        <f t="shared" si="8"/>
        <v>41593.594985045864</v>
      </c>
      <c r="E104" s="151">
        <f t="shared" si="9"/>
        <v>79236.556298094802</v>
      </c>
      <c r="F104" s="151">
        <f t="shared" si="10"/>
        <v>8992717.1201466974</v>
      </c>
      <c r="G104" s="131">
        <f t="shared" si="11"/>
        <v>0.97222768463920006</v>
      </c>
    </row>
    <row r="105" spans="1:7" x14ac:dyDescent="0.25">
      <c r="A105" s="149">
        <f t="shared" si="13"/>
        <v>87</v>
      </c>
      <c r="B105" s="151">
        <f t="shared" si="12"/>
        <v>8992717.1201466974</v>
      </c>
      <c r="C105" s="151">
        <f t="shared" si="7"/>
        <v>37469.654667277915</v>
      </c>
      <c r="D105" s="151">
        <f t="shared" si="8"/>
        <v>41766.901630816887</v>
      </c>
      <c r="E105" s="151">
        <f t="shared" si="9"/>
        <v>79236.556298094802</v>
      </c>
      <c r="F105" s="151">
        <f t="shared" si="10"/>
        <v>8950950.2185158804</v>
      </c>
      <c r="G105" s="131">
        <f t="shared" si="11"/>
        <v>0.97222768463920006</v>
      </c>
    </row>
    <row r="106" spans="1:7" x14ac:dyDescent="0.25">
      <c r="A106" s="149">
        <f t="shared" si="13"/>
        <v>88</v>
      </c>
      <c r="B106" s="151">
        <f t="shared" si="12"/>
        <v>8950950.2185158804</v>
      </c>
      <c r="C106" s="151">
        <f t="shared" si="7"/>
        <v>37295.62591048285</v>
      </c>
      <c r="D106" s="151">
        <f t="shared" si="8"/>
        <v>41940.930387611959</v>
      </c>
      <c r="E106" s="151">
        <f t="shared" si="9"/>
        <v>79236.556298094802</v>
      </c>
      <c r="F106" s="151">
        <f t="shared" si="10"/>
        <v>8909009.288128268</v>
      </c>
      <c r="G106" s="131">
        <f t="shared" si="11"/>
        <v>0.97222768463920006</v>
      </c>
    </row>
    <row r="107" spans="1:7" x14ac:dyDescent="0.25">
      <c r="A107" s="149">
        <f t="shared" si="13"/>
        <v>89</v>
      </c>
      <c r="B107" s="151">
        <f t="shared" si="12"/>
        <v>8909009.288128268</v>
      </c>
      <c r="C107" s="151">
        <f t="shared" si="7"/>
        <v>37120.872033867789</v>
      </c>
      <c r="D107" s="151">
        <f t="shared" si="8"/>
        <v>42115.684264227013</v>
      </c>
      <c r="E107" s="151">
        <f t="shared" si="9"/>
        <v>79236.556298094802</v>
      </c>
      <c r="F107" s="151">
        <f t="shared" si="10"/>
        <v>8866893.6038640402</v>
      </c>
      <c r="G107" s="131">
        <f t="shared" si="11"/>
        <v>0.97222768463920006</v>
      </c>
    </row>
    <row r="108" spans="1:7" x14ac:dyDescent="0.25">
      <c r="A108" s="149">
        <f t="shared" si="13"/>
        <v>90</v>
      </c>
      <c r="B108" s="151">
        <f t="shared" si="12"/>
        <v>8866893.6038640402</v>
      </c>
      <c r="C108" s="151">
        <f t="shared" si="7"/>
        <v>36945.390016100173</v>
      </c>
      <c r="D108" s="151">
        <f t="shared" si="8"/>
        <v>42291.166281994607</v>
      </c>
      <c r="E108" s="151">
        <f t="shared" si="9"/>
        <v>79236.556298094773</v>
      </c>
      <c r="F108" s="151">
        <f t="shared" si="10"/>
        <v>8824602.4375820458</v>
      </c>
      <c r="G108" s="131">
        <f t="shared" si="11"/>
        <v>0.97222768463919962</v>
      </c>
    </row>
    <row r="109" spans="1:7" x14ac:dyDescent="0.25">
      <c r="A109" s="149">
        <f t="shared" si="13"/>
        <v>91</v>
      </c>
      <c r="B109" s="151">
        <f t="shared" si="12"/>
        <v>8824602.4375820458</v>
      </c>
      <c r="C109" s="151">
        <f t="shared" si="7"/>
        <v>36769.176823258531</v>
      </c>
      <c r="D109" s="151">
        <f t="shared" si="8"/>
        <v>42467.379474836263</v>
      </c>
      <c r="E109" s="151">
        <f t="shared" si="9"/>
        <v>79236.556298094802</v>
      </c>
      <c r="F109" s="151">
        <f t="shared" si="10"/>
        <v>8782135.0581072103</v>
      </c>
      <c r="G109" s="131">
        <f t="shared" si="11"/>
        <v>0.97222768463920006</v>
      </c>
    </row>
    <row r="110" spans="1:7" x14ac:dyDescent="0.25">
      <c r="A110" s="149">
        <f t="shared" si="13"/>
        <v>92</v>
      </c>
      <c r="B110" s="151">
        <f t="shared" si="12"/>
        <v>8782135.0581072103</v>
      </c>
      <c r="C110" s="151">
        <f t="shared" si="7"/>
        <v>36592.229408780047</v>
      </c>
      <c r="D110" s="151">
        <f t="shared" si="8"/>
        <v>42644.326889314747</v>
      </c>
      <c r="E110" s="151">
        <f t="shared" si="9"/>
        <v>79236.556298094802</v>
      </c>
      <c r="F110" s="151">
        <f t="shared" si="10"/>
        <v>8739490.7312178947</v>
      </c>
      <c r="G110" s="131">
        <f t="shared" si="11"/>
        <v>0.97222768463920006</v>
      </c>
    </row>
    <row r="111" spans="1:7" x14ac:dyDescent="0.25">
      <c r="A111" s="149">
        <f t="shared" si="13"/>
        <v>93</v>
      </c>
      <c r="B111" s="151">
        <f t="shared" si="12"/>
        <v>8739490.7312178947</v>
      </c>
      <c r="C111" s="151">
        <f t="shared" si="7"/>
        <v>36414.544713407908</v>
      </c>
      <c r="D111" s="151">
        <f t="shared" si="8"/>
        <v>42822.011584686894</v>
      </c>
      <c r="E111" s="151">
        <f t="shared" si="9"/>
        <v>79236.556298094802</v>
      </c>
      <c r="F111" s="151">
        <f t="shared" si="10"/>
        <v>8696668.7196332086</v>
      </c>
      <c r="G111" s="131">
        <f t="shared" si="11"/>
        <v>0.97222768463920006</v>
      </c>
    </row>
    <row r="112" spans="1:7" x14ac:dyDescent="0.25">
      <c r="A112" s="149">
        <f t="shared" si="13"/>
        <v>94</v>
      </c>
      <c r="B112" s="151">
        <f t="shared" si="12"/>
        <v>8696668.7196332086</v>
      </c>
      <c r="C112" s="151">
        <f t="shared" si="7"/>
        <v>36236.119665138387</v>
      </c>
      <c r="D112" s="151">
        <f t="shared" si="8"/>
        <v>43000.436632956422</v>
      </c>
      <c r="E112" s="151">
        <f t="shared" si="9"/>
        <v>79236.556298094802</v>
      </c>
      <c r="F112" s="151">
        <f t="shared" si="10"/>
        <v>8653668.2830002513</v>
      </c>
      <c r="G112" s="131">
        <f t="shared" si="11"/>
        <v>0.97222768463920006</v>
      </c>
    </row>
    <row r="113" spans="1:7" x14ac:dyDescent="0.25">
      <c r="A113" s="149">
        <f t="shared" si="13"/>
        <v>95</v>
      </c>
      <c r="B113" s="151">
        <f t="shared" si="12"/>
        <v>8653668.2830002513</v>
      </c>
      <c r="C113" s="151">
        <f t="shared" si="7"/>
        <v>36056.951179167729</v>
      </c>
      <c r="D113" s="151">
        <f t="shared" si="8"/>
        <v>43179.60511892708</v>
      </c>
      <c r="E113" s="151">
        <f t="shared" si="9"/>
        <v>79236.556298094802</v>
      </c>
      <c r="F113" s="151">
        <f t="shared" si="10"/>
        <v>8610488.6778813247</v>
      </c>
      <c r="G113" s="131">
        <f t="shared" si="11"/>
        <v>0.97222768463920006</v>
      </c>
    </row>
    <row r="114" spans="1:7" x14ac:dyDescent="0.25">
      <c r="A114" s="149">
        <f t="shared" si="13"/>
        <v>96</v>
      </c>
      <c r="B114" s="151">
        <f t="shared" si="12"/>
        <v>8610488.6778813247</v>
      </c>
      <c r="C114" s="151">
        <f t="shared" si="7"/>
        <v>35877.036157838862</v>
      </c>
      <c r="D114" s="151">
        <f t="shared" si="8"/>
        <v>43359.520140255932</v>
      </c>
      <c r="E114" s="151">
        <f t="shared" si="9"/>
        <v>79236.556298094802</v>
      </c>
      <c r="F114" s="151">
        <f t="shared" si="10"/>
        <v>8567129.1577410679</v>
      </c>
      <c r="G114" s="131">
        <f t="shared" si="11"/>
        <v>0.97222768463920006</v>
      </c>
    </row>
    <row r="115" spans="1:7" x14ac:dyDescent="0.25">
      <c r="A115" s="149">
        <f t="shared" si="13"/>
        <v>97</v>
      </c>
      <c r="B115" s="151">
        <f t="shared" si="12"/>
        <v>8567129.1577410679</v>
      </c>
      <c r="C115" s="151">
        <f t="shared" si="7"/>
        <v>35696.371490587801</v>
      </c>
      <c r="D115" s="151">
        <f t="shared" si="8"/>
        <v>43540.184807507001</v>
      </c>
      <c r="E115" s="151">
        <f t="shared" si="9"/>
        <v>79236.556298094802</v>
      </c>
      <c r="F115" s="151">
        <f t="shared" si="10"/>
        <v>8523588.9729335606</v>
      </c>
      <c r="G115" s="131">
        <f t="shared" si="11"/>
        <v>0.97222768463920006</v>
      </c>
    </row>
    <row r="116" spans="1:7" x14ac:dyDescent="0.25">
      <c r="A116" s="149">
        <f t="shared" si="13"/>
        <v>98</v>
      </c>
      <c r="B116" s="151">
        <f t="shared" si="12"/>
        <v>8523588.9729335606</v>
      </c>
      <c r="C116" s="151">
        <f t="shared" si="7"/>
        <v>35514.954053889858</v>
      </c>
      <c r="D116" s="151">
        <f t="shared" si="8"/>
        <v>43721.602244204951</v>
      </c>
      <c r="E116" s="151">
        <f t="shared" si="9"/>
        <v>79236.556298094802</v>
      </c>
      <c r="F116" s="151">
        <f t="shared" si="10"/>
        <v>8479867.3706893548</v>
      </c>
      <c r="G116" s="131">
        <f t="shared" si="11"/>
        <v>0.97222768463920006</v>
      </c>
    </row>
    <row r="117" spans="1:7" x14ac:dyDescent="0.25">
      <c r="A117" s="149">
        <f t="shared" si="13"/>
        <v>99</v>
      </c>
      <c r="B117" s="151">
        <f t="shared" si="12"/>
        <v>8479867.3706893548</v>
      </c>
      <c r="C117" s="151">
        <f t="shared" si="7"/>
        <v>35332.780711205662</v>
      </c>
      <c r="D117" s="151">
        <f t="shared" si="8"/>
        <v>43903.775586889133</v>
      </c>
      <c r="E117" s="151">
        <f t="shared" si="9"/>
        <v>79236.556298094802</v>
      </c>
      <c r="F117" s="151">
        <f t="shared" si="10"/>
        <v>8435963.5951024648</v>
      </c>
      <c r="G117" s="131">
        <f t="shared" si="11"/>
        <v>0.97222768463920006</v>
      </c>
    </row>
    <row r="118" spans="1:7" x14ac:dyDescent="0.25">
      <c r="A118" s="149">
        <f t="shared" si="13"/>
        <v>100</v>
      </c>
      <c r="B118" s="151">
        <f t="shared" si="12"/>
        <v>8435963.5951024648</v>
      </c>
      <c r="C118" s="151">
        <f t="shared" si="7"/>
        <v>35149.848312926959</v>
      </c>
      <c r="D118" s="151">
        <f t="shared" si="8"/>
        <v>44086.707985167843</v>
      </c>
      <c r="E118" s="151">
        <f t="shared" si="9"/>
        <v>79236.556298094802</v>
      </c>
      <c r="F118" s="151">
        <f t="shared" si="10"/>
        <v>8391876.8871172965</v>
      </c>
      <c r="G118" s="131">
        <f t="shared" si="11"/>
        <v>0.97222768463920006</v>
      </c>
    </row>
    <row r="119" spans="1:7" x14ac:dyDescent="0.25">
      <c r="A119" s="149">
        <f t="shared" si="13"/>
        <v>101</v>
      </c>
      <c r="B119" s="151">
        <f t="shared" si="12"/>
        <v>8391876.8871172965</v>
      </c>
      <c r="C119" s="151">
        <f t="shared" si="7"/>
        <v>34966.153696322093</v>
      </c>
      <c r="D119" s="151">
        <f t="shared" si="8"/>
        <v>44270.402601772701</v>
      </c>
      <c r="E119" s="151">
        <f t="shared" si="9"/>
        <v>79236.556298094802</v>
      </c>
      <c r="F119" s="151">
        <f t="shared" si="10"/>
        <v>8347606.4845155235</v>
      </c>
      <c r="G119" s="131">
        <f t="shared" si="11"/>
        <v>0.97222768463920006</v>
      </c>
    </row>
    <row r="120" spans="1:7" x14ac:dyDescent="0.25">
      <c r="A120" s="149">
        <f t="shared" si="13"/>
        <v>102</v>
      </c>
      <c r="B120" s="151">
        <f t="shared" si="12"/>
        <v>8347606.4845155235</v>
      </c>
      <c r="C120" s="151">
        <f t="shared" si="7"/>
        <v>34781.693685481368</v>
      </c>
      <c r="D120" s="151">
        <f t="shared" si="8"/>
        <v>44454.862612613419</v>
      </c>
      <c r="E120" s="151">
        <f t="shared" si="9"/>
        <v>79236.556298094787</v>
      </c>
      <c r="F120" s="151">
        <f t="shared" si="10"/>
        <v>8303151.6219029101</v>
      </c>
      <c r="G120" s="131">
        <f t="shared" si="11"/>
        <v>0.97222768463919984</v>
      </c>
    </row>
    <row r="121" spans="1:7" x14ac:dyDescent="0.25">
      <c r="A121" s="149">
        <f t="shared" si="13"/>
        <v>103</v>
      </c>
      <c r="B121" s="151">
        <f t="shared" si="12"/>
        <v>8303151.6219029101</v>
      </c>
      <c r="C121" s="151">
        <f t="shared" si="7"/>
        <v>34596.465091262158</v>
      </c>
      <c r="D121" s="151">
        <f t="shared" si="8"/>
        <v>44640.091206832651</v>
      </c>
      <c r="E121" s="151">
        <f t="shared" si="9"/>
        <v>79236.556298094802</v>
      </c>
      <c r="F121" s="151">
        <f t="shared" si="10"/>
        <v>8258511.5306960773</v>
      </c>
      <c r="G121" s="131">
        <f t="shared" si="11"/>
        <v>0.97222768463920006</v>
      </c>
    </row>
    <row r="122" spans="1:7" x14ac:dyDescent="0.25">
      <c r="A122" s="149">
        <f t="shared" si="13"/>
        <v>104</v>
      </c>
      <c r="B122" s="151">
        <f t="shared" si="12"/>
        <v>8258511.5306960773</v>
      </c>
      <c r="C122" s="151">
        <f t="shared" si="7"/>
        <v>34410.464711233682</v>
      </c>
      <c r="D122" s="151">
        <f t="shared" si="8"/>
        <v>44826.091586861112</v>
      </c>
      <c r="E122" s="151">
        <f t="shared" si="9"/>
        <v>79236.556298094802</v>
      </c>
      <c r="F122" s="151">
        <f t="shared" si="10"/>
        <v>8213685.4391092164</v>
      </c>
      <c r="G122" s="131">
        <f t="shared" si="11"/>
        <v>0.97222768463920006</v>
      </c>
    </row>
    <row r="123" spans="1:7" x14ac:dyDescent="0.25">
      <c r="A123" s="149">
        <f t="shared" si="13"/>
        <v>105</v>
      </c>
      <c r="B123" s="151">
        <f t="shared" si="12"/>
        <v>8213685.4391092164</v>
      </c>
      <c r="C123" s="151">
        <f t="shared" si="7"/>
        <v>34223.689329621768</v>
      </c>
      <c r="D123" s="151">
        <f t="shared" si="8"/>
        <v>45012.866968473041</v>
      </c>
      <c r="E123" s="151">
        <f t="shared" si="9"/>
        <v>79236.556298094802</v>
      </c>
      <c r="F123" s="151">
        <f t="shared" si="10"/>
        <v>8168672.572140743</v>
      </c>
      <c r="G123" s="131">
        <f t="shared" si="11"/>
        <v>0.97222768463920006</v>
      </c>
    </row>
    <row r="124" spans="1:7" x14ac:dyDescent="0.25">
      <c r="A124" s="149">
        <f t="shared" si="13"/>
        <v>106</v>
      </c>
      <c r="B124" s="151">
        <f t="shared" si="12"/>
        <v>8168672.572140743</v>
      </c>
      <c r="C124" s="151">
        <f t="shared" si="7"/>
        <v>34036.135717253128</v>
      </c>
      <c r="D124" s="151">
        <f t="shared" si="8"/>
        <v>45200.420580841681</v>
      </c>
      <c r="E124" s="151">
        <f t="shared" si="9"/>
        <v>79236.556298094802</v>
      </c>
      <c r="F124" s="151">
        <f t="shared" si="10"/>
        <v>8123472.1515599014</v>
      </c>
      <c r="G124" s="131">
        <f t="shared" si="11"/>
        <v>0.97222768463920006</v>
      </c>
    </row>
    <row r="125" spans="1:7" x14ac:dyDescent="0.25">
      <c r="A125" s="149">
        <f t="shared" si="13"/>
        <v>107</v>
      </c>
      <c r="B125" s="151">
        <f t="shared" si="12"/>
        <v>8123472.1515599014</v>
      </c>
      <c r="C125" s="151">
        <f t="shared" si="7"/>
        <v>33847.800631499609</v>
      </c>
      <c r="D125" s="151">
        <f t="shared" si="8"/>
        <v>45388.755666595178</v>
      </c>
      <c r="E125" s="151">
        <f t="shared" si="9"/>
        <v>79236.556298094787</v>
      </c>
      <c r="F125" s="151">
        <f t="shared" si="10"/>
        <v>8078083.3958933065</v>
      </c>
      <c r="G125" s="131">
        <f t="shared" si="11"/>
        <v>0.97222768463919984</v>
      </c>
    </row>
    <row r="126" spans="1:7" x14ac:dyDescent="0.25">
      <c r="A126" s="149">
        <f t="shared" si="13"/>
        <v>108</v>
      </c>
      <c r="B126" s="151">
        <f t="shared" si="12"/>
        <v>8078083.3958933065</v>
      </c>
      <c r="C126" s="151">
        <f t="shared" si="7"/>
        <v>33658.680816222135</v>
      </c>
      <c r="D126" s="151">
        <f t="shared" si="8"/>
        <v>45577.875481872667</v>
      </c>
      <c r="E126" s="151">
        <f t="shared" si="9"/>
        <v>79236.556298094802</v>
      </c>
      <c r="F126" s="151">
        <f t="shared" si="10"/>
        <v>8032505.5204114337</v>
      </c>
      <c r="G126" s="131">
        <f t="shared" si="11"/>
        <v>0.97222768463920006</v>
      </c>
    </row>
    <row r="127" spans="1:7" x14ac:dyDescent="0.25">
      <c r="A127" s="149">
        <f t="shared" si="13"/>
        <v>109</v>
      </c>
      <c r="B127" s="151">
        <f t="shared" si="12"/>
        <v>8032505.5204114337</v>
      </c>
      <c r="C127" s="151">
        <f t="shared" si="7"/>
        <v>33468.773001714333</v>
      </c>
      <c r="D127" s="151">
        <f t="shared" si="8"/>
        <v>45767.783296380469</v>
      </c>
      <c r="E127" s="151">
        <f t="shared" si="9"/>
        <v>79236.556298094802</v>
      </c>
      <c r="F127" s="151">
        <f t="shared" si="10"/>
        <v>7986737.7371150535</v>
      </c>
      <c r="G127" s="131">
        <f t="shared" si="11"/>
        <v>0.97222768463920006</v>
      </c>
    </row>
    <row r="128" spans="1:7" x14ac:dyDescent="0.25">
      <c r="A128" s="149">
        <f t="shared" si="13"/>
        <v>110</v>
      </c>
      <c r="B128" s="151">
        <f t="shared" si="12"/>
        <v>7986737.7371150535</v>
      </c>
      <c r="C128" s="151">
        <f t="shared" si="7"/>
        <v>33278.07390464608</v>
      </c>
      <c r="D128" s="151">
        <f t="shared" si="8"/>
        <v>45958.482393448714</v>
      </c>
      <c r="E128" s="151">
        <f t="shared" si="9"/>
        <v>79236.556298094802</v>
      </c>
      <c r="F128" s="151">
        <f t="shared" si="10"/>
        <v>7940779.2547216043</v>
      </c>
      <c r="G128" s="131">
        <f t="shared" si="11"/>
        <v>0.97222768463920006</v>
      </c>
    </row>
    <row r="129" spans="1:7" x14ac:dyDescent="0.25">
      <c r="A129" s="149">
        <f t="shared" si="13"/>
        <v>111</v>
      </c>
      <c r="B129" s="151">
        <f t="shared" si="12"/>
        <v>7940779.2547216043</v>
      </c>
      <c r="C129" s="151">
        <f t="shared" si="7"/>
        <v>33086.580228006715</v>
      </c>
      <c r="D129" s="151">
        <f t="shared" si="8"/>
        <v>46149.976070088087</v>
      </c>
      <c r="E129" s="151">
        <f t="shared" si="9"/>
        <v>79236.556298094802</v>
      </c>
      <c r="F129" s="151">
        <f t="shared" si="10"/>
        <v>7894629.278651516</v>
      </c>
      <c r="G129" s="131">
        <f t="shared" si="11"/>
        <v>0.97222768463920006</v>
      </c>
    </row>
    <row r="130" spans="1:7" x14ac:dyDescent="0.25">
      <c r="A130" s="149">
        <f t="shared" si="13"/>
        <v>112</v>
      </c>
      <c r="B130" s="151">
        <f t="shared" si="12"/>
        <v>7894629.278651516</v>
      </c>
      <c r="C130" s="151">
        <f t="shared" si="7"/>
        <v>32894.288661048013</v>
      </c>
      <c r="D130" s="151">
        <f t="shared" si="8"/>
        <v>46342.267637046789</v>
      </c>
      <c r="E130" s="151">
        <f t="shared" si="9"/>
        <v>79236.556298094802</v>
      </c>
      <c r="F130" s="151">
        <f t="shared" si="10"/>
        <v>7848287.011014469</v>
      </c>
      <c r="G130" s="131">
        <f t="shared" si="11"/>
        <v>0.97222768463920006</v>
      </c>
    </row>
    <row r="131" spans="1:7" x14ac:dyDescent="0.25">
      <c r="A131" s="149">
        <f t="shared" si="13"/>
        <v>113</v>
      </c>
      <c r="B131" s="151">
        <f t="shared" si="12"/>
        <v>7848287.011014469</v>
      </c>
      <c r="C131" s="151">
        <f t="shared" si="7"/>
        <v>32701.195879226991</v>
      </c>
      <c r="D131" s="151">
        <f t="shared" si="8"/>
        <v>46535.360418867815</v>
      </c>
      <c r="E131" s="151">
        <f t="shared" si="9"/>
        <v>79236.556298094802</v>
      </c>
      <c r="F131" s="151">
        <f t="shared" si="10"/>
        <v>7801751.6505956007</v>
      </c>
      <c r="G131" s="131">
        <f t="shared" si="11"/>
        <v>0.97222768463920006</v>
      </c>
    </row>
    <row r="132" spans="1:7" x14ac:dyDescent="0.25">
      <c r="A132" s="149">
        <f t="shared" si="13"/>
        <v>114</v>
      </c>
      <c r="B132" s="151">
        <f t="shared" si="12"/>
        <v>7801751.6505956007</v>
      </c>
      <c r="C132" s="151">
        <f t="shared" si="7"/>
        <v>32507.298544148372</v>
      </c>
      <c r="D132" s="151">
        <f t="shared" si="8"/>
        <v>46729.257753946433</v>
      </c>
      <c r="E132" s="151">
        <f t="shared" si="9"/>
        <v>79236.556298094802</v>
      </c>
      <c r="F132" s="151">
        <f t="shared" si="10"/>
        <v>7755022.3928416539</v>
      </c>
      <c r="G132" s="131">
        <f t="shared" si="11"/>
        <v>0.97222768463920006</v>
      </c>
    </row>
    <row r="133" spans="1:7" x14ac:dyDescent="0.25">
      <c r="A133" s="149">
        <f t="shared" si="13"/>
        <v>115</v>
      </c>
      <c r="B133" s="151">
        <f t="shared" si="12"/>
        <v>7755022.3928416539</v>
      </c>
      <c r="C133" s="151">
        <f t="shared" si="7"/>
        <v>32312.593303506925</v>
      </c>
      <c r="D133" s="151">
        <f t="shared" si="8"/>
        <v>46923.96299458787</v>
      </c>
      <c r="E133" s="151">
        <f t="shared" si="9"/>
        <v>79236.556298094802</v>
      </c>
      <c r="F133" s="151">
        <f t="shared" si="10"/>
        <v>7708098.4298470663</v>
      </c>
      <c r="G133" s="131">
        <f t="shared" si="11"/>
        <v>0.97222768463920006</v>
      </c>
    </row>
    <row r="134" spans="1:7" x14ac:dyDescent="0.25">
      <c r="A134" s="149">
        <f t="shared" si="13"/>
        <v>116</v>
      </c>
      <c r="B134" s="151">
        <f t="shared" si="12"/>
        <v>7708098.4298470663</v>
      </c>
      <c r="C134" s="151">
        <f t="shared" si="7"/>
        <v>32117.076791029478</v>
      </c>
      <c r="D134" s="151">
        <f t="shared" si="8"/>
        <v>47119.479507065313</v>
      </c>
      <c r="E134" s="151">
        <f t="shared" si="9"/>
        <v>79236.556298094787</v>
      </c>
      <c r="F134" s="151">
        <f t="shared" si="10"/>
        <v>7660978.9503400009</v>
      </c>
      <c r="G134" s="131">
        <f t="shared" si="11"/>
        <v>0.97222768463919984</v>
      </c>
    </row>
    <row r="135" spans="1:7" x14ac:dyDescent="0.25">
      <c r="A135" s="149">
        <f t="shared" si="13"/>
        <v>117</v>
      </c>
      <c r="B135" s="151">
        <f t="shared" si="12"/>
        <v>7660978.9503400009</v>
      </c>
      <c r="C135" s="151">
        <f t="shared" si="7"/>
        <v>31920.745626416712</v>
      </c>
      <c r="D135" s="151">
        <f t="shared" si="8"/>
        <v>47315.810671678097</v>
      </c>
      <c r="E135" s="151">
        <f t="shared" si="9"/>
        <v>79236.556298094802</v>
      </c>
      <c r="F135" s="151">
        <f t="shared" si="10"/>
        <v>7613663.1396683231</v>
      </c>
      <c r="G135" s="131">
        <f t="shared" si="11"/>
        <v>0.97222768463920006</v>
      </c>
    </row>
    <row r="136" spans="1:7" x14ac:dyDescent="0.25">
      <c r="A136" s="149">
        <f t="shared" si="13"/>
        <v>118</v>
      </c>
      <c r="B136" s="151">
        <f t="shared" si="12"/>
        <v>7613663.1396683231</v>
      </c>
      <c r="C136" s="151">
        <f t="shared" si="7"/>
        <v>31723.596415284712</v>
      </c>
      <c r="D136" s="151">
        <f t="shared" si="8"/>
        <v>47512.959882810086</v>
      </c>
      <c r="E136" s="151">
        <f t="shared" si="9"/>
        <v>79236.556298094802</v>
      </c>
      <c r="F136" s="151">
        <f t="shared" si="10"/>
        <v>7566150.1797855133</v>
      </c>
      <c r="G136" s="131">
        <f t="shared" si="11"/>
        <v>0.97222768463920006</v>
      </c>
    </row>
    <row r="137" spans="1:7" x14ac:dyDescent="0.25">
      <c r="A137" s="149">
        <f t="shared" si="13"/>
        <v>119</v>
      </c>
      <c r="B137" s="151">
        <f t="shared" si="12"/>
        <v>7566150.1797855133</v>
      </c>
      <c r="C137" s="151">
        <f t="shared" si="7"/>
        <v>31525.625749106337</v>
      </c>
      <c r="D137" s="151">
        <f t="shared" si="8"/>
        <v>47710.930548988457</v>
      </c>
      <c r="E137" s="151">
        <f t="shared" si="9"/>
        <v>79236.556298094802</v>
      </c>
      <c r="F137" s="151">
        <f t="shared" si="10"/>
        <v>7518439.249236525</v>
      </c>
      <c r="G137" s="131">
        <f t="shared" si="11"/>
        <v>0.97222768463920006</v>
      </c>
    </row>
    <row r="138" spans="1:7" x14ac:dyDescent="0.25">
      <c r="A138" s="149">
        <f t="shared" si="13"/>
        <v>120</v>
      </c>
      <c r="B138" s="151">
        <f t="shared" si="12"/>
        <v>7518439.249236525</v>
      </c>
      <c r="C138" s="151">
        <f t="shared" si="7"/>
        <v>31326.830205152215</v>
      </c>
      <c r="D138" s="151">
        <f t="shared" si="8"/>
        <v>47909.726092942583</v>
      </c>
      <c r="E138" s="151">
        <f t="shared" si="9"/>
        <v>79236.556298094802</v>
      </c>
      <c r="F138" s="151">
        <f t="shared" si="10"/>
        <v>7470529.523143582</v>
      </c>
      <c r="G138" s="131">
        <f t="shared" si="11"/>
        <v>0.97222768463920006</v>
      </c>
    </row>
    <row r="139" spans="1:7" x14ac:dyDescent="0.25">
      <c r="A139" s="149">
        <f t="shared" si="13"/>
        <v>121</v>
      </c>
      <c r="B139" s="151">
        <f t="shared" si="12"/>
        <v>7470529.523143582</v>
      </c>
      <c r="C139" s="151">
        <f t="shared" si="7"/>
        <v>31127.206346431631</v>
      </c>
      <c r="D139" s="151">
        <f t="shared" si="8"/>
        <v>48109.349951663171</v>
      </c>
      <c r="E139" s="151">
        <f t="shared" si="9"/>
        <v>79236.556298094802</v>
      </c>
      <c r="F139" s="151">
        <f t="shared" si="10"/>
        <v>7422420.173191919</v>
      </c>
      <c r="G139" s="131">
        <f t="shared" si="11"/>
        <v>0.97222768463920006</v>
      </c>
    </row>
    <row r="140" spans="1:7" x14ac:dyDescent="0.25">
      <c r="A140" s="149">
        <f t="shared" si="13"/>
        <v>122</v>
      </c>
      <c r="B140" s="151">
        <f t="shared" si="12"/>
        <v>7422420.173191919</v>
      </c>
      <c r="C140" s="151">
        <f t="shared" si="7"/>
        <v>30926.750721633027</v>
      </c>
      <c r="D140" s="151">
        <f t="shared" si="8"/>
        <v>48309.805576461767</v>
      </c>
      <c r="E140" s="151">
        <f t="shared" si="9"/>
        <v>79236.556298094802</v>
      </c>
      <c r="F140" s="151">
        <f t="shared" si="10"/>
        <v>7374110.3676154576</v>
      </c>
      <c r="G140" s="131">
        <f t="shared" si="11"/>
        <v>0.97222768463920006</v>
      </c>
    </row>
    <row r="141" spans="1:7" x14ac:dyDescent="0.25">
      <c r="A141" s="149">
        <f t="shared" si="13"/>
        <v>123</v>
      </c>
      <c r="B141" s="151">
        <f t="shared" si="12"/>
        <v>7374110.3676154576</v>
      </c>
      <c r="C141" s="151">
        <f t="shared" si="7"/>
        <v>30725.459865064433</v>
      </c>
      <c r="D141" s="151">
        <f t="shared" si="8"/>
        <v>48511.096433030361</v>
      </c>
      <c r="E141" s="151">
        <f t="shared" si="9"/>
        <v>79236.556298094802</v>
      </c>
      <c r="F141" s="151">
        <f t="shared" si="10"/>
        <v>7325599.2711824272</v>
      </c>
      <c r="G141" s="131">
        <f t="shared" si="11"/>
        <v>0.97222768463920006</v>
      </c>
    </row>
    <row r="142" spans="1:7" x14ac:dyDescent="0.25">
      <c r="A142" s="149">
        <f t="shared" si="13"/>
        <v>124</v>
      </c>
      <c r="B142" s="151">
        <f t="shared" si="12"/>
        <v>7325599.2711824272</v>
      </c>
      <c r="C142" s="151">
        <f t="shared" si="7"/>
        <v>30523.330296593478</v>
      </c>
      <c r="D142" s="151">
        <f t="shared" si="8"/>
        <v>48713.226001501323</v>
      </c>
      <c r="E142" s="151">
        <f t="shared" si="9"/>
        <v>79236.556298094802</v>
      </c>
      <c r="F142" s="151">
        <f t="shared" si="10"/>
        <v>7276886.0451809261</v>
      </c>
      <c r="G142" s="131">
        <f t="shared" si="11"/>
        <v>0.97222768463920006</v>
      </c>
    </row>
    <row r="143" spans="1:7" x14ac:dyDescent="0.25">
      <c r="A143" s="149">
        <f t="shared" si="13"/>
        <v>125</v>
      </c>
      <c r="B143" s="151">
        <f t="shared" si="12"/>
        <v>7276886.0451809261</v>
      </c>
      <c r="C143" s="151">
        <f t="shared" si="7"/>
        <v>30320.358521587223</v>
      </c>
      <c r="D143" s="151">
        <f t="shared" si="8"/>
        <v>48916.197776507579</v>
      </c>
      <c r="E143" s="151">
        <f t="shared" si="9"/>
        <v>79236.556298094802</v>
      </c>
      <c r="F143" s="151">
        <f t="shared" si="10"/>
        <v>7227969.8474044185</v>
      </c>
      <c r="G143" s="131">
        <f t="shared" si="11"/>
        <v>0.97222768463920006</v>
      </c>
    </row>
    <row r="144" spans="1:7" x14ac:dyDescent="0.25">
      <c r="A144" s="149">
        <f t="shared" si="13"/>
        <v>126</v>
      </c>
      <c r="B144" s="151">
        <f t="shared" si="12"/>
        <v>7227969.8474044185</v>
      </c>
      <c r="C144" s="151">
        <f t="shared" si="7"/>
        <v>30116.541030851775</v>
      </c>
      <c r="D144" s="151">
        <f t="shared" si="8"/>
        <v>49120.015267243027</v>
      </c>
      <c r="E144" s="151">
        <f t="shared" si="9"/>
        <v>79236.556298094802</v>
      </c>
      <c r="F144" s="151">
        <f t="shared" si="10"/>
        <v>7178849.8321371758</v>
      </c>
      <c r="G144" s="131">
        <f t="shared" si="11"/>
        <v>0.97222768463920006</v>
      </c>
    </row>
    <row r="145" spans="1:7" x14ac:dyDescent="0.25">
      <c r="A145" s="149">
        <f t="shared" si="13"/>
        <v>127</v>
      </c>
      <c r="B145" s="151">
        <f t="shared" si="12"/>
        <v>7178849.8321371758</v>
      </c>
      <c r="C145" s="151">
        <f t="shared" si="7"/>
        <v>29911.874300571591</v>
      </c>
      <c r="D145" s="151">
        <f t="shared" si="8"/>
        <v>49324.681997523199</v>
      </c>
      <c r="E145" s="151">
        <f t="shared" si="9"/>
        <v>79236.556298094787</v>
      </c>
      <c r="F145" s="151">
        <f t="shared" si="10"/>
        <v>7129525.1501396522</v>
      </c>
      <c r="G145" s="131">
        <f t="shared" si="11"/>
        <v>0.97222768463919984</v>
      </c>
    </row>
    <row r="146" spans="1:7" x14ac:dyDescent="0.25">
      <c r="A146" s="149">
        <f t="shared" si="13"/>
        <v>128</v>
      </c>
      <c r="B146" s="151">
        <f t="shared" si="12"/>
        <v>7129525.1501396522</v>
      </c>
      <c r="C146" s="151">
        <f t="shared" si="7"/>
        <v>29706.354792248581</v>
      </c>
      <c r="D146" s="151">
        <f t="shared" si="8"/>
        <v>49530.20150584622</v>
      </c>
      <c r="E146" s="151">
        <f t="shared" si="9"/>
        <v>79236.556298094802</v>
      </c>
      <c r="F146" s="151">
        <f t="shared" si="10"/>
        <v>7079994.9486338058</v>
      </c>
      <c r="G146" s="131">
        <f t="shared" si="11"/>
        <v>0.97222768463920006</v>
      </c>
    </row>
    <row r="147" spans="1:7" x14ac:dyDescent="0.25">
      <c r="A147" s="149">
        <f t="shared" si="13"/>
        <v>129</v>
      </c>
      <c r="B147" s="151">
        <f t="shared" si="12"/>
        <v>7079994.9486338058</v>
      </c>
      <c r="C147" s="151">
        <f t="shared" ref="C147:C150" si="14">IF(ISERROR(IPMT(C$6/12,A147,$C$8,-$B$19,0)),0,IPMT(C$6/12,A147,$C$8,-$B$19,0))</f>
        <v>29499.978952640889</v>
      </c>
      <c r="D147" s="151">
        <f t="shared" ref="D147:D150" si="15">IF(ISERROR(PPMT($C$6/12,$A147,$C$8,-$B$19,0)),0,PPMT($C$6/12,$A147,$C$8,-$B$19,0))</f>
        <v>49736.577345453908</v>
      </c>
      <c r="E147" s="151">
        <f t="shared" ref="E147:E150" si="16">+C147+D147</f>
        <v>79236.556298094802</v>
      </c>
      <c r="F147" s="151">
        <f t="shared" ref="F147:F150" si="17">+B147-D147</f>
        <v>7030258.3712883517</v>
      </c>
      <c r="G147" s="131">
        <f t="shared" ref="G147:G150" si="18">E147/$C$10</f>
        <v>0.97222768463920006</v>
      </c>
    </row>
    <row r="148" spans="1:7" x14ac:dyDescent="0.25">
      <c r="A148" s="149">
        <f t="shared" si="13"/>
        <v>130</v>
      </c>
      <c r="B148" s="151">
        <f t="shared" ref="B148:B150" si="19">+F147</f>
        <v>7030258.3712883517</v>
      </c>
      <c r="C148" s="151">
        <f t="shared" si="14"/>
        <v>29292.743213701495</v>
      </c>
      <c r="D148" s="151">
        <f t="shared" si="15"/>
        <v>49943.813084393303</v>
      </c>
      <c r="E148" s="151">
        <f t="shared" si="16"/>
        <v>79236.556298094802</v>
      </c>
      <c r="F148" s="151">
        <f t="shared" si="17"/>
        <v>6980314.558203958</v>
      </c>
      <c r="G148" s="131">
        <f t="shared" si="18"/>
        <v>0.97222768463920006</v>
      </c>
    </row>
    <row r="149" spans="1:7" x14ac:dyDescent="0.25">
      <c r="A149" s="149">
        <f t="shared" ref="A149:A150" si="20">A148+1</f>
        <v>131</v>
      </c>
      <c r="B149" s="151">
        <f t="shared" si="19"/>
        <v>6980314.558203958</v>
      </c>
      <c r="C149" s="151">
        <f t="shared" si="14"/>
        <v>29084.643992516525</v>
      </c>
      <c r="D149" s="151">
        <f t="shared" si="15"/>
        <v>50151.912305578277</v>
      </c>
      <c r="E149" s="151">
        <f t="shared" si="16"/>
        <v>79236.556298094802</v>
      </c>
      <c r="F149" s="151">
        <f t="shared" si="17"/>
        <v>6930162.6458983794</v>
      </c>
      <c r="G149" s="131">
        <f t="shared" si="18"/>
        <v>0.97222768463920006</v>
      </c>
    </row>
    <row r="150" spans="1:7" x14ac:dyDescent="0.25">
      <c r="A150" s="149">
        <f t="shared" si="20"/>
        <v>132</v>
      </c>
      <c r="B150" s="151">
        <f t="shared" si="19"/>
        <v>6930162.6458983794</v>
      </c>
      <c r="C150" s="151">
        <f t="shared" si="14"/>
        <v>28875.677691243283</v>
      </c>
      <c r="D150" s="151">
        <f t="shared" si="15"/>
        <v>50360.878606851526</v>
      </c>
      <c r="E150" s="151">
        <f t="shared" si="16"/>
        <v>79236.556298094802</v>
      </c>
      <c r="F150" s="151">
        <f t="shared" si="17"/>
        <v>6879801.7672915282</v>
      </c>
      <c r="G150" s="131">
        <f t="shared" si="18"/>
        <v>0.97222768463920006</v>
      </c>
    </row>
  </sheetData>
  <pageMargins left="0.5" right="0.5" top="0.5" bottom="0.5" header="0.5" footer="0.5"/>
  <pageSetup scale="90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0"/>
  <sheetViews>
    <sheetView showGridLines="0" workbookViewId="0"/>
  </sheetViews>
  <sheetFormatPr defaultColWidth="9.33203125" defaultRowHeight="13.8" x14ac:dyDescent="0.25"/>
  <cols>
    <col min="1" max="1" width="12.6640625" style="134" customWidth="1"/>
    <col min="2" max="2" width="15" style="134" bestFit="1" customWidth="1"/>
    <col min="3" max="5" width="12.6640625" style="134" customWidth="1"/>
    <col min="6" max="6" width="15" style="134" bestFit="1" customWidth="1"/>
    <col min="7" max="9" width="12.6640625" style="134" customWidth="1"/>
    <col min="10" max="16384" width="9.33203125" style="134"/>
  </cols>
  <sheetData>
    <row r="1" spans="1:11" ht="14.4" thickBot="1" x14ac:dyDescent="0.3">
      <c r="A1" s="132" t="s">
        <v>1027</v>
      </c>
      <c r="B1" s="133"/>
      <c r="C1" s="133"/>
      <c r="D1" s="133"/>
      <c r="E1" s="133"/>
      <c r="F1" s="133"/>
      <c r="G1" s="133"/>
      <c r="H1" s="133"/>
    </row>
    <row r="2" spans="1:11" x14ac:dyDescent="0.25">
      <c r="A2" s="135"/>
    </row>
    <row r="3" spans="1:11" x14ac:dyDescent="0.25">
      <c r="A3" s="136"/>
      <c r="E3" s="137"/>
    </row>
    <row r="4" spans="1:11" ht="15" customHeight="1" x14ac:dyDescent="0.25">
      <c r="A4" s="134" t="s">
        <v>1024</v>
      </c>
      <c r="C4" s="156">
        <f>10394965</f>
        <v>10394965</v>
      </c>
      <c r="D4" s="137"/>
    </row>
    <row r="5" spans="1:11" ht="15" customHeight="1" x14ac:dyDescent="0.25">
      <c r="A5" s="67"/>
      <c r="B5" s="67"/>
      <c r="C5" s="157"/>
      <c r="D5" s="139"/>
      <c r="E5" s="140"/>
      <c r="G5" s="141"/>
    </row>
    <row r="6" spans="1:11" ht="15" customHeight="1" x14ac:dyDescent="0.25">
      <c r="A6" s="134" t="s">
        <v>29</v>
      </c>
      <c r="C6" s="158">
        <v>0.05</v>
      </c>
      <c r="D6" s="139"/>
      <c r="E6" s="140"/>
      <c r="G6" s="80"/>
    </row>
    <row r="7" spans="1:11" ht="15" customHeight="1" x14ac:dyDescent="0.25">
      <c r="A7" s="136"/>
      <c r="C7" s="159"/>
      <c r="D7" s="139"/>
      <c r="E7" s="140"/>
      <c r="G7" s="80"/>
    </row>
    <row r="8" spans="1:11" ht="15" customHeight="1" x14ac:dyDescent="0.25">
      <c r="A8" s="134" t="s">
        <v>30</v>
      </c>
      <c r="C8" s="160">
        <f>20*12</f>
        <v>240</v>
      </c>
      <c r="D8" s="139"/>
      <c r="F8" s="140"/>
      <c r="G8" s="67"/>
    </row>
    <row r="9" spans="1:11" ht="15" customHeight="1" x14ac:dyDescent="0.25">
      <c r="A9" s="136"/>
      <c r="D9" s="137"/>
      <c r="E9" s="140"/>
      <c r="G9" s="67"/>
    </row>
    <row r="10" spans="1:11" ht="15" customHeight="1" x14ac:dyDescent="0.25">
      <c r="A10" s="140" t="s">
        <v>28</v>
      </c>
      <c r="C10" s="160">
        <v>67946</v>
      </c>
      <c r="D10" s="137"/>
      <c r="E10" s="140"/>
      <c r="G10" s="67"/>
      <c r="I10" s="144"/>
    </row>
    <row r="11" spans="1:11" ht="15" customHeight="1" x14ac:dyDescent="0.25">
      <c r="D11" s="137"/>
      <c r="E11" s="140"/>
      <c r="G11" s="67"/>
      <c r="K11" s="144"/>
    </row>
    <row r="12" spans="1:11" ht="15" customHeight="1" x14ac:dyDescent="0.25">
      <c r="A12" s="136"/>
      <c r="D12" s="137"/>
      <c r="F12" s="140"/>
    </row>
    <row r="13" spans="1:11" ht="15" customHeight="1" x14ac:dyDescent="0.25">
      <c r="B13" s="145" t="s">
        <v>31</v>
      </c>
      <c r="F13" s="145" t="s">
        <v>32</v>
      </c>
    </row>
    <row r="14" spans="1:11" ht="15" customHeight="1" x14ac:dyDescent="0.25">
      <c r="A14" s="145" t="s">
        <v>33</v>
      </c>
      <c r="B14" s="145" t="s">
        <v>34</v>
      </c>
      <c r="C14" s="146" t="s">
        <v>33</v>
      </c>
      <c r="D14" s="146"/>
      <c r="E14" s="147"/>
      <c r="F14" s="145" t="s">
        <v>34</v>
      </c>
    </row>
    <row r="15" spans="1:11" ht="15" customHeight="1" x14ac:dyDescent="0.25">
      <c r="A15" s="145"/>
      <c r="B15" s="145"/>
      <c r="C15" s="148" t="s">
        <v>35</v>
      </c>
      <c r="D15" s="148"/>
      <c r="E15" s="148"/>
      <c r="F15" s="145"/>
    </row>
    <row r="16" spans="1:11" ht="15" customHeight="1" x14ac:dyDescent="0.25">
      <c r="A16" s="145" t="s">
        <v>36</v>
      </c>
      <c r="B16" s="145" t="s">
        <v>37</v>
      </c>
      <c r="C16" s="145" t="s">
        <v>38</v>
      </c>
      <c r="D16" s="145" t="s">
        <v>34</v>
      </c>
      <c r="E16" s="145" t="s">
        <v>39</v>
      </c>
      <c r="F16" s="145" t="s">
        <v>37</v>
      </c>
      <c r="G16" s="145" t="s">
        <v>40</v>
      </c>
    </row>
    <row r="17" spans="1:13" ht="15" customHeight="1" x14ac:dyDescent="0.25">
      <c r="A17" s="148" t="s">
        <v>35</v>
      </c>
      <c r="B17" s="148" t="s">
        <v>35</v>
      </c>
      <c r="C17" s="148" t="s">
        <v>35</v>
      </c>
      <c r="D17" s="148" t="s">
        <v>35</v>
      </c>
      <c r="E17" s="148" t="s">
        <v>35</v>
      </c>
      <c r="F17" s="148" t="s">
        <v>35</v>
      </c>
      <c r="G17" s="148" t="s">
        <v>35</v>
      </c>
    </row>
    <row r="18" spans="1:13" ht="15" customHeight="1" x14ac:dyDescent="0.25">
      <c r="A18" s="148"/>
      <c r="B18" s="148"/>
      <c r="C18" s="148"/>
      <c r="D18" s="148"/>
      <c r="E18" s="148"/>
      <c r="F18" s="148"/>
    </row>
    <row r="19" spans="1:13" ht="15" customHeight="1" x14ac:dyDescent="0.25">
      <c r="A19" s="149">
        <v>1</v>
      </c>
      <c r="B19" s="150">
        <f>C4</f>
        <v>10394965</v>
      </c>
      <c r="C19" s="141">
        <f t="shared" ref="C19:C82" si="0">IF(ISERROR(IPMT(C$6/12,A19,$C$8,-$B$19,0)),0,IPMT(C$6/12,A19,$C$8,-$B$19,0))</f>
        <v>43312.354166666664</v>
      </c>
      <c r="D19" s="141">
        <f t="shared" ref="D19:D82" si="1">IF(ISERROR(PPMT($C$6/12,$A19,$C$8,-$B$19,0)),0,PPMT($C$6/12,$A19,$C$8,-$B$19,0))</f>
        <v>25289.813940396147</v>
      </c>
      <c r="E19" s="141">
        <f t="shared" ref="E19:E82" si="2">+C19+D19</f>
        <v>68602.168107062811</v>
      </c>
      <c r="F19" s="141">
        <f t="shared" ref="F19:F82" si="3">+B19-D19</f>
        <v>10369675.186059603</v>
      </c>
      <c r="G19" s="141">
        <f t="shared" ref="G19:G82" si="4">E19/$C$10</f>
        <v>1.0096571999391106</v>
      </c>
    </row>
    <row r="20" spans="1:13" ht="15" customHeight="1" x14ac:dyDescent="0.25">
      <c r="A20" s="149">
        <f>A19+1</f>
        <v>2</v>
      </c>
      <c r="B20" s="151">
        <f t="shared" ref="B20:B83" si="5">+F19</f>
        <v>10369675.186059603</v>
      </c>
      <c r="C20" s="151">
        <f t="shared" si="0"/>
        <v>43206.979941915022</v>
      </c>
      <c r="D20" s="151">
        <f t="shared" si="1"/>
        <v>25395.188165147796</v>
      </c>
      <c r="E20" s="151">
        <f t="shared" si="2"/>
        <v>68602.168107062811</v>
      </c>
      <c r="F20" s="151">
        <f t="shared" si="3"/>
        <v>10344279.997894455</v>
      </c>
      <c r="G20" s="131">
        <f t="shared" si="4"/>
        <v>1.0096571999391106</v>
      </c>
    </row>
    <row r="21" spans="1:13" ht="15" customHeight="1" x14ac:dyDescent="0.25">
      <c r="A21" s="149">
        <f t="shared" ref="A21:A84" si="6">A20+1</f>
        <v>3</v>
      </c>
      <c r="B21" s="151">
        <f t="shared" si="5"/>
        <v>10344279.997894455</v>
      </c>
      <c r="C21" s="151">
        <f t="shared" si="0"/>
        <v>43101.166657893569</v>
      </c>
      <c r="D21" s="151">
        <f t="shared" si="1"/>
        <v>25501.001449169245</v>
      </c>
      <c r="E21" s="151">
        <f t="shared" si="2"/>
        <v>68602.168107062811</v>
      </c>
      <c r="F21" s="151">
        <f t="shared" si="3"/>
        <v>10318778.996445285</v>
      </c>
      <c r="G21" s="131">
        <f t="shared" si="4"/>
        <v>1.0096571999391106</v>
      </c>
    </row>
    <row r="22" spans="1:13" x14ac:dyDescent="0.25">
      <c r="A22" s="149">
        <f t="shared" si="6"/>
        <v>4</v>
      </c>
      <c r="B22" s="151">
        <f t="shared" si="5"/>
        <v>10318778.996445285</v>
      </c>
      <c r="C22" s="151">
        <f t="shared" si="0"/>
        <v>42994.912485188695</v>
      </c>
      <c r="D22" s="151">
        <f t="shared" si="1"/>
        <v>25607.255621874119</v>
      </c>
      <c r="E22" s="151">
        <f t="shared" si="2"/>
        <v>68602.168107062811</v>
      </c>
      <c r="F22" s="151">
        <f t="shared" si="3"/>
        <v>10293171.74082341</v>
      </c>
      <c r="G22" s="131">
        <f t="shared" si="4"/>
        <v>1.0096571999391106</v>
      </c>
      <c r="M22" s="144"/>
    </row>
    <row r="23" spans="1:13" x14ac:dyDescent="0.25">
      <c r="A23" s="149">
        <f t="shared" si="6"/>
        <v>5</v>
      </c>
      <c r="B23" s="151">
        <f t="shared" si="5"/>
        <v>10293171.74082341</v>
      </c>
      <c r="C23" s="151">
        <f t="shared" si="0"/>
        <v>42888.215586764207</v>
      </c>
      <c r="D23" s="151">
        <f t="shared" si="1"/>
        <v>25713.952520298593</v>
      </c>
      <c r="E23" s="151">
        <f t="shared" si="2"/>
        <v>68602.168107062796</v>
      </c>
      <c r="F23" s="151">
        <f t="shared" si="3"/>
        <v>10267457.788303113</v>
      </c>
      <c r="G23" s="131">
        <f t="shared" si="4"/>
        <v>1.0096571999391104</v>
      </c>
    </row>
    <row r="24" spans="1:13" x14ac:dyDescent="0.25">
      <c r="A24" s="149">
        <f t="shared" si="6"/>
        <v>6</v>
      </c>
      <c r="B24" s="151">
        <f t="shared" si="5"/>
        <v>10267457.788303113</v>
      </c>
      <c r="C24" s="151">
        <f t="shared" si="0"/>
        <v>42781.074117929653</v>
      </c>
      <c r="D24" s="151">
        <f t="shared" si="1"/>
        <v>25821.093989133176</v>
      </c>
      <c r="E24" s="151">
        <f t="shared" si="2"/>
        <v>68602.168107062826</v>
      </c>
      <c r="F24" s="151">
        <f t="shared" si="3"/>
        <v>10241636.694313979</v>
      </c>
      <c r="G24" s="131">
        <f t="shared" si="4"/>
        <v>1.0096571999391108</v>
      </c>
    </row>
    <row r="25" spans="1:13" x14ac:dyDescent="0.25">
      <c r="A25" s="149">
        <f t="shared" si="6"/>
        <v>7</v>
      </c>
      <c r="B25" s="151">
        <f t="shared" si="5"/>
        <v>10241636.694313979</v>
      </c>
      <c r="C25" s="151">
        <f t="shared" si="0"/>
        <v>42673.486226308254</v>
      </c>
      <c r="D25" s="151">
        <f t="shared" si="1"/>
        <v>25928.681880754557</v>
      </c>
      <c r="E25" s="151">
        <f t="shared" si="2"/>
        <v>68602.168107062811</v>
      </c>
      <c r="F25" s="151">
        <f t="shared" si="3"/>
        <v>10215708.012433223</v>
      </c>
      <c r="G25" s="131">
        <f t="shared" si="4"/>
        <v>1.0096571999391106</v>
      </c>
    </row>
    <row r="26" spans="1:13" x14ac:dyDescent="0.25">
      <c r="A26" s="149">
        <f t="shared" si="6"/>
        <v>8</v>
      </c>
      <c r="B26" s="151">
        <f t="shared" si="5"/>
        <v>10215708.012433223</v>
      </c>
      <c r="C26" s="151">
        <f t="shared" si="0"/>
        <v>42565.450051805114</v>
      </c>
      <c r="D26" s="151">
        <f t="shared" si="1"/>
        <v>26036.718055257705</v>
      </c>
      <c r="E26" s="151">
        <f t="shared" si="2"/>
        <v>68602.168107062811</v>
      </c>
      <c r="F26" s="151">
        <f t="shared" si="3"/>
        <v>10189671.294377966</v>
      </c>
      <c r="G26" s="131">
        <f t="shared" si="4"/>
        <v>1.0096571999391106</v>
      </c>
    </row>
    <row r="27" spans="1:13" x14ac:dyDescent="0.25">
      <c r="A27" s="149">
        <f t="shared" si="6"/>
        <v>9</v>
      </c>
      <c r="B27" s="151">
        <f t="shared" si="5"/>
        <v>10189671.294377966</v>
      </c>
      <c r="C27" s="151">
        <f t="shared" si="0"/>
        <v>42456.963726574868</v>
      </c>
      <c r="D27" s="151">
        <f t="shared" si="1"/>
        <v>26145.204380487943</v>
      </c>
      <c r="E27" s="151">
        <f t="shared" si="2"/>
        <v>68602.168107062811</v>
      </c>
      <c r="F27" s="151">
        <f t="shared" si="3"/>
        <v>10163526.089997478</v>
      </c>
      <c r="G27" s="131">
        <f t="shared" si="4"/>
        <v>1.0096571999391106</v>
      </c>
    </row>
    <row r="28" spans="1:13" x14ac:dyDescent="0.25">
      <c r="A28" s="149">
        <f t="shared" si="6"/>
        <v>10</v>
      </c>
      <c r="B28" s="151">
        <f t="shared" si="5"/>
        <v>10163526.089997478</v>
      </c>
      <c r="C28" s="151">
        <f t="shared" si="0"/>
        <v>42348.025374989506</v>
      </c>
      <c r="D28" s="151">
        <f t="shared" si="1"/>
        <v>26254.142732073309</v>
      </c>
      <c r="E28" s="151">
        <f t="shared" si="2"/>
        <v>68602.168107062811</v>
      </c>
      <c r="F28" s="151">
        <f t="shared" si="3"/>
        <v>10137271.947265405</v>
      </c>
      <c r="G28" s="131">
        <f t="shared" si="4"/>
        <v>1.0096571999391106</v>
      </c>
    </row>
    <row r="29" spans="1:13" x14ac:dyDescent="0.25">
      <c r="A29" s="149">
        <f t="shared" si="6"/>
        <v>11</v>
      </c>
      <c r="B29" s="151">
        <f t="shared" si="5"/>
        <v>10137271.947265405</v>
      </c>
      <c r="C29" s="151">
        <f t="shared" si="0"/>
        <v>42238.633113605865</v>
      </c>
      <c r="D29" s="151">
        <f t="shared" si="1"/>
        <v>26363.534993456949</v>
      </c>
      <c r="E29" s="151">
        <f t="shared" si="2"/>
        <v>68602.168107062811</v>
      </c>
      <c r="F29" s="151">
        <f t="shared" si="3"/>
        <v>10110908.412271949</v>
      </c>
      <c r="G29" s="131">
        <f t="shared" si="4"/>
        <v>1.0096571999391106</v>
      </c>
    </row>
    <row r="30" spans="1:13" x14ac:dyDescent="0.25">
      <c r="A30" s="149">
        <f t="shared" si="6"/>
        <v>12</v>
      </c>
      <c r="B30" s="151">
        <f t="shared" si="5"/>
        <v>10110908.412271949</v>
      </c>
      <c r="C30" s="151">
        <f t="shared" si="0"/>
        <v>42128.78505113312</v>
      </c>
      <c r="D30" s="151">
        <f t="shared" si="1"/>
        <v>26473.383055929688</v>
      </c>
      <c r="E30" s="151">
        <f t="shared" si="2"/>
        <v>68602.168107062811</v>
      </c>
      <c r="F30" s="151">
        <f t="shared" si="3"/>
        <v>10084435.029216019</v>
      </c>
      <c r="G30" s="131">
        <f t="shared" si="4"/>
        <v>1.0096571999391106</v>
      </c>
    </row>
    <row r="31" spans="1:13" x14ac:dyDescent="0.25">
      <c r="A31" s="149">
        <f t="shared" si="6"/>
        <v>13</v>
      </c>
      <c r="B31" s="151">
        <f t="shared" si="5"/>
        <v>10084435.029216019</v>
      </c>
      <c r="C31" s="151">
        <f t="shared" si="0"/>
        <v>42018.479288400085</v>
      </c>
      <c r="D31" s="151">
        <f t="shared" si="1"/>
        <v>26583.688818662726</v>
      </c>
      <c r="E31" s="151">
        <f t="shared" si="2"/>
        <v>68602.168107062811</v>
      </c>
      <c r="F31" s="151">
        <f t="shared" si="3"/>
        <v>10057851.340397356</v>
      </c>
      <c r="G31" s="131">
        <f t="shared" si="4"/>
        <v>1.0096571999391106</v>
      </c>
    </row>
    <row r="32" spans="1:13" x14ac:dyDescent="0.25">
      <c r="A32" s="149">
        <f t="shared" si="6"/>
        <v>14</v>
      </c>
      <c r="B32" s="151">
        <f t="shared" si="5"/>
        <v>10057851.340397356</v>
      </c>
      <c r="C32" s="151">
        <f t="shared" si="0"/>
        <v>41907.713918322326</v>
      </c>
      <c r="D32" s="151">
        <f t="shared" si="1"/>
        <v>26694.454188740485</v>
      </c>
      <c r="E32" s="151">
        <f t="shared" si="2"/>
        <v>68602.168107062811</v>
      </c>
      <c r="F32" s="151">
        <f t="shared" si="3"/>
        <v>10031156.886208616</v>
      </c>
      <c r="G32" s="131">
        <f t="shared" si="4"/>
        <v>1.0096571999391106</v>
      </c>
    </row>
    <row r="33" spans="1:7" x14ac:dyDescent="0.25">
      <c r="A33" s="149">
        <f t="shared" si="6"/>
        <v>15</v>
      </c>
      <c r="B33" s="151">
        <f t="shared" si="5"/>
        <v>10031156.886208616</v>
      </c>
      <c r="C33" s="151">
        <f t="shared" si="0"/>
        <v>41796.487025869232</v>
      </c>
      <c r="D33" s="151">
        <f t="shared" si="1"/>
        <v>26805.681081193568</v>
      </c>
      <c r="E33" s="151">
        <f t="shared" si="2"/>
        <v>68602.168107062796</v>
      </c>
      <c r="F33" s="151">
        <f t="shared" si="3"/>
        <v>10004351.205127422</v>
      </c>
      <c r="G33" s="131">
        <f t="shared" si="4"/>
        <v>1.0096571999391104</v>
      </c>
    </row>
    <row r="34" spans="1:7" x14ac:dyDescent="0.25">
      <c r="A34" s="149">
        <f t="shared" si="6"/>
        <v>16</v>
      </c>
      <c r="B34" s="151">
        <f t="shared" si="5"/>
        <v>10004351.205127422</v>
      </c>
      <c r="C34" s="151">
        <f t="shared" si="0"/>
        <v>41684.79668803094</v>
      </c>
      <c r="D34" s="151">
        <f t="shared" si="1"/>
        <v>26917.371419031879</v>
      </c>
      <c r="E34" s="151">
        <f t="shared" si="2"/>
        <v>68602.168107062811</v>
      </c>
      <c r="F34" s="151">
        <f t="shared" si="3"/>
        <v>9977433.8337083906</v>
      </c>
      <c r="G34" s="131">
        <f t="shared" si="4"/>
        <v>1.0096571999391106</v>
      </c>
    </row>
    <row r="35" spans="1:7" x14ac:dyDescent="0.25">
      <c r="A35" s="149">
        <f t="shared" si="6"/>
        <v>17</v>
      </c>
      <c r="B35" s="151">
        <f t="shared" si="5"/>
        <v>9977433.8337083906</v>
      </c>
      <c r="C35" s="151">
        <f t="shared" si="0"/>
        <v>41572.640973784968</v>
      </c>
      <c r="D35" s="151">
        <f t="shared" si="1"/>
        <v>27029.527133277843</v>
      </c>
      <c r="E35" s="151">
        <f t="shared" si="2"/>
        <v>68602.168107062811</v>
      </c>
      <c r="F35" s="151">
        <f t="shared" si="3"/>
        <v>9950404.306575112</v>
      </c>
      <c r="G35" s="131">
        <f t="shared" si="4"/>
        <v>1.0096571999391106</v>
      </c>
    </row>
    <row r="36" spans="1:7" x14ac:dyDescent="0.25">
      <c r="A36" s="149">
        <f t="shared" si="6"/>
        <v>18</v>
      </c>
      <c r="B36" s="151">
        <f t="shared" si="5"/>
        <v>9950404.306575112</v>
      </c>
      <c r="C36" s="151">
        <f t="shared" si="0"/>
        <v>41460.017944062965</v>
      </c>
      <c r="D36" s="151">
        <f t="shared" si="1"/>
        <v>27142.150162999838</v>
      </c>
      <c r="E36" s="151">
        <f t="shared" si="2"/>
        <v>68602.168107062811</v>
      </c>
      <c r="F36" s="151">
        <f t="shared" si="3"/>
        <v>9923262.1564121116</v>
      </c>
      <c r="G36" s="131">
        <f t="shared" si="4"/>
        <v>1.0096571999391106</v>
      </c>
    </row>
    <row r="37" spans="1:7" x14ac:dyDescent="0.25">
      <c r="A37" s="149">
        <f t="shared" si="6"/>
        <v>19</v>
      </c>
      <c r="B37" s="151">
        <f t="shared" si="5"/>
        <v>9923262.1564121116</v>
      </c>
      <c r="C37" s="151">
        <f t="shared" si="0"/>
        <v>41346.925651717138</v>
      </c>
      <c r="D37" s="151">
        <f t="shared" si="1"/>
        <v>27255.242455345669</v>
      </c>
      <c r="E37" s="151">
        <f t="shared" si="2"/>
        <v>68602.168107062811</v>
      </c>
      <c r="F37" s="151">
        <f t="shared" si="3"/>
        <v>9896006.9139567651</v>
      </c>
      <c r="G37" s="131">
        <f t="shared" si="4"/>
        <v>1.0096571999391106</v>
      </c>
    </row>
    <row r="38" spans="1:7" x14ac:dyDescent="0.25">
      <c r="A38" s="149">
        <f t="shared" si="6"/>
        <v>20</v>
      </c>
      <c r="B38" s="151">
        <f t="shared" si="5"/>
        <v>9896006.9139567651</v>
      </c>
      <c r="C38" s="151">
        <f t="shared" si="0"/>
        <v>41233.362141486527</v>
      </c>
      <c r="D38" s="151">
        <f t="shared" si="1"/>
        <v>27368.805965576277</v>
      </c>
      <c r="E38" s="151">
        <f t="shared" si="2"/>
        <v>68602.168107062811</v>
      </c>
      <c r="F38" s="151">
        <f t="shared" si="3"/>
        <v>9868638.1079911888</v>
      </c>
      <c r="G38" s="131">
        <f t="shared" si="4"/>
        <v>1.0096571999391106</v>
      </c>
    </row>
    <row r="39" spans="1:7" x14ac:dyDescent="0.25">
      <c r="A39" s="149">
        <f t="shared" si="6"/>
        <v>21</v>
      </c>
      <c r="B39" s="151">
        <f t="shared" si="5"/>
        <v>9868638.1079911888</v>
      </c>
      <c r="C39" s="151">
        <f t="shared" si="0"/>
        <v>41119.325449963297</v>
      </c>
      <c r="D39" s="151">
        <f t="shared" si="1"/>
        <v>27482.842657099511</v>
      </c>
      <c r="E39" s="151">
        <f t="shared" si="2"/>
        <v>68602.168107062811</v>
      </c>
      <c r="F39" s="151">
        <f t="shared" si="3"/>
        <v>9841155.2653340884</v>
      </c>
      <c r="G39" s="131">
        <f t="shared" si="4"/>
        <v>1.0096571999391106</v>
      </c>
    </row>
    <row r="40" spans="1:7" x14ac:dyDescent="0.25">
      <c r="A40" s="149">
        <f t="shared" si="6"/>
        <v>22</v>
      </c>
      <c r="B40" s="151">
        <f t="shared" si="5"/>
        <v>9841155.2653340884</v>
      </c>
      <c r="C40" s="151">
        <f t="shared" si="0"/>
        <v>41004.813605558717</v>
      </c>
      <c r="D40" s="151">
        <f t="shared" si="1"/>
        <v>27597.354501504091</v>
      </c>
      <c r="E40" s="151">
        <f t="shared" si="2"/>
        <v>68602.168107062811</v>
      </c>
      <c r="F40" s="151">
        <f t="shared" si="3"/>
        <v>9813557.9108325839</v>
      </c>
      <c r="G40" s="131">
        <f t="shared" si="4"/>
        <v>1.0096571999391106</v>
      </c>
    </row>
    <row r="41" spans="1:7" x14ac:dyDescent="0.25">
      <c r="A41" s="149">
        <f t="shared" si="6"/>
        <v>23</v>
      </c>
      <c r="B41" s="151">
        <f t="shared" si="5"/>
        <v>9813557.9108325839</v>
      </c>
      <c r="C41" s="151">
        <f t="shared" si="0"/>
        <v>40889.824628469112</v>
      </c>
      <c r="D41" s="151">
        <f t="shared" si="1"/>
        <v>27712.343478593692</v>
      </c>
      <c r="E41" s="151">
        <f t="shared" si="2"/>
        <v>68602.168107062811</v>
      </c>
      <c r="F41" s="151">
        <f t="shared" si="3"/>
        <v>9785845.5673539899</v>
      </c>
      <c r="G41" s="131">
        <f t="shared" si="4"/>
        <v>1.0096571999391106</v>
      </c>
    </row>
    <row r="42" spans="1:7" x14ac:dyDescent="0.25">
      <c r="A42" s="149">
        <f t="shared" si="6"/>
        <v>24</v>
      </c>
      <c r="B42" s="151">
        <f t="shared" si="5"/>
        <v>9785845.5673539899</v>
      </c>
      <c r="C42" s="151">
        <f t="shared" si="0"/>
        <v>40774.356530641649</v>
      </c>
      <c r="D42" s="151">
        <f t="shared" si="1"/>
        <v>27827.811576421165</v>
      </c>
      <c r="E42" s="151">
        <f t="shared" si="2"/>
        <v>68602.168107062811</v>
      </c>
      <c r="F42" s="151">
        <f t="shared" si="3"/>
        <v>9758017.7557775695</v>
      </c>
      <c r="G42" s="131">
        <f t="shared" si="4"/>
        <v>1.0096571999391106</v>
      </c>
    </row>
    <row r="43" spans="1:7" x14ac:dyDescent="0.25">
      <c r="A43" s="149">
        <f t="shared" si="6"/>
        <v>25</v>
      </c>
      <c r="B43" s="151">
        <f t="shared" si="5"/>
        <v>9758017.7557775695</v>
      </c>
      <c r="C43" s="151">
        <f t="shared" si="0"/>
        <v>40658.407315739889</v>
      </c>
      <c r="D43" s="151">
        <f t="shared" si="1"/>
        <v>27943.760791322919</v>
      </c>
      <c r="E43" s="151">
        <f t="shared" si="2"/>
        <v>68602.168107062811</v>
      </c>
      <c r="F43" s="151">
        <f t="shared" si="3"/>
        <v>9730073.9949862473</v>
      </c>
      <c r="G43" s="131">
        <f t="shared" si="4"/>
        <v>1.0096571999391106</v>
      </c>
    </row>
    <row r="44" spans="1:7" x14ac:dyDescent="0.25">
      <c r="A44" s="149">
        <f t="shared" si="6"/>
        <v>26</v>
      </c>
      <c r="B44" s="151">
        <f t="shared" si="5"/>
        <v>9730073.9949862473</v>
      </c>
      <c r="C44" s="151">
        <f t="shared" si="0"/>
        <v>40541.974979109385</v>
      </c>
      <c r="D44" s="151">
        <f t="shared" si="1"/>
        <v>28060.193127953433</v>
      </c>
      <c r="E44" s="151">
        <f t="shared" si="2"/>
        <v>68602.168107062811</v>
      </c>
      <c r="F44" s="151">
        <f t="shared" si="3"/>
        <v>9702013.8018582948</v>
      </c>
      <c r="G44" s="131">
        <f t="shared" si="4"/>
        <v>1.0096571999391106</v>
      </c>
    </row>
    <row r="45" spans="1:7" x14ac:dyDescent="0.25">
      <c r="A45" s="149">
        <f t="shared" si="6"/>
        <v>27</v>
      </c>
      <c r="B45" s="151">
        <f t="shared" si="5"/>
        <v>9702013.8018582948</v>
      </c>
      <c r="C45" s="151">
        <f t="shared" si="0"/>
        <v>40425.057507742909</v>
      </c>
      <c r="D45" s="151">
        <f t="shared" si="1"/>
        <v>28177.110599319905</v>
      </c>
      <c r="E45" s="151">
        <f t="shared" si="2"/>
        <v>68602.168107062811</v>
      </c>
      <c r="F45" s="151">
        <f t="shared" si="3"/>
        <v>9673836.6912589744</v>
      </c>
      <c r="G45" s="131">
        <f t="shared" si="4"/>
        <v>1.0096571999391106</v>
      </c>
    </row>
    <row r="46" spans="1:7" x14ac:dyDescent="0.25">
      <c r="A46" s="149">
        <f t="shared" si="6"/>
        <v>28</v>
      </c>
      <c r="B46" s="151">
        <f t="shared" si="5"/>
        <v>9673836.6912589744</v>
      </c>
      <c r="C46" s="151">
        <f t="shared" si="0"/>
        <v>40307.652880245732</v>
      </c>
      <c r="D46" s="151">
        <f t="shared" si="1"/>
        <v>28294.515226817068</v>
      </c>
      <c r="E46" s="151">
        <f t="shared" si="2"/>
        <v>68602.168107062796</v>
      </c>
      <c r="F46" s="151">
        <f t="shared" si="3"/>
        <v>9645542.1760321576</v>
      </c>
      <c r="G46" s="131">
        <f t="shared" si="4"/>
        <v>1.0096571999391104</v>
      </c>
    </row>
    <row r="47" spans="1:7" x14ac:dyDescent="0.25">
      <c r="A47" s="149">
        <f t="shared" si="6"/>
        <v>29</v>
      </c>
      <c r="B47" s="151">
        <f t="shared" si="5"/>
        <v>9645542.1760321576</v>
      </c>
      <c r="C47" s="151">
        <f t="shared" si="0"/>
        <v>40189.759066800674</v>
      </c>
      <c r="D47" s="151">
        <f t="shared" si="1"/>
        <v>28412.409040262137</v>
      </c>
      <c r="E47" s="151">
        <f t="shared" si="2"/>
        <v>68602.168107062811</v>
      </c>
      <c r="F47" s="151">
        <f t="shared" si="3"/>
        <v>9617129.7669918947</v>
      </c>
      <c r="G47" s="131">
        <f t="shared" si="4"/>
        <v>1.0096571999391106</v>
      </c>
    </row>
    <row r="48" spans="1:7" x14ac:dyDescent="0.25">
      <c r="A48" s="149">
        <f t="shared" si="6"/>
        <v>30</v>
      </c>
      <c r="B48" s="151">
        <f t="shared" si="5"/>
        <v>9617129.7669918947</v>
      </c>
      <c r="C48" s="151">
        <f t="shared" si="0"/>
        <v>40071.374029132909</v>
      </c>
      <c r="D48" s="151">
        <f t="shared" si="1"/>
        <v>28530.794077929906</v>
      </c>
      <c r="E48" s="151">
        <f t="shared" si="2"/>
        <v>68602.168107062811</v>
      </c>
      <c r="F48" s="151">
        <f t="shared" si="3"/>
        <v>9588598.9729139656</v>
      </c>
      <c r="G48" s="131">
        <f t="shared" si="4"/>
        <v>1.0096571999391106</v>
      </c>
    </row>
    <row r="49" spans="1:7" x14ac:dyDescent="0.25">
      <c r="A49" s="149">
        <f t="shared" si="6"/>
        <v>31</v>
      </c>
      <c r="B49" s="151">
        <f t="shared" si="5"/>
        <v>9588598.9729139656</v>
      </c>
      <c r="C49" s="151">
        <f t="shared" si="0"/>
        <v>39952.495720474864</v>
      </c>
      <c r="D49" s="151">
        <f t="shared" si="1"/>
        <v>28649.672386587943</v>
      </c>
      <c r="E49" s="151">
        <f t="shared" si="2"/>
        <v>68602.168107062811</v>
      </c>
      <c r="F49" s="151">
        <f t="shared" si="3"/>
        <v>9559949.3005273771</v>
      </c>
      <c r="G49" s="131">
        <f t="shared" si="4"/>
        <v>1.0096571999391106</v>
      </c>
    </row>
    <row r="50" spans="1:7" x14ac:dyDescent="0.25">
      <c r="A50" s="149">
        <f t="shared" si="6"/>
        <v>32</v>
      </c>
      <c r="B50" s="151">
        <f t="shared" si="5"/>
        <v>9559949.3005273771</v>
      </c>
      <c r="C50" s="151">
        <f t="shared" si="0"/>
        <v>39833.122085530755</v>
      </c>
      <c r="D50" s="151">
        <f t="shared" si="1"/>
        <v>28769.04602153206</v>
      </c>
      <c r="E50" s="151">
        <f t="shared" si="2"/>
        <v>68602.168107062811</v>
      </c>
      <c r="F50" s="151">
        <f t="shared" si="3"/>
        <v>9531180.2545058448</v>
      </c>
      <c r="G50" s="131">
        <f t="shared" si="4"/>
        <v>1.0096571999391106</v>
      </c>
    </row>
    <row r="51" spans="1:7" x14ac:dyDescent="0.25">
      <c r="A51" s="149">
        <f t="shared" si="6"/>
        <v>33</v>
      </c>
      <c r="B51" s="151">
        <f t="shared" si="5"/>
        <v>9531180.2545058448</v>
      </c>
      <c r="C51" s="151">
        <f t="shared" si="0"/>
        <v>39713.251060441042</v>
      </c>
      <c r="D51" s="151">
        <f t="shared" si="1"/>
        <v>28888.917046621777</v>
      </c>
      <c r="E51" s="151">
        <f t="shared" si="2"/>
        <v>68602.168107062811</v>
      </c>
      <c r="F51" s="151">
        <f t="shared" si="3"/>
        <v>9502291.3374592233</v>
      </c>
      <c r="G51" s="131">
        <f t="shared" si="4"/>
        <v>1.0096571999391106</v>
      </c>
    </row>
    <row r="52" spans="1:7" x14ac:dyDescent="0.25">
      <c r="A52" s="149">
        <f t="shared" si="6"/>
        <v>34</v>
      </c>
      <c r="B52" s="151">
        <f t="shared" si="5"/>
        <v>9502291.3374592233</v>
      </c>
      <c r="C52" s="151">
        <f t="shared" si="0"/>
        <v>39592.880572746777</v>
      </c>
      <c r="D52" s="151">
        <f t="shared" si="1"/>
        <v>29009.287534316034</v>
      </c>
      <c r="E52" s="151">
        <f t="shared" si="2"/>
        <v>68602.168107062811</v>
      </c>
      <c r="F52" s="151">
        <f t="shared" si="3"/>
        <v>9473282.0499249082</v>
      </c>
      <c r="G52" s="131">
        <f t="shared" si="4"/>
        <v>1.0096571999391106</v>
      </c>
    </row>
    <row r="53" spans="1:7" x14ac:dyDescent="0.25">
      <c r="A53" s="149">
        <f t="shared" si="6"/>
        <v>35</v>
      </c>
      <c r="B53" s="151">
        <f t="shared" si="5"/>
        <v>9473282.0499249082</v>
      </c>
      <c r="C53" s="151">
        <f t="shared" si="0"/>
        <v>39472.008541353789</v>
      </c>
      <c r="D53" s="151">
        <f t="shared" si="1"/>
        <v>29130.159565709018</v>
      </c>
      <c r="E53" s="151">
        <f t="shared" si="2"/>
        <v>68602.168107062811</v>
      </c>
      <c r="F53" s="151">
        <f t="shared" si="3"/>
        <v>9444151.8903591987</v>
      </c>
      <c r="G53" s="131">
        <f t="shared" si="4"/>
        <v>1.0096571999391106</v>
      </c>
    </row>
    <row r="54" spans="1:7" x14ac:dyDescent="0.25">
      <c r="A54" s="149">
        <f t="shared" si="6"/>
        <v>36</v>
      </c>
      <c r="B54" s="151">
        <f t="shared" si="5"/>
        <v>9444151.8903591987</v>
      </c>
      <c r="C54" s="151">
        <f t="shared" si="0"/>
        <v>39350.632876496675</v>
      </c>
      <c r="D54" s="151">
        <f t="shared" si="1"/>
        <v>29251.535230566136</v>
      </c>
      <c r="E54" s="151">
        <f t="shared" si="2"/>
        <v>68602.168107062811</v>
      </c>
      <c r="F54" s="151">
        <f t="shared" si="3"/>
        <v>9414900.3551286329</v>
      </c>
      <c r="G54" s="131">
        <f t="shared" si="4"/>
        <v>1.0096571999391106</v>
      </c>
    </row>
    <row r="55" spans="1:7" x14ac:dyDescent="0.25">
      <c r="A55" s="149">
        <f t="shared" si="6"/>
        <v>37</v>
      </c>
      <c r="B55" s="151">
        <f t="shared" si="5"/>
        <v>9414900.3551286329</v>
      </c>
      <c r="C55" s="151">
        <f t="shared" si="0"/>
        <v>39228.751479702645</v>
      </c>
      <c r="D55" s="151">
        <f t="shared" si="1"/>
        <v>29373.416627360162</v>
      </c>
      <c r="E55" s="151">
        <f t="shared" si="2"/>
        <v>68602.168107062811</v>
      </c>
      <c r="F55" s="151">
        <f t="shared" si="3"/>
        <v>9385526.9385012724</v>
      </c>
      <c r="G55" s="131">
        <f t="shared" si="4"/>
        <v>1.0096571999391106</v>
      </c>
    </row>
    <row r="56" spans="1:7" x14ac:dyDescent="0.25">
      <c r="A56" s="149">
        <f t="shared" si="6"/>
        <v>38</v>
      </c>
      <c r="B56" s="151">
        <f t="shared" si="5"/>
        <v>9385526.9385012724</v>
      </c>
      <c r="C56" s="151">
        <f t="shared" si="0"/>
        <v>39106.362243755306</v>
      </c>
      <c r="D56" s="151">
        <f t="shared" si="1"/>
        <v>29495.805863307498</v>
      </c>
      <c r="E56" s="151">
        <f t="shared" si="2"/>
        <v>68602.168107062811</v>
      </c>
      <c r="F56" s="151">
        <f t="shared" si="3"/>
        <v>9356031.1326379646</v>
      </c>
      <c r="G56" s="131">
        <f t="shared" si="4"/>
        <v>1.0096571999391106</v>
      </c>
    </row>
    <row r="57" spans="1:7" x14ac:dyDescent="0.25">
      <c r="A57" s="149">
        <f t="shared" si="6"/>
        <v>39</v>
      </c>
      <c r="B57" s="151">
        <f t="shared" si="5"/>
        <v>9356031.1326379646</v>
      </c>
      <c r="C57" s="151">
        <f t="shared" si="0"/>
        <v>38983.46305265819</v>
      </c>
      <c r="D57" s="151">
        <f t="shared" si="1"/>
        <v>29618.705054404614</v>
      </c>
      <c r="E57" s="151">
        <f t="shared" si="2"/>
        <v>68602.168107062811</v>
      </c>
      <c r="F57" s="151">
        <f t="shared" si="3"/>
        <v>9326412.4275835603</v>
      </c>
      <c r="G57" s="131">
        <f t="shared" si="4"/>
        <v>1.0096571999391106</v>
      </c>
    </row>
    <row r="58" spans="1:7" x14ac:dyDescent="0.25">
      <c r="A58" s="149">
        <f t="shared" si="6"/>
        <v>40</v>
      </c>
      <c r="B58" s="151">
        <f t="shared" si="5"/>
        <v>9326412.4275835603</v>
      </c>
      <c r="C58" s="151">
        <f t="shared" si="0"/>
        <v>38860.051781598173</v>
      </c>
      <c r="D58" s="151">
        <f t="shared" si="1"/>
        <v>29742.116325464631</v>
      </c>
      <c r="E58" s="151">
        <f t="shared" si="2"/>
        <v>68602.168107062811</v>
      </c>
      <c r="F58" s="151">
        <f t="shared" si="3"/>
        <v>9296670.3112580962</v>
      </c>
      <c r="G58" s="131">
        <f t="shared" si="4"/>
        <v>1.0096571999391106</v>
      </c>
    </row>
    <row r="59" spans="1:7" x14ac:dyDescent="0.25">
      <c r="A59" s="149">
        <f t="shared" si="6"/>
        <v>41</v>
      </c>
      <c r="B59" s="151">
        <f t="shared" si="5"/>
        <v>9296670.3112580962</v>
      </c>
      <c r="C59" s="151">
        <f t="shared" si="0"/>
        <v>38736.12629690874</v>
      </c>
      <c r="D59" s="151">
        <f t="shared" si="1"/>
        <v>29866.041810154064</v>
      </c>
      <c r="E59" s="151">
        <f t="shared" si="2"/>
        <v>68602.168107062811</v>
      </c>
      <c r="F59" s="151">
        <f t="shared" si="3"/>
        <v>9266804.2694479413</v>
      </c>
      <c r="G59" s="131">
        <f t="shared" si="4"/>
        <v>1.0096571999391106</v>
      </c>
    </row>
    <row r="60" spans="1:7" x14ac:dyDescent="0.25">
      <c r="A60" s="149">
        <f t="shared" si="6"/>
        <v>42</v>
      </c>
      <c r="B60" s="151">
        <f t="shared" si="5"/>
        <v>9266804.2694479413</v>
      </c>
      <c r="C60" s="151">
        <f t="shared" si="0"/>
        <v>38611.684456033101</v>
      </c>
      <c r="D60" s="151">
        <f t="shared" si="1"/>
        <v>29990.483651029706</v>
      </c>
      <c r="E60" s="151">
        <f t="shared" si="2"/>
        <v>68602.168107062811</v>
      </c>
      <c r="F60" s="151">
        <f t="shared" si="3"/>
        <v>9236813.7857969124</v>
      </c>
      <c r="G60" s="131">
        <f t="shared" si="4"/>
        <v>1.0096571999391106</v>
      </c>
    </row>
    <row r="61" spans="1:7" x14ac:dyDescent="0.25">
      <c r="A61" s="149">
        <f t="shared" si="6"/>
        <v>43</v>
      </c>
      <c r="B61" s="151">
        <f t="shared" si="5"/>
        <v>9236813.7857969124</v>
      </c>
      <c r="C61" s="151">
        <f t="shared" si="0"/>
        <v>38486.724107487134</v>
      </c>
      <c r="D61" s="151">
        <f t="shared" si="1"/>
        <v>30115.443999575669</v>
      </c>
      <c r="E61" s="151">
        <f t="shared" si="2"/>
        <v>68602.168107062811</v>
      </c>
      <c r="F61" s="151">
        <f t="shared" si="3"/>
        <v>9206698.3417973369</v>
      </c>
      <c r="G61" s="131">
        <f t="shared" si="4"/>
        <v>1.0096571999391106</v>
      </c>
    </row>
    <row r="62" spans="1:7" x14ac:dyDescent="0.25">
      <c r="A62" s="149">
        <f t="shared" si="6"/>
        <v>44</v>
      </c>
      <c r="B62" s="151">
        <f t="shared" si="5"/>
        <v>9206698.3417973369</v>
      </c>
      <c r="C62" s="151">
        <f t="shared" si="0"/>
        <v>38361.243090822245</v>
      </c>
      <c r="D62" s="151">
        <f t="shared" si="1"/>
        <v>30240.925016240566</v>
      </c>
      <c r="E62" s="151">
        <f t="shared" si="2"/>
        <v>68602.168107062811</v>
      </c>
      <c r="F62" s="151">
        <f t="shared" si="3"/>
        <v>9176457.4167810958</v>
      </c>
      <c r="G62" s="131">
        <f t="shared" si="4"/>
        <v>1.0096571999391106</v>
      </c>
    </row>
    <row r="63" spans="1:7" x14ac:dyDescent="0.25">
      <c r="A63" s="149">
        <f t="shared" si="6"/>
        <v>45</v>
      </c>
      <c r="B63" s="151">
        <f t="shared" si="5"/>
        <v>9176457.4167810958</v>
      </c>
      <c r="C63" s="151">
        <f t="shared" si="0"/>
        <v>38235.239236587906</v>
      </c>
      <c r="D63" s="151">
        <f t="shared" si="1"/>
        <v>30366.928870474901</v>
      </c>
      <c r="E63" s="151">
        <f t="shared" si="2"/>
        <v>68602.168107062811</v>
      </c>
      <c r="F63" s="151">
        <f t="shared" si="3"/>
        <v>9146090.4879106209</v>
      </c>
      <c r="G63" s="131">
        <f t="shared" si="4"/>
        <v>1.0096571999391106</v>
      </c>
    </row>
    <row r="64" spans="1:7" x14ac:dyDescent="0.25">
      <c r="A64" s="149">
        <f t="shared" si="6"/>
        <v>46</v>
      </c>
      <c r="B64" s="151">
        <f t="shared" si="5"/>
        <v>9146090.4879106209</v>
      </c>
      <c r="C64" s="151">
        <f t="shared" si="0"/>
        <v>38108.710366294261</v>
      </c>
      <c r="D64" s="151">
        <f t="shared" si="1"/>
        <v>30493.457740768547</v>
      </c>
      <c r="E64" s="151">
        <f t="shared" si="2"/>
        <v>68602.168107062811</v>
      </c>
      <c r="F64" s="151">
        <f t="shared" si="3"/>
        <v>9115597.0301698521</v>
      </c>
      <c r="G64" s="131">
        <f t="shared" si="4"/>
        <v>1.0096571999391106</v>
      </c>
    </row>
    <row r="65" spans="1:7" x14ac:dyDescent="0.25">
      <c r="A65" s="149">
        <f t="shared" si="6"/>
        <v>47</v>
      </c>
      <c r="B65" s="151">
        <f t="shared" si="5"/>
        <v>9115597.0301698521</v>
      </c>
      <c r="C65" s="151">
        <f t="shared" si="0"/>
        <v>37981.654292374398</v>
      </c>
      <c r="D65" s="151">
        <f t="shared" si="1"/>
        <v>30620.513814688416</v>
      </c>
      <c r="E65" s="151">
        <f t="shared" si="2"/>
        <v>68602.168107062811</v>
      </c>
      <c r="F65" s="151">
        <f t="shared" si="3"/>
        <v>9084976.5163551643</v>
      </c>
      <c r="G65" s="131">
        <f t="shared" si="4"/>
        <v>1.0096571999391106</v>
      </c>
    </row>
    <row r="66" spans="1:7" x14ac:dyDescent="0.25">
      <c r="A66" s="149">
        <f t="shared" si="6"/>
        <v>48</v>
      </c>
      <c r="B66" s="151">
        <f t="shared" si="5"/>
        <v>9084976.5163551643</v>
      </c>
      <c r="C66" s="151">
        <f t="shared" si="0"/>
        <v>37854.06881814653</v>
      </c>
      <c r="D66" s="151">
        <f t="shared" si="1"/>
        <v>30748.099288916281</v>
      </c>
      <c r="E66" s="151">
        <f t="shared" si="2"/>
        <v>68602.168107062811</v>
      </c>
      <c r="F66" s="151">
        <f t="shared" si="3"/>
        <v>9054228.4170662481</v>
      </c>
      <c r="G66" s="131">
        <f t="shared" si="4"/>
        <v>1.0096571999391106</v>
      </c>
    </row>
    <row r="67" spans="1:7" x14ac:dyDescent="0.25">
      <c r="A67" s="149">
        <f t="shared" si="6"/>
        <v>49</v>
      </c>
      <c r="B67" s="151">
        <f t="shared" si="5"/>
        <v>9054228.4170662481</v>
      </c>
      <c r="C67" s="151">
        <f t="shared" si="0"/>
        <v>37725.951737776042</v>
      </c>
      <c r="D67" s="151">
        <f t="shared" si="1"/>
        <v>30876.216369286769</v>
      </c>
      <c r="E67" s="151">
        <f t="shared" si="2"/>
        <v>68602.168107062811</v>
      </c>
      <c r="F67" s="151">
        <f t="shared" si="3"/>
        <v>9023352.200696962</v>
      </c>
      <c r="G67" s="131">
        <f t="shared" si="4"/>
        <v>1.0096571999391106</v>
      </c>
    </row>
    <row r="68" spans="1:7" x14ac:dyDescent="0.25">
      <c r="A68" s="149">
        <f t="shared" si="6"/>
        <v>50</v>
      </c>
      <c r="B68" s="151">
        <f t="shared" si="5"/>
        <v>9023352.200696962</v>
      </c>
      <c r="C68" s="151">
        <f t="shared" si="0"/>
        <v>37597.300836237351</v>
      </c>
      <c r="D68" s="151">
        <f t="shared" si="1"/>
        <v>31004.86727082546</v>
      </c>
      <c r="E68" s="151">
        <f t="shared" si="2"/>
        <v>68602.168107062811</v>
      </c>
      <c r="F68" s="151">
        <f t="shared" si="3"/>
        <v>8992347.3334261365</v>
      </c>
      <c r="G68" s="131">
        <f t="shared" si="4"/>
        <v>1.0096571999391106</v>
      </c>
    </row>
    <row r="69" spans="1:7" x14ac:dyDescent="0.25">
      <c r="A69" s="149">
        <f t="shared" si="6"/>
        <v>51</v>
      </c>
      <c r="B69" s="151">
        <f t="shared" si="5"/>
        <v>8992347.3334261365</v>
      </c>
      <c r="C69" s="151">
        <f t="shared" si="0"/>
        <v>37468.113889275577</v>
      </c>
      <c r="D69" s="151">
        <f t="shared" si="1"/>
        <v>31134.054217787234</v>
      </c>
      <c r="E69" s="151">
        <f t="shared" si="2"/>
        <v>68602.168107062811</v>
      </c>
      <c r="F69" s="151">
        <f t="shared" si="3"/>
        <v>8961213.2792083491</v>
      </c>
      <c r="G69" s="131">
        <f t="shared" si="4"/>
        <v>1.0096571999391106</v>
      </c>
    </row>
    <row r="70" spans="1:7" x14ac:dyDescent="0.25">
      <c r="A70" s="149">
        <f t="shared" si="6"/>
        <v>52</v>
      </c>
      <c r="B70" s="151">
        <f t="shared" si="5"/>
        <v>8961213.2792083491</v>
      </c>
      <c r="C70" s="151">
        <f t="shared" si="0"/>
        <v>37338.388663368125</v>
      </c>
      <c r="D70" s="151">
        <f t="shared" si="1"/>
        <v>31263.779443694682</v>
      </c>
      <c r="E70" s="151">
        <f t="shared" si="2"/>
        <v>68602.168107062811</v>
      </c>
      <c r="F70" s="151">
        <f t="shared" si="3"/>
        <v>8929949.4997646548</v>
      </c>
      <c r="G70" s="131">
        <f t="shared" si="4"/>
        <v>1.0096571999391106</v>
      </c>
    </row>
    <row r="71" spans="1:7" x14ac:dyDescent="0.25">
      <c r="A71" s="149">
        <f t="shared" si="6"/>
        <v>53</v>
      </c>
      <c r="B71" s="151">
        <f t="shared" si="5"/>
        <v>8929949.4997646548</v>
      </c>
      <c r="C71" s="151">
        <f t="shared" si="0"/>
        <v>37208.122915686072</v>
      </c>
      <c r="D71" s="151">
        <f t="shared" si="1"/>
        <v>31394.045191376743</v>
      </c>
      <c r="E71" s="151">
        <f t="shared" si="2"/>
        <v>68602.168107062811</v>
      </c>
      <c r="F71" s="151">
        <f t="shared" si="3"/>
        <v>8898555.4545732774</v>
      </c>
      <c r="G71" s="131">
        <f t="shared" si="4"/>
        <v>1.0096571999391106</v>
      </c>
    </row>
    <row r="72" spans="1:7" x14ac:dyDescent="0.25">
      <c r="A72" s="149">
        <f t="shared" si="6"/>
        <v>54</v>
      </c>
      <c r="B72" s="151">
        <f t="shared" si="5"/>
        <v>8898555.4545732774</v>
      </c>
      <c r="C72" s="151">
        <f t="shared" si="0"/>
        <v>37077.314394055327</v>
      </c>
      <c r="D72" s="151">
        <f t="shared" si="1"/>
        <v>31524.85371300748</v>
      </c>
      <c r="E72" s="151">
        <f t="shared" si="2"/>
        <v>68602.168107062811</v>
      </c>
      <c r="F72" s="151">
        <f t="shared" si="3"/>
        <v>8867030.6008602697</v>
      </c>
      <c r="G72" s="131">
        <f t="shared" si="4"/>
        <v>1.0096571999391106</v>
      </c>
    </row>
    <row r="73" spans="1:7" x14ac:dyDescent="0.25">
      <c r="A73" s="149">
        <f t="shared" si="6"/>
        <v>55</v>
      </c>
      <c r="B73" s="151">
        <f t="shared" si="5"/>
        <v>8867030.6008602697</v>
      </c>
      <c r="C73" s="151">
        <f t="shared" si="0"/>
        <v>36945.960836917795</v>
      </c>
      <c r="D73" s="151">
        <f t="shared" si="1"/>
        <v>31656.207270145009</v>
      </c>
      <c r="E73" s="151">
        <f t="shared" si="2"/>
        <v>68602.168107062811</v>
      </c>
      <c r="F73" s="151">
        <f t="shared" si="3"/>
        <v>8835374.3935901243</v>
      </c>
      <c r="G73" s="131">
        <f t="shared" si="4"/>
        <v>1.0096571999391106</v>
      </c>
    </row>
    <row r="74" spans="1:7" x14ac:dyDescent="0.25">
      <c r="A74" s="149">
        <f t="shared" si="6"/>
        <v>56</v>
      </c>
      <c r="B74" s="151">
        <f t="shared" si="5"/>
        <v>8835374.3935901243</v>
      </c>
      <c r="C74" s="151">
        <f t="shared" si="0"/>
        <v>36814.059973292191</v>
      </c>
      <c r="D74" s="151">
        <f t="shared" si="1"/>
        <v>31788.108133770613</v>
      </c>
      <c r="E74" s="151">
        <f t="shared" si="2"/>
        <v>68602.168107062811</v>
      </c>
      <c r="F74" s="151">
        <f t="shared" si="3"/>
        <v>8803586.2854563538</v>
      </c>
      <c r="G74" s="131">
        <f t="shared" si="4"/>
        <v>1.0096571999391106</v>
      </c>
    </row>
    <row r="75" spans="1:7" x14ac:dyDescent="0.25">
      <c r="A75" s="149">
        <f t="shared" si="6"/>
        <v>57</v>
      </c>
      <c r="B75" s="151">
        <f t="shared" si="5"/>
        <v>8803586.2854563538</v>
      </c>
      <c r="C75" s="151">
        <f t="shared" si="0"/>
        <v>36681.60952273482</v>
      </c>
      <c r="D75" s="151">
        <f t="shared" si="1"/>
        <v>31920.558584327995</v>
      </c>
      <c r="E75" s="151">
        <f t="shared" si="2"/>
        <v>68602.168107062811</v>
      </c>
      <c r="F75" s="151">
        <f t="shared" si="3"/>
        <v>8771665.7268720251</v>
      </c>
      <c r="G75" s="131">
        <f t="shared" si="4"/>
        <v>1.0096571999391106</v>
      </c>
    </row>
    <row r="76" spans="1:7" x14ac:dyDescent="0.25">
      <c r="A76" s="149">
        <f t="shared" si="6"/>
        <v>58</v>
      </c>
      <c r="B76" s="151">
        <f t="shared" si="5"/>
        <v>8771665.7268720251</v>
      </c>
      <c r="C76" s="151">
        <f t="shared" si="0"/>
        <v>36548.607195300123</v>
      </c>
      <c r="D76" s="151">
        <f t="shared" si="1"/>
        <v>32053.560911762695</v>
      </c>
      <c r="E76" s="151">
        <f t="shared" si="2"/>
        <v>68602.168107062811</v>
      </c>
      <c r="F76" s="151">
        <f t="shared" si="3"/>
        <v>8739612.1659602616</v>
      </c>
      <c r="G76" s="131">
        <f t="shared" si="4"/>
        <v>1.0096571999391106</v>
      </c>
    </row>
    <row r="77" spans="1:7" x14ac:dyDescent="0.25">
      <c r="A77" s="149">
        <f t="shared" si="6"/>
        <v>59</v>
      </c>
      <c r="B77" s="151">
        <f t="shared" si="5"/>
        <v>8739612.1659602616</v>
      </c>
      <c r="C77" s="151">
        <f t="shared" si="0"/>
        <v>36415.050691501106</v>
      </c>
      <c r="D77" s="151">
        <f t="shared" si="1"/>
        <v>32187.117415561705</v>
      </c>
      <c r="E77" s="151">
        <f t="shared" si="2"/>
        <v>68602.168107062811</v>
      </c>
      <c r="F77" s="151">
        <f t="shared" si="3"/>
        <v>8707425.0485446993</v>
      </c>
      <c r="G77" s="131">
        <f t="shared" si="4"/>
        <v>1.0096571999391106</v>
      </c>
    </row>
    <row r="78" spans="1:7" x14ac:dyDescent="0.25">
      <c r="A78" s="149">
        <f t="shared" si="6"/>
        <v>60</v>
      </c>
      <c r="B78" s="151">
        <f t="shared" si="5"/>
        <v>8707425.0485446993</v>
      </c>
      <c r="C78" s="151">
        <f t="shared" si="0"/>
        <v>36280.937702269599</v>
      </c>
      <c r="D78" s="151">
        <f t="shared" si="1"/>
        <v>32321.230404793212</v>
      </c>
      <c r="E78" s="151">
        <f t="shared" si="2"/>
        <v>68602.168107062811</v>
      </c>
      <c r="F78" s="151">
        <f t="shared" si="3"/>
        <v>8675103.818139907</v>
      </c>
      <c r="G78" s="131">
        <f t="shared" si="4"/>
        <v>1.0096571999391106</v>
      </c>
    </row>
    <row r="79" spans="1:7" x14ac:dyDescent="0.25">
      <c r="A79" s="149">
        <f t="shared" si="6"/>
        <v>61</v>
      </c>
      <c r="B79" s="151">
        <f t="shared" si="5"/>
        <v>8675103.818139907</v>
      </c>
      <c r="C79" s="151">
        <f t="shared" si="0"/>
        <v>36146.265908916292</v>
      </c>
      <c r="D79" s="151">
        <f t="shared" si="1"/>
        <v>32455.902198146516</v>
      </c>
      <c r="E79" s="151">
        <f t="shared" si="2"/>
        <v>68602.168107062811</v>
      </c>
      <c r="F79" s="151">
        <f t="shared" si="3"/>
        <v>8642647.9159417599</v>
      </c>
      <c r="G79" s="131">
        <f t="shared" si="4"/>
        <v>1.0096571999391106</v>
      </c>
    </row>
    <row r="80" spans="1:7" x14ac:dyDescent="0.25">
      <c r="A80" s="149">
        <f t="shared" si="6"/>
        <v>62</v>
      </c>
      <c r="B80" s="151">
        <f t="shared" si="5"/>
        <v>8642647.9159417599</v>
      </c>
      <c r="C80" s="151">
        <f t="shared" si="0"/>
        <v>36011.032983090685</v>
      </c>
      <c r="D80" s="151">
        <f t="shared" si="1"/>
        <v>32591.13512397213</v>
      </c>
      <c r="E80" s="151">
        <f t="shared" si="2"/>
        <v>68602.168107062811</v>
      </c>
      <c r="F80" s="151">
        <f t="shared" si="3"/>
        <v>8610056.7808177881</v>
      </c>
      <c r="G80" s="131">
        <f t="shared" si="4"/>
        <v>1.0096571999391106</v>
      </c>
    </row>
    <row r="81" spans="1:7" x14ac:dyDescent="0.25">
      <c r="A81" s="149">
        <f t="shared" si="6"/>
        <v>63</v>
      </c>
      <c r="B81" s="151">
        <f t="shared" si="5"/>
        <v>8610056.7808177881</v>
      </c>
      <c r="C81" s="151">
        <f t="shared" si="0"/>
        <v>35875.236586740801</v>
      </c>
      <c r="D81" s="151">
        <f t="shared" si="1"/>
        <v>32726.931520322007</v>
      </c>
      <c r="E81" s="151">
        <f t="shared" si="2"/>
        <v>68602.168107062811</v>
      </c>
      <c r="F81" s="151">
        <f t="shared" si="3"/>
        <v>8577329.8492974658</v>
      </c>
      <c r="G81" s="131">
        <f t="shared" si="4"/>
        <v>1.0096571999391106</v>
      </c>
    </row>
    <row r="82" spans="1:7" x14ac:dyDescent="0.25">
      <c r="A82" s="149">
        <f t="shared" si="6"/>
        <v>64</v>
      </c>
      <c r="B82" s="151">
        <f t="shared" si="5"/>
        <v>8577329.8492974658</v>
      </c>
      <c r="C82" s="151">
        <f t="shared" si="0"/>
        <v>35738.874372072794</v>
      </c>
      <c r="D82" s="151">
        <f t="shared" si="1"/>
        <v>32863.293734990017</v>
      </c>
      <c r="E82" s="151">
        <f t="shared" si="2"/>
        <v>68602.168107062811</v>
      </c>
      <c r="F82" s="151">
        <f t="shared" si="3"/>
        <v>8544466.5555624757</v>
      </c>
      <c r="G82" s="131">
        <f t="shared" si="4"/>
        <v>1.0096571999391106</v>
      </c>
    </row>
    <row r="83" spans="1:7" x14ac:dyDescent="0.25">
      <c r="A83" s="149">
        <f t="shared" si="6"/>
        <v>65</v>
      </c>
      <c r="B83" s="151">
        <f t="shared" si="5"/>
        <v>8544466.5555624757</v>
      </c>
      <c r="C83" s="151">
        <f t="shared" ref="C83:C146" si="7">IF(ISERROR(IPMT(C$6/12,A83,$C$8,-$B$19,0)),0,IPMT(C$6/12,A83,$C$8,-$B$19,0))</f>
        <v>35601.94398151034</v>
      </c>
      <c r="D83" s="151">
        <f t="shared" ref="D83:D146" si="8">IF(ISERROR(PPMT($C$6/12,$A83,$C$8,-$B$19,0)),0,PPMT($C$6/12,$A83,$C$8,-$B$19,0))</f>
        <v>33000.224125552479</v>
      </c>
      <c r="E83" s="151">
        <f t="shared" ref="E83:E146" si="9">+C83+D83</f>
        <v>68602.168107062811</v>
      </c>
      <c r="F83" s="151">
        <f t="shared" ref="F83:F146" si="10">+B83-D83</f>
        <v>8511466.3314369228</v>
      </c>
      <c r="G83" s="131">
        <f t="shared" ref="G83:G146" si="11">E83/$C$10</f>
        <v>1.0096571999391106</v>
      </c>
    </row>
    <row r="84" spans="1:7" x14ac:dyDescent="0.25">
      <c r="A84" s="149">
        <f t="shared" si="6"/>
        <v>66</v>
      </c>
      <c r="B84" s="151">
        <f t="shared" ref="B84:B147" si="12">+F83</f>
        <v>8511466.3314369228</v>
      </c>
      <c r="C84" s="151">
        <f t="shared" si="7"/>
        <v>35464.443047653869</v>
      </c>
      <c r="D84" s="151">
        <f t="shared" si="8"/>
        <v>33137.725059408942</v>
      </c>
      <c r="E84" s="151">
        <f t="shared" si="9"/>
        <v>68602.168107062811</v>
      </c>
      <c r="F84" s="151">
        <f t="shared" si="10"/>
        <v>8478328.6063775141</v>
      </c>
      <c r="G84" s="131">
        <f t="shared" si="11"/>
        <v>1.0096571999391106</v>
      </c>
    </row>
    <row r="85" spans="1:7" x14ac:dyDescent="0.25">
      <c r="A85" s="149">
        <f t="shared" ref="A85:A148" si="13">A84+1</f>
        <v>67</v>
      </c>
      <c r="B85" s="151">
        <f t="shared" si="12"/>
        <v>8478328.6063775141</v>
      </c>
      <c r="C85" s="151">
        <f t="shared" si="7"/>
        <v>35326.369193239661</v>
      </c>
      <c r="D85" s="151">
        <f t="shared" si="8"/>
        <v>33275.79891382315</v>
      </c>
      <c r="E85" s="151">
        <f t="shared" si="9"/>
        <v>68602.168107062811</v>
      </c>
      <c r="F85" s="151">
        <f t="shared" si="10"/>
        <v>8445052.8074636906</v>
      </c>
      <c r="G85" s="131">
        <f t="shared" si="11"/>
        <v>1.0096571999391106</v>
      </c>
    </row>
    <row r="86" spans="1:7" x14ac:dyDescent="0.25">
      <c r="A86" s="149">
        <f t="shared" si="13"/>
        <v>68</v>
      </c>
      <c r="B86" s="151">
        <f t="shared" si="12"/>
        <v>8445052.8074636906</v>
      </c>
      <c r="C86" s="151">
        <f t="shared" si="7"/>
        <v>35187.720031098732</v>
      </c>
      <c r="D86" s="151">
        <f t="shared" si="8"/>
        <v>33414.448075964079</v>
      </c>
      <c r="E86" s="151">
        <f t="shared" si="9"/>
        <v>68602.168107062811</v>
      </c>
      <c r="F86" s="151">
        <f t="shared" si="10"/>
        <v>8411638.3593877275</v>
      </c>
      <c r="G86" s="131">
        <f t="shared" si="11"/>
        <v>1.0096571999391106</v>
      </c>
    </row>
    <row r="87" spans="1:7" x14ac:dyDescent="0.25">
      <c r="A87" s="149">
        <f t="shared" si="13"/>
        <v>69</v>
      </c>
      <c r="B87" s="151">
        <f t="shared" si="12"/>
        <v>8411638.3593877275</v>
      </c>
      <c r="C87" s="151">
        <f t="shared" si="7"/>
        <v>35048.493164115556</v>
      </c>
      <c r="D87" s="151">
        <f t="shared" si="8"/>
        <v>33553.674942947262</v>
      </c>
      <c r="E87" s="151">
        <f t="shared" si="9"/>
        <v>68602.168107062811</v>
      </c>
      <c r="F87" s="151">
        <f t="shared" si="10"/>
        <v>8378084.6844447805</v>
      </c>
      <c r="G87" s="131">
        <f t="shared" si="11"/>
        <v>1.0096571999391106</v>
      </c>
    </row>
    <row r="88" spans="1:7" x14ac:dyDescent="0.25">
      <c r="A88" s="149">
        <f t="shared" si="13"/>
        <v>70</v>
      </c>
      <c r="B88" s="151">
        <f t="shared" si="12"/>
        <v>8378084.6844447805</v>
      </c>
      <c r="C88" s="151">
        <f t="shared" si="7"/>
        <v>34908.686185186605</v>
      </c>
      <c r="D88" s="151">
        <f t="shared" si="8"/>
        <v>33693.481921876213</v>
      </c>
      <c r="E88" s="151">
        <f t="shared" si="9"/>
        <v>68602.168107062811</v>
      </c>
      <c r="F88" s="151">
        <f t="shared" si="10"/>
        <v>8344391.2025229046</v>
      </c>
      <c r="G88" s="131">
        <f t="shared" si="11"/>
        <v>1.0096571999391106</v>
      </c>
    </row>
    <row r="89" spans="1:7" x14ac:dyDescent="0.25">
      <c r="A89" s="149">
        <f t="shared" si="13"/>
        <v>71</v>
      </c>
      <c r="B89" s="151">
        <f t="shared" si="12"/>
        <v>8344391.2025229046</v>
      </c>
      <c r="C89" s="151">
        <f t="shared" si="7"/>
        <v>34768.296677178783</v>
      </c>
      <c r="D89" s="151">
        <f t="shared" si="8"/>
        <v>33833.871429884028</v>
      </c>
      <c r="E89" s="151">
        <f t="shared" si="9"/>
        <v>68602.168107062811</v>
      </c>
      <c r="F89" s="151">
        <f t="shared" si="10"/>
        <v>8310557.3310930207</v>
      </c>
      <c r="G89" s="131">
        <f t="shared" si="11"/>
        <v>1.0096571999391106</v>
      </c>
    </row>
    <row r="90" spans="1:7" x14ac:dyDescent="0.25">
      <c r="A90" s="149">
        <f t="shared" si="13"/>
        <v>72</v>
      </c>
      <c r="B90" s="151">
        <f t="shared" si="12"/>
        <v>8310557.3310930207</v>
      </c>
      <c r="C90" s="151">
        <f t="shared" si="7"/>
        <v>34627.3222128876</v>
      </c>
      <c r="D90" s="151">
        <f t="shared" si="8"/>
        <v>33974.845894175211</v>
      </c>
      <c r="E90" s="151">
        <f t="shared" si="9"/>
        <v>68602.168107062811</v>
      </c>
      <c r="F90" s="151">
        <f t="shared" si="10"/>
        <v>8276582.4851988452</v>
      </c>
      <c r="G90" s="131">
        <f t="shared" si="11"/>
        <v>1.0096571999391106</v>
      </c>
    </row>
    <row r="91" spans="1:7" x14ac:dyDescent="0.25">
      <c r="A91" s="149">
        <f t="shared" si="13"/>
        <v>73</v>
      </c>
      <c r="B91" s="151">
        <f t="shared" si="12"/>
        <v>8276582.4851988452</v>
      </c>
      <c r="C91" s="151">
        <f t="shared" si="7"/>
        <v>34485.760354995204</v>
      </c>
      <c r="D91" s="151">
        <f t="shared" si="8"/>
        <v>34116.407752067607</v>
      </c>
      <c r="E91" s="151">
        <f t="shared" si="9"/>
        <v>68602.168107062811</v>
      </c>
      <c r="F91" s="151">
        <f t="shared" si="10"/>
        <v>8242466.0774467774</v>
      </c>
      <c r="G91" s="131">
        <f t="shared" si="11"/>
        <v>1.0096571999391106</v>
      </c>
    </row>
    <row r="92" spans="1:7" x14ac:dyDescent="0.25">
      <c r="A92" s="149">
        <f t="shared" si="13"/>
        <v>74</v>
      </c>
      <c r="B92" s="151">
        <f t="shared" si="12"/>
        <v>8242466.0774467774</v>
      </c>
      <c r="C92" s="151">
        <f t="shared" si="7"/>
        <v>34343.608656028257</v>
      </c>
      <c r="D92" s="151">
        <f t="shared" si="8"/>
        <v>34258.559451034555</v>
      </c>
      <c r="E92" s="151">
        <f t="shared" si="9"/>
        <v>68602.168107062811</v>
      </c>
      <c r="F92" s="151">
        <f t="shared" si="10"/>
        <v>8208207.5179957431</v>
      </c>
      <c r="G92" s="131">
        <f t="shared" si="11"/>
        <v>1.0096571999391106</v>
      </c>
    </row>
    <row r="93" spans="1:7" x14ac:dyDescent="0.25">
      <c r="A93" s="149">
        <f t="shared" si="13"/>
        <v>75</v>
      </c>
      <c r="B93" s="151">
        <f t="shared" si="12"/>
        <v>8208207.5179957431</v>
      </c>
      <c r="C93" s="151">
        <f t="shared" si="7"/>
        <v>34200.864658315608</v>
      </c>
      <c r="D93" s="151">
        <f t="shared" si="8"/>
        <v>34401.303448747196</v>
      </c>
      <c r="E93" s="151">
        <f t="shared" si="9"/>
        <v>68602.168107062811</v>
      </c>
      <c r="F93" s="151">
        <f t="shared" si="10"/>
        <v>8173806.2145469962</v>
      </c>
      <c r="G93" s="131">
        <f t="shared" si="11"/>
        <v>1.0096571999391106</v>
      </c>
    </row>
    <row r="94" spans="1:7" x14ac:dyDescent="0.25">
      <c r="A94" s="149">
        <f t="shared" si="13"/>
        <v>76</v>
      </c>
      <c r="B94" s="151">
        <f t="shared" si="12"/>
        <v>8173806.2145469962</v>
      </c>
      <c r="C94" s="151">
        <f t="shared" si="7"/>
        <v>34057.525893945829</v>
      </c>
      <c r="D94" s="151">
        <f t="shared" si="8"/>
        <v>34544.642213116975</v>
      </c>
      <c r="E94" s="151">
        <f t="shared" si="9"/>
        <v>68602.168107062811</v>
      </c>
      <c r="F94" s="151">
        <f t="shared" si="10"/>
        <v>8139261.5723338788</v>
      </c>
      <c r="G94" s="131">
        <f t="shared" si="11"/>
        <v>1.0096571999391106</v>
      </c>
    </row>
    <row r="95" spans="1:7" x14ac:dyDescent="0.25">
      <c r="A95" s="149">
        <f t="shared" si="13"/>
        <v>77</v>
      </c>
      <c r="B95" s="151">
        <f t="shared" si="12"/>
        <v>8139261.5723338788</v>
      </c>
      <c r="C95" s="151">
        <f t="shared" si="7"/>
        <v>33913.589884724512</v>
      </c>
      <c r="D95" s="151">
        <f t="shared" si="8"/>
        <v>34688.578222338299</v>
      </c>
      <c r="E95" s="151">
        <f t="shared" si="9"/>
        <v>68602.168107062811</v>
      </c>
      <c r="F95" s="151">
        <f t="shared" si="10"/>
        <v>8104572.9941115407</v>
      </c>
      <c r="G95" s="131">
        <f t="shared" si="11"/>
        <v>1.0096571999391106</v>
      </c>
    </row>
    <row r="96" spans="1:7" x14ac:dyDescent="0.25">
      <c r="A96" s="149">
        <f t="shared" si="13"/>
        <v>78</v>
      </c>
      <c r="B96" s="151">
        <f t="shared" si="12"/>
        <v>8104572.9941115407</v>
      </c>
      <c r="C96" s="151">
        <f t="shared" si="7"/>
        <v>33769.054142131441</v>
      </c>
      <c r="D96" s="151">
        <f t="shared" si="8"/>
        <v>34833.113964931377</v>
      </c>
      <c r="E96" s="151">
        <f t="shared" si="9"/>
        <v>68602.168107062811</v>
      </c>
      <c r="F96" s="151">
        <f t="shared" si="10"/>
        <v>8069739.8801466096</v>
      </c>
      <c r="G96" s="131">
        <f t="shared" si="11"/>
        <v>1.0096571999391106</v>
      </c>
    </row>
    <row r="97" spans="1:7" x14ac:dyDescent="0.25">
      <c r="A97" s="149">
        <f t="shared" si="13"/>
        <v>79</v>
      </c>
      <c r="B97" s="151">
        <f t="shared" si="12"/>
        <v>8069739.8801466096</v>
      </c>
      <c r="C97" s="151">
        <f t="shared" si="7"/>
        <v>33623.916167277559</v>
      </c>
      <c r="D97" s="151">
        <f t="shared" si="8"/>
        <v>34978.251939785252</v>
      </c>
      <c r="E97" s="151">
        <f t="shared" si="9"/>
        <v>68602.168107062811</v>
      </c>
      <c r="F97" s="151">
        <f t="shared" si="10"/>
        <v>8034761.628206824</v>
      </c>
      <c r="G97" s="131">
        <f t="shared" si="11"/>
        <v>1.0096571999391106</v>
      </c>
    </row>
    <row r="98" spans="1:7" x14ac:dyDescent="0.25">
      <c r="A98" s="149">
        <f t="shared" si="13"/>
        <v>80</v>
      </c>
      <c r="B98" s="151">
        <f t="shared" si="12"/>
        <v>8034761.628206824</v>
      </c>
      <c r="C98" s="151">
        <f t="shared" si="7"/>
        <v>33478.173450861781</v>
      </c>
      <c r="D98" s="151">
        <f t="shared" si="8"/>
        <v>35123.994656201023</v>
      </c>
      <c r="E98" s="151">
        <f t="shared" si="9"/>
        <v>68602.168107062811</v>
      </c>
      <c r="F98" s="151">
        <f t="shared" si="10"/>
        <v>7999637.6335506225</v>
      </c>
      <c r="G98" s="131">
        <f t="shared" si="11"/>
        <v>1.0096571999391106</v>
      </c>
    </row>
    <row r="99" spans="1:7" x14ac:dyDescent="0.25">
      <c r="A99" s="149">
        <f t="shared" si="13"/>
        <v>81</v>
      </c>
      <c r="B99" s="151">
        <f t="shared" si="12"/>
        <v>7999637.6335506225</v>
      </c>
      <c r="C99" s="151">
        <f t="shared" si="7"/>
        <v>33331.82347312761</v>
      </c>
      <c r="D99" s="151">
        <f t="shared" si="8"/>
        <v>35270.344633935209</v>
      </c>
      <c r="E99" s="151">
        <f t="shared" si="9"/>
        <v>68602.168107062811</v>
      </c>
      <c r="F99" s="151">
        <f t="shared" si="10"/>
        <v>7964367.2889166875</v>
      </c>
      <c r="G99" s="131">
        <f t="shared" si="11"/>
        <v>1.0096571999391106</v>
      </c>
    </row>
    <row r="100" spans="1:7" x14ac:dyDescent="0.25">
      <c r="A100" s="149">
        <f t="shared" si="13"/>
        <v>82</v>
      </c>
      <c r="B100" s="151">
        <f t="shared" si="12"/>
        <v>7964367.2889166875</v>
      </c>
      <c r="C100" s="151">
        <f t="shared" si="7"/>
        <v>33184.863703819545</v>
      </c>
      <c r="D100" s="151">
        <f t="shared" si="8"/>
        <v>35417.304403243259</v>
      </c>
      <c r="E100" s="151">
        <f t="shared" si="9"/>
        <v>68602.168107062811</v>
      </c>
      <c r="F100" s="151">
        <f t="shared" si="10"/>
        <v>7928949.9845134439</v>
      </c>
      <c r="G100" s="131">
        <f t="shared" si="11"/>
        <v>1.0096571999391106</v>
      </c>
    </row>
    <row r="101" spans="1:7" x14ac:dyDescent="0.25">
      <c r="A101" s="149">
        <f t="shared" si="13"/>
        <v>83</v>
      </c>
      <c r="B101" s="151">
        <f t="shared" si="12"/>
        <v>7928949.9845134439</v>
      </c>
      <c r="C101" s="151">
        <f t="shared" si="7"/>
        <v>33037.291602139361</v>
      </c>
      <c r="D101" s="151">
        <f t="shared" si="8"/>
        <v>35564.87650492345</v>
      </c>
      <c r="E101" s="151">
        <f t="shared" si="9"/>
        <v>68602.168107062811</v>
      </c>
      <c r="F101" s="151">
        <f t="shared" si="10"/>
        <v>7893385.1080085207</v>
      </c>
      <c r="G101" s="131">
        <f t="shared" si="11"/>
        <v>1.0096571999391106</v>
      </c>
    </row>
    <row r="102" spans="1:7" x14ac:dyDescent="0.25">
      <c r="A102" s="149">
        <f t="shared" si="13"/>
        <v>84</v>
      </c>
      <c r="B102" s="151">
        <f t="shared" si="12"/>
        <v>7893385.1080085207</v>
      </c>
      <c r="C102" s="151">
        <f t="shared" si="7"/>
        <v>32889.104616702178</v>
      </c>
      <c r="D102" s="151">
        <f t="shared" si="8"/>
        <v>35713.063490360626</v>
      </c>
      <c r="E102" s="151">
        <f t="shared" si="9"/>
        <v>68602.168107062811</v>
      </c>
      <c r="F102" s="151">
        <f t="shared" si="10"/>
        <v>7857672.0445181597</v>
      </c>
      <c r="G102" s="131">
        <f t="shared" si="11"/>
        <v>1.0096571999391106</v>
      </c>
    </row>
    <row r="103" spans="1:7" x14ac:dyDescent="0.25">
      <c r="A103" s="149">
        <f t="shared" si="13"/>
        <v>85</v>
      </c>
      <c r="B103" s="151">
        <f t="shared" si="12"/>
        <v>7857672.0445181597</v>
      </c>
      <c r="C103" s="151">
        <f t="shared" si="7"/>
        <v>32740.300185492353</v>
      </c>
      <c r="D103" s="151">
        <f t="shared" si="8"/>
        <v>35861.867921570461</v>
      </c>
      <c r="E103" s="151">
        <f t="shared" si="9"/>
        <v>68602.168107062811</v>
      </c>
      <c r="F103" s="151">
        <f t="shared" si="10"/>
        <v>7821810.1765965894</v>
      </c>
      <c r="G103" s="131">
        <f t="shared" si="11"/>
        <v>1.0096571999391106</v>
      </c>
    </row>
    <row r="104" spans="1:7" x14ac:dyDescent="0.25">
      <c r="A104" s="149">
        <f t="shared" si="13"/>
        <v>86</v>
      </c>
      <c r="B104" s="151">
        <f t="shared" si="12"/>
        <v>7821810.1765965894</v>
      </c>
      <c r="C104" s="151">
        <f t="shared" si="7"/>
        <v>32590.875735819136</v>
      </c>
      <c r="D104" s="151">
        <f t="shared" si="8"/>
        <v>36011.292371243675</v>
      </c>
      <c r="E104" s="151">
        <f t="shared" si="9"/>
        <v>68602.168107062811</v>
      </c>
      <c r="F104" s="151">
        <f t="shared" si="10"/>
        <v>7785798.8842253461</v>
      </c>
      <c r="G104" s="131">
        <f t="shared" si="11"/>
        <v>1.0096571999391106</v>
      </c>
    </row>
    <row r="105" spans="1:7" x14ac:dyDescent="0.25">
      <c r="A105" s="149">
        <f t="shared" si="13"/>
        <v>87</v>
      </c>
      <c r="B105" s="151">
        <f t="shared" si="12"/>
        <v>7785798.8842253461</v>
      </c>
      <c r="C105" s="151">
        <f t="shared" si="7"/>
        <v>32440.828684272292</v>
      </c>
      <c r="D105" s="151">
        <f t="shared" si="8"/>
        <v>36161.339422790523</v>
      </c>
      <c r="E105" s="151">
        <f t="shared" si="9"/>
        <v>68602.168107062811</v>
      </c>
      <c r="F105" s="151">
        <f t="shared" si="10"/>
        <v>7749637.5448025558</v>
      </c>
      <c r="G105" s="131">
        <f t="shared" si="11"/>
        <v>1.0096571999391106</v>
      </c>
    </row>
    <row r="106" spans="1:7" x14ac:dyDescent="0.25">
      <c r="A106" s="149">
        <f t="shared" si="13"/>
        <v>88</v>
      </c>
      <c r="B106" s="151">
        <f t="shared" si="12"/>
        <v>7749637.5448025558</v>
      </c>
      <c r="C106" s="151">
        <f t="shared" si="7"/>
        <v>32290.156436677335</v>
      </c>
      <c r="D106" s="151">
        <f t="shared" si="8"/>
        <v>36312.01167038548</v>
      </c>
      <c r="E106" s="151">
        <f t="shared" si="9"/>
        <v>68602.168107062811</v>
      </c>
      <c r="F106" s="151">
        <f t="shared" si="10"/>
        <v>7713325.5331321703</v>
      </c>
      <c r="G106" s="131">
        <f t="shared" si="11"/>
        <v>1.0096571999391106</v>
      </c>
    </row>
    <row r="107" spans="1:7" x14ac:dyDescent="0.25">
      <c r="A107" s="149">
        <f t="shared" si="13"/>
        <v>89</v>
      </c>
      <c r="B107" s="151">
        <f t="shared" si="12"/>
        <v>7713325.5331321703</v>
      </c>
      <c r="C107" s="151">
        <f t="shared" si="7"/>
        <v>32138.856388050724</v>
      </c>
      <c r="D107" s="151">
        <f t="shared" si="8"/>
        <v>36463.31171901209</v>
      </c>
      <c r="E107" s="151">
        <f t="shared" si="9"/>
        <v>68602.168107062811</v>
      </c>
      <c r="F107" s="151">
        <f t="shared" si="10"/>
        <v>7676862.2214131579</v>
      </c>
      <c r="G107" s="131">
        <f t="shared" si="11"/>
        <v>1.0096571999391106</v>
      </c>
    </row>
    <row r="108" spans="1:7" x14ac:dyDescent="0.25">
      <c r="A108" s="149">
        <f t="shared" si="13"/>
        <v>90</v>
      </c>
      <c r="B108" s="151">
        <f t="shared" si="12"/>
        <v>7676862.2214131579</v>
      </c>
      <c r="C108" s="151">
        <f t="shared" si="7"/>
        <v>31986.925922554841</v>
      </c>
      <c r="D108" s="151">
        <f t="shared" si="8"/>
        <v>36615.242184507966</v>
      </c>
      <c r="E108" s="151">
        <f t="shared" si="9"/>
        <v>68602.168107062811</v>
      </c>
      <c r="F108" s="151">
        <f t="shared" si="10"/>
        <v>7640246.9792286502</v>
      </c>
      <c r="G108" s="131">
        <f t="shared" si="11"/>
        <v>1.0096571999391106</v>
      </c>
    </row>
    <row r="109" spans="1:7" x14ac:dyDescent="0.25">
      <c r="A109" s="149">
        <f t="shared" si="13"/>
        <v>91</v>
      </c>
      <c r="B109" s="151">
        <f t="shared" si="12"/>
        <v>7640246.9792286502</v>
      </c>
      <c r="C109" s="151">
        <f t="shared" si="7"/>
        <v>31834.36241345272</v>
      </c>
      <c r="D109" s="151">
        <f t="shared" si="8"/>
        <v>36767.805693610084</v>
      </c>
      <c r="E109" s="151">
        <f t="shared" si="9"/>
        <v>68602.168107062811</v>
      </c>
      <c r="F109" s="151">
        <f t="shared" si="10"/>
        <v>7603479.1735350406</v>
      </c>
      <c r="G109" s="131">
        <f t="shared" si="11"/>
        <v>1.0096571999391106</v>
      </c>
    </row>
    <row r="110" spans="1:7" x14ac:dyDescent="0.25">
      <c r="A110" s="149">
        <f t="shared" si="13"/>
        <v>92</v>
      </c>
      <c r="B110" s="151">
        <f t="shared" si="12"/>
        <v>7603479.1735350406</v>
      </c>
      <c r="C110" s="151">
        <f t="shared" si="7"/>
        <v>31681.163223062682</v>
      </c>
      <c r="D110" s="151">
        <f t="shared" si="8"/>
        <v>36921.004884000133</v>
      </c>
      <c r="E110" s="151">
        <f t="shared" si="9"/>
        <v>68602.168107062811</v>
      </c>
      <c r="F110" s="151">
        <f t="shared" si="10"/>
        <v>7566558.1686510406</v>
      </c>
      <c r="G110" s="131">
        <f t="shared" si="11"/>
        <v>1.0096571999391106</v>
      </c>
    </row>
    <row r="111" spans="1:7" x14ac:dyDescent="0.25">
      <c r="A111" s="149">
        <f t="shared" si="13"/>
        <v>93</v>
      </c>
      <c r="B111" s="151">
        <f t="shared" si="12"/>
        <v>7566558.1686510406</v>
      </c>
      <c r="C111" s="151">
        <f t="shared" si="7"/>
        <v>31527.325702712682</v>
      </c>
      <c r="D111" s="151">
        <f t="shared" si="8"/>
        <v>37074.842404350129</v>
      </c>
      <c r="E111" s="151">
        <f t="shared" si="9"/>
        <v>68602.168107062811</v>
      </c>
      <c r="F111" s="151">
        <f t="shared" si="10"/>
        <v>7529483.3262466909</v>
      </c>
      <c r="G111" s="131">
        <f t="shared" si="11"/>
        <v>1.0096571999391106</v>
      </c>
    </row>
    <row r="112" spans="1:7" x14ac:dyDescent="0.25">
      <c r="A112" s="149">
        <f t="shared" si="13"/>
        <v>94</v>
      </c>
      <c r="B112" s="151">
        <f t="shared" si="12"/>
        <v>7529483.3262466909</v>
      </c>
      <c r="C112" s="151">
        <f t="shared" si="7"/>
        <v>31372.84719269456</v>
      </c>
      <c r="D112" s="151">
        <f t="shared" si="8"/>
        <v>37229.320914368262</v>
      </c>
      <c r="E112" s="151">
        <f t="shared" si="9"/>
        <v>68602.168107062826</v>
      </c>
      <c r="F112" s="151">
        <f t="shared" si="10"/>
        <v>7492254.0053323228</v>
      </c>
      <c r="G112" s="131">
        <f t="shared" si="11"/>
        <v>1.0096571999391108</v>
      </c>
    </row>
    <row r="113" spans="1:7" x14ac:dyDescent="0.25">
      <c r="A113" s="149">
        <f t="shared" si="13"/>
        <v>95</v>
      </c>
      <c r="B113" s="151">
        <f t="shared" si="12"/>
        <v>7492254.0053323228</v>
      </c>
      <c r="C113" s="151">
        <f t="shared" si="7"/>
        <v>31217.725022218026</v>
      </c>
      <c r="D113" s="151">
        <f t="shared" si="8"/>
        <v>37384.443084844788</v>
      </c>
      <c r="E113" s="151">
        <f t="shared" si="9"/>
        <v>68602.168107062811</v>
      </c>
      <c r="F113" s="151">
        <f t="shared" si="10"/>
        <v>7454869.5622474784</v>
      </c>
      <c r="G113" s="131">
        <f t="shared" si="11"/>
        <v>1.0096571999391106</v>
      </c>
    </row>
    <row r="114" spans="1:7" x14ac:dyDescent="0.25">
      <c r="A114" s="149">
        <f t="shared" si="13"/>
        <v>96</v>
      </c>
      <c r="B114" s="151">
        <f t="shared" si="12"/>
        <v>7454869.5622474784</v>
      </c>
      <c r="C114" s="151">
        <f t="shared" si="7"/>
        <v>31061.9565093645</v>
      </c>
      <c r="D114" s="151">
        <f t="shared" si="8"/>
        <v>37540.211597698304</v>
      </c>
      <c r="E114" s="151">
        <f t="shared" si="9"/>
        <v>68602.168107062811</v>
      </c>
      <c r="F114" s="151">
        <f t="shared" si="10"/>
        <v>7417329.3506497797</v>
      </c>
      <c r="G114" s="131">
        <f t="shared" si="11"/>
        <v>1.0096571999391106</v>
      </c>
    </row>
    <row r="115" spans="1:7" x14ac:dyDescent="0.25">
      <c r="A115" s="149">
        <f t="shared" si="13"/>
        <v>97</v>
      </c>
      <c r="B115" s="151">
        <f t="shared" si="12"/>
        <v>7417329.3506497797</v>
      </c>
      <c r="C115" s="151">
        <f t="shared" si="7"/>
        <v>30905.538961040758</v>
      </c>
      <c r="D115" s="151">
        <f t="shared" si="8"/>
        <v>37696.629146022053</v>
      </c>
      <c r="E115" s="151">
        <f t="shared" si="9"/>
        <v>68602.168107062811</v>
      </c>
      <c r="F115" s="151">
        <f t="shared" si="10"/>
        <v>7379632.7215037579</v>
      </c>
      <c r="G115" s="131">
        <f t="shared" si="11"/>
        <v>1.0096571999391106</v>
      </c>
    </row>
    <row r="116" spans="1:7" x14ac:dyDescent="0.25">
      <c r="A116" s="149">
        <f t="shared" si="13"/>
        <v>98</v>
      </c>
      <c r="B116" s="151">
        <f t="shared" si="12"/>
        <v>7379632.7215037579</v>
      </c>
      <c r="C116" s="151">
        <f t="shared" si="7"/>
        <v>30748.46967293234</v>
      </c>
      <c r="D116" s="151">
        <f t="shared" si="8"/>
        <v>37853.698434130485</v>
      </c>
      <c r="E116" s="151">
        <f t="shared" si="9"/>
        <v>68602.168107062826</v>
      </c>
      <c r="F116" s="151">
        <f t="shared" si="10"/>
        <v>7341779.0230696276</v>
      </c>
      <c r="G116" s="131">
        <f t="shared" si="11"/>
        <v>1.0096571999391108</v>
      </c>
    </row>
    <row r="117" spans="1:7" x14ac:dyDescent="0.25">
      <c r="A117" s="149">
        <f t="shared" si="13"/>
        <v>99</v>
      </c>
      <c r="B117" s="151">
        <f t="shared" si="12"/>
        <v>7341779.0230696276</v>
      </c>
      <c r="C117" s="151">
        <f t="shared" si="7"/>
        <v>30590.745929456789</v>
      </c>
      <c r="D117" s="151">
        <f t="shared" si="8"/>
        <v>38011.422177606022</v>
      </c>
      <c r="E117" s="151">
        <f t="shared" si="9"/>
        <v>68602.168107062811</v>
      </c>
      <c r="F117" s="151">
        <f t="shared" si="10"/>
        <v>7303767.6008920213</v>
      </c>
      <c r="G117" s="131">
        <f t="shared" si="11"/>
        <v>1.0096571999391106</v>
      </c>
    </row>
    <row r="118" spans="1:7" x14ac:dyDescent="0.25">
      <c r="A118" s="149">
        <f t="shared" si="13"/>
        <v>100</v>
      </c>
      <c r="B118" s="151">
        <f t="shared" si="12"/>
        <v>7303767.6008920213</v>
      </c>
      <c r="C118" s="151">
        <f t="shared" si="7"/>
        <v>30432.365003716764</v>
      </c>
      <c r="D118" s="151">
        <f t="shared" si="8"/>
        <v>38169.803103346043</v>
      </c>
      <c r="E118" s="151">
        <f t="shared" si="9"/>
        <v>68602.168107062811</v>
      </c>
      <c r="F118" s="151">
        <f t="shared" si="10"/>
        <v>7265597.7977886749</v>
      </c>
      <c r="G118" s="131">
        <f t="shared" si="11"/>
        <v>1.0096571999391106</v>
      </c>
    </row>
    <row r="119" spans="1:7" x14ac:dyDescent="0.25">
      <c r="A119" s="149">
        <f t="shared" si="13"/>
        <v>101</v>
      </c>
      <c r="B119" s="151">
        <f t="shared" si="12"/>
        <v>7265597.7977886749</v>
      </c>
      <c r="C119" s="151">
        <f t="shared" si="7"/>
        <v>30273.324157452818</v>
      </c>
      <c r="D119" s="151">
        <f t="shared" si="8"/>
        <v>38328.843949609989</v>
      </c>
      <c r="E119" s="151">
        <f t="shared" si="9"/>
        <v>68602.168107062811</v>
      </c>
      <c r="F119" s="151">
        <f t="shared" si="10"/>
        <v>7227268.9538390646</v>
      </c>
      <c r="G119" s="131">
        <f t="shared" si="11"/>
        <v>1.0096571999391106</v>
      </c>
    </row>
    <row r="120" spans="1:7" x14ac:dyDescent="0.25">
      <c r="A120" s="149">
        <f t="shared" si="13"/>
        <v>102</v>
      </c>
      <c r="B120" s="151">
        <f t="shared" si="12"/>
        <v>7227268.9538390646</v>
      </c>
      <c r="C120" s="151">
        <f t="shared" si="7"/>
        <v>30113.620640996112</v>
      </c>
      <c r="D120" s="151">
        <f t="shared" si="8"/>
        <v>38488.547466066688</v>
      </c>
      <c r="E120" s="151">
        <f t="shared" si="9"/>
        <v>68602.168107062796</v>
      </c>
      <c r="F120" s="151">
        <f t="shared" si="10"/>
        <v>7188780.4063729979</v>
      </c>
      <c r="G120" s="131">
        <f t="shared" si="11"/>
        <v>1.0096571999391104</v>
      </c>
    </row>
    <row r="121" spans="1:7" x14ac:dyDescent="0.25">
      <c r="A121" s="149">
        <f t="shared" si="13"/>
        <v>103</v>
      </c>
      <c r="B121" s="151">
        <f t="shared" si="12"/>
        <v>7188780.4063729979</v>
      </c>
      <c r="C121" s="151">
        <f t="shared" si="7"/>
        <v>29953.251693220838</v>
      </c>
      <c r="D121" s="151">
        <f t="shared" si="8"/>
        <v>38648.916413841973</v>
      </c>
      <c r="E121" s="151">
        <f t="shared" si="9"/>
        <v>68602.168107062811</v>
      </c>
      <c r="F121" s="151">
        <f t="shared" si="10"/>
        <v>7150131.4899591561</v>
      </c>
      <c r="G121" s="131">
        <f t="shared" si="11"/>
        <v>1.0096571999391106</v>
      </c>
    </row>
    <row r="122" spans="1:7" x14ac:dyDescent="0.25">
      <c r="A122" s="149">
        <f t="shared" si="13"/>
        <v>104</v>
      </c>
      <c r="B122" s="151">
        <f t="shared" si="12"/>
        <v>7150131.4899591561</v>
      </c>
      <c r="C122" s="151">
        <f t="shared" si="7"/>
        <v>29792.214541496494</v>
      </c>
      <c r="D122" s="151">
        <f t="shared" si="8"/>
        <v>38809.953565566313</v>
      </c>
      <c r="E122" s="151">
        <f t="shared" si="9"/>
        <v>68602.168107062811</v>
      </c>
      <c r="F122" s="151">
        <f t="shared" si="10"/>
        <v>7111321.5363935903</v>
      </c>
      <c r="G122" s="131">
        <f t="shared" si="11"/>
        <v>1.0096571999391106</v>
      </c>
    </row>
    <row r="123" spans="1:7" x14ac:dyDescent="0.25">
      <c r="A123" s="149">
        <f t="shared" si="13"/>
        <v>105</v>
      </c>
      <c r="B123" s="151">
        <f t="shared" si="12"/>
        <v>7111321.5363935903</v>
      </c>
      <c r="C123" s="151">
        <f t="shared" si="7"/>
        <v>29630.506401639977</v>
      </c>
      <c r="D123" s="151">
        <f t="shared" si="8"/>
        <v>38971.661705422841</v>
      </c>
      <c r="E123" s="151">
        <f t="shared" si="9"/>
        <v>68602.168107062811</v>
      </c>
      <c r="F123" s="151">
        <f t="shared" si="10"/>
        <v>7072349.8746881671</v>
      </c>
      <c r="G123" s="131">
        <f t="shared" si="11"/>
        <v>1.0096571999391106</v>
      </c>
    </row>
    <row r="124" spans="1:7" x14ac:dyDescent="0.25">
      <c r="A124" s="149">
        <f t="shared" si="13"/>
        <v>106</v>
      </c>
      <c r="B124" s="151">
        <f t="shared" si="12"/>
        <v>7072349.8746881671</v>
      </c>
      <c r="C124" s="151">
        <f t="shared" si="7"/>
        <v>29468.124477867379</v>
      </c>
      <c r="D124" s="151">
        <f t="shared" si="8"/>
        <v>39134.043629195432</v>
      </c>
      <c r="E124" s="151">
        <f t="shared" si="9"/>
        <v>68602.168107062811</v>
      </c>
      <c r="F124" s="151">
        <f t="shared" si="10"/>
        <v>7033215.8310589716</v>
      </c>
      <c r="G124" s="131">
        <f t="shared" si="11"/>
        <v>1.0096571999391106</v>
      </c>
    </row>
    <row r="125" spans="1:7" x14ac:dyDescent="0.25">
      <c r="A125" s="149">
        <f t="shared" si="13"/>
        <v>107</v>
      </c>
      <c r="B125" s="151">
        <f t="shared" si="12"/>
        <v>7033215.8310589716</v>
      </c>
      <c r="C125" s="151">
        <f t="shared" si="7"/>
        <v>29305.065962745721</v>
      </c>
      <c r="D125" s="151">
        <f t="shared" si="8"/>
        <v>39297.102144317083</v>
      </c>
      <c r="E125" s="151">
        <f t="shared" si="9"/>
        <v>68602.168107062811</v>
      </c>
      <c r="F125" s="151">
        <f t="shared" si="10"/>
        <v>6993918.7289146548</v>
      </c>
      <c r="G125" s="131">
        <f t="shared" si="11"/>
        <v>1.0096571999391106</v>
      </c>
    </row>
    <row r="126" spans="1:7" x14ac:dyDescent="0.25">
      <c r="A126" s="149">
        <f t="shared" si="13"/>
        <v>108</v>
      </c>
      <c r="B126" s="151">
        <f t="shared" si="12"/>
        <v>6993918.7289146548</v>
      </c>
      <c r="C126" s="151">
        <f t="shared" si="7"/>
        <v>29141.328037144402</v>
      </c>
      <c r="D126" s="151">
        <f t="shared" si="8"/>
        <v>39460.840069918406</v>
      </c>
      <c r="E126" s="151">
        <f t="shared" si="9"/>
        <v>68602.168107062811</v>
      </c>
      <c r="F126" s="151">
        <f t="shared" si="10"/>
        <v>6954457.8888447369</v>
      </c>
      <c r="G126" s="131">
        <f t="shared" si="11"/>
        <v>1.0096571999391106</v>
      </c>
    </row>
    <row r="127" spans="1:7" x14ac:dyDescent="0.25">
      <c r="A127" s="149">
        <f t="shared" si="13"/>
        <v>109</v>
      </c>
      <c r="B127" s="151">
        <f t="shared" si="12"/>
        <v>6954457.8888447369</v>
      </c>
      <c r="C127" s="151">
        <f t="shared" si="7"/>
        <v>28976.907870186409</v>
      </c>
      <c r="D127" s="151">
        <f t="shared" si="8"/>
        <v>39625.260236876398</v>
      </c>
      <c r="E127" s="151">
        <f t="shared" si="9"/>
        <v>68602.168107062811</v>
      </c>
      <c r="F127" s="151">
        <f t="shared" si="10"/>
        <v>6914832.6286078608</v>
      </c>
      <c r="G127" s="131">
        <f t="shared" si="11"/>
        <v>1.0096571999391106</v>
      </c>
    </row>
    <row r="128" spans="1:7" x14ac:dyDescent="0.25">
      <c r="A128" s="149">
        <f t="shared" si="13"/>
        <v>110</v>
      </c>
      <c r="B128" s="151">
        <f t="shared" si="12"/>
        <v>6914832.6286078608</v>
      </c>
      <c r="C128" s="151">
        <f t="shared" si="7"/>
        <v>28811.802619199429</v>
      </c>
      <c r="D128" s="151">
        <f t="shared" si="8"/>
        <v>39790.365487863382</v>
      </c>
      <c r="E128" s="151">
        <f t="shared" si="9"/>
        <v>68602.168107062811</v>
      </c>
      <c r="F128" s="151">
        <f t="shared" si="10"/>
        <v>6875042.2631199975</v>
      </c>
      <c r="G128" s="131">
        <f t="shared" si="11"/>
        <v>1.0096571999391106</v>
      </c>
    </row>
    <row r="129" spans="1:7" x14ac:dyDescent="0.25">
      <c r="A129" s="149">
        <f t="shared" si="13"/>
        <v>111</v>
      </c>
      <c r="B129" s="151">
        <f t="shared" si="12"/>
        <v>6875042.2631199975</v>
      </c>
      <c r="C129" s="151">
        <f t="shared" si="7"/>
        <v>28646.009429666665</v>
      </c>
      <c r="D129" s="151">
        <f t="shared" si="8"/>
        <v>39956.158677396146</v>
      </c>
      <c r="E129" s="151">
        <f t="shared" si="9"/>
        <v>68602.168107062811</v>
      </c>
      <c r="F129" s="151">
        <f t="shared" si="10"/>
        <v>6835086.1044426011</v>
      </c>
      <c r="G129" s="131">
        <f t="shared" si="11"/>
        <v>1.0096571999391106</v>
      </c>
    </row>
    <row r="130" spans="1:7" x14ac:dyDescent="0.25">
      <c r="A130" s="149">
        <f t="shared" si="13"/>
        <v>112</v>
      </c>
      <c r="B130" s="151">
        <f t="shared" si="12"/>
        <v>6835086.1044426011</v>
      </c>
      <c r="C130" s="151">
        <f t="shared" si="7"/>
        <v>28479.525435177515</v>
      </c>
      <c r="D130" s="151">
        <f t="shared" si="8"/>
        <v>40122.642671885304</v>
      </c>
      <c r="E130" s="151">
        <f t="shared" si="9"/>
        <v>68602.168107062811</v>
      </c>
      <c r="F130" s="151">
        <f t="shared" si="10"/>
        <v>6794963.4617707161</v>
      </c>
      <c r="G130" s="131">
        <f t="shared" si="11"/>
        <v>1.0096571999391106</v>
      </c>
    </row>
    <row r="131" spans="1:7" x14ac:dyDescent="0.25">
      <c r="A131" s="149">
        <f t="shared" si="13"/>
        <v>113</v>
      </c>
      <c r="B131" s="151">
        <f t="shared" si="12"/>
        <v>6794963.4617707161</v>
      </c>
      <c r="C131" s="151">
        <f t="shared" si="7"/>
        <v>28312.347757377996</v>
      </c>
      <c r="D131" s="151">
        <f t="shared" si="8"/>
        <v>40289.820349684822</v>
      </c>
      <c r="E131" s="151">
        <f t="shared" si="9"/>
        <v>68602.168107062811</v>
      </c>
      <c r="F131" s="151">
        <f t="shared" si="10"/>
        <v>6754673.6414210312</v>
      </c>
      <c r="G131" s="131">
        <f t="shared" si="11"/>
        <v>1.0096571999391106</v>
      </c>
    </row>
    <row r="132" spans="1:7" x14ac:dyDescent="0.25">
      <c r="A132" s="149">
        <f t="shared" si="13"/>
        <v>114</v>
      </c>
      <c r="B132" s="151">
        <f t="shared" si="12"/>
        <v>6754673.6414210312</v>
      </c>
      <c r="C132" s="151">
        <f t="shared" si="7"/>
        <v>28144.473505920971</v>
      </c>
      <c r="D132" s="151">
        <f t="shared" si="8"/>
        <v>40457.69460114184</v>
      </c>
      <c r="E132" s="151">
        <f t="shared" si="9"/>
        <v>68602.168107062811</v>
      </c>
      <c r="F132" s="151">
        <f t="shared" si="10"/>
        <v>6714215.9468198894</v>
      </c>
      <c r="G132" s="131">
        <f t="shared" si="11"/>
        <v>1.0096571999391106</v>
      </c>
    </row>
    <row r="133" spans="1:7" x14ac:dyDescent="0.25">
      <c r="A133" s="149">
        <f t="shared" si="13"/>
        <v>115</v>
      </c>
      <c r="B133" s="151">
        <f t="shared" si="12"/>
        <v>6714215.9468198894</v>
      </c>
      <c r="C133" s="151">
        <f t="shared" si="7"/>
        <v>27975.899778416213</v>
      </c>
      <c r="D133" s="151">
        <f t="shared" si="8"/>
        <v>40626.268328646591</v>
      </c>
      <c r="E133" s="151">
        <f t="shared" si="9"/>
        <v>68602.168107062811</v>
      </c>
      <c r="F133" s="151">
        <f t="shared" si="10"/>
        <v>6673589.6784912432</v>
      </c>
      <c r="G133" s="131">
        <f t="shared" si="11"/>
        <v>1.0096571999391106</v>
      </c>
    </row>
    <row r="134" spans="1:7" x14ac:dyDescent="0.25">
      <c r="A134" s="149">
        <f t="shared" si="13"/>
        <v>116</v>
      </c>
      <c r="B134" s="151">
        <f t="shared" si="12"/>
        <v>6673589.6784912432</v>
      </c>
      <c r="C134" s="151">
        <f t="shared" si="7"/>
        <v>27806.623660380188</v>
      </c>
      <c r="D134" s="151">
        <f t="shared" si="8"/>
        <v>40795.544446682616</v>
      </c>
      <c r="E134" s="151">
        <f t="shared" si="9"/>
        <v>68602.168107062811</v>
      </c>
      <c r="F134" s="151">
        <f t="shared" si="10"/>
        <v>6632794.1340445606</v>
      </c>
      <c r="G134" s="131">
        <f t="shared" si="11"/>
        <v>1.0096571999391106</v>
      </c>
    </row>
    <row r="135" spans="1:7" x14ac:dyDescent="0.25">
      <c r="A135" s="149">
        <f t="shared" si="13"/>
        <v>117</v>
      </c>
      <c r="B135" s="151">
        <f t="shared" si="12"/>
        <v>6632794.1340445606</v>
      </c>
      <c r="C135" s="151">
        <f t="shared" si="7"/>
        <v>27636.642225185682</v>
      </c>
      <c r="D135" s="151">
        <f t="shared" si="8"/>
        <v>40965.52588187714</v>
      </c>
      <c r="E135" s="151">
        <f t="shared" si="9"/>
        <v>68602.168107062826</v>
      </c>
      <c r="F135" s="151">
        <f t="shared" si="10"/>
        <v>6591828.6081626834</v>
      </c>
      <c r="G135" s="131">
        <f t="shared" si="11"/>
        <v>1.0096571999391108</v>
      </c>
    </row>
    <row r="136" spans="1:7" x14ac:dyDescent="0.25">
      <c r="A136" s="149">
        <f t="shared" si="13"/>
        <v>118</v>
      </c>
      <c r="B136" s="151">
        <f t="shared" si="12"/>
        <v>6591828.6081626834</v>
      </c>
      <c r="C136" s="151">
        <f t="shared" si="7"/>
        <v>27465.952534011183</v>
      </c>
      <c r="D136" s="151">
        <f t="shared" si="8"/>
        <v>41136.215573051617</v>
      </c>
      <c r="E136" s="151">
        <f t="shared" si="9"/>
        <v>68602.168107062796</v>
      </c>
      <c r="F136" s="151">
        <f t="shared" si="10"/>
        <v>6550692.3925896315</v>
      </c>
      <c r="G136" s="131">
        <f t="shared" si="11"/>
        <v>1.0096571999391104</v>
      </c>
    </row>
    <row r="137" spans="1:7" x14ac:dyDescent="0.25">
      <c r="A137" s="149">
        <f t="shared" si="13"/>
        <v>119</v>
      </c>
      <c r="B137" s="151">
        <f t="shared" si="12"/>
        <v>6550692.3925896315</v>
      </c>
      <c r="C137" s="151">
        <f t="shared" si="7"/>
        <v>27294.55163579014</v>
      </c>
      <c r="D137" s="151">
        <f t="shared" si="8"/>
        <v>41307.616471272668</v>
      </c>
      <c r="E137" s="151">
        <f t="shared" si="9"/>
        <v>68602.168107062811</v>
      </c>
      <c r="F137" s="151">
        <f t="shared" si="10"/>
        <v>6509384.7761183586</v>
      </c>
      <c r="G137" s="131">
        <f t="shared" si="11"/>
        <v>1.0096571999391106</v>
      </c>
    </row>
    <row r="138" spans="1:7" x14ac:dyDescent="0.25">
      <c r="A138" s="149">
        <f t="shared" si="13"/>
        <v>120</v>
      </c>
      <c r="B138" s="151">
        <f t="shared" si="12"/>
        <v>6509384.7761183586</v>
      </c>
      <c r="C138" s="151">
        <f t="shared" si="7"/>
        <v>27122.436567159835</v>
      </c>
      <c r="D138" s="151">
        <f t="shared" si="8"/>
        <v>41479.731539902976</v>
      </c>
      <c r="E138" s="151">
        <f t="shared" si="9"/>
        <v>68602.168107062811</v>
      </c>
      <c r="F138" s="151">
        <f t="shared" si="10"/>
        <v>6467905.0445784554</v>
      </c>
      <c r="G138" s="131">
        <f t="shared" si="11"/>
        <v>1.0096571999391106</v>
      </c>
    </row>
    <row r="139" spans="1:7" x14ac:dyDescent="0.25">
      <c r="A139" s="149">
        <f t="shared" si="13"/>
        <v>121</v>
      </c>
      <c r="B139" s="151">
        <f t="shared" si="12"/>
        <v>6467905.0445784554</v>
      </c>
      <c r="C139" s="151">
        <f t="shared" si="7"/>
        <v>26949.604352410246</v>
      </c>
      <c r="D139" s="151">
        <f t="shared" si="8"/>
        <v>41652.563754652561</v>
      </c>
      <c r="E139" s="151">
        <f t="shared" si="9"/>
        <v>68602.168107062811</v>
      </c>
      <c r="F139" s="151">
        <f t="shared" si="10"/>
        <v>6426252.4808238028</v>
      </c>
      <c r="G139" s="131">
        <f t="shared" si="11"/>
        <v>1.0096571999391106</v>
      </c>
    </row>
    <row r="140" spans="1:7" x14ac:dyDescent="0.25">
      <c r="A140" s="149">
        <f t="shared" si="13"/>
        <v>122</v>
      </c>
      <c r="B140" s="151">
        <f t="shared" si="12"/>
        <v>6426252.4808238028</v>
      </c>
      <c r="C140" s="151">
        <f t="shared" si="7"/>
        <v>26776.052003432524</v>
      </c>
      <c r="D140" s="151">
        <f t="shared" si="8"/>
        <v>41826.116103630287</v>
      </c>
      <c r="E140" s="151">
        <f t="shared" si="9"/>
        <v>68602.168107062811</v>
      </c>
      <c r="F140" s="151">
        <f t="shared" si="10"/>
        <v>6384426.3647201722</v>
      </c>
      <c r="G140" s="131">
        <f t="shared" si="11"/>
        <v>1.0096571999391106</v>
      </c>
    </row>
    <row r="141" spans="1:7" x14ac:dyDescent="0.25">
      <c r="A141" s="149">
        <f t="shared" si="13"/>
        <v>123</v>
      </c>
      <c r="B141" s="151">
        <f t="shared" si="12"/>
        <v>6384426.3647201722</v>
      </c>
      <c r="C141" s="151">
        <f t="shared" si="7"/>
        <v>26601.77651966739</v>
      </c>
      <c r="D141" s="151">
        <f t="shared" si="8"/>
        <v>42000.391587395417</v>
      </c>
      <c r="E141" s="151">
        <f t="shared" si="9"/>
        <v>68602.168107062811</v>
      </c>
      <c r="F141" s="151">
        <f t="shared" si="10"/>
        <v>6342425.973132777</v>
      </c>
      <c r="G141" s="131">
        <f t="shared" si="11"/>
        <v>1.0096571999391106</v>
      </c>
    </row>
    <row r="142" spans="1:7" x14ac:dyDescent="0.25">
      <c r="A142" s="149">
        <f t="shared" si="13"/>
        <v>124</v>
      </c>
      <c r="B142" s="151">
        <f t="shared" si="12"/>
        <v>6342425.973132777</v>
      </c>
      <c r="C142" s="151">
        <f t="shared" si="7"/>
        <v>26426.774888053249</v>
      </c>
      <c r="D142" s="151">
        <f t="shared" si="8"/>
        <v>42175.393219009558</v>
      </c>
      <c r="E142" s="151">
        <f t="shared" si="9"/>
        <v>68602.168107062811</v>
      </c>
      <c r="F142" s="151">
        <f t="shared" si="10"/>
        <v>6300250.5799137671</v>
      </c>
      <c r="G142" s="131">
        <f t="shared" si="11"/>
        <v>1.0096571999391106</v>
      </c>
    </row>
    <row r="143" spans="1:7" x14ac:dyDescent="0.25">
      <c r="A143" s="149">
        <f t="shared" si="13"/>
        <v>125</v>
      </c>
      <c r="B143" s="151">
        <f t="shared" si="12"/>
        <v>6300250.5799137671</v>
      </c>
      <c r="C143" s="151">
        <f t="shared" si="7"/>
        <v>26251.044082974044</v>
      </c>
      <c r="D143" s="151">
        <f t="shared" si="8"/>
        <v>42351.124024088771</v>
      </c>
      <c r="E143" s="151">
        <f t="shared" si="9"/>
        <v>68602.168107062811</v>
      </c>
      <c r="F143" s="151">
        <f t="shared" si="10"/>
        <v>6257899.4558896786</v>
      </c>
      <c r="G143" s="131">
        <f t="shared" si="11"/>
        <v>1.0096571999391106</v>
      </c>
    </row>
    <row r="144" spans="1:7" x14ac:dyDescent="0.25">
      <c r="A144" s="149">
        <f t="shared" si="13"/>
        <v>126</v>
      </c>
      <c r="B144" s="151">
        <f t="shared" si="12"/>
        <v>6257899.4558896786</v>
      </c>
      <c r="C144" s="151">
        <f t="shared" si="7"/>
        <v>26074.581066207007</v>
      </c>
      <c r="D144" s="151">
        <f t="shared" si="8"/>
        <v>42527.587040855804</v>
      </c>
      <c r="E144" s="151">
        <f t="shared" si="9"/>
        <v>68602.168107062811</v>
      </c>
      <c r="F144" s="151">
        <f t="shared" si="10"/>
        <v>6215371.868848823</v>
      </c>
      <c r="G144" s="131">
        <f t="shared" si="11"/>
        <v>1.0096571999391106</v>
      </c>
    </row>
    <row r="145" spans="1:7" x14ac:dyDescent="0.25">
      <c r="A145" s="149">
        <f t="shared" si="13"/>
        <v>127</v>
      </c>
      <c r="B145" s="151">
        <f t="shared" si="12"/>
        <v>6215371.868848823</v>
      </c>
      <c r="C145" s="151">
        <f t="shared" si="7"/>
        <v>25897.382786870105</v>
      </c>
      <c r="D145" s="151">
        <f t="shared" si="8"/>
        <v>42704.785320192699</v>
      </c>
      <c r="E145" s="151">
        <f t="shared" si="9"/>
        <v>68602.168107062811</v>
      </c>
      <c r="F145" s="151">
        <f t="shared" si="10"/>
        <v>6172667.0835286304</v>
      </c>
      <c r="G145" s="131">
        <f t="shared" si="11"/>
        <v>1.0096571999391106</v>
      </c>
    </row>
    <row r="146" spans="1:7" x14ac:dyDescent="0.25">
      <c r="A146" s="149">
        <f t="shared" si="13"/>
        <v>128</v>
      </c>
      <c r="B146" s="151">
        <f t="shared" si="12"/>
        <v>6172667.0835286304</v>
      </c>
      <c r="C146" s="151">
        <f t="shared" si="7"/>
        <v>25719.446181369301</v>
      </c>
      <c r="D146" s="151">
        <f t="shared" si="8"/>
        <v>42882.721925693506</v>
      </c>
      <c r="E146" s="151">
        <f t="shared" si="9"/>
        <v>68602.168107062811</v>
      </c>
      <c r="F146" s="151">
        <f t="shared" si="10"/>
        <v>6129784.3616029369</v>
      </c>
      <c r="G146" s="131">
        <f t="shared" si="11"/>
        <v>1.0096571999391106</v>
      </c>
    </row>
    <row r="147" spans="1:7" x14ac:dyDescent="0.25">
      <c r="A147" s="149">
        <f t="shared" si="13"/>
        <v>129</v>
      </c>
      <c r="B147" s="151">
        <f t="shared" si="12"/>
        <v>6129784.3616029369</v>
      </c>
      <c r="C147" s="151">
        <f t="shared" ref="C147:C150" si="14">IF(ISERROR(IPMT(C$6/12,A147,$C$8,-$B$19,0)),0,IPMT(C$6/12,A147,$C$8,-$B$19,0))</f>
        <v>25540.768173345583</v>
      </c>
      <c r="D147" s="151">
        <f t="shared" ref="D147:D150" si="15">IF(ISERROR(PPMT($C$6/12,$A147,$C$8,-$B$19,0)),0,PPMT($C$6/12,$A147,$C$8,-$B$19,0))</f>
        <v>43061.399933717228</v>
      </c>
      <c r="E147" s="151">
        <f t="shared" ref="E147:E150" si="16">+C147+D147</f>
        <v>68602.168107062811</v>
      </c>
      <c r="F147" s="151">
        <f t="shared" ref="F147:F150" si="17">+B147-D147</f>
        <v>6086722.9616692197</v>
      </c>
      <c r="G147" s="131">
        <f t="shared" ref="G147:G150" si="18">E147/$C$10</f>
        <v>1.0096571999391106</v>
      </c>
    </row>
    <row r="148" spans="1:7" x14ac:dyDescent="0.25">
      <c r="A148" s="149">
        <f t="shared" si="13"/>
        <v>130</v>
      </c>
      <c r="B148" s="151">
        <f t="shared" ref="B148:B150" si="19">+F147</f>
        <v>6086722.9616692197</v>
      </c>
      <c r="C148" s="151">
        <f t="shared" si="14"/>
        <v>25361.345673621759</v>
      </c>
      <c r="D148" s="151">
        <f t="shared" si="15"/>
        <v>43240.822433441055</v>
      </c>
      <c r="E148" s="151">
        <f t="shared" si="16"/>
        <v>68602.168107062811</v>
      </c>
      <c r="F148" s="151">
        <f t="shared" si="17"/>
        <v>6043482.1392357787</v>
      </c>
      <c r="G148" s="131">
        <f t="shared" si="18"/>
        <v>1.0096571999391106</v>
      </c>
    </row>
    <row r="149" spans="1:7" x14ac:dyDescent="0.25">
      <c r="A149" s="149">
        <f t="shared" ref="A149:A150" si="20">A148+1</f>
        <v>131</v>
      </c>
      <c r="B149" s="151">
        <f t="shared" si="19"/>
        <v>6043482.1392357787</v>
      </c>
      <c r="C149" s="151">
        <f t="shared" si="14"/>
        <v>25181.175580149091</v>
      </c>
      <c r="D149" s="151">
        <f t="shared" si="15"/>
        <v>43420.992526913731</v>
      </c>
      <c r="E149" s="151">
        <f t="shared" si="16"/>
        <v>68602.168107062826</v>
      </c>
      <c r="F149" s="151">
        <f t="shared" si="17"/>
        <v>6000061.1467088647</v>
      </c>
      <c r="G149" s="131">
        <f t="shared" si="18"/>
        <v>1.0096571999391108</v>
      </c>
    </row>
    <row r="150" spans="1:7" x14ac:dyDescent="0.25">
      <c r="A150" s="149">
        <f t="shared" si="20"/>
        <v>132</v>
      </c>
      <c r="B150" s="151">
        <f t="shared" si="19"/>
        <v>6000061.1467088647</v>
      </c>
      <c r="C150" s="151">
        <f t="shared" si="14"/>
        <v>25000.254777953614</v>
      </c>
      <c r="D150" s="151">
        <f t="shared" si="15"/>
        <v>43601.9133291092</v>
      </c>
      <c r="E150" s="151">
        <f t="shared" si="16"/>
        <v>68602.168107062811</v>
      </c>
      <c r="F150" s="151">
        <f t="shared" si="17"/>
        <v>5956459.2333797552</v>
      </c>
      <c r="G150" s="131">
        <f t="shared" si="18"/>
        <v>1.0096571999391106</v>
      </c>
    </row>
  </sheetData>
  <pageMargins left="0.5" right="0.5" top="0.5" bottom="0.5" header="0.5" footer="0.5"/>
  <pageSetup scale="90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50"/>
  <sheetViews>
    <sheetView showGridLines="0" workbookViewId="0">
      <selection activeCell="C5" sqref="C5"/>
    </sheetView>
  </sheetViews>
  <sheetFormatPr defaultColWidth="9.33203125" defaultRowHeight="13.8" x14ac:dyDescent="0.25"/>
  <cols>
    <col min="1" max="1" width="12.6640625" style="134" customWidth="1"/>
    <col min="2" max="2" width="15" style="134" bestFit="1" customWidth="1"/>
    <col min="3" max="5" width="12.6640625" style="134" customWidth="1"/>
    <col min="6" max="6" width="15" style="134" bestFit="1" customWidth="1"/>
    <col min="7" max="9" width="12.6640625" style="134" customWidth="1"/>
    <col min="10" max="16384" width="9.33203125" style="134"/>
  </cols>
  <sheetData>
    <row r="1" spans="1:11" ht="14.4" thickBot="1" x14ac:dyDescent="0.3">
      <c r="A1" s="132" t="s">
        <v>1023</v>
      </c>
      <c r="B1" s="133"/>
      <c r="C1" s="133"/>
      <c r="D1" s="133"/>
      <c r="E1" s="133"/>
      <c r="F1" s="133"/>
      <c r="G1" s="133"/>
      <c r="H1" s="133"/>
    </row>
    <row r="2" spans="1:11" x14ac:dyDescent="0.25">
      <c r="A2" s="135"/>
    </row>
    <row r="3" spans="1:11" x14ac:dyDescent="0.25">
      <c r="A3" s="136"/>
      <c r="E3" s="137"/>
    </row>
    <row r="4" spans="1:11" ht="15" customHeight="1" x14ac:dyDescent="0.25">
      <c r="A4" s="134" t="s">
        <v>1024</v>
      </c>
      <c r="C4" s="156">
        <f>1500000+51588232-10146790-232000-4611712</f>
        <v>38097730</v>
      </c>
      <c r="D4" s="137"/>
    </row>
    <row r="5" spans="1:11" ht="15" customHeight="1" x14ac:dyDescent="0.25">
      <c r="A5" s="67"/>
      <c r="B5" s="67"/>
      <c r="C5" s="157"/>
      <c r="D5" s="139"/>
      <c r="E5" s="140"/>
      <c r="G5" s="141"/>
    </row>
    <row r="6" spans="1:11" ht="15" customHeight="1" x14ac:dyDescent="0.25">
      <c r="A6" s="134" t="s">
        <v>29</v>
      </c>
      <c r="C6" s="158">
        <v>0.05</v>
      </c>
      <c r="D6" s="139"/>
      <c r="E6" s="140"/>
      <c r="G6" s="80"/>
    </row>
    <row r="7" spans="1:11" ht="15" customHeight="1" x14ac:dyDescent="0.25">
      <c r="A7" s="136"/>
      <c r="C7" s="159"/>
      <c r="D7" s="139"/>
      <c r="E7" s="140"/>
      <c r="G7" s="80"/>
    </row>
    <row r="8" spans="1:11" ht="15" customHeight="1" x14ac:dyDescent="0.25">
      <c r="A8" s="134" t="s">
        <v>30</v>
      </c>
      <c r="C8" s="160">
        <f>20*12</f>
        <v>240</v>
      </c>
      <c r="D8" s="139"/>
      <c r="F8" s="140"/>
      <c r="G8" s="67"/>
    </row>
    <row r="9" spans="1:11" ht="15" customHeight="1" x14ac:dyDescent="0.25">
      <c r="A9" s="136"/>
      <c r="D9" s="137"/>
      <c r="E9" s="140"/>
      <c r="G9" s="67"/>
    </row>
    <row r="10" spans="1:11" ht="15" customHeight="1" x14ac:dyDescent="0.25">
      <c r="A10" s="140" t="s">
        <v>28</v>
      </c>
      <c r="C10" s="160">
        <v>218463</v>
      </c>
      <c r="D10" s="137"/>
      <c r="E10" s="140"/>
      <c r="G10" s="67"/>
      <c r="I10" s="144"/>
    </row>
    <row r="11" spans="1:11" ht="15" customHeight="1" x14ac:dyDescent="0.25">
      <c r="D11" s="137"/>
      <c r="E11" s="140"/>
      <c r="G11" s="67"/>
      <c r="K11" s="144"/>
    </row>
    <row r="12" spans="1:11" ht="15" customHeight="1" x14ac:dyDescent="0.25">
      <c r="A12" s="136"/>
      <c r="D12" s="137"/>
      <c r="F12" s="140"/>
    </row>
    <row r="13" spans="1:11" ht="15" customHeight="1" x14ac:dyDescent="0.25">
      <c r="B13" s="145" t="s">
        <v>31</v>
      </c>
      <c r="F13" s="145" t="s">
        <v>32</v>
      </c>
    </row>
    <row r="14" spans="1:11" ht="15" customHeight="1" x14ac:dyDescent="0.25">
      <c r="A14" s="145" t="s">
        <v>33</v>
      </c>
      <c r="B14" s="145" t="s">
        <v>34</v>
      </c>
      <c r="C14" s="146" t="s">
        <v>33</v>
      </c>
      <c r="D14" s="146"/>
      <c r="E14" s="147"/>
      <c r="F14" s="145" t="s">
        <v>34</v>
      </c>
    </row>
    <row r="15" spans="1:11" ht="15" customHeight="1" x14ac:dyDescent="0.25">
      <c r="A15" s="145"/>
      <c r="B15" s="145"/>
      <c r="C15" s="148" t="s">
        <v>35</v>
      </c>
      <c r="D15" s="148"/>
      <c r="E15" s="148"/>
      <c r="F15" s="145"/>
    </row>
    <row r="16" spans="1:11" ht="15" customHeight="1" x14ac:dyDescent="0.25">
      <c r="A16" s="145" t="s">
        <v>36</v>
      </c>
      <c r="B16" s="145" t="s">
        <v>37</v>
      </c>
      <c r="C16" s="145" t="s">
        <v>38</v>
      </c>
      <c r="D16" s="145" t="s">
        <v>34</v>
      </c>
      <c r="E16" s="145" t="s">
        <v>39</v>
      </c>
      <c r="F16" s="145" t="s">
        <v>37</v>
      </c>
      <c r="G16" s="145" t="s">
        <v>40</v>
      </c>
    </row>
    <row r="17" spans="1:13" ht="15" customHeight="1" x14ac:dyDescent="0.25">
      <c r="A17" s="148" t="s">
        <v>35</v>
      </c>
      <c r="B17" s="148" t="s">
        <v>35</v>
      </c>
      <c r="C17" s="148" t="s">
        <v>35</v>
      </c>
      <c r="D17" s="148" t="s">
        <v>35</v>
      </c>
      <c r="E17" s="148" t="s">
        <v>35</v>
      </c>
      <c r="F17" s="148" t="s">
        <v>35</v>
      </c>
      <c r="G17" s="148" t="s">
        <v>35</v>
      </c>
    </row>
    <row r="18" spans="1:13" ht="15" customHeight="1" x14ac:dyDescent="0.25">
      <c r="A18" s="148"/>
      <c r="B18" s="148"/>
      <c r="C18" s="148"/>
      <c r="D18" s="148"/>
      <c r="E18" s="148"/>
      <c r="F18" s="148"/>
    </row>
    <row r="19" spans="1:13" ht="15" customHeight="1" x14ac:dyDescent="0.25">
      <c r="A19" s="149">
        <v>1</v>
      </c>
      <c r="B19" s="150">
        <f>C4</f>
        <v>38097730</v>
      </c>
      <c r="C19" s="141">
        <f t="shared" ref="C19:C82" si="0">IF(ISERROR(IPMT(C$6/12,A19,$C$8,-$B$19,0)),0,IPMT(C$6/12,A19,$C$8,-$B$19,0))</f>
        <v>158740.54166666666</v>
      </c>
      <c r="D19" s="141">
        <f t="shared" ref="D19:D82" si="1">IF(ISERROR(PPMT($C$6/12,$A19,$C$8,-$B$19,0)),0,PPMT($C$6/12,$A19,$C$8,-$B$19,0))</f>
        <v>92687.613979599599</v>
      </c>
      <c r="E19" s="141">
        <f t="shared" ref="E19:E82" si="2">+C19+D19</f>
        <v>251428.15564626624</v>
      </c>
      <c r="F19" s="141">
        <f t="shared" ref="F19:F82" si="3">+B19-D19</f>
        <v>38005042.3860204</v>
      </c>
      <c r="G19" s="141">
        <f t="shared" ref="G19:G82" si="4">E19/$C$10</f>
        <v>1.1508958297115128</v>
      </c>
    </row>
    <row r="20" spans="1:13" ht="15" customHeight="1" x14ac:dyDescent="0.25">
      <c r="A20" s="149">
        <f>A19+1</f>
        <v>2</v>
      </c>
      <c r="B20" s="151">
        <f t="shared" ref="B20:B83" si="5">+F19</f>
        <v>38005042.3860204</v>
      </c>
      <c r="C20" s="151">
        <f t="shared" si="0"/>
        <v>158354.34327508503</v>
      </c>
      <c r="D20" s="151">
        <f t="shared" si="1"/>
        <v>93073.812371181266</v>
      </c>
      <c r="E20" s="151">
        <f t="shared" si="2"/>
        <v>251428.1556462663</v>
      </c>
      <c r="F20" s="151">
        <f t="shared" si="3"/>
        <v>37911968.57364922</v>
      </c>
      <c r="G20" s="131">
        <f t="shared" si="4"/>
        <v>1.1508958297115131</v>
      </c>
    </row>
    <row r="21" spans="1:13" ht="15" customHeight="1" x14ac:dyDescent="0.25">
      <c r="A21" s="149">
        <f t="shared" ref="A21:A84" si="6">A20+1</f>
        <v>3</v>
      </c>
      <c r="B21" s="151">
        <f t="shared" si="5"/>
        <v>37911968.57364922</v>
      </c>
      <c r="C21" s="151">
        <f t="shared" si="0"/>
        <v>157966.53572353843</v>
      </c>
      <c r="D21" s="151">
        <f t="shared" si="1"/>
        <v>93461.619922727841</v>
      </c>
      <c r="E21" s="151">
        <f t="shared" si="2"/>
        <v>251428.15564626627</v>
      </c>
      <c r="F21" s="151">
        <f t="shared" si="3"/>
        <v>37818506.953726493</v>
      </c>
      <c r="G21" s="131">
        <f t="shared" si="4"/>
        <v>1.1508958297115131</v>
      </c>
    </row>
    <row r="22" spans="1:13" x14ac:dyDescent="0.25">
      <c r="A22" s="149">
        <f t="shared" si="6"/>
        <v>4</v>
      </c>
      <c r="B22" s="151">
        <f t="shared" si="5"/>
        <v>37818506.953726493</v>
      </c>
      <c r="C22" s="151">
        <f t="shared" si="0"/>
        <v>157577.11230719372</v>
      </c>
      <c r="D22" s="151">
        <f t="shared" si="1"/>
        <v>93851.043339072537</v>
      </c>
      <c r="E22" s="151">
        <f t="shared" si="2"/>
        <v>251428.15564626624</v>
      </c>
      <c r="F22" s="151">
        <f t="shared" si="3"/>
        <v>37724655.910387419</v>
      </c>
      <c r="G22" s="131">
        <f t="shared" si="4"/>
        <v>1.1508958297115128</v>
      </c>
      <c r="M22" s="144"/>
    </row>
    <row r="23" spans="1:13" x14ac:dyDescent="0.25">
      <c r="A23" s="149">
        <f t="shared" si="6"/>
        <v>5</v>
      </c>
      <c r="B23" s="151">
        <f t="shared" si="5"/>
        <v>37724655.910387419</v>
      </c>
      <c r="C23" s="151">
        <f t="shared" si="0"/>
        <v>157186.06629328089</v>
      </c>
      <c r="D23" s="151">
        <f t="shared" si="1"/>
        <v>94242.089352985349</v>
      </c>
      <c r="E23" s="151">
        <f t="shared" si="2"/>
        <v>251428.15564626624</v>
      </c>
      <c r="F23" s="151">
        <f t="shared" si="3"/>
        <v>37630413.821034431</v>
      </c>
      <c r="G23" s="131">
        <f t="shared" si="4"/>
        <v>1.1508958297115128</v>
      </c>
    </row>
    <row r="24" spans="1:13" x14ac:dyDescent="0.25">
      <c r="A24" s="149">
        <f t="shared" si="6"/>
        <v>6</v>
      </c>
      <c r="B24" s="151">
        <f t="shared" si="5"/>
        <v>37630413.821034431</v>
      </c>
      <c r="C24" s="151">
        <f t="shared" si="0"/>
        <v>156793.39092097682</v>
      </c>
      <c r="D24" s="151">
        <f t="shared" si="1"/>
        <v>94634.764725289468</v>
      </c>
      <c r="E24" s="151">
        <f t="shared" si="2"/>
        <v>251428.1556462663</v>
      </c>
      <c r="F24" s="151">
        <f t="shared" si="3"/>
        <v>37535779.056309141</v>
      </c>
      <c r="G24" s="131">
        <f t="shared" si="4"/>
        <v>1.1508958297115131</v>
      </c>
    </row>
    <row r="25" spans="1:13" x14ac:dyDescent="0.25">
      <c r="A25" s="149">
        <f t="shared" si="6"/>
        <v>7</v>
      </c>
      <c r="B25" s="151">
        <f t="shared" si="5"/>
        <v>37535779.056309141</v>
      </c>
      <c r="C25" s="151">
        <f t="shared" si="0"/>
        <v>156399.07940128809</v>
      </c>
      <c r="D25" s="151">
        <f t="shared" si="1"/>
        <v>95029.076244978176</v>
      </c>
      <c r="E25" s="151">
        <f t="shared" si="2"/>
        <v>251428.15564626627</v>
      </c>
      <c r="F25" s="151">
        <f t="shared" si="3"/>
        <v>37440749.980064161</v>
      </c>
      <c r="G25" s="131">
        <f t="shared" si="4"/>
        <v>1.1508958297115131</v>
      </c>
    </row>
    <row r="26" spans="1:13" x14ac:dyDescent="0.25">
      <c r="A26" s="149">
        <f t="shared" si="6"/>
        <v>8</v>
      </c>
      <c r="B26" s="151">
        <f t="shared" si="5"/>
        <v>37440749.980064161</v>
      </c>
      <c r="C26" s="151">
        <f t="shared" si="0"/>
        <v>156003.12491693403</v>
      </c>
      <c r="D26" s="151">
        <f t="shared" si="1"/>
        <v>95425.03072933224</v>
      </c>
      <c r="E26" s="151">
        <f t="shared" si="2"/>
        <v>251428.15564626627</v>
      </c>
      <c r="F26" s="151">
        <f t="shared" si="3"/>
        <v>37345324.94933483</v>
      </c>
      <c r="G26" s="131">
        <f t="shared" si="4"/>
        <v>1.1508958297115131</v>
      </c>
    </row>
    <row r="27" spans="1:13" x14ac:dyDescent="0.25">
      <c r="A27" s="149">
        <f t="shared" si="6"/>
        <v>9</v>
      </c>
      <c r="B27" s="151">
        <f t="shared" si="5"/>
        <v>37345324.94933483</v>
      </c>
      <c r="C27" s="151">
        <f t="shared" si="0"/>
        <v>155605.52062222845</v>
      </c>
      <c r="D27" s="151">
        <f t="shared" si="1"/>
        <v>95822.63502403778</v>
      </c>
      <c r="E27" s="151">
        <f t="shared" si="2"/>
        <v>251428.15564626624</v>
      </c>
      <c r="F27" s="151">
        <f t="shared" si="3"/>
        <v>37249502.314310789</v>
      </c>
      <c r="G27" s="131">
        <f t="shared" si="4"/>
        <v>1.1508958297115128</v>
      </c>
    </row>
    <row r="28" spans="1:13" x14ac:dyDescent="0.25">
      <c r="A28" s="149">
        <f t="shared" si="6"/>
        <v>10</v>
      </c>
      <c r="B28" s="151">
        <f t="shared" si="5"/>
        <v>37249502.314310789</v>
      </c>
      <c r="C28" s="151">
        <f t="shared" si="0"/>
        <v>155206.25964296164</v>
      </c>
      <c r="D28" s="151">
        <f t="shared" si="1"/>
        <v>96221.896003304602</v>
      </c>
      <c r="E28" s="151">
        <f t="shared" si="2"/>
        <v>251428.15564626624</v>
      </c>
      <c r="F28" s="151">
        <f t="shared" si="3"/>
        <v>37153280.418307483</v>
      </c>
      <c r="G28" s="131">
        <f t="shared" si="4"/>
        <v>1.1508958297115128</v>
      </c>
    </row>
    <row r="29" spans="1:13" x14ac:dyDescent="0.25">
      <c r="A29" s="149">
        <f t="shared" si="6"/>
        <v>11</v>
      </c>
      <c r="B29" s="151">
        <f t="shared" si="5"/>
        <v>37153280.418307483</v>
      </c>
      <c r="C29" s="151">
        <f t="shared" si="0"/>
        <v>154805.33507628122</v>
      </c>
      <c r="D29" s="151">
        <f t="shared" si="1"/>
        <v>96622.820569985051</v>
      </c>
      <c r="E29" s="151">
        <f t="shared" si="2"/>
        <v>251428.15564626627</v>
      </c>
      <c r="F29" s="151">
        <f t="shared" si="3"/>
        <v>37056657.597737499</v>
      </c>
      <c r="G29" s="131">
        <f t="shared" si="4"/>
        <v>1.1508958297115131</v>
      </c>
    </row>
    <row r="30" spans="1:13" x14ac:dyDescent="0.25">
      <c r="A30" s="149">
        <f t="shared" si="6"/>
        <v>12</v>
      </c>
      <c r="B30" s="151">
        <f t="shared" si="5"/>
        <v>37056657.597737499</v>
      </c>
      <c r="C30" s="151">
        <f t="shared" si="0"/>
        <v>154402.73999057291</v>
      </c>
      <c r="D30" s="151">
        <f t="shared" si="1"/>
        <v>97025.415655693316</v>
      </c>
      <c r="E30" s="151">
        <f t="shared" si="2"/>
        <v>251428.15564626624</v>
      </c>
      <c r="F30" s="151">
        <f t="shared" si="3"/>
        <v>36959632.182081804</v>
      </c>
      <c r="G30" s="131">
        <f t="shared" si="4"/>
        <v>1.1508958297115128</v>
      </c>
    </row>
    <row r="31" spans="1:13" x14ac:dyDescent="0.25">
      <c r="A31" s="149">
        <f t="shared" si="6"/>
        <v>13</v>
      </c>
      <c r="B31" s="151">
        <f t="shared" si="5"/>
        <v>36959632.182081804</v>
      </c>
      <c r="C31" s="151">
        <f t="shared" si="0"/>
        <v>153998.46742534087</v>
      </c>
      <c r="D31" s="151">
        <f t="shared" si="1"/>
        <v>97429.688220925382</v>
      </c>
      <c r="E31" s="151">
        <f t="shared" si="2"/>
        <v>251428.15564626624</v>
      </c>
      <c r="F31" s="151">
        <f t="shared" si="3"/>
        <v>36862202.493860878</v>
      </c>
      <c r="G31" s="131">
        <f t="shared" si="4"/>
        <v>1.1508958297115128</v>
      </c>
    </row>
    <row r="32" spans="1:13" x14ac:dyDescent="0.25">
      <c r="A32" s="149">
        <f t="shared" si="6"/>
        <v>14</v>
      </c>
      <c r="B32" s="151">
        <f t="shared" si="5"/>
        <v>36862202.493860878</v>
      </c>
      <c r="C32" s="151">
        <f t="shared" si="0"/>
        <v>153592.51039108701</v>
      </c>
      <c r="D32" s="151">
        <f t="shared" si="1"/>
        <v>97835.645255179217</v>
      </c>
      <c r="E32" s="151">
        <f t="shared" si="2"/>
        <v>251428.15564626624</v>
      </c>
      <c r="F32" s="151">
        <f t="shared" si="3"/>
        <v>36764366.8486057</v>
      </c>
      <c r="G32" s="131">
        <f t="shared" si="4"/>
        <v>1.1508958297115128</v>
      </c>
    </row>
    <row r="33" spans="1:7" x14ac:dyDescent="0.25">
      <c r="A33" s="149">
        <f t="shared" si="6"/>
        <v>15</v>
      </c>
      <c r="B33" s="151">
        <f t="shared" si="5"/>
        <v>36764366.8486057</v>
      </c>
      <c r="C33" s="151">
        <f t="shared" si="0"/>
        <v>153184.86186919044</v>
      </c>
      <c r="D33" s="151">
        <f t="shared" si="1"/>
        <v>98243.2937770758</v>
      </c>
      <c r="E33" s="151">
        <f t="shared" si="2"/>
        <v>251428.15564626624</v>
      </c>
      <c r="F33" s="151">
        <f t="shared" si="3"/>
        <v>36666123.554828621</v>
      </c>
      <c r="G33" s="131">
        <f t="shared" si="4"/>
        <v>1.1508958297115128</v>
      </c>
    </row>
    <row r="34" spans="1:7" x14ac:dyDescent="0.25">
      <c r="A34" s="149">
        <f t="shared" si="6"/>
        <v>16</v>
      </c>
      <c r="B34" s="151">
        <f t="shared" si="5"/>
        <v>36666123.554828621</v>
      </c>
      <c r="C34" s="151">
        <f t="shared" si="0"/>
        <v>152775.51481178598</v>
      </c>
      <c r="D34" s="151">
        <f t="shared" si="1"/>
        <v>98652.640834480291</v>
      </c>
      <c r="E34" s="151">
        <f t="shared" si="2"/>
        <v>251428.15564626627</v>
      </c>
      <c r="F34" s="151">
        <f t="shared" si="3"/>
        <v>36567470.913994141</v>
      </c>
      <c r="G34" s="131">
        <f t="shared" si="4"/>
        <v>1.1508958297115131</v>
      </c>
    </row>
    <row r="35" spans="1:7" x14ac:dyDescent="0.25">
      <c r="A35" s="149">
        <f t="shared" si="6"/>
        <v>17</v>
      </c>
      <c r="B35" s="151">
        <f t="shared" si="5"/>
        <v>36567470.913994141</v>
      </c>
      <c r="C35" s="151">
        <f t="shared" si="0"/>
        <v>152364.46214164232</v>
      </c>
      <c r="D35" s="151">
        <f t="shared" si="1"/>
        <v>99063.693504623938</v>
      </c>
      <c r="E35" s="151">
        <f t="shared" si="2"/>
        <v>251428.15564626624</v>
      </c>
      <c r="F35" s="151">
        <f t="shared" si="3"/>
        <v>36468407.220489517</v>
      </c>
      <c r="G35" s="131">
        <f t="shared" si="4"/>
        <v>1.1508958297115128</v>
      </c>
    </row>
    <row r="36" spans="1:7" x14ac:dyDescent="0.25">
      <c r="A36" s="149">
        <f t="shared" si="6"/>
        <v>18</v>
      </c>
      <c r="B36" s="151">
        <f t="shared" si="5"/>
        <v>36468407.220489517</v>
      </c>
      <c r="C36" s="151">
        <f t="shared" si="0"/>
        <v>151951.69675203969</v>
      </c>
      <c r="D36" s="151">
        <f t="shared" si="1"/>
        <v>99476.458894226555</v>
      </c>
      <c r="E36" s="151">
        <f t="shared" si="2"/>
        <v>251428.15564626624</v>
      </c>
      <c r="F36" s="151">
        <f t="shared" si="3"/>
        <v>36368930.761595294</v>
      </c>
      <c r="G36" s="131">
        <f t="shared" si="4"/>
        <v>1.1508958297115128</v>
      </c>
    </row>
    <row r="37" spans="1:7" x14ac:dyDescent="0.25">
      <c r="A37" s="149">
        <f t="shared" si="6"/>
        <v>19</v>
      </c>
      <c r="B37" s="151">
        <f t="shared" si="5"/>
        <v>36368930.761595294</v>
      </c>
      <c r="C37" s="151">
        <f t="shared" si="0"/>
        <v>151537.21150664709</v>
      </c>
      <c r="D37" s="151">
        <f t="shared" si="1"/>
        <v>99890.944139619169</v>
      </c>
      <c r="E37" s="151">
        <f t="shared" si="2"/>
        <v>251428.15564626624</v>
      </c>
      <c r="F37" s="151">
        <f t="shared" si="3"/>
        <v>36269039.817455672</v>
      </c>
      <c r="G37" s="131">
        <f t="shared" si="4"/>
        <v>1.1508958297115128</v>
      </c>
    </row>
    <row r="38" spans="1:7" x14ac:dyDescent="0.25">
      <c r="A38" s="149">
        <f t="shared" si="6"/>
        <v>20</v>
      </c>
      <c r="B38" s="151">
        <f t="shared" si="5"/>
        <v>36269039.817455672</v>
      </c>
      <c r="C38" s="151">
        <f t="shared" si="0"/>
        <v>151120.99923939866</v>
      </c>
      <c r="D38" s="151">
        <f t="shared" si="1"/>
        <v>100307.15640686758</v>
      </c>
      <c r="E38" s="151">
        <f t="shared" si="2"/>
        <v>251428.15564626624</v>
      </c>
      <c r="F38" s="151">
        <f t="shared" si="3"/>
        <v>36168732.661048807</v>
      </c>
      <c r="G38" s="131">
        <f t="shared" si="4"/>
        <v>1.1508958297115128</v>
      </c>
    </row>
    <row r="39" spans="1:7" x14ac:dyDescent="0.25">
      <c r="A39" s="149">
        <f t="shared" si="6"/>
        <v>21</v>
      </c>
      <c r="B39" s="151">
        <f t="shared" si="5"/>
        <v>36168732.661048807</v>
      </c>
      <c r="C39" s="151">
        <f t="shared" si="0"/>
        <v>150703.05275437003</v>
      </c>
      <c r="D39" s="151">
        <f t="shared" si="1"/>
        <v>100725.1028918962</v>
      </c>
      <c r="E39" s="151">
        <f t="shared" si="2"/>
        <v>251428.15564626624</v>
      </c>
      <c r="F39" s="151">
        <f t="shared" si="3"/>
        <v>36068007.558156908</v>
      </c>
      <c r="G39" s="131">
        <f t="shared" si="4"/>
        <v>1.1508958297115128</v>
      </c>
    </row>
    <row r="40" spans="1:7" x14ac:dyDescent="0.25">
      <c r="A40" s="149">
        <f t="shared" si="6"/>
        <v>22</v>
      </c>
      <c r="B40" s="151">
        <f t="shared" si="5"/>
        <v>36068007.558156908</v>
      </c>
      <c r="C40" s="151">
        <f t="shared" si="0"/>
        <v>150283.36482565384</v>
      </c>
      <c r="D40" s="151">
        <f t="shared" si="1"/>
        <v>101144.79082061243</v>
      </c>
      <c r="E40" s="151">
        <f t="shared" si="2"/>
        <v>251428.15564626627</v>
      </c>
      <c r="F40" s="151">
        <f t="shared" si="3"/>
        <v>35966862.767336294</v>
      </c>
      <c r="G40" s="131">
        <f t="shared" si="4"/>
        <v>1.1508958297115131</v>
      </c>
    </row>
    <row r="41" spans="1:7" x14ac:dyDescent="0.25">
      <c r="A41" s="149">
        <f t="shared" si="6"/>
        <v>23</v>
      </c>
      <c r="B41" s="151">
        <f t="shared" si="5"/>
        <v>35966862.767336294</v>
      </c>
      <c r="C41" s="151">
        <f t="shared" si="0"/>
        <v>149861.92819723458</v>
      </c>
      <c r="D41" s="151">
        <f t="shared" si="1"/>
        <v>101566.22744903163</v>
      </c>
      <c r="E41" s="151">
        <f t="shared" si="2"/>
        <v>251428.15564626621</v>
      </c>
      <c r="F41" s="151">
        <f t="shared" si="3"/>
        <v>35865296.539887264</v>
      </c>
      <c r="G41" s="131">
        <f t="shared" si="4"/>
        <v>1.1508958297115128</v>
      </c>
    </row>
    <row r="42" spans="1:7" x14ac:dyDescent="0.25">
      <c r="A42" s="149">
        <f t="shared" si="6"/>
        <v>24</v>
      </c>
      <c r="B42" s="151">
        <f t="shared" si="5"/>
        <v>35865296.539887264</v>
      </c>
      <c r="C42" s="151">
        <f t="shared" si="0"/>
        <v>149438.73558286365</v>
      </c>
      <c r="D42" s="151">
        <f t="shared" si="1"/>
        <v>101989.42006340261</v>
      </c>
      <c r="E42" s="151">
        <f t="shared" si="2"/>
        <v>251428.15564626624</v>
      </c>
      <c r="F42" s="151">
        <f t="shared" si="3"/>
        <v>35763307.119823858</v>
      </c>
      <c r="G42" s="131">
        <f t="shared" si="4"/>
        <v>1.1508958297115128</v>
      </c>
    </row>
    <row r="43" spans="1:7" x14ac:dyDescent="0.25">
      <c r="A43" s="149">
        <f t="shared" si="6"/>
        <v>25</v>
      </c>
      <c r="B43" s="151">
        <f t="shared" si="5"/>
        <v>35763307.119823858</v>
      </c>
      <c r="C43" s="151">
        <f t="shared" si="0"/>
        <v>149013.77966593282</v>
      </c>
      <c r="D43" s="151">
        <f t="shared" si="1"/>
        <v>102414.37598033345</v>
      </c>
      <c r="E43" s="151">
        <f t="shared" si="2"/>
        <v>251428.15564626627</v>
      </c>
      <c r="F43" s="151">
        <f t="shared" si="3"/>
        <v>35660892.743843526</v>
      </c>
      <c r="G43" s="131">
        <f t="shared" si="4"/>
        <v>1.1508958297115131</v>
      </c>
    </row>
    <row r="44" spans="1:7" x14ac:dyDescent="0.25">
      <c r="A44" s="149">
        <f t="shared" si="6"/>
        <v>26</v>
      </c>
      <c r="B44" s="151">
        <f t="shared" si="5"/>
        <v>35660892.743843526</v>
      </c>
      <c r="C44" s="151">
        <f t="shared" si="0"/>
        <v>148587.05309934809</v>
      </c>
      <c r="D44" s="151">
        <f t="shared" si="1"/>
        <v>102841.10254691818</v>
      </c>
      <c r="E44" s="151">
        <f t="shared" si="2"/>
        <v>251428.15564626627</v>
      </c>
      <c r="F44" s="151">
        <f t="shared" si="3"/>
        <v>35558051.64129661</v>
      </c>
      <c r="G44" s="131">
        <f t="shared" si="4"/>
        <v>1.1508958297115131</v>
      </c>
    </row>
    <row r="45" spans="1:7" x14ac:dyDescent="0.25">
      <c r="A45" s="149">
        <f t="shared" si="6"/>
        <v>27</v>
      </c>
      <c r="B45" s="151">
        <f t="shared" si="5"/>
        <v>35558051.64129661</v>
      </c>
      <c r="C45" s="151">
        <f t="shared" si="0"/>
        <v>148158.54850540261</v>
      </c>
      <c r="D45" s="151">
        <f t="shared" si="1"/>
        <v>103269.60714086366</v>
      </c>
      <c r="E45" s="151">
        <f t="shared" si="2"/>
        <v>251428.15564626627</v>
      </c>
      <c r="F45" s="151">
        <f t="shared" si="3"/>
        <v>35454782.034155749</v>
      </c>
      <c r="G45" s="131">
        <f t="shared" si="4"/>
        <v>1.1508958297115131</v>
      </c>
    </row>
    <row r="46" spans="1:7" x14ac:dyDescent="0.25">
      <c r="A46" s="149">
        <f t="shared" si="6"/>
        <v>28</v>
      </c>
      <c r="B46" s="151">
        <f t="shared" si="5"/>
        <v>35454782.034155749</v>
      </c>
      <c r="C46" s="151">
        <f t="shared" si="0"/>
        <v>147728.258475649</v>
      </c>
      <c r="D46" s="151">
        <f t="shared" si="1"/>
        <v>103699.89717061726</v>
      </c>
      <c r="E46" s="151">
        <f t="shared" si="2"/>
        <v>251428.15564626624</v>
      </c>
      <c r="F46" s="151">
        <f t="shared" si="3"/>
        <v>35351082.136985131</v>
      </c>
      <c r="G46" s="131">
        <f t="shared" si="4"/>
        <v>1.1508958297115128</v>
      </c>
    </row>
    <row r="47" spans="1:7" x14ac:dyDescent="0.25">
      <c r="A47" s="149">
        <f t="shared" si="6"/>
        <v>29</v>
      </c>
      <c r="B47" s="151">
        <f t="shared" si="5"/>
        <v>35351082.136985131</v>
      </c>
      <c r="C47" s="151">
        <f t="shared" si="0"/>
        <v>147296.17557077142</v>
      </c>
      <c r="D47" s="151">
        <f t="shared" si="1"/>
        <v>104131.98007549484</v>
      </c>
      <c r="E47" s="151">
        <f t="shared" si="2"/>
        <v>251428.15564626624</v>
      </c>
      <c r="F47" s="151">
        <f t="shared" si="3"/>
        <v>35246950.156909637</v>
      </c>
      <c r="G47" s="131">
        <f t="shared" si="4"/>
        <v>1.1508958297115128</v>
      </c>
    </row>
    <row r="48" spans="1:7" x14ac:dyDescent="0.25">
      <c r="A48" s="149">
        <f t="shared" si="6"/>
        <v>30</v>
      </c>
      <c r="B48" s="151">
        <f t="shared" si="5"/>
        <v>35246950.156909637</v>
      </c>
      <c r="C48" s="151">
        <f t="shared" si="0"/>
        <v>146862.29232045685</v>
      </c>
      <c r="D48" s="151">
        <f t="shared" si="1"/>
        <v>104565.86332580941</v>
      </c>
      <c r="E48" s="151">
        <f t="shared" si="2"/>
        <v>251428.15564626624</v>
      </c>
      <c r="F48" s="151">
        <f t="shared" si="3"/>
        <v>35142384.293583825</v>
      </c>
      <c r="G48" s="131">
        <f t="shared" si="4"/>
        <v>1.1508958297115128</v>
      </c>
    </row>
    <row r="49" spans="1:7" x14ac:dyDescent="0.25">
      <c r="A49" s="149">
        <f t="shared" si="6"/>
        <v>31</v>
      </c>
      <c r="B49" s="151">
        <f t="shared" si="5"/>
        <v>35142384.293583825</v>
      </c>
      <c r="C49" s="151">
        <f t="shared" si="0"/>
        <v>146426.60122326596</v>
      </c>
      <c r="D49" s="151">
        <f t="shared" si="1"/>
        <v>105001.55442300029</v>
      </c>
      <c r="E49" s="151">
        <f t="shared" si="2"/>
        <v>251428.15564626624</v>
      </c>
      <c r="F49" s="151">
        <f t="shared" si="3"/>
        <v>35037382.739160828</v>
      </c>
      <c r="G49" s="131">
        <f t="shared" si="4"/>
        <v>1.1508958297115128</v>
      </c>
    </row>
    <row r="50" spans="1:7" x14ac:dyDescent="0.25">
      <c r="A50" s="149">
        <f t="shared" si="6"/>
        <v>32</v>
      </c>
      <c r="B50" s="151">
        <f t="shared" si="5"/>
        <v>35037382.739160828</v>
      </c>
      <c r="C50" s="151">
        <f t="shared" si="0"/>
        <v>145989.09474650348</v>
      </c>
      <c r="D50" s="151">
        <f t="shared" si="1"/>
        <v>105439.06089976277</v>
      </c>
      <c r="E50" s="151">
        <f t="shared" si="2"/>
        <v>251428.15564626624</v>
      </c>
      <c r="F50" s="151">
        <f t="shared" si="3"/>
        <v>34931943.678261064</v>
      </c>
      <c r="G50" s="131">
        <f t="shared" si="4"/>
        <v>1.1508958297115128</v>
      </c>
    </row>
    <row r="51" spans="1:7" x14ac:dyDescent="0.25">
      <c r="A51" s="149">
        <f t="shared" si="6"/>
        <v>33</v>
      </c>
      <c r="B51" s="151">
        <f t="shared" si="5"/>
        <v>34931943.678261064</v>
      </c>
      <c r="C51" s="151">
        <f t="shared" si="0"/>
        <v>145549.76532608783</v>
      </c>
      <c r="D51" s="151">
        <f t="shared" si="1"/>
        <v>105878.39032017846</v>
      </c>
      <c r="E51" s="151">
        <f t="shared" si="2"/>
        <v>251428.1556462663</v>
      </c>
      <c r="F51" s="151">
        <f t="shared" si="3"/>
        <v>34826065.287940882</v>
      </c>
      <c r="G51" s="131">
        <f t="shared" si="4"/>
        <v>1.1508958297115131</v>
      </c>
    </row>
    <row r="52" spans="1:7" x14ac:dyDescent="0.25">
      <c r="A52" s="149">
        <f t="shared" si="6"/>
        <v>34</v>
      </c>
      <c r="B52" s="151">
        <f t="shared" si="5"/>
        <v>34826065.287940882</v>
      </c>
      <c r="C52" s="151">
        <f t="shared" si="0"/>
        <v>145108.60536642038</v>
      </c>
      <c r="D52" s="151">
        <f t="shared" si="1"/>
        <v>106319.55027984588</v>
      </c>
      <c r="E52" s="151">
        <f t="shared" si="2"/>
        <v>251428.15564626624</v>
      </c>
      <c r="F52" s="151">
        <f t="shared" si="3"/>
        <v>34719745.737661034</v>
      </c>
      <c r="G52" s="131">
        <f t="shared" si="4"/>
        <v>1.1508958297115128</v>
      </c>
    </row>
    <row r="53" spans="1:7" x14ac:dyDescent="0.25">
      <c r="A53" s="149">
        <f t="shared" si="6"/>
        <v>35</v>
      </c>
      <c r="B53" s="151">
        <f t="shared" si="5"/>
        <v>34719745.737661034</v>
      </c>
      <c r="C53" s="151">
        <f t="shared" si="0"/>
        <v>144665.60724025438</v>
      </c>
      <c r="D53" s="151">
        <f t="shared" si="1"/>
        <v>106762.54840601191</v>
      </c>
      <c r="E53" s="151">
        <f t="shared" si="2"/>
        <v>251428.1556462663</v>
      </c>
      <c r="F53" s="151">
        <f t="shared" si="3"/>
        <v>34612983.189255022</v>
      </c>
      <c r="G53" s="131">
        <f t="shared" si="4"/>
        <v>1.1508958297115131</v>
      </c>
    </row>
    <row r="54" spans="1:7" x14ac:dyDescent="0.25">
      <c r="A54" s="149">
        <f t="shared" si="6"/>
        <v>36</v>
      </c>
      <c r="B54" s="151">
        <f t="shared" si="5"/>
        <v>34612983.189255022</v>
      </c>
      <c r="C54" s="151">
        <f t="shared" si="0"/>
        <v>144220.76328856265</v>
      </c>
      <c r="D54" s="151">
        <f t="shared" si="1"/>
        <v>107207.3923577036</v>
      </c>
      <c r="E54" s="151">
        <f t="shared" si="2"/>
        <v>251428.15564626624</v>
      </c>
      <c r="F54" s="151">
        <f t="shared" si="3"/>
        <v>34505775.796897314</v>
      </c>
      <c r="G54" s="131">
        <f t="shared" si="4"/>
        <v>1.1508958297115128</v>
      </c>
    </row>
    <row r="55" spans="1:7" x14ac:dyDescent="0.25">
      <c r="A55" s="149">
        <f t="shared" si="6"/>
        <v>37</v>
      </c>
      <c r="B55" s="151">
        <f t="shared" si="5"/>
        <v>34505775.796897314</v>
      </c>
      <c r="C55" s="151">
        <f t="shared" si="0"/>
        <v>143774.06582040555</v>
      </c>
      <c r="D55" s="151">
        <f t="shared" si="1"/>
        <v>107654.0898258607</v>
      </c>
      <c r="E55" s="151">
        <f t="shared" si="2"/>
        <v>251428.15564626624</v>
      </c>
      <c r="F55" s="151">
        <f t="shared" si="3"/>
        <v>34398121.707071453</v>
      </c>
      <c r="G55" s="131">
        <f t="shared" si="4"/>
        <v>1.1508958297115128</v>
      </c>
    </row>
    <row r="56" spans="1:7" x14ac:dyDescent="0.25">
      <c r="A56" s="149">
        <f t="shared" si="6"/>
        <v>38</v>
      </c>
      <c r="B56" s="151">
        <f t="shared" si="5"/>
        <v>34398121.707071453</v>
      </c>
      <c r="C56" s="151">
        <f t="shared" si="0"/>
        <v>143325.50711279779</v>
      </c>
      <c r="D56" s="151">
        <f t="shared" si="1"/>
        <v>108102.64853346845</v>
      </c>
      <c r="E56" s="151">
        <f t="shared" si="2"/>
        <v>251428.15564626624</v>
      </c>
      <c r="F56" s="151">
        <f t="shared" si="3"/>
        <v>34290019.058537982</v>
      </c>
      <c r="G56" s="131">
        <f t="shared" si="4"/>
        <v>1.1508958297115128</v>
      </c>
    </row>
    <row r="57" spans="1:7" x14ac:dyDescent="0.25">
      <c r="A57" s="149">
        <f t="shared" si="6"/>
        <v>39</v>
      </c>
      <c r="B57" s="151">
        <f t="shared" si="5"/>
        <v>34290019.058537982</v>
      </c>
      <c r="C57" s="151">
        <f t="shared" si="0"/>
        <v>142875.07941057498</v>
      </c>
      <c r="D57" s="151">
        <f t="shared" si="1"/>
        <v>108553.07623569125</v>
      </c>
      <c r="E57" s="151">
        <f t="shared" si="2"/>
        <v>251428.15564626624</v>
      </c>
      <c r="F57" s="151">
        <f t="shared" si="3"/>
        <v>34181465.982302293</v>
      </c>
      <c r="G57" s="131">
        <f t="shared" si="4"/>
        <v>1.1508958297115128</v>
      </c>
    </row>
    <row r="58" spans="1:7" x14ac:dyDescent="0.25">
      <c r="A58" s="149">
        <f t="shared" si="6"/>
        <v>40</v>
      </c>
      <c r="B58" s="151">
        <f t="shared" si="5"/>
        <v>34181465.982302293</v>
      </c>
      <c r="C58" s="151">
        <f t="shared" si="0"/>
        <v>142422.77492625962</v>
      </c>
      <c r="D58" s="151">
        <f t="shared" si="1"/>
        <v>109005.38072000662</v>
      </c>
      <c r="E58" s="151">
        <f t="shared" si="2"/>
        <v>251428.15564626624</v>
      </c>
      <c r="F58" s="151">
        <f t="shared" si="3"/>
        <v>34072460.601582289</v>
      </c>
      <c r="G58" s="131">
        <f t="shared" si="4"/>
        <v>1.1508958297115128</v>
      </c>
    </row>
    <row r="59" spans="1:7" x14ac:dyDescent="0.25">
      <c r="A59" s="149">
        <f t="shared" si="6"/>
        <v>41</v>
      </c>
      <c r="B59" s="151">
        <f t="shared" si="5"/>
        <v>34072460.601582289</v>
      </c>
      <c r="C59" s="151">
        <f t="shared" si="0"/>
        <v>141968.58583992627</v>
      </c>
      <c r="D59" s="151">
        <f t="shared" si="1"/>
        <v>109459.56980633998</v>
      </c>
      <c r="E59" s="151">
        <f t="shared" si="2"/>
        <v>251428.15564626624</v>
      </c>
      <c r="F59" s="151">
        <f t="shared" si="3"/>
        <v>33963001.031775951</v>
      </c>
      <c r="G59" s="131">
        <f t="shared" si="4"/>
        <v>1.1508958297115128</v>
      </c>
    </row>
    <row r="60" spans="1:7" x14ac:dyDescent="0.25">
      <c r="A60" s="149">
        <f t="shared" si="6"/>
        <v>42</v>
      </c>
      <c r="B60" s="151">
        <f t="shared" si="5"/>
        <v>33963001.031775951</v>
      </c>
      <c r="C60" s="151">
        <f t="shared" si="0"/>
        <v>141512.50429906652</v>
      </c>
      <c r="D60" s="151">
        <f t="shared" si="1"/>
        <v>109915.65134719973</v>
      </c>
      <c r="E60" s="151">
        <f t="shared" si="2"/>
        <v>251428.15564626624</v>
      </c>
      <c r="F60" s="151">
        <f t="shared" si="3"/>
        <v>33853085.380428754</v>
      </c>
      <c r="G60" s="131">
        <f t="shared" si="4"/>
        <v>1.1508958297115128</v>
      </c>
    </row>
    <row r="61" spans="1:7" x14ac:dyDescent="0.25">
      <c r="A61" s="149">
        <f t="shared" si="6"/>
        <v>43</v>
      </c>
      <c r="B61" s="151">
        <f t="shared" si="5"/>
        <v>33853085.380428754</v>
      </c>
      <c r="C61" s="151">
        <f t="shared" si="0"/>
        <v>141054.52241845318</v>
      </c>
      <c r="D61" s="151">
        <f t="shared" si="1"/>
        <v>110373.63322781307</v>
      </c>
      <c r="E61" s="151">
        <f t="shared" si="2"/>
        <v>251428.15564626624</v>
      </c>
      <c r="F61" s="151">
        <f t="shared" si="3"/>
        <v>33742711.747200944</v>
      </c>
      <c r="G61" s="131">
        <f t="shared" si="4"/>
        <v>1.1508958297115128</v>
      </c>
    </row>
    <row r="62" spans="1:7" x14ac:dyDescent="0.25">
      <c r="A62" s="149">
        <f t="shared" si="6"/>
        <v>44</v>
      </c>
      <c r="B62" s="151">
        <f t="shared" si="5"/>
        <v>33742711.747200944</v>
      </c>
      <c r="C62" s="151">
        <f t="shared" si="0"/>
        <v>140594.63228000395</v>
      </c>
      <c r="D62" s="151">
        <f t="shared" si="1"/>
        <v>110833.52336626229</v>
      </c>
      <c r="E62" s="151">
        <f t="shared" si="2"/>
        <v>251428.15564626624</v>
      </c>
      <c r="F62" s="151">
        <f t="shared" si="3"/>
        <v>33631878.223834679</v>
      </c>
      <c r="G62" s="131">
        <f t="shared" si="4"/>
        <v>1.1508958297115128</v>
      </c>
    </row>
    <row r="63" spans="1:7" x14ac:dyDescent="0.25">
      <c r="A63" s="149">
        <f t="shared" si="6"/>
        <v>45</v>
      </c>
      <c r="B63" s="151">
        <f t="shared" si="5"/>
        <v>33631878.223834679</v>
      </c>
      <c r="C63" s="151">
        <f t="shared" si="0"/>
        <v>140132.82593264451</v>
      </c>
      <c r="D63" s="151">
        <f t="shared" si="1"/>
        <v>111295.32971362172</v>
      </c>
      <c r="E63" s="151">
        <f t="shared" si="2"/>
        <v>251428.15564626624</v>
      </c>
      <c r="F63" s="151">
        <f t="shared" si="3"/>
        <v>33520582.894121058</v>
      </c>
      <c r="G63" s="131">
        <f t="shared" si="4"/>
        <v>1.1508958297115128</v>
      </c>
    </row>
    <row r="64" spans="1:7" x14ac:dyDescent="0.25">
      <c r="A64" s="149">
        <f t="shared" si="6"/>
        <v>46</v>
      </c>
      <c r="B64" s="151">
        <f t="shared" si="5"/>
        <v>33520582.894121058</v>
      </c>
      <c r="C64" s="151">
        <f t="shared" si="0"/>
        <v>139669.09539217112</v>
      </c>
      <c r="D64" s="151">
        <f t="shared" si="1"/>
        <v>111759.06025409514</v>
      </c>
      <c r="E64" s="151">
        <f t="shared" si="2"/>
        <v>251428.15564626624</v>
      </c>
      <c r="F64" s="151">
        <f t="shared" si="3"/>
        <v>33408823.833866961</v>
      </c>
      <c r="G64" s="131">
        <f t="shared" si="4"/>
        <v>1.1508958297115128</v>
      </c>
    </row>
    <row r="65" spans="1:7" x14ac:dyDescent="0.25">
      <c r="A65" s="149">
        <f t="shared" si="6"/>
        <v>47</v>
      </c>
      <c r="B65" s="151">
        <f t="shared" si="5"/>
        <v>33408823.833866961</v>
      </c>
      <c r="C65" s="151">
        <f t="shared" si="0"/>
        <v>139203.43264111239</v>
      </c>
      <c r="D65" s="151">
        <f t="shared" si="1"/>
        <v>112224.72300515388</v>
      </c>
      <c r="E65" s="151">
        <f t="shared" si="2"/>
        <v>251428.15564626627</v>
      </c>
      <c r="F65" s="151">
        <f t="shared" si="3"/>
        <v>33296599.110861808</v>
      </c>
      <c r="G65" s="131">
        <f t="shared" si="4"/>
        <v>1.1508958297115131</v>
      </c>
    </row>
    <row r="66" spans="1:7" x14ac:dyDescent="0.25">
      <c r="A66" s="149">
        <f t="shared" si="6"/>
        <v>48</v>
      </c>
      <c r="B66" s="151">
        <f t="shared" si="5"/>
        <v>33296599.110861808</v>
      </c>
      <c r="C66" s="151">
        <f t="shared" si="0"/>
        <v>138735.82962859093</v>
      </c>
      <c r="D66" s="151">
        <f t="shared" si="1"/>
        <v>112692.32601767534</v>
      </c>
      <c r="E66" s="151">
        <f t="shared" si="2"/>
        <v>251428.15564626627</v>
      </c>
      <c r="F66" s="151">
        <f t="shared" si="3"/>
        <v>33183906.784844134</v>
      </c>
      <c r="G66" s="131">
        <f t="shared" si="4"/>
        <v>1.1508958297115131</v>
      </c>
    </row>
    <row r="67" spans="1:7" x14ac:dyDescent="0.25">
      <c r="A67" s="149">
        <f t="shared" si="6"/>
        <v>49</v>
      </c>
      <c r="B67" s="151">
        <f t="shared" si="5"/>
        <v>33183906.784844134</v>
      </c>
      <c r="C67" s="151">
        <f t="shared" si="0"/>
        <v>138266.27827018395</v>
      </c>
      <c r="D67" s="151">
        <f t="shared" si="1"/>
        <v>113161.87737608232</v>
      </c>
      <c r="E67" s="151">
        <f t="shared" si="2"/>
        <v>251428.15564626627</v>
      </c>
      <c r="F67" s="151">
        <f t="shared" si="3"/>
        <v>33070744.907468051</v>
      </c>
      <c r="G67" s="131">
        <f t="shared" si="4"/>
        <v>1.1508958297115131</v>
      </c>
    </row>
    <row r="68" spans="1:7" x14ac:dyDescent="0.25">
      <c r="A68" s="149">
        <f t="shared" si="6"/>
        <v>50</v>
      </c>
      <c r="B68" s="151">
        <f t="shared" si="5"/>
        <v>33070744.907468051</v>
      </c>
      <c r="C68" s="151">
        <f t="shared" si="0"/>
        <v>137794.77044778358</v>
      </c>
      <c r="D68" s="151">
        <f t="shared" si="1"/>
        <v>113633.38519848266</v>
      </c>
      <c r="E68" s="151">
        <f t="shared" si="2"/>
        <v>251428.15564626624</v>
      </c>
      <c r="F68" s="151">
        <f t="shared" si="3"/>
        <v>32957111.522269569</v>
      </c>
      <c r="G68" s="131">
        <f t="shared" si="4"/>
        <v>1.1508958297115128</v>
      </c>
    </row>
    <row r="69" spans="1:7" x14ac:dyDescent="0.25">
      <c r="A69" s="149">
        <f t="shared" si="6"/>
        <v>51</v>
      </c>
      <c r="B69" s="151">
        <f t="shared" si="5"/>
        <v>32957111.522269569</v>
      </c>
      <c r="C69" s="151">
        <f t="shared" si="0"/>
        <v>137321.29800945657</v>
      </c>
      <c r="D69" s="151">
        <f t="shared" si="1"/>
        <v>114106.85763680967</v>
      </c>
      <c r="E69" s="151">
        <f t="shared" si="2"/>
        <v>251428.15564626624</v>
      </c>
      <c r="F69" s="151">
        <f t="shared" si="3"/>
        <v>32843004.66463276</v>
      </c>
      <c r="G69" s="131">
        <f t="shared" si="4"/>
        <v>1.1508958297115128</v>
      </c>
    </row>
    <row r="70" spans="1:7" x14ac:dyDescent="0.25">
      <c r="A70" s="149">
        <f t="shared" si="6"/>
        <v>52</v>
      </c>
      <c r="B70" s="151">
        <f t="shared" si="5"/>
        <v>32843004.66463276</v>
      </c>
      <c r="C70" s="151">
        <f t="shared" si="0"/>
        <v>136845.85276930322</v>
      </c>
      <c r="D70" s="151">
        <f t="shared" si="1"/>
        <v>114582.30287696305</v>
      </c>
      <c r="E70" s="151">
        <f t="shared" si="2"/>
        <v>251428.15564626627</v>
      </c>
      <c r="F70" s="151">
        <f t="shared" si="3"/>
        <v>32728422.361755796</v>
      </c>
      <c r="G70" s="131">
        <f t="shared" si="4"/>
        <v>1.1508958297115131</v>
      </c>
    </row>
    <row r="71" spans="1:7" x14ac:dyDescent="0.25">
      <c r="A71" s="149">
        <f t="shared" si="6"/>
        <v>53</v>
      </c>
      <c r="B71" s="151">
        <f t="shared" si="5"/>
        <v>32728422.361755796</v>
      </c>
      <c r="C71" s="151">
        <f t="shared" si="0"/>
        <v>136368.42650731586</v>
      </c>
      <c r="D71" s="151">
        <f t="shared" si="1"/>
        <v>115059.7291389504</v>
      </c>
      <c r="E71" s="151">
        <f t="shared" si="2"/>
        <v>251428.15564626624</v>
      </c>
      <c r="F71" s="151">
        <f t="shared" si="3"/>
        <v>32613362.632616844</v>
      </c>
      <c r="G71" s="131">
        <f t="shared" si="4"/>
        <v>1.1508958297115128</v>
      </c>
    </row>
    <row r="72" spans="1:7" x14ac:dyDescent="0.25">
      <c r="A72" s="149">
        <f t="shared" si="6"/>
        <v>54</v>
      </c>
      <c r="B72" s="151">
        <f t="shared" si="5"/>
        <v>32613362.632616844</v>
      </c>
      <c r="C72" s="151">
        <f t="shared" si="0"/>
        <v>135889.0109692369</v>
      </c>
      <c r="D72" s="151">
        <f t="shared" si="1"/>
        <v>115539.14467702936</v>
      </c>
      <c r="E72" s="151">
        <f t="shared" si="2"/>
        <v>251428.15564626624</v>
      </c>
      <c r="F72" s="151">
        <f t="shared" si="3"/>
        <v>32497823.487939816</v>
      </c>
      <c r="G72" s="131">
        <f t="shared" si="4"/>
        <v>1.1508958297115128</v>
      </c>
    </row>
    <row r="73" spans="1:7" x14ac:dyDescent="0.25">
      <c r="A73" s="149">
        <f t="shared" si="6"/>
        <v>55</v>
      </c>
      <c r="B73" s="151">
        <f t="shared" si="5"/>
        <v>32497823.487939816</v>
      </c>
      <c r="C73" s="151">
        <f t="shared" si="0"/>
        <v>135407.59786641595</v>
      </c>
      <c r="D73" s="151">
        <f t="shared" si="1"/>
        <v>116020.55777985031</v>
      </c>
      <c r="E73" s="151">
        <f t="shared" si="2"/>
        <v>251428.15564626624</v>
      </c>
      <c r="F73" s="151">
        <f t="shared" si="3"/>
        <v>32381802.930159967</v>
      </c>
      <c r="G73" s="131">
        <f t="shared" si="4"/>
        <v>1.1508958297115128</v>
      </c>
    </row>
    <row r="74" spans="1:7" x14ac:dyDescent="0.25">
      <c r="A74" s="149">
        <f t="shared" si="6"/>
        <v>56</v>
      </c>
      <c r="B74" s="151">
        <f t="shared" si="5"/>
        <v>32381802.930159967</v>
      </c>
      <c r="C74" s="151">
        <f t="shared" si="0"/>
        <v>134924.17887566655</v>
      </c>
      <c r="D74" s="151">
        <f t="shared" si="1"/>
        <v>116503.97677059969</v>
      </c>
      <c r="E74" s="151">
        <f t="shared" si="2"/>
        <v>251428.15564626624</v>
      </c>
      <c r="F74" s="151">
        <f t="shared" si="3"/>
        <v>32265298.953389369</v>
      </c>
      <c r="G74" s="131">
        <f t="shared" si="4"/>
        <v>1.1508958297115128</v>
      </c>
    </row>
    <row r="75" spans="1:7" x14ac:dyDescent="0.25">
      <c r="A75" s="149">
        <f t="shared" si="6"/>
        <v>57</v>
      </c>
      <c r="B75" s="151">
        <f t="shared" si="5"/>
        <v>32265298.953389369</v>
      </c>
      <c r="C75" s="151">
        <f t="shared" si="0"/>
        <v>134438.74563912241</v>
      </c>
      <c r="D75" s="151">
        <f t="shared" si="1"/>
        <v>116989.41000714386</v>
      </c>
      <c r="E75" s="151">
        <f t="shared" si="2"/>
        <v>251428.15564626627</v>
      </c>
      <c r="F75" s="151">
        <f t="shared" si="3"/>
        <v>32148309.543382224</v>
      </c>
      <c r="G75" s="131">
        <f t="shared" si="4"/>
        <v>1.1508958297115131</v>
      </c>
    </row>
    <row r="76" spans="1:7" x14ac:dyDescent="0.25">
      <c r="A76" s="149">
        <f t="shared" si="6"/>
        <v>58</v>
      </c>
      <c r="B76" s="151">
        <f t="shared" si="5"/>
        <v>32148309.543382224</v>
      </c>
      <c r="C76" s="151">
        <f t="shared" si="0"/>
        <v>133951.28976409265</v>
      </c>
      <c r="D76" s="151">
        <f t="shared" si="1"/>
        <v>117476.86588217363</v>
      </c>
      <c r="E76" s="151">
        <f t="shared" si="2"/>
        <v>251428.1556462663</v>
      </c>
      <c r="F76" s="151">
        <f t="shared" si="3"/>
        <v>32030832.677500051</v>
      </c>
      <c r="G76" s="131">
        <f t="shared" si="4"/>
        <v>1.1508958297115131</v>
      </c>
    </row>
    <row r="77" spans="1:7" x14ac:dyDescent="0.25">
      <c r="A77" s="149">
        <f t="shared" si="6"/>
        <v>59</v>
      </c>
      <c r="B77" s="151">
        <f t="shared" si="5"/>
        <v>32030832.677500051</v>
      </c>
      <c r="C77" s="151">
        <f t="shared" si="0"/>
        <v>133461.80282291691</v>
      </c>
      <c r="D77" s="151">
        <f t="shared" si="1"/>
        <v>117966.35282334936</v>
      </c>
      <c r="E77" s="151">
        <f t="shared" si="2"/>
        <v>251428.15564626627</v>
      </c>
      <c r="F77" s="151">
        <f t="shared" si="3"/>
        <v>31912866.3246767</v>
      </c>
      <c r="G77" s="131">
        <f t="shared" si="4"/>
        <v>1.1508958297115131</v>
      </c>
    </row>
    <row r="78" spans="1:7" x14ac:dyDescent="0.25">
      <c r="A78" s="149">
        <f t="shared" si="6"/>
        <v>60</v>
      </c>
      <c r="B78" s="151">
        <f t="shared" si="5"/>
        <v>31912866.3246767</v>
      </c>
      <c r="C78" s="151">
        <f t="shared" si="0"/>
        <v>132970.27635281964</v>
      </c>
      <c r="D78" s="151">
        <f t="shared" si="1"/>
        <v>118457.87929344663</v>
      </c>
      <c r="E78" s="151">
        <f t="shared" si="2"/>
        <v>251428.15564626627</v>
      </c>
      <c r="F78" s="151">
        <f t="shared" si="3"/>
        <v>31794408.445383254</v>
      </c>
      <c r="G78" s="131">
        <f t="shared" si="4"/>
        <v>1.1508958297115131</v>
      </c>
    </row>
    <row r="79" spans="1:7" x14ac:dyDescent="0.25">
      <c r="A79" s="149">
        <f t="shared" si="6"/>
        <v>61</v>
      </c>
      <c r="B79" s="151">
        <f t="shared" si="5"/>
        <v>31794408.445383254</v>
      </c>
      <c r="C79" s="151">
        <f t="shared" si="0"/>
        <v>132476.70185576362</v>
      </c>
      <c r="D79" s="151">
        <f t="shared" si="1"/>
        <v>118951.45379050265</v>
      </c>
      <c r="E79" s="151">
        <f t="shared" si="2"/>
        <v>251428.15564626627</v>
      </c>
      <c r="F79" s="151">
        <f t="shared" si="3"/>
        <v>31675456.99159275</v>
      </c>
      <c r="G79" s="131">
        <f t="shared" si="4"/>
        <v>1.1508958297115131</v>
      </c>
    </row>
    <row r="80" spans="1:7" x14ac:dyDescent="0.25">
      <c r="A80" s="149">
        <f t="shared" si="6"/>
        <v>62</v>
      </c>
      <c r="B80" s="151">
        <f t="shared" si="5"/>
        <v>31675456.99159275</v>
      </c>
      <c r="C80" s="151">
        <f t="shared" si="0"/>
        <v>131981.07079830318</v>
      </c>
      <c r="D80" s="151">
        <f t="shared" si="1"/>
        <v>119447.08484796308</v>
      </c>
      <c r="E80" s="151">
        <f t="shared" si="2"/>
        <v>251428.15564626624</v>
      </c>
      <c r="F80" s="151">
        <f t="shared" si="3"/>
        <v>31556009.906744786</v>
      </c>
      <c r="G80" s="131">
        <f t="shared" si="4"/>
        <v>1.1508958297115128</v>
      </c>
    </row>
    <row r="81" spans="1:7" x14ac:dyDescent="0.25">
      <c r="A81" s="149">
        <f t="shared" si="6"/>
        <v>63</v>
      </c>
      <c r="B81" s="151">
        <f t="shared" si="5"/>
        <v>31556009.906744786</v>
      </c>
      <c r="C81" s="151">
        <f t="shared" si="0"/>
        <v>131483.37461143665</v>
      </c>
      <c r="D81" s="151">
        <f t="shared" si="1"/>
        <v>119944.78103482959</v>
      </c>
      <c r="E81" s="151">
        <f t="shared" si="2"/>
        <v>251428.15564626624</v>
      </c>
      <c r="F81" s="151">
        <f t="shared" si="3"/>
        <v>31436065.125709955</v>
      </c>
      <c r="G81" s="131">
        <f t="shared" si="4"/>
        <v>1.1508958297115128</v>
      </c>
    </row>
    <row r="82" spans="1:7" x14ac:dyDescent="0.25">
      <c r="A82" s="149">
        <f t="shared" si="6"/>
        <v>64</v>
      </c>
      <c r="B82" s="151">
        <f t="shared" si="5"/>
        <v>31436065.125709955</v>
      </c>
      <c r="C82" s="151">
        <f t="shared" si="0"/>
        <v>130983.60469045822</v>
      </c>
      <c r="D82" s="151">
        <f t="shared" si="1"/>
        <v>120444.55095580805</v>
      </c>
      <c r="E82" s="151">
        <f t="shared" si="2"/>
        <v>251428.15564626627</v>
      </c>
      <c r="F82" s="151">
        <f t="shared" si="3"/>
        <v>31315620.574754145</v>
      </c>
      <c r="G82" s="131">
        <f t="shared" si="4"/>
        <v>1.1508958297115131</v>
      </c>
    </row>
    <row r="83" spans="1:7" x14ac:dyDescent="0.25">
      <c r="A83" s="149">
        <f t="shared" si="6"/>
        <v>65</v>
      </c>
      <c r="B83" s="151">
        <f t="shared" si="5"/>
        <v>31315620.574754145</v>
      </c>
      <c r="C83" s="151">
        <f t="shared" ref="C83:C146" si="7">IF(ISERROR(IPMT(C$6/12,A83,$C$8,-$B$19,0)),0,IPMT(C$6/12,A83,$C$8,-$B$19,0))</f>
        <v>130481.75239480901</v>
      </c>
      <c r="D83" s="151">
        <f t="shared" ref="D83:D146" si="8">IF(ISERROR(PPMT($C$6/12,$A83,$C$8,-$B$19,0)),0,PPMT($C$6/12,$A83,$C$8,-$B$19,0))</f>
        <v>120946.40325145725</v>
      </c>
      <c r="E83" s="151">
        <f t="shared" ref="E83:E146" si="9">+C83+D83</f>
        <v>251428.15564626624</v>
      </c>
      <c r="F83" s="151">
        <f t="shared" ref="F83:F146" si="10">+B83-D83</f>
        <v>31194674.171502687</v>
      </c>
      <c r="G83" s="131">
        <f t="shared" ref="G83:G146" si="11">E83/$C$10</f>
        <v>1.1508958297115128</v>
      </c>
    </row>
    <row r="84" spans="1:7" x14ac:dyDescent="0.25">
      <c r="A84" s="149">
        <f t="shared" si="6"/>
        <v>66</v>
      </c>
      <c r="B84" s="151">
        <f t="shared" ref="B84:B147" si="12">+F83</f>
        <v>31194674.171502687</v>
      </c>
      <c r="C84" s="151">
        <f t="shared" si="7"/>
        <v>129977.80904792793</v>
      </c>
      <c r="D84" s="151">
        <f t="shared" si="8"/>
        <v>121450.34659833832</v>
      </c>
      <c r="E84" s="151">
        <f t="shared" si="9"/>
        <v>251428.15564626624</v>
      </c>
      <c r="F84" s="151">
        <f t="shared" si="10"/>
        <v>31073223.824904349</v>
      </c>
      <c r="G84" s="131">
        <f t="shared" si="11"/>
        <v>1.1508958297115128</v>
      </c>
    </row>
    <row r="85" spans="1:7" x14ac:dyDescent="0.25">
      <c r="A85" s="149">
        <f t="shared" ref="A85:A148" si="13">A84+1</f>
        <v>67</v>
      </c>
      <c r="B85" s="151">
        <f t="shared" si="12"/>
        <v>31073223.824904349</v>
      </c>
      <c r="C85" s="151">
        <f t="shared" si="7"/>
        <v>129471.76593710153</v>
      </c>
      <c r="D85" s="151">
        <f t="shared" si="8"/>
        <v>121956.38970916472</v>
      </c>
      <c r="E85" s="151">
        <f t="shared" si="9"/>
        <v>251428.15564626624</v>
      </c>
      <c r="F85" s="151">
        <f t="shared" si="10"/>
        <v>30951267.435195185</v>
      </c>
      <c r="G85" s="131">
        <f t="shared" si="11"/>
        <v>1.1508958297115128</v>
      </c>
    </row>
    <row r="86" spans="1:7" x14ac:dyDescent="0.25">
      <c r="A86" s="149">
        <f t="shared" si="13"/>
        <v>68</v>
      </c>
      <c r="B86" s="151">
        <f t="shared" si="12"/>
        <v>30951267.435195185</v>
      </c>
      <c r="C86" s="151">
        <f t="shared" si="7"/>
        <v>128963.61431331334</v>
      </c>
      <c r="D86" s="151">
        <f t="shared" si="8"/>
        <v>122464.54133295293</v>
      </c>
      <c r="E86" s="151">
        <f t="shared" si="9"/>
        <v>251428.15564626627</v>
      </c>
      <c r="F86" s="151">
        <f t="shared" si="10"/>
        <v>30828802.893862233</v>
      </c>
      <c r="G86" s="131">
        <f t="shared" si="11"/>
        <v>1.1508958297115131</v>
      </c>
    </row>
    <row r="87" spans="1:7" x14ac:dyDescent="0.25">
      <c r="A87" s="149">
        <f t="shared" si="13"/>
        <v>69</v>
      </c>
      <c r="B87" s="151">
        <f t="shared" si="12"/>
        <v>30828802.893862233</v>
      </c>
      <c r="C87" s="151">
        <f t="shared" si="7"/>
        <v>128453.34539109271</v>
      </c>
      <c r="D87" s="151">
        <f t="shared" si="8"/>
        <v>122974.81025517356</v>
      </c>
      <c r="E87" s="151">
        <f t="shared" si="9"/>
        <v>251428.15564626627</v>
      </c>
      <c r="F87" s="151">
        <f t="shared" si="10"/>
        <v>30705828.083607059</v>
      </c>
      <c r="G87" s="131">
        <f t="shared" si="11"/>
        <v>1.1508958297115131</v>
      </c>
    </row>
    <row r="88" spans="1:7" x14ac:dyDescent="0.25">
      <c r="A88" s="149">
        <f t="shared" si="13"/>
        <v>70</v>
      </c>
      <c r="B88" s="151">
        <f t="shared" si="12"/>
        <v>30705828.083607059</v>
      </c>
      <c r="C88" s="151">
        <f t="shared" si="7"/>
        <v>127940.95034836282</v>
      </c>
      <c r="D88" s="151">
        <f t="shared" si="8"/>
        <v>123487.20529790345</v>
      </c>
      <c r="E88" s="151">
        <f t="shared" si="9"/>
        <v>251428.15564626627</v>
      </c>
      <c r="F88" s="151">
        <f t="shared" si="10"/>
        <v>30582340.878309157</v>
      </c>
      <c r="G88" s="131">
        <f t="shared" si="11"/>
        <v>1.1508958297115131</v>
      </c>
    </row>
    <row r="89" spans="1:7" x14ac:dyDescent="0.25">
      <c r="A89" s="149">
        <f t="shared" si="13"/>
        <v>71</v>
      </c>
      <c r="B89" s="151">
        <f t="shared" si="12"/>
        <v>30582340.878309157</v>
      </c>
      <c r="C89" s="151">
        <f t="shared" si="7"/>
        <v>127426.42032628819</v>
      </c>
      <c r="D89" s="151">
        <f t="shared" si="8"/>
        <v>124001.73531997805</v>
      </c>
      <c r="E89" s="151">
        <f t="shared" si="9"/>
        <v>251428.15564626624</v>
      </c>
      <c r="F89" s="151">
        <f t="shared" si="10"/>
        <v>30458339.142989177</v>
      </c>
      <c r="G89" s="131">
        <f t="shared" si="11"/>
        <v>1.1508958297115128</v>
      </c>
    </row>
    <row r="90" spans="1:7" x14ac:dyDescent="0.25">
      <c r="A90" s="149">
        <f t="shared" si="13"/>
        <v>72</v>
      </c>
      <c r="B90" s="151">
        <f t="shared" si="12"/>
        <v>30458339.142989177</v>
      </c>
      <c r="C90" s="151">
        <f t="shared" si="7"/>
        <v>126909.74642912162</v>
      </c>
      <c r="D90" s="151">
        <f t="shared" si="8"/>
        <v>124518.40921714462</v>
      </c>
      <c r="E90" s="151">
        <f t="shared" si="9"/>
        <v>251428.15564626624</v>
      </c>
      <c r="F90" s="151">
        <f t="shared" si="10"/>
        <v>30333820.733772032</v>
      </c>
      <c r="G90" s="131">
        <f t="shared" si="11"/>
        <v>1.1508958297115128</v>
      </c>
    </row>
    <row r="91" spans="1:7" x14ac:dyDescent="0.25">
      <c r="A91" s="149">
        <f t="shared" si="13"/>
        <v>73</v>
      </c>
      <c r="B91" s="151">
        <f t="shared" si="12"/>
        <v>30333820.733772032</v>
      </c>
      <c r="C91" s="151">
        <f t="shared" si="7"/>
        <v>126390.9197240502</v>
      </c>
      <c r="D91" s="151">
        <f t="shared" si="8"/>
        <v>125037.23592221604</v>
      </c>
      <c r="E91" s="151">
        <f t="shared" si="9"/>
        <v>251428.15564626624</v>
      </c>
      <c r="F91" s="151">
        <f t="shared" si="10"/>
        <v>30208783.497849815</v>
      </c>
      <c r="G91" s="131">
        <f t="shared" si="11"/>
        <v>1.1508958297115128</v>
      </c>
    </row>
    <row r="92" spans="1:7" x14ac:dyDescent="0.25">
      <c r="A92" s="149">
        <f t="shared" si="13"/>
        <v>74</v>
      </c>
      <c r="B92" s="151">
        <f t="shared" si="12"/>
        <v>30208783.497849815</v>
      </c>
      <c r="C92" s="151">
        <f t="shared" si="7"/>
        <v>125869.93124104098</v>
      </c>
      <c r="D92" s="151">
        <f t="shared" si="8"/>
        <v>125558.22440522529</v>
      </c>
      <c r="E92" s="151">
        <f t="shared" si="9"/>
        <v>251428.15564626627</v>
      </c>
      <c r="F92" s="151">
        <f t="shared" si="10"/>
        <v>30083225.273444589</v>
      </c>
      <c r="G92" s="131">
        <f t="shared" si="11"/>
        <v>1.1508958297115131</v>
      </c>
    </row>
    <row r="93" spans="1:7" x14ac:dyDescent="0.25">
      <c r="A93" s="149">
        <f t="shared" si="13"/>
        <v>75</v>
      </c>
      <c r="B93" s="151">
        <f t="shared" si="12"/>
        <v>30083225.273444589</v>
      </c>
      <c r="C93" s="151">
        <f t="shared" si="7"/>
        <v>125346.77197268585</v>
      </c>
      <c r="D93" s="151">
        <f t="shared" si="8"/>
        <v>126081.38367358039</v>
      </c>
      <c r="E93" s="151">
        <f t="shared" si="9"/>
        <v>251428.15564626624</v>
      </c>
      <c r="F93" s="151">
        <f t="shared" si="10"/>
        <v>29957143.889771007</v>
      </c>
      <c r="G93" s="131">
        <f t="shared" si="11"/>
        <v>1.1508958297115128</v>
      </c>
    </row>
    <row r="94" spans="1:7" x14ac:dyDescent="0.25">
      <c r="A94" s="149">
        <f t="shared" si="13"/>
        <v>76</v>
      </c>
      <c r="B94" s="151">
        <f t="shared" si="12"/>
        <v>29957143.889771007</v>
      </c>
      <c r="C94" s="151">
        <f t="shared" si="7"/>
        <v>124821.43287404592</v>
      </c>
      <c r="D94" s="151">
        <f t="shared" si="8"/>
        <v>126606.72277222031</v>
      </c>
      <c r="E94" s="151">
        <f t="shared" si="9"/>
        <v>251428.15564626624</v>
      </c>
      <c r="F94" s="151">
        <f t="shared" si="10"/>
        <v>29830537.166998785</v>
      </c>
      <c r="G94" s="131">
        <f t="shared" si="11"/>
        <v>1.1508958297115128</v>
      </c>
    </row>
    <row r="95" spans="1:7" x14ac:dyDescent="0.25">
      <c r="A95" s="149">
        <f t="shared" si="13"/>
        <v>77</v>
      </c>
      <c r="B95" s="151">
        <f t="shared" si="12"/>
        <v>29830537.166998785</v>
      </c>
      <c r="C95" s="151">
        <f t="shared" si="7"/>
        <v>124293.90486249502</v>
      </c>
      <c r="D95" s="151">
        <f t="shared" si="8"/>
        <v>127134.25078377125</v>
      </c>
      <c r="E95" s="151">
        <f t="shared" si="9"/>
        <v>251428.15564626627</v>
      </c>
      <c r="F95" s="151">
        <f t="shared" si="10"/>
        <v>29703402.916215014</v>
      </c>
      <c r="G95" s="131">
        <f t="shared" si="11"/>
        <v>1.1508958297115131</v>
      </c>
    </row>
    <row r="96" spans="1:7" x14ac:dyDescent="0.25">
      <c r="A96" s="149">
        <f t="shared" si="13"/>
        <v>78</v>
      </c>
      <c r="B96" s="151">
        <f t="shared" si="12"/>
        <v>29703402.916215014</v>
      </c>
      <c r="C96" s="151">
        <f t="shared" si="7"/>
        <v>123764.17881756266</v>
      </c>
      <c r="D96" s="151">
        <f t="shared" si="8"/>
        <v>127663.97682870363</v>
      </c>
      <c r="E96" s="151">
        <f t="shared" si="9"/>
        <v>251428.1556462663</v>
      </c>
      <c r="F96" s="151">
        <f t="shared" si="10"/>
        <v>29575738.939386312</v>
      </c>
      <c r="G96" s="131">
        <f t="shared" si="11"/>
        <v>1.1508958297115131</v>
      </c>
    </row>
    <row r="97" spans="1:7" x14ac:dyDescent="0.25">
      <c r="A97" s="149">
        <f t="shared" si="13"/>
        <v>79</v>
      </c>
      <c r="B97" s="151">
        <f t="shared" si="12"/>
        <v>29575738.939386312</v>
      </c>
      <c r="C97" s="151">
        <f t="shared" si="7"/>
        <v>123232.24558077639</v>
      </c>
      <c r="D97" s="151">
        <f t="shared" si="8"/>
        <v>128195.91006548988</v>
      </c>
      <c r="E97" s="151">
        <f t="shared" si="9"/>
        <v>251428.15564626627</v>
      </c>
      <c r="F97" s="151">
        <f t="shared" si="10"/>
        <v>29447543.029320821</v>
      </c>
      <c r="G97" s="131">
        <f t="shared" si="11"/>
        <v>1.1508958297115131</v>
      </c>
    </row>
    <row r="98" spans="1:7" x14ac:dyDescent="0.25">
      <c r="A98" s="149">
        <f t="shared" si="13"/>
        <v>80</v>
      </c>
      <c r="B98" s="151">
        <f t="shared" si="12"/>
        <v>29447543.029320821</v>
      </c>
      <c r="C98" s="151">
        <f t="shared" si="7"/>
        <v>122698.09595550351</v>
      </c>
      <c r="D98" s="151">
        <f t="shared" si="8"/>
        <v>128730.05969076273</v>
      </c>
      <c r="E98" s="151">
        <f t="shared" si="9"/>
        <v>251428.15564626624</v>
      </c>
      <c r="F98" s="151">
        <f t="shared" si="10"/>
        <v>29318812.969630059</v>
      </c>
      <c r="G98" s="131">
        <f t="shared" si="11"/>
        <v>1.1508958297115128</v>
      </c>
    </row>
    <row r="99" spans="1:7" x14ac:dyDescent="0.25">
      <c r="A99" s="149">
        <f t="shared" si="13"/>
        <v>81</v>
      </c>
      <c r="B99" s="151">
        <f t="shared" si="12"/>
        <v>29318812.969630059</v>
      </c>
      <c r="C99" s="151">
        <f t="shared" si="7"/>
        <v>122161.72070679198</v>
      </c>
      <c r="D99" s="151">
        <f t="shared" si="8"/>
        <v>129266.43493947429</v>
      </c>
      <c r="E99" s="151">
        <f t="shared" si="9"/>
        <v>251428.15564626627</v>
      </c>
      <c r="F99" s="151">
        <f t="shared" si="10"/>
        <v>29189546.534690585</v>
      </c>
      <c r="G99" s="131">
        <f t="shared" si="11"/>
        <v>1.1508958297115131</v>
      </c>
    </row>
    <row r="100" spans="1:7" x14ac:dyDescent="0.25">
      <c r="A100" s="149">
        <f t="shared" si="13"/>
        <v>82</v>
      </c>
      <c r="B100" s="151">
        <f t="shared" si="12"/>
        <v>29189546.534690585</v>
      </c>
      <c r="C100" s="151">
        <f t="shared" si="7"/>
        <v>121623.11056121085</v>
      </c>
      <c r="D100" s="151">
        <f t="shared" si="8"/>
        <v>129805.0450850554</v>
      </c>
      <c r="E100" s="151">
        <f t="shared" si="9"/>
        <v>251428.15564626624</v>
      </c>
      <c r="F100" s="151">
        <f t="shared" si="10"/>
        <v>29059741.489605531</v>
      </c>
      <c r="G100" s="131">
        <f t="shared" si="11"/>
        <v>1.1508958297115128</v>
      </c>
    </row>
    <row r="101" spans="1:7" x14ac:dyDescent="0.25">
      <c r="A101" s="149">
        <f t="shared" si="13"/>
        <v>83</v>
      </c>
      <c r="B101" s="151">
        <f t="shared" si="12"/>
        <v>29059741.489605531</v>
      </c>
      <c r="C101" s="151">
        <f t="shared" si="7"/>
        <v>121082.25620668975</v>
      </c>
      <c r="D101" s="151">
        <f t="shared" si="8"/>
        <v>130345.89943957649</v>
      </c>
      <c r="E101" s="151">
        <f t="shared" si="9"/>
        <v>251428.15564626624</v>
      </c>
      <c r="F101" s="151">
        <f t="shared" si="10"/>
        <v>28929395.590165954</v>
      </c>
      <c r="G101" s="131">
        <f t="shared" si="11"/>
        <v>1.1508958297115128</v>
      </c>
    </row>
    <row r="102" spans="1:7" x14ac:dyDescent="0.25">
      <c r="A102" s="149">
        <f t="shared" si="13"/>
        <v>84</v>
      </c>
      <c r="B102" s="151">
        <f t="shared" si="12"/>
        <v>28929395.590165954</v>
      </c>
      <c r="C102" s="151">
        <f t="shared" si="7"/>
        <v>120539.14829235821</v>
      </c>
      <c r="D102" s="151">
        <f t="shared" si="8"/>
        <v>130889.00735390803</v>
      </c>
      <c r="E102" s="151">
        <f t="shared" si="9"/>
        <v>251428.15564626624</v>
      </c>
      <c r="F102" s="151">
        <f t="shared" si="10"/>
        <v>28798506.582812045</v>
      </c>
      <c r="G102" s="131">
        <f t="shared" si="11"/>
        <v>1.1508958297115128</v>
      </c>
    </row>
    <row r="103" spans="1:7" x14ac:dyDescent="0.25">
      <c r="A103" s="149">
        <f t="shared" si="13"/>
        <v>85</v>
      </c>
      <c r="B103" s="151">
        <f t="shared" si="12"/>
        <v>28798506.582812045</v>
      </c>
      <c r="C103" s="151">
        <f t="shared" si="7"/>
        <v>119993.7774283836</v>
      </c>
      <c r="D103" s="151">
        <f t="shared" si="8"/>
        <v>131434.37821788265</v>
      </c>
      <c r="E103" s="151">
        <f t="shared" si="9"/>
        <v>251428.15564626624</v>
      </c>
      <c r="F103" s="151">
        <f t="shared" si="10"/>
        <v>28667072.204594161</v>
      </c>
      <c r="G103" s="131">
        <f t="shared" si="11"/>
        <v>1.1508958297115128</v>
      </c>
    </row>
    <row r="104" spans="1:7" x14ac:dyDescent="0.25">
      <c r="A104" s="149">
        <f t="shared" si="13"/>
        <v>86</v>
      </c>
      <c r="B104" s="151">
        <f t="shared" si="12"/>
        <v>28667072.204594161</v>
      </c>
      <c r="C104" s="151">
        <f t="shared" si="7"/>
        <v>119446.13418580907</v>
      </c>
      <c r="D104" s="151">
        <f t="shared" si="8"/>
        <v>131982.02146045718</v>
      </c>
      <c r="E104" s="151">
        <f t="shared" si="9"/>
        <v>251428.15564626624</v>
      </c>
      <c r="F104" s="151">
        <f t="shared" si="10"/>
        <v>28535090.183133703</v>
      </c>
      <c r="G104" s="131">
        <f t="shared" si="11"/>
        <v>1.1508958297115128</v>
      </c>
    </row>
    <row r="105" spans="1:7" x14ac:dyDescent="0.25">
      <c r="A105" s="149">
        <f t="shared" si="13"/>
        <v>87</v>
      </c>
      <c r="B105" s="151">
        <f t="shared" si="12"/>
        <v>28535090.183133703</v>
      </c>
      <c r="C105" s="151">
        <f t="shared" si="7"/>
        <v>118896.20909639052</v>
      </c>
      <c r="D105" s="151">
        <f t="shared" si="8"/>
        <v>132531.94654987575</v>
      </c>
      <c r="E105" s="151">
        <f t="shared" si="9"/>
        <v>251428.15564626627</v>
      </c>
      <c r="F105" s="151">
        <f t="shared" si="10"/>
        <v>28402558.236583825</v>
      </c>
      <c r="G105" s="131">
        <f t="shared" si="11"/>
        <v>1.1508958297115131</v>
      </c>
    </row>
    <row r="106" spans="1:7" x14ac:dyDescent="0.25">
      <c r="A106" s="149">
        <f t="shared" si="13"/>
        <v>88</v>
      </c>
      <c r="B106" s="151">
        <f t="shared" si="12"/>
        <v>28402558.236583825</v>
      </c>
      <c r="C106" s="151">
        <f t="shared" si="7"/>
        <v>118343.99265243272</v>
      </c>
      <c r="D106" s="151">
        <f t="shared" si="8"/>
        <v>133084.16299383357</v>
      </c>
      <c r="E106" s="151">
        <f t="shared" si="9"/>
        <v>251428.1556462663</v>
      </c>
      <c r="F106" s="151">
        <f t="shared" si="10"/>
        <v>28269474.073589992</v>
      </c>
      <c r="G106" s="131">
        <f t="shared" si="11"/>
        <v>1.1508958297115131</v>
      </c>
    </row>
    <row r="107" spans="1:7" x14ac:dyDescent="0.25">
      <c r="A107" s="149">
        <f t="shared" si="13"/>
        <v>89</v>
      </c>
      <c r="B107" s="151">
        <f t="shared" si="12"/>
        <v>28269474.073589992</v>
      </c>
      <c r="C107" s="151">
        <f t="shared" si="7"/>
        <v>117789.47530662506</v>
      </c>
      <c r="D107" s="151">
        <f t="shared" si="8"/>
        <v>133638.6803396412</v>
      </c>
      <c r="E107" s="151">
        <f t="shared" si="9"/>
        <v>251428.15564626624</v>
      </c>
      <c r="F107" s="151">
        <f t="shared" si="10"/>
        <v>28135835.39325035</v>
      </c>
      <c r="G107" s="131">
        <f t="shared" si="11"/>
        <v>1.1508958297115128</v>
      </c>
    </row>
    <row r="108" spans="1:7" x14ac:dyDescent="0.25">
      <c r="A108" s="149">
        <f t="shared" si="13"/>
        <v>90</v>
      </c>
      <c r="B108" s="151">
        <f t="shared" si="12"/>
        <v>28135835.39325035</v>
      </c>
      <c r="C108" s="151">
        <f t="shared" si="7"/>
        <v>117232.64747187655</v>
      </c>
      <c r="D108" s="151">
        <f t="shared" si="8"/>
        <v>134195.50817438969</v>
      </c>
      <c r="E108" s="151">
        <f t="shared" si="9"/>
        <v>251428.15564626624</v>
      </c>
      <c r="F108" s="151">
        <f t="shared" si="10"/>
        <v>28001639.88507596</v>
      </c>
      <c r="G108" s="131">
        <f t="shared" si="11"/>
        <v>1.1508958297115128</v>
      </c>
    </row>
    <row r="109" spans="1:7" x14ac:dyDescent="0.25">
      <c r="A109" s="149">
        <f t="shared" si="13"/>
        <v>91</v>
      </c>
      <c r="B109" s="151">
        <f t="shared" si="12"/>
        <v>28001639.88507596</v>
      </c>
      <c r="C109" s="151">
        <f t="shared" si="7"/>
        <v>116673.49952114992</v>
      </c>
      <c r="D109" s="151">
        <f t="shared" si="8"/>
        <v>134754.65612511631</v>
      </c>
      <c r="E109" s="151">
        <f t="shared" si="9"/>
        <v>251428.15564626624</v>
      </c>
      <c r="F109" s="151">
        <f t="shared" si="10"/>
        <v>27866885.228950843</v>
      </c>
      <c r="G109" s="131">
        <f t="shared" si="11"/>
        <v>1.1508958297115128</v>
      </c>
    </row>
    <row r="110" spans="1:7" x14ac:dyDescent="0.25">
      <c r="A110" s="149">
        <f t="shared" si="13"/>
        <v>92</v>
      </c>
      <c r="B110" s="151">
        <f t="shared" si="12"/>
        <v>27866885.228950843</v>
      </c>
      <c r="C110" s="151">
        <f t="shared" si="7"/>
        <v>116112.02178729528</v>
      </c>
      <c r="D110" s="151">
        <f t="shared" si="8"/>
        <v>135316.13385897098</v>
      </c>
      <c r="E110" s="151">
        <f t="shared" si="9"/>
        <v>251428.15564626624</v>
      </c>
      <c r="F110" s="151">
        <f t="shared" si="10"/>
        <v>27731569.095091872</v>
      </c>
      <c r="G110" s="131">
        <f t="shared" si="11"/>
        <v>1.1508958297115128</v>
      </c>
    </row>
    <row r="111" spans="1:7" x14ac:dyDescent="0.25">
      <c r="A111" s="149">
        <f t="shared" si="13"/>
        <v>93</v>
      </c>
      <c r="B111" s="151">
        <f t="shared" si="12"/>
        <v>27731569.095091872</v>
      </c>
      <c r="C111" s="151">
        <f t="shared" si="7"/>
        <v>115548.20456288289</v>
      </c>
      <c r="D111" s="151">
        <f t="shared" si="8"/>
        <v>135879.95108338335</v>
      </c>
      <c r="E111" s="151">
        <f t="shared" si="9"/>
        <v>251428.15564626624</v>
      </c>
      <c r="F111" s="151">
        <f t="shared" si="10"/>
        <v>27595689.144008487</v>
      </c>
      <c r="G111" s="131">
        <f t="shared" si="11"/>
        <v>1.1508958297115128</v>
      </c>
    </row>
    <row r="112" spans="1:7" x14ac:dyDescent="0.25">
      <c r="A112" s="149">
        <f t="shared" si="13"/>
        <v>94</v>
      </c>
      <c r="B112" s="151">
        <f t="shared" si="12"/>
        <v>27595689.144008487</v>
      </c>
      <c r="C112" s="151">
        <f t="shared" si="7"/>
        <v>114982.03810003548</v>
      </c>
      <c r="D112" s="151">
        <f t="shared" si="8"/>
        <v>136446.11754623079</v>
      </c>
      <c r="E112" s="151">
        <f t="shared" si="9"/>
        <v>251428.15564626627</v>
      </c>
      <c r="F112" s="151">
        <f t="shared" si="10"/>
        <v>27459243.026462257</v>
      </c>
      <c r="G112" s="131">
        <f t="shared" si="11"/>
        <v>1.1508958297115131</v>
      </c>
    </row>
    <row r="113" spans="1:7" x14ac:dyDescent="0.25">
      <c r="A113" s="149">
        <f t="shared" si="13"/>
        <v>95</v>
      </c>
      <c r="B113" s="151">
        <f t="shared" si="12"/>
        <v>27459243.026462257</v>
      </c>
      <c r="C113" s="151">
        <f t="shared" si="7"/>
        <v>114413.51261025952</v>
      </c>
      <c r="D113" s="151">
        <f t="shared" si="8"/>
        <v>137014.64303600678</v>
      </c>
      <c r="E113" s="151">
        <f t="shared" si="9"/>
        <v>251428.1556462663</v>
      </c>
      <c r="F113" s="151">
        <f t="shared" si="10"/>
        <v>27322228.383426249</v>
      </c>
      <c r="G113" s="131">
        <f t="shared" si="11"/>
        <v>1.1508958297115131</v>
      </c>
    </row>
    <row r="114" spans="1:7" x14ac:dyDescent="0.25">
      <c r="A114" s="149">
        <f t="shared" si="13"/>
        <v>96</v>
      </c>
      <c r="B114" s="151">
        <f t="shared" si="12"/>
        <v>27322228.383426249</v>
      </c>
      <c r="C114" s="151">
        <f t="shared" si="7"/>
        <v>113842.61826427614</v>
      </c>
      <c r="D114" s="151">
        <f t="shared" si="8"/>
        <v>137585.53738199009</v>
      </c>
      <c r="E114" s="151">
        <f t="shared" si="9"/>
        <v>251428.15564626624</v>
      </c>
      <c r="F114" s="151">
        <f t="shared" si="10"/>
        <v>27184642.846044257</v>
      </c>
      <c r="G114" s="131">
        <f t="shared" si="11"/>
        <v>1.1508958297115128</v>
      </c>
    </row>
    <row r="115" spans="1:7" x14ac:dyDescent="0.25">
      <c r="A115" s="149">
        <f t="shared" si="13"/>
        <v>97</v>
      </c>
      <c r="B115" s="151">
        <f t="shared" si="12"/>
        <v>27184642.846044257</v>
      </c>
      <c r="C115" s="151">
        <f t="shared" si="7"/>
        <v>113269.3451918512</v>
      </c>
      <c r="D115" s="151">
        <f t="shared" si="8"/>
        <v>138158.81045441507</v>
      </c>
      <c r="E115" s="151">
        <f t="shared" si="9"/>
        <v>251428.15564626627</v>
      </c>
      <c r="F115" s="151">
        <f t="shared" si="10"/>
        <v>27046484.035589844</v>
      </c>
      <c r="G115" s="131">
        <f t="shared" si="11"/>
        <v>1.1508958297115131</v>
      </c>
    </row>
    <row r="116" spans="1:7" x14ac:dyDescent="0.25">
      <c r="A116" s="149">
        <f t="shared" si="13"/>
        <v>98</v>
      </c>
      <c r="B116" s="151">
        <f t="shared" si="12"/>
        <v>27046484.035589844</v>
      </c>
      <c r="C116" s="151">
        <f t="shared" si="7"/>
        <v>112693.68348162447</v>
      </c>
      <c r="D116" s="151">
        <f t="shared" si="8"/>
        <v>138734.4721646418</v>
      </c>
      <c r="E116" s="151">
        <f t="shared" si="9"/>
        <v>251428.15564626627</v>
      </c>
      <c r="F116" s="151">
        <f t="shared" si="10"/>
        <v>26907749.563425202</v>
      </c>
      <c r="G116" s="131">
        <f t="shared" si="11"/>
        <v>1.1508958297115131</v>
      </c>
    </row>
    <row r="117" spans="1:7" x14ac:dyDescent="0.25">
      <c r="A117" s="149">
        <f t="shared" si="13"/>
        <v>99</v>
      </c>
      <c r="B117" s="151">
        <f t="shared" si="12"/>
        <v>26907749.563425202</v>
      </c>
      <c r="C117" s="151">
        <f t="shared" si="7"/>
        <v>112115.62318093845</v>
      </c>
      <c r="D117" s="151">
        <f t="shared" si="8"/>
        <v>139312.53246532779</v>
      </c>
      <c r="E117" s="151">
        <f t="shared" si="9"/>
        <v>251428.15564626624</v>
      </c>
      <c r="F117" s="151">
        <f t="shared" si="10"/>
        <v>26768437.030959874</v>
      </c>
      <c r="G117" s="131">
        <f t="shared" si="11"/>
        <v>1.1508958297115128</v>
      </c>
    </row>
    <row r="118" spans="1:7" x14ac:dyDescent="0.25">
      <c r="A118" s="149">
        <f t="shared" si="13"/>
        <v>100</v>
      </c>
      <c r="B118" s="151">
        <f t="shared" si="12"/>
        <v>26768437.030959874</v>
      </c>
      <c r="C118" s="151">
        <f t="shared" si="7"/>
        <v>111535.15429566625</v>
      </c>
      <c r="D118" s="151">
        <f t="shared" si="8"/>
        <v>139893.00135060001</v>
      </c>
      <c r="E118" s="151">
        <f t="shared" si="9"/>
        <v>251428.15564626624</v>
      </c>
      <c r="F118" s="151">
        <f t="shared" si="10"/>
        <v>26628544.029609274</v>
      </c>
      <c r="G118" s="131">
        <f t="shared" si="11"/>
        <v>1.1508958297115128</v>
      </c>
    </row>
    <row r="119" spans="1:7" x14ac:dyDescent="0.25">
      <c r="A119" s="149">
        <f t="shared" si="13"/>
        <v>101</v>
      </c>
      <c r="B119" s="151">
        <f t="shared" si="12"/>
        <v>26628544.029609274</v>
      </c>
      <c r="C119" s="151">
        <f t="shared" si="7"/>
        <v>110952.26679003873</v>
      </c>
      <c r="D119" s="151">
        <f t="shared" si="8"/>
        <v>140475.88885622748</v>
      </c>
      <c r="E119" s="151">
        <f t="shared" si="9"/>
        <v>251428.15564626621</v>
      </c>
      <c r="F119" s="151">
        <f t="shared" si="10"/>
        <v>26488068.140753046</v>
      </c>
      <c r="G119" s="131">
        <f t="shared" si="11"/>
        <v>1.1508958297115128</v>
      </c>
    </row>
    <row r="120" spans="1:7" x14ac:dyDescent="0.25">
      <c r="A120" s="149">
        <f t="shared" si="13"/>
        <v>102</v>
      </c>
      <c r="B120" s="151">
        <f t="shared" si="12"/>
        <v>26488068.140753046</v>
      </c>
      <c r="C120" s="151">
        <f t="shared" si="7"/>
        <v>110366.95058647112</v>
      </c>
      <c r="D120" s="151">
        <f t="shared" si="8"/>
        <v>141061.20505979512</v>
      </c>
      <c r="E120" s="151">
        <f t="shared" si="9"/>
        <v>251428.15564626624</v>
      </c>
      <c r="F120" s="151">
        <f t="shared" si="10"/>
        <v>26347006.935693249</v>
      </c>
      <c r="G120" s="131">
        <f t="shared" si="11"/>
        <v>1.1508958297115128</v>
      </c>
    </row>
    <row r="121" spans="1:7" x14ac:dyDescent="0.25">
      <c r="A121" s="149">
        <f t="shared" si="13"/>
        <v>103</v>
      </c>
      <c r="B121" s="151">
        <f t="shared" si="12"/>
        <v>26347006.935693249</v>
      </c>
      <c r="C121" s="151">
        <f t="shared" si="7"/>
        <v>109779.19556538867</v>
      </c>
      <c r="D121" s="151">
        <f t="shared" si="8"/>
        <v>141648.96008087759</v>
      </c>
      <c r="E121" s="151">
        <f t="shared" si="9"/>
        <v>251428.15564626624</v>
      </c>
      <c r="F121" s="151">
        <f t="shared" si="10"/>
        <v>26205357.975612372</v>
      </c>
      <c r="G121" s="131">
        <f t="shared" si="11"/>
        <v>1.1508958297115128</v>
      </c>
    </row>
    <row r="122" spans="1:7" x14ac:dyDescent="0.25">
      <c r="A122" s="149">
        <f t="shared" si="13"/>
        <v>104</v>
      </c>
      <c r="B122" s="151">
        <f t="shared" si="12"/>
        <v>26205357.975612372</v>
      </c>
      <c r="C122" s="151">
        <f t="shared" si="7"/>
        <v>109188.99156505168</v>
      </c>
      <c r="D122" s="151">
        <f t="shared" si="8"/>
        <v>142239.16408121458</v>
      </c>
      <c r="E122" s="151">
        <f t="shared" si="9"/>
        <v>251428.15564626624</v>
      </c>
      <c r="F122" s="151">
        <f t="shared" si="10"/>
        <v>26063118.811531156</v>
      </c>
      <c r="G122" s="131">
        <f t="shared" si="11"/>
        <v>1.1508958297115128</v>
      </c>
    </row>
    <row r="123" spans="1:7" x14ac:dyDescent="0.25">
      <c r="A123" s="149">
        <f t="shared" si="13"/>
        <v>105</v>
      </c>
      <c r="B123" s="151">
        <f t="shared" si="12"/>
        <v>26063118.811531156</v>
      </c>
      <c r="C123" s="151">
        <f t="shared" si="7"/>
        <v>108596.32838137996</v>
      </c>
      <c r="D123" s="151">
        <f t="shared" si="8"/>
        <v>142831.82726488632</v>
      </c>
      <c r="E123" s="151">
        <f t="shared" si="9"/>
        <v>251428.1556462663</v>
      </c>
      <c r="F123" s="151">
        <f t="shared" si="10"/>
        <v>25920286.98426627</v>
      </c>
      <c r="G123" s="131">
        <f t="shared" si="11"/>
        <v>1.1508958297115131</v>
      </c>
    </row>
    <row r="124" spans="1:7" x14ac:dyDescent="0.25">
      <c r="A124" s="149">
        <f t="shared" si="13"/>
        <v>106</v>
      </c>
      <c r="B124" s="151">
        <f t="shared" si="12"/>
        <v>25920286.98426627</v>
      </c>
      <c r="C124" s="151">
        <f t="shared" si="7"/>
        <v>108001.19576777627</v>
      </c>
      <c r="D124" s="151">
        <f t="shared" si="8"/>
        <v>143426.95987848999</v>
      </c>
      <c r="E124" s="151">
        <f t="shared" si="9"/>
        <v>251428.15564626624</v>
      </c>
      <c r="F124" s="151">
        <f t="shared" si="10"/>
        <v>25776860.024387781</v>
      </c>
      <c r="G124" s="131">
        <f t="shared" si="11"/>
        <v>1.1508958297115128</v>
      </c>
    </row>
    <row r="125" spans="1:7" x14ac:dyDescent="0.25">
      <c r="A125" s="149">
        <f t="shared" si="13"/>
        <v>107</v>
      </c>
      <c r="B125" s="151">
        <f t="shared" si="12"/>
        <v>25776860.024387781</v>
      </c>
      <c r="C125" s="151">
        <f t="shared" si="7"/>
        <v>107403.58343494919</v>
      </c>
      <c r="D125" s="151">
        <f t="shared" si="8"/>
        <v>144024.57221131702</v>
      </c>
      <c r="E125" s="151">
        <f t="shared" si="9"/>
        <v>251428.15564626621</v>
      </c>
      <c r="F125" s="151">
        <f t="shared" si="10"/>
        <v>25632835.452176463</v>
      </c>
      <c r="G125" s="131">
        <f t="shared" si="11"/>
        <v>1.1508958297115128</v>
      </c>
    </row>
    <row r="126" spans="1:7" x14ac:dyDescent="0.25">
      <c r="A126" s="149">
        <f t="shared" si="13"/>
        <v>108</v>
      </c>
      <c r="B126" s="151">
        <f t="shared" si="12"/>
        <v>25632835.452176463</v>
      </c>
      <c r="C126" s="151">
        <f t="shared" si="7"/>
        <v>106803.48105073538</v>
      </c>
      <c r="D126" s="151">
        <f t="shared" si="8"/>
        <v>144624.6745955309</v>
      </c>
      <c r="E126" s="151">
        <f t="shared" si="9"/>
        <v>251428.1556462663</v>
      </c>
      <c r="F126" s="151">
        <f t="shared" si="10"/>
        <v>25488210.777580932</v>
      </c>
      <c r="G126" s="131">
        <f t="shared" si="11"/>
        <v>1.1508958297115131</v>
      </c>
    </row>
    <row r="127" spans="1:7" x14ac:dyDescent="0.25">
      <c r="A127" s="149">
        <f t="shared" si="13"/>
        <v>109</v>
      </c>
      <c r="B127" s="151">
        <f t="shared" si="12"/>
        <v>25488210.777580932</v>
      </c>
      <c r="C127" s="151">
        <f t="shared" si="7"/>
        <v>106200.87823992067</v>
      </c>
      <c r="D127" s="151">
        <f t="shared" si="8"/>
        <v>145227.27740634559</v>
      </c>
      <c r="E127" s="151">
        <f t="shared" si="9"/>
        <v>251428.15564626624</v>
      </c>
      <c r="F127" s="151">
        <f t="shared" si="10"/>
        <v>25342983.500174586</v>
      </c>
      <c r="G127" s="131">
        <f t="shared" si="11"/>
        <v>1.1508958297115128</v>
      </c>
    </row>
    <row r="128" spans="1:7" x14ac:dyDescent="0.25">
      <c r="A128" s="149">
        <f t="shared" si="13"/>
        <v>110</v>
      </c>
      <c r="B128" s="151">
        <f t="shared" si="12"/>
        <v>25342983.500174586</v>
      </c>
      <c r="C128" s="151">
        <f t="shared" si="7"/>
        <v>105595.76458406092</v>
      </c>
      <c r="D128" s="151">
        <f t="shared" si="8"/>
        <v>145832.39106220534</v>
      </c>
      <c r="E128" s="151">
        <f t="shared" si="9"/>
        <v>251428.15564626624</v>
      </c>
      <c r="F128" s="151">
        <f t="shared" si="10"/>
        <v>25197151.109112382</v>
      </c>
      <c r="G128" s="131">
        <f t="shared" si="11"/>
        <v>1.1508958297115128</v>
      </c>
    </row>
    <row r="129" spans="1:7" x14ac:dyDescent="0.25">
      <c r="A129" s="149">
        <f t="shared" si="13"/>
        <v>111</v>
      </c>
      <c r="B129" s="151">
        <f t="shared" si="12"/>
        <v>25197151.109112382</v>
      </c>
      <c r="C129" s="151">
        <f t="shared" si="7"/>
        <v>104988.12962130172</v>
      </c>
      <c r="D129" s="151">
        <f t="shared" si="8"/>
        <v>146440.02602496455</v>
      </c>
      <c r="E129" s="151">
        <f t="shared" si="9"/>
        <v>251428.15564626627</v>
      </c>
      <c r="F129" s="151">
        <f t="shared" si="10"/>
        <v>25050711.083087418</v>
      </c>
      <c r="G129" s="131">
        <f t="shared" si="11"/>
        <v>1.1508958297115131</v>
      </c>
    </row>
    <row r="130" spans="1:7" x14ac:dyDescent="0.25">
      <c r="A130" s="149">
        <f t="shared" si="13"/>
        <v>112</v>
      </c>
      <c r="B130" s="151">
        <f t="shared" si="12"/>
        <v>25050711.083087418</v>
      </c>
      <c r="C130" s="151">
        <f t="shared" si="7"/>
        <v>104377.9628461977</v>
      </c>
      <c r="D130" s="151">
        <f t="shared" si="8"/>
        <v>147050.19280006859</v>
      </c>
      <c r="E130" s="151">
        <f t="shared" si="9"/>
        <v>251428.1556462663</v>
      </c>
      <c r="F130" s="151">
        <f t="shared" si="10"/>
        <v>24903660.890287351</v>
      </c>
      <c r="G130" s="131">
        <f t="shared" si="11"/>
        <v>1.1508958297115131</v>
      </c>
    </row>
    <row r="131" spans="1:7" x14ac:dyDescent="0.25">
      <c r="A131" s="149">
        <f t="shared" si="13"/>
        <v>113</v>
      </c>
      <c r="B131" s="151">
        <f t="shared" si="12"/>
        <v>24903660.890287351</v>
      </c>
      <c r="C131" s="151">
        <f t="shared" si="7"/>
        <v>103765.25370953076</v>
      </c>
      <c r="D131" s="151">
        <f t="shared" si="8"/>
        <v>147662.90193673552</v>
      </c>
      <c r="E131" s="151">
        <f t="shared" si="9"/>
        <v>251428.1556462663</v>
      </c>
      <c r="F131" s="151">
        <f t="shared" si="10"/>
        <v>24755997.988350615</v>
      </c>
      <c r="G131" s="131">
        <f t="shared" si="11"/>
        <v>1.1508958297115131</v>
      </c>
    </row>
    <row r="132" spans="1:7" x14ac:dyDescent="0.25">
      <c r="A132" s="149">
        <f t="shared" si="13"/>
        <v>114</v>
      </c>
      <c r="B132" s="151">
        <f t="shared" si="12"/>
        <v>24755997.988350615</v>
      </c>
      <c r="C132" s="151">
        <f t="shared" si="7"/>
        <v>103149.99161812768</v>
      </c>
      <c r="D132" s="151">
        <f t="shared" si="8"/>
        <v>148278.16402813856</v>
      </c>
      <c r="E132" s="151">
        <f t="shared" si="9"/>
        <v>251428.15564626624</v>
      </c>
      <c r="F132" s="151">
        <f t="shared" si="10"/>
        <v>24607719.824322477</v>
      </c>
      <c r="G132" s="131">
        <f t="shared" si="11"/>
        <v>1.1508958297115128</v>
      </c>
    </row>
    <row r="133" spans="1:7" x14ac:dyDescent="0.25">
      <c r="A133" s="149">
        <f t="shared" si="13"/>
        <v>115</v>
      </c>
      <c r="B133" s="151">
        <f t="shared" si="12"/>
        <v>24607719.824322477</v>
      </c>
      <c r="C133" s="151">
        <f t="shared" si="7"/>
        <v>102532.1659346771</v>
      </c>
      <c r="D133" s="151">
        <f t="shared" si="8"/>
        <v>148895.98971158915</v>
      </c>
      <c r="E133" s="151">
        <f t="shared" si="9"/>
        <v>251428.15564626624</v>
      </c>
      <c r="F133" s="151">
        <f t="shared" si="10"/>
        <v>24458823.834610887</v>
      </c>
      <c r="G133" s="131">
        <f t="shared" si="11"/>
        <v>1.1508958297115128</v>
      </c>
    </row>
    <row r="134" spans="1:7" x14ac:dyDescent="0.25">
      <c r="A134" s="149">
        <f t="shared" si="13"/>
        <v>116</v>
      </c>
      <c r="B134" s="151">
        <f t="shared" si="12"/>
        <v>24458823.834610887</v>
      </c>
      <c r="C134" s="151">
        <f t="shared" si="7"/>
        <v>101911.76597754548</v>
      </c>
      <c r="D134" s="151">
        <f t="shared" si="8"/>
        <v>149516.38966872075</v>
      </c>
      <c r="E134" s="151">
        <f t="shared" si="9"/>
        <v>251428.15564626624</v>
      </c>
      <c r="F134" s="151">
        <f t="shared" si="10"/>
        <v>24309307.444942165</v>
      </c>
      <c r="G134" s="131">
        <f t="shared" si="11"/>
        <v>1.1508958297115128</v>
      </c>
    </row>
    <row r="135" spans="1:7" x14ac:dyDescent="0.25">
      <c r="A135" s="149">
        <f t="shared" si="13"/>
        <v>117</v>
      </c>
      <c r="B135" s="151">
        <f t="shared" si="12"/>
        <v>24309307.444942165</v>
      </c>
      <c r="C135" s="151">
        <f t="shared" si="7"/>
        <v>101288.78102059251</v>
      </c>
      <c r="D135" s="151">
        <f t="shared" si="8"/>
        <v>150139.37462567381</v>
      </c>
      <c r="E135" s="151">
        <f t="shared" si="9"/>
        <v>251428.1556462663</v>
      </c>
      <c r="F135" s="151">
        <f t="shared" si="10"/>
        <v>24159168.07031649</v>
      </c>
      <c r="G135" s="131">
        <f t="shared" si="11"/>
        <v>1.1508958297115131</v>
      </c>
    </row>
    <row r="136" spans="1:7" x14ac:dyDescent="0.25">
      <c r="A136" s="149">
        <f t="shared" si="13"/>
        <v>118</v>
      </c>
      <c r="B136" s="151">
        <f t="shared" si="12"/>
        <v>24159168.07031649</v>
      </c>
      <c r="C136" s="151">
        <f t="shared" si="7"/>
        <v>100663.20029298549</v>
      </c>
      <c r="D136" s="151">
        <f t="shared" si="8"/>
        <v>150764.95535328073</v>
      </c>
      <c r="E136" s="151">
        <f t="shared" si="9"/>
        <v>251428.15564626624</v>
      </c>
      <c r="F136" s="151">
        <f t="shared" si="10"/>
        <v>24008403.114963207</v>
      </c>
      <c r="G136" s="131">
        <f t="shared" si="11"/>
        <v>1.1508958297115128</v>
      </c>
    </row>
    <row r="137" spans="1:7" x14ac:dyDescent="0.25">
      <c r="A137" s="149">
        <f t="shared" si="13"/>
        <v>119</v>
      </c>
      <c r="B137" s="151">
        <f t="shared" si="12"/>
        <v>24008403.114963207</v>
      </c>
      <c r="C137" s="151">
        <f t="shared" si="7"/>
        <v>100035.0129790135</v>
      </c>
      <c r="D137" s="151">
        <f t="shared" si="8"/>
        <v>151393.14266725275</v>
      </c>
      <c r="E137" s="151">
        <f t="shared" si="9"/>
        <v>251428.15564626624</v>
      </c>
      <c r="F137" s="151">
        <f t="shared" si="10"/>
        <v>23857009.972295955</v>
      </c>
      <c r="G137" s="131">
        <f t="shared" si="11"/>
        <v>1.1508958297115128</v>
      </c>
    </row>
    <row r="138" spans="1:7" x14ac:dyDescent="0.25">
      <c r="A138" s="149">
        <f t="shared" si="13"/>
        <v>120</v>
      </c>
      <c r="B138" s="151">
        <f t="shared" si="12"/>
        <v>23857009.972295955</v>
      </c>
      <c r="C138" s="151">
        <f t="shared" si="7"/>
        <v>99404.208217899941</v>
      </c>
      <c r="D138" s="151">
        <f t="shared" si="8"/>
        <v>152023.94742836631</v>
      </c>
      <c r="E138" s="151">
        <f t="shared" si="9"/>
        <v>251428.15564626624</v>
      </c>
      <c r="F138" s="151">
        <f t="shared" si="10"/>
        <v>23704986.024867587</v>
      </c>
      <c r="G138" s="131">
        <f t="shared" si="11"/>
        <v>1.1508958297115128</v>
      </c>
    </row>
    <row r="139" spans="1:7" x14ac:dyDescent="0.25">
      <c r="A139" s="149">
        <f t="shared" si="13"/>
        <v>121</v>
      </c>
      <c r="B139" s="151">
        <f t="shared" si="12"/>
        <v>23704986.024867587</v>
      </c>
      <c r="C139" s="151">
        <f t="shared" si="7"/>
        <v>98770.775103615102</v>
      </c>
      <c r="D139" s="151">
        <f t="shared" si="8"/>
        <v>152657.38054265117</v>
      </c>
      <c r="E139" s="151">
        <f t="shared" si="9"/>
        <v>251428.15564626627</v>
      </c>
      <c r="F139" s="151">
        <f t="shared" si="10"/>
        <v>23552328.644324936</v>
      </c>
      <c r="G139" s="131">
        <f t="shared" si="11"/>
        <v>1.1508958297115131</v>
      </c>
    </row>
    <row r="140" spans="1:7" x14ac:dyDescent="0.25">
      <c r="A140" s="149">
        <f t="shared" si="13"/>
        <v>122</v>
      </c>
      <c r="B140" s="151">
        <f t="shared" si="12"/>
        <v>23552328.644324936</v>
      </c>
      <c r="C140" s="151">
        <f t="shared" si="7"/>
        <v>98134.702684687378</v>
      </c>
      <c r="D140" s="151">
        <f t="shared" si="8"/>
        <v>153293.45296157888</v>
      </c>
      <c r="E140" s="151">
        <f t="shared" si="9"/>
        <v>251428.15564626624</v>
      </c>
      <c r="F140" s="151">
        <f t="shared" si="10"/>
        <v>23399035.191363357</v>
      </c>
      <c r="G140" s="131">
        <f t="shared" si="11"/>
        <v>1.1508958297115128</v>
      </c>
    </row>
    <row r="141" spans="1:7" x14ac:dyDescent="0.25">
      <c r="A141" s="149">
        <f t="shared" si="13"/>
        <v>123</v>
      </c>
      <c r="B141" s="151">
        <f t="shared" si="12"/>
        <v>23399035.191363357</v>
      </c>
      <c r="C141" s="151">
        <f t="shared" si="7"/>
        <v>97495.979964014114</v>
      </c>
      <c r="D141" s="151">
        <f t="shared" si="8"/>
        <v>153932.17568225213</v>
      </c>
      <c r="E141" s="151">
        <f t="shared" si="9"/>
        <v>251428.15564626624</v>
      </c>
      <c r="F141" s="151">
        <f t="shared" si="10"/>
        <v>23245103.015681107</v>
      </c>
      <c r="G141" s="131">
        <f t="shared" si="11"/>
        <v>1.1508958297115128</v>
      </c>
    </row>
    <row r="142" spans="1:7" x14ac:dyDescent="0.25">
      <c r="A142" s="149">
        <f t="shared" si="13"/>
        <v>124</v>
      </c>
      <c r="B142" s="151">
        <f t="shared" si="12"/>
        <v>23245103.015681107</v>
      </c>
      <c r="C142" s="151">
        <f t="shared" si="7"/>
        <v>96854.59589867141</v>
      </c>
      <c r="D142" s="151">
        <f t="shared" si="8"/>
        <v>154573.55974759485</v>
      </c>
      <c r="E142" s="151">
        <f t="shared" si="9"/>
        <v>251428.15564626624</v>
      </c>
      <c r="F142" s="151">
        <f t="shared" si="10"/>
        <v>23090529.455933511</v>
      </c>
      <c r="G142" s="131">
        <f t="shared" si="11"/>
        <v>1.1508958297115128</v>
      </c>
    </row>
    <row r="143" spans="1:7" x14ac:dyDescent="0.25">
      <c r="A143" s="149">
        <f t="shared" si="13"/>
        <v>125</v>
      </c>
      <c r="B143" s="151">
        <f t="shared" si="12"/>
        <v>23090529.455933511</v>
      </c>
      <c r="C143" s="151">
        <f t="shared" si="7"/>
        <v>96210.539399723115</v>
      </c>
      <c r="D143" s="151">
        <f t="shared" si="8"/>
        <v>155217.61624654318</v>
      </c>
      <c r="E143" s="151">
        <f t="shared" si="9"/>
        <v>251428.1556462663</v>
      </c>
      <c r="F143" s="151">
        <f t="shared" si="10"/>
        <v>22935311.839686967</v>
      </c>
      <c r="G143" s="131">
        <f t="shared" si="11"/>
        <v>1.1508958297115131</v>
      </c>
    </row>
    <row r="144" spans="1:7" x14ac:dyDescent="0.25">
      <c r="A144" s="149">
        <f t="shared" si="13"/>
        <v>126</v>
      </c>
      <c r="B144" s="151">
        <f t="shared" si="12"/>
        <v>22935311.839686967</v>
      </c>
      <c r="C144" s="151">
        <f t="shared" si="7"/>
        <v>95563.799332029186</v>
      </c>
      <c r="D144" s="151">
        <f t="shared" si="8"/>
        <v>155864.35631423708</v>
      </c>
      <c r="E144" s="151">
        <f t="shared" si="9"/>
        <v>251428.15564626627</v>
      </c>
      <c r="F144" s="151">
        <f t="shared" si="10"/>
        <v>22779447.483372729</v>
      </c>
      <c r="G144" s="131">
        <f t="shared" si="11"/>
        <v>1.1508958297115131</v>
      </c>
    </row>
    <row r="145" spans="1:7" x14ac:dyDescent="0.25">
      <c r="A145" s="149">
        <f t="shared" si="13"/>
        <v>127</v>
      </c>
      <c r="B145" s="151">
        <f t="shared" si="12"/>
        <v>22779447.483372729</v>
      </c>
      <c r="C145" s="151">
        <f t="shared" si="7"/>
        <v>94914.364514053173</v>
      </c>
      <c r="D145" s="151">
        <f t="shared" si="8"/>
        <v>156513.79113221305</v>
      </c>
      <c r="E145" s="151">
        <f t="shared" si="9"/>
        <v>251428.15564626624</v>
      </c>
      <c r="F145" s="151">
        <f t="shared" si="10"/>
        <v>22622933.692240518</v>
      </c>
      <c r="G145" s="131">
        <f t="shared" si="11"/>
        <v>1.1508958297115128</v>
      </c>
    </row>
    <row r="146" spans="1:7" x14ac:dyDescent="0.25">
      <c r="A146" s="149">
        <f t="shared" si="13"/>
        <v>128</v>
      </c>
      <c r="B146" s="151">
        <f t="shared" si="12"/>
        <v>22622933.692240518</v>
      </c>
      <c r="C146" s="151">
        <f t="shared" si="7"/>
        <v>94262.223717668967</v>
      </c>
      <c r="D146" s="151">
        <f t="shared" si="8"/>
        <v>157165.9319285973</v>
      </c>
      <c r="E146" s="151">
        <f t="shared" si="9"/>
        <v>251428.15564626627</v>
      </c>
      <c r="F146" s="151">
        <f t="shared" si="10"/>
        <v>22465767.76031192</v>
      </c>
      <c r="G146" s="131">
        <f t="shared" si="11"/>
        <v>1.1508958297115131</v>
      </c>
    </row>
    <row r="147" spans="1:7" x14ac:dyDescent="0.25">
      <c r="A147" s="149">
        <f t="shared" si="13"/>
        <v>129</v>
      </c>
      <c r="B147" s="151">
        <f t="shared" si="12"/>
        <v>22465767.76031192</v>
      </c>
      <c r="C147" s="151">
        <f t="shared" ref="C147:C150" si="14">IF(ISERROR(IPMT(C$6/12,A147,$C$8,-$B$19,0)),0,IPMT(C$6/12,A147,$C$8,-$B$19,0))</f>
        <v>93607.365667966471</v>
      </c>
      <c r="D147" s="151">
        <f t="shared" ref="D147:D150" si="15">IF(ISERROR(PPMT($C$6/12,$A147,$C$8,-$B$19,0)),0,PPMT($C$6/12,$A147,$C$8,-$B$19,0))</f>
        <v>157820.78997829976</v>
      </c>
      <c r="E147" s="151">
        <f t="shared" ref="E147:E150" si="16">+C147+D147</f>
        <v>251428.15564626624</v>
      </c>
      <c r="F147" s="151">
        <f t="shared" ref="F147:F150" si="17">+B147-D147</f>
        <v>22307946.970333621</v>
      </c>
      <c r="G147" s="131">
        <f t="shared" ref="G147:G150" si="18">E147/$C$10</f>
        <v>1.1508958297115128</v>
      </c>
    </row>
    <row r="148" spans="1:7" x14ac:dyDescent="0.25">
      <c r="A148" s="149">
        <f t="shared" si="13"/>
        <v>130</v>
      </c>
      <c r="B148" s="151">
        <f t="shared" ref="B148:B150" si="19">+F147</f>
        <v>22307946.970333621</v>
      </c>
      <c r="C148" s="151">
        <f t="shared" si="14"/>
        <v>92949.779043056886</v>
      </c>
      <c r="D148" s="151">
        <f t="shared" si="15"/>
        <v>158478.37660320936</v>
      </c>
      <c r="E148" s="151">
        <f t="shared" si="16"/>
        <v>251428.15564626624</v>
      </c>
      <c r="F148" s="151">
        <f t="shared" si="17"/>
        <v>22149468.593730412</v>
      </c>
      <c r="G148" s="131">
        <f t="shared" si="18"/>
        <v>1.1508958297115128</v>
      </c>
    </row>
    <row r="149" spans="1:7" x14ac:dyDescent="0.25">
      <c r="A149" s="149">
        <f t="shared" ref="A149:A150" si="20">A148+1</f>
        <v>131</v>
      </c>
      <c r="B149" s="151">
        <f t="shared" si="19"/>
        <v>22149468.593730412</v>
      </c>
      <c r="C149" s="151">
        <f t="shared" si="14"/>
        <v>92289.452473876852</v>
      </c>
      <c r="D149" s="151">
        <f t="shared" si="15"/>
        <v>159138.70317238942</v>
      </c>
      <c r="E149" s="151">
        <f t="shared" si="16"/>
        <v>251428.15564626627</v>
      </c>
      <c r="F149" s="151">
        <f t="shared" si="17"/>
        <v>21990329.890558023</v>
      </c>
      <c r="G149" s="131">
        <f t="shared" si="18"/>
        <v>1.1508958297115131</v>
      </c>
    </row>
    <row r="150" spans="1:7" x14ac:dyDescent="0.25">
      <c r="A150" s="149">
        <f t="shared" si="20"/>
        <v>132</v>
      </c>
      <c r="B150" s="151">
        <f t="shared" si="19"/>
        <v>21990329.890558023</v>
      </c>
      <c r="C150" s="151">
        <f t="shared" si="14"/>
        <v>91626.3745439919</v>
      </c>
      <c r="D150" s="151">
        <f t="shared" si="15"/>
        <v>159801.78110227437</v>
      </c>
      <c r="E150" s="151">
        <f t="shared" si="16"/>
        <v>251428.15564626627</v>
      </c>
      <c r="F150" s="151">
        <f t="shared" si="17"/>
        <v>21830528.109455749</v>
      </c>
      <c r="G150" s="131">
        <f t="shared" si="18"/>
        <v>1.1508958297115131</v>
      </c>
    </row>
  </sheetData>
  <pageMargins left="0.5" right="0.5" top="0.5" bottom="0.5" header="0.5" footer="0.5"/>
  <pageSetup scale="90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50"/>
  <sheetViews>
    <sheetView showGridLines="0" workbookViewId="0">
      <selection activeCell="C4" sqref="C4"/>
    </sheetView>
  </sheetViews>
  <sheetFormatPr defaultColWidth="9.33203125" defaultRowHeight="13.8" x14ac:dyDescent="0.25"/>
  <cols>
    <col min="1" max="1" width="12.6640625" style="134" customWidth="1"/>
    <col min="2" max="2" width="15" style="134" bestFit="1" customWidth="1"/>
    <col min="3" max="5" width="12.6640625" style="134" customWidth="1"/>
    <col min="6" max="6" width="15" style="134" bestFit="1" customWidth="1"/>
    <col min="7" max="9" width="12.6640625" style="134" customWidth="1"/>
    <col min="10" max="16384" width="9.33203125" style="134"/>
  </cols>
  <sheetData>
    <row r="1" spans="1:11" ht="14.4" thickBot="1" x14ac:dyDescent="0.3">
      <c r="A1" s="132" t="s">
        <v>103</v>
      </c>
      <c r="B1" s="133"/>
      <c r="C1" s="133"/>
      <c r="D1" s="133"/>
      <c r="E1" s="133"/>
      <c r="F1" s="133"/>
      <c r="G1" s="133"/>
      <c r="H1" s="133"/>
    </row>
    <row r="2" spans="1:11" x14ac:dyDescent="0.25">
      <c r="A2" s="135" t="s">
        <v>26</v>
      </c>
    </row>
    <row r="3" spans="1:11" x14ac:dyDescent="0.25">
      <c r="A3" s="136"/>
      <c r="E3" s="137"/>
    </row>
    <row r="4" spans="1:11" ht="15" customHeight="1" x14ac:dyDescent="0.25">
      <c r="A4" s="134" t="s">
        <v>27</v>
      </c>
      <c r="C4" s="138">
        <v>75541570</v>
      </c>
      <c r="D4" s="137"/>
    </row>
    <row r="5" spans="1:11" ht="15" customHeight="1" x14ac:dyDescent="0.25">
      <c r="A5" s="67"/>
      <c r="B5" s="67"/>
      <c r="C5" s="67"/>
      <c r="D5" s="139"/>
      <c r="E5" s="140"/>
      <c r="G5" s="141"/>
    </row>
    <row r="6" spans="1:11" ht="15" customHeight="1" x14ac:dyDescent="0.25">
      <c r="A6" s="134" t="s">
        <v>29</v>
      </c>
      <c r="C6" s="142">
        <v>0.05</v>
      </c>
      <c r="D6" s="139"/>
      <c r="E6" s="140"/>
      <c r="G6" s="80"/>
    </row>
    <row r="7" spans="1:11" ht="15" customHeight="1" x14ac:dyDescent="0.25">
      <c r="A7" s="136"/>
      <c r="D7" s="139"/>
      <c r="E7" s="140"/>
      <c r="G7" s="80"/>
    </row>
    <row r="8" spans="1:11" ht="15" customHeight="1" x14ac:dyDescent="0.25">
      <c r="A8" s="134" t="s">
        <v>30</v>
      </c>
      <c r="C8" s="143">
        <v>300</v>
      </c>
      <c r="D8" s="139"/>
      <c r="F8" s="140"/>
      <c r="G8" s="67"/>
    </row>
    <row r="9" spans="1:11" ht="15" customHeight="1" x14ac:dyDescent="0.25">
      <c r="A9" s="136"/>
      <c r="D9" s="137"/>
      <c r="E9" s="140"/>
      <c r="G9" s="67"/>
    </row>
    <row r="10" spans="1:11" ht="15" customHeight="1" x14ac:dyDescent="0.25">
      <c r="A10" s="140" t="s">
        <v>28</v>
      </c>
      <c r="C10" s="143">
        <v>733400</v>
      </c>
      <c r="D10" s="137"/>
      <c r="E10" s="140"/>
      <c r="G10" s="67"/>
      <c r="I10" s="144"/>
    </row>
    <row r="11" spans="1:11" ht="15" customHeight="1" x14ac:dyDescent="0.25">
      <c r="D11" s="137"/>
      <c r="E11" s="140"/>
      <c r="G11" s="67"/>
      <c r="K11" s="144"/>
    </row>
    <row r="12" spans="1:11" ht="15" customHeight="1" x14ac:dyDescent="0.25">
      <c r="A12" s="136"/>
      <c r="D12" s="137"/>
      <c r="F12" s="140"/>
    </row>
    <row r="13" spans="1:11" ht="15" customHeight="1" x14ac:dyDescent="0.25">
      <c r="B13" s="145" t="s">
        <v>31</v>
      </c>
      <c r="F13" s="145" t="s">
        <v>32</v>
      </c>
    </row>
    <row r="14" spans="1:11" ht="15" customHeight="1" x14ac:dyDescent="0.25">
      <c r="A14" s="145" t="s">
        <v>33</v>
      </c>
      <c r="B14" s="145" t="s">
        <v>34</v>
      </c>
      <c r="C14" s="146" t="s">
        <v>33</v>
      </c>
      <c r="D14" s="146"/>
      <c r="E14" s="147"/>
      <c r="F14" s="145" t="s">
        <v>34</v>
      </c>
    </row>
    <row r="15" spans="1:11" ht="15" customHeight="1" x14ac:dyDescent="0.25">
      <c r="A15" s="145"/>
      <c r="B15" s="145"/>
      <c r="C15" s="148" t="s">
        <v>35</v>
      </c>
      <c r="D15" s="148"/>
      <c r="E15" s="148"/>
      <c r="F15" s="145"/>
    </row>
    <row r="16" spans="1:11" ht="15" customHeight="1" x14ac:dyDescent="0.25">
      <c r="A16" s="145" t="s">
        <v>36</v>
      </c>
      <c r="B16" s="145" t="s">
        <v>37</v>
      </c>
      <c r="C16" s="145" t="s">
        <v>38</v>
      </c>
      <c r="D16" s="145" t="s">
        <v>34</v>
      </c>
      <c r="E16" s="145" t="s">
        <v>39</v>
      </c>
      <c r="F16" s="145" t="s">
        <v>37</v>
      </c>
      <c r="G16" s="145" t="s">
        <v>40</v>
      </c>
    </row>
    <row r="17" spans="1:13" ht="15" customHeight="1" x14ac:dyDescent="0.25">
      <c r="A17" s="148" t="s">
        <v>35</v>
      </c>
      <c r="B17" s="148" t="s">
        <v>35</v>
      </c>
      <c r="C17" s="148" t="s">
        <v>35</v>
      </c>
      <c r="D17" s="148" t="s">
        <v>35</v>
      </c>
      <c r="E17" s="148" t="s">
        <v>35</v>
      </c>
      <c r="F17" s="148" t="s">
        <v>35</v>
      </c>
      <c r="G17" s="148" t="s">
        <v>35</v>
      </c>
    </row>
    <row r="18" spans="1:13" ht="15" customHeight="1" x14ac:dyDescent="0.25">
      <c r="A18" s="148"/>
      <c r="B18" s="148"/>
      <c r="C18" s="148"/>
      <c r="D18" s="148"/>
      <c r="E18" s="148"/>
      <c r="F18" s="148"/>
    </row>
    <row r="19" spans="1:13" ht="15" customHeight="1" x14ac:dyDescent="0.25">
      <c r="A19" s="149">
        <v>1</v>
      </c>
      <c r="B19" s="150">
        <f>C4</f>
        <v>75541570</v>
      </c>
      <c r="C19" s="141">
        <f t="shared" ref="C19:C82" si="0">IF(ISERROR(IPMT(C$6/12,A19,$C$8,-$B$19,0)),0,IPMT(C$6/12,A19,$C$8,-$B$19,0))</f>
        <v>314756.54166666669</v>
      </c>
      <c r="D19" s="141">
        <f t="shared" ref="D19:D82" si="1">IF(ISERROR(PPMT($C$6/12,$A19,$C$8,-$B$19,0)),0,PPMT($C$6/12,$A19,$C$8,-$B$19,0))</f>
        <v>126851.95375211243</v>
      </c>
      <c r="E19" s="141">
        <f t="shared" ref="E19:E82" si="2">+C19+D19</f>
        <v>441608.49541877909</v>
      </c>
      <c r="F19" s="141">
        <f t="shared" ref="F19:F82" si="3">+B19-D19</f>
        <v>75414718.046247885</v>
      </c>
      <c r="G19" s="141">
        <f t="shared" ref="G19:G82" si="4">E19/$C$10</f>
        <v>0.60213866296533824</v>
      </c>
    </row>
    <row r="20" spans="1:13" ht="15" customHeight="1" x14ac:dyDescent="0.25">
      <c r="A20" s="149">
        <f>A19+1</f>
        <v>2</v>
      </c>
      <c r="B20" s="151">
        <f t="shared" ref="B20:B83" si="5">+F19</f>
        <v>75414718.046247885</v>
      </c>
      <c r="C20" s="151">
        <f t="shared" si="0"/>
        <v>314227.99185936624</v>
      </c>
      <c r="D20" s="151">
        <f t="shared" si="1"/>
        <v>127380.5035594129</v>
      </c>
      <c r="E20" s="151">
        <f t="shared" si="2"/>
        <v>441608.49541877914</v>
      </c>
      <c r="F20" s="151">
        <f t="shared" si="3"/>
        <v>75287337.542688474</v>
      </c>
      <c r="G20" s="131">
        <f t="shared" si="4"/>
        <v>0.60213866296533836</v>
      </c>
    </row>
    <row r="21" spans="1:13" ht="15" customHeight="1" x14ac:dyDescent="0.25">
      <c r="A21" s="149">
        <f t="shared" ref="A21:A84" si="6">A20+1</f>
        <v>3</v>
      </c>
      <c r="B21" s="151">
        <f t="shared" si="5"/>
        <v>75287337.542688474</v>
      </c>
      <c r="C21" s="151">
        <f t="shared" si="0"/>
        <v>313697.23976120196</v>
      </c>
      <c r="D21" s="151">
        <f t="shared" si="1"/>
        <v>127911.25565757712</v>
      </c>
      <c r="E21" s="151">
        <f t="shared" si="2"/>
        <v>441608.49541877909</v>
      </c>
      <c r="F21" s="151">
        <f t="shared" si="3"/>
        <v>75159426.287030891</v>
      </c>
      <c r="G21" s="131">
        <f t="shared" si="4"/>
        <v>0.60213866296533824</v>
      </c>
    </row>
    <row r="22" spans="1:13" x14ac:dyDescent="0.25">
      <c r="A22" s="149">
        <f t="shared" si="6"/>
        <v>4</v>
      </c>
      <c r="B22" s="151">
        <f t="shared" si="5"/>
        <v>75159426.287030891</v>
      </c>
      <c r="C22" s="151">
        <f t="shared" si="0"/>
        <v>313164.2761959621</v>
      </c>
      <c r="D22" s="151">
        <f t="shared" si="1"/>
        <v>128444.219222817</v>
      </c>
      <c r="E22" s="151">
        <f t="shared" si="2"/>
        <v>441608.49541877909</v>
      </c>
      <c r="F22" s="151">
        <f t="shared" si="3"/>
        <v>75030982.067808077</v>
      </c>
      <c r="G22" s="131">
        <f t="shared" si="4"/>
        <v>0.60213866296533824</v>
      </c>
      <c r="M22" s="144"/>
    </row>
    <row r="23" spans="1:13" x14ac:dyDescent="0.25">
      <c r="A23" s="149">
        <f t="shared" si="6"/>
        <v>5</v>
      </c>
      <c r="B23" s="151">
        <f t="shared" si="5"/>
        <v>75030982.067808077</v>
      </c>
      <c r="C23" s="151">
        <f t="shared" si="0"/>
        <v>312629.09194920037</v>
      </c>
      <c r="D23" s="151">
        <f t="shared" si="1"/>
        <v>128979.40346957876</v>
      </c>
      <c r="E23" s="151">
        <f t="shared" si="2"/>
        <v>441608.49541877914</v>
      </c>
      <c r="F23" s="151">
        <f t="shared" si="3"/>
        <v>74902002.664338499</v>
      </c>
      <c r="G23" s="131">
        <f t="shared" si="4"/>
        <v>0.60213866296533836</v>
      </c>
    </row>
    <row r="24" spans="1:13" x14ac:dyDescent="0.25">
      <c r="A24" s="149">
        <f t="shared" si="6"/>
        <v>6</v>
      </c>
      <c r="B24" s="151">
        <f t="shared" si="5"/>
        <v>74902002.664338499</v>
      </c>
      <c r="C24" s="151">
        <f t="shared" si="0"/>
        <v>312091.67776807712</v>
      </c>
      <c r="D24" s="151">
        <f t="shared" si="1"/>
        <v>129516.81765070201</v>
      </c>
      <c r="E24" s="151">
        <f t="shared" si="2"/>
        <v>441608.49541877914</v>
      </c>
      <c r="F24" s="151">
        <f t="shared" si="3"/>
        <v>74772485.846687794</v>
      </c>
      <c r="G24" s="131">
        <f t="shared" si="4"/>
        <v>0.60213866296533836</v>
      </c>
    </row>
    <row r="25" spans="1:13" x14ac:dyDescent="0.25">
      <c r="A25" s="149">
        <f t="shared" si="6"/>
        <v>7</v>
      </c>
      <c r="B25" s="151">
        <f t="shared" si="5"/>
        <v>74772485.846687794</v>
      </c>
      <c r="C25" s="151">
        <f t="shared" si="0"/>
        <v>311552.02436119912</v>
      </c>
      <c r="D25" s="151">
        <f t="shared" si="1"/>
        <v>130056.47105757995</v>
      </c>
      <c r="E25" s="151">
        <f t="shared" si="2"/>
        <v>441608.49541877909</v>
      </c>
      <c r="F25" s="151">
        <f t="shared" si="3"/>
        <v>74642429.375630215</v>
      </c>
      <c r="G25" s="131">
        <f t="shared" si="4"/>
        <v>0.60213866296533824</v>
      </c>
    </row>
    <row r="26" spans="1:13" x14ac:dyDescent="0.25">
      <c r="A26" s="149">
        <f t="shared" si="6"/>
        <v>8</v>
      </c>
      <c r="B26" s="151">
        <f t="shared" si="5"/>
        <v>74642429.375630215</v>
      </c>
      <c r="C26" s="151">
        <f t="shared" si="0"/>
        <v>311010.12239845929</v>
      </c>
      <c r="D26" s="151">
        <f t="shared" si="1"/>
        <v>130598.37302031984</v>
      </c>
      <c r="E26" s="151">
        <f t="shared" si="2"/>
        <v>441608.49541877914</v>
      </c>
      <c r="F26" s="151">
        <f t="shared" si="3"/>
        <v>74511831.002609894</v>
      </c>
      <c r="G26" s="131">
        <f t="shared" si="4"/>
        <v>0.60213866296533836</v>
      </c>
    </row>
    <row r="27" spans="1:13" x14ac:dyDescent="0.25">
      <c r="A27" s="149">
        <f t="shared" si="6"/>
        <v>9</v>
      </c>
      <c r="B27" s="151">
        <f t="shared" si="5"/>
        <v>74511831.002609894</v>
      </c>
      <c r="C27" s="151">
        <f t="shared" si="0"/>
        <v>310465.96251087455</v>
      </c>
      <c r="D27" s="151">
        <f t="shared" si="1"/>
        <v>131142.53290790453</v>
      </c>
      <c r="E27" s="151">
        <f t="shared" si="2"/>
        <v>441608.49541877909</v>
      </c>
      <c r="F27" s="151">
        <f t="shared" si="3"/>
        <v>74380688.46970199</v>
      </c>
      <c r="G27" s="131">
        <f t="shared" si="4"/>
        <v>0.60213866296533824</v>
      </c>
    </row>
    <row r="28" spans="1:13" x14ac:dyDescent="0.25">
      <c r="A28" s="149">
        <f t="shared" si="6"/>
        <v>10</v>
      </c>
      <c r="B28" s="151">
        <f t="shared" si="5"/>
        <v>74380688.46970199</v>
      </c>
      <c r="C28" s="151">
        <f t="shared" si="0"/>
        <v>309919.535290425</v>
      </c>
      <c r="D28" s="151">
        <f t="shared" si="1"/>
        <v>131688.96012835411</v>
      </c>
      <c r="E28" s="151">
        <f t="shared" si="2"/>
        <v>441608.49541877909</v>
      </c>
      <c r="F28" s="151">
        <f t="shared" si="3"/>
        <v>74248999.509573638</v>
      </c>
      <c r="G28" s="131">
        <f t="shared" si="4"/>
        <v>0.60213866296533824</v>
      </c>
    </row>
    <row r="29" spans="1:13" x14ac:dyDescent="0.25">
      <c r="A29" s="149">
        <f t="shared" si="6"/>
        <v>11</v>
      </c>
      <c r="B29" s="151">
        <f t="shared" si="5"/>
        <v>74248999.509573638</v>
      </c>
      <c r="C29" s="151">
        <f t="shared" si="0"/>
        <v>309370.83128989016</v>
      </c>
      <c r="D29" s="151">
        <f t="shared" si="1"/>
        <v>132237.66412888892</v>
      </c>
      <c r="E29" s="151">
        <f t="shared" si="2"/>
        <v>441608.49541877909</v>
      </c>
      <c r="F29" s="151">
        <f t="shared" si="3"/>
        <v>74116761.845444754</v>
      </c>
      <c r="G29" s="131">
        <f t="shared" si="4"/>
        <v>0.60213866296533824</v>
      </c>
    </row>
    <row r="30" spans="1:13" x14ac:dyDescent="0.25">
      <c r="A30" s="149">
        <f t="shared" si="6"/>
        <v>12</v>
      </c>
      <c r="B30" s="151">
        <f t="shared" si="5"/>
        <v>74116761.845444754</v>
      </c>
      <c r="C30" s="151">
        <f t="shared" si="0"/>
        <v>308819.84102268645</v>
      </c>
      <c r="D30" s="151">
        <f t="shared" si="1"/>
        <v>132788.65439609261</v>
      </c>
      <c r="E30" s="151">
        <f t="shared" si="2"/>
        <v>441608.49541877909</v>
      </c>
      <c r="F30" s="151">
        <f t="shared" si="3"/>
        <v>73983973.191048667</v>
      </c>
      <c r="G30" s="131">
        <f t="shared" si="4"/>
        <v>0.60213866296533824</v>
      </c>
    </row>
    <row r="31" spans="1:13" x14ac:dyDescent="0.25">
      <c r="A31" s="149">
        <f t="shared" si="6"/>
        <v>13</v>
      </c>
      <c r="B31" s="151">
        <f t="shared" si="5"/>
        <v>73983973.191048667</v>
      </c>
      <c r="C31" s="151">
        <f t="shared" si="0"/>
        <v>308266.55496270279</v>
      </c>
      <c r="D31" s="151">
        <f t="shared" si="1"/>
        <v>133341.94045607635</v>
      </c>
      <c r="E31" s="151">
        <f t="shared" si="2"/>
        <v>441608.49541877914</v>
      </c>
      <c r="F31" s="151">
        <f t="shared" si="3"/>
        <v>73850631.250592589</v>
      </c>
      <c r="G31" s="131">
        <f t="shared" si="4"/>
        <v>0.60213866296533836</v>
      </c>
    </row>
    <row r="32" spans="1:13" x14ac:dyDescent="0.25">
      <c r="A32" s="149">
        <f t="shared" si="6"/>
        <v>14</v>
      </c>
      <c r="B32" s="151">
        <f t="shared" si="5"/>
        <v>73850631.250592589</v>
      </c>
      <c r="C32" s="151">
        <f t="shared" si="0"/>
        <v>307710.9635441358</v>
      </c>
      <c r="D32" s="151">
        <f t="shared" si="1"/>
        <v>133897.53187464332</v>
      </c>
      <c r="E32" s="151">
        <f t="shared" si="2"/>
        <v>441608.49541877909</v>
      </c>
      <c r="F32" s="151">
        <f t="shared" si="3"/>
        <v>73716733.718717948</v>
      </c>
      <c r="G32" s="131">
        <f t="shared" si="4"/>
        <v>0.60213866296533824</v>
      </c>
    </row>
    <row r="33" spans="1:7" x14ac:dyDescent="0.25">
      <c r="A33" s="149">
        <f t="shared" si="6"/>
        <v>15</v>
      </c>
      <c r="B33" s="151">
        <f t="shared" si="5"/>
        <v>73716733.718717948</v>
      </c>
      <c r="C33" s="151">
        <f t="shared" si="0"/>
        <v>307153.05716132472</v>
      </c>
      <c r="D33" s="151">
        <f t="shared" si="1"/>
        <v>134455.43825745434</v>
      </c>
      <c r="E33" s="151">
        <f t="shared" si="2"/>
        <v>441608.49541877909</v>
      </c>
      <c r="F33" s="151">
        <f t="shared" si="3"/>
        <v>73582278.280460492</v>
      </c>
      <c r="G33" s="131">
        <f t="shared" si="4"/>
        <v>0.60213866296533824</v>
      </c>
    </row>
    <row r="34" spans="1:7" x14ac:dyDescent="0.25">
      <c r="A34" s="149">
        <f t="shared" si="6"/>
        <v>16</v>
      </c>
      <c r="B34" s="151">
        <f t="shared" si="5"/>
        <v>73582278.280460492</v>
      </c>
      <c r="C34" s="151">
        <f t="shared" si="0"/>
        <v>306592.82616858539</v>
      </c>
      <c r="D34" s="151">
        <f t="shared" si="1"/>
        <v>135015.66925019372</v>
      </c>
      <c r="E34" s="151">
        <f t="shared" si="2"/>
        <v>441608.49541877909</v>
      </c>
      <c r="F34" s="151">
        <f t="shared" si="3"/>
        <v>73447262.611210302</v>
      </c>
      <c r="G34" s="131">
        <f t="shared" si="4"/>
        <v>0.60213866296533824</v>
      </c>
    </row>
    <row r="35" spans="1:7" x14ac:dyDescent="0.25">
      <c r="A35" s="149">
        <f t="shared" si="6"/>
        <v>17</v>
      </c>
      <c r="B35" s="151">
        <f t="shared" si="5"/>
        <v>73447262.611210302</v>
      </c>
      <c r="C35" s="151">
        <f t="shared" si="0"/>
        <v>306030.26088004286</v>
      </c>
      <c r="D35" s="151">
        <f t="shared" si="1"/>
        <v>135578.2345387362</v>
      </c>
      <c r="E35" s="151">
        <f t="shared" si="2"/>
        <v>441608.49541877909</v>
      </c>
      <c r="F35" s="151">
        <f t="shared" si="3"/>
        <v>73311684.376671568</v>
      </c>
      <c r="G35" s="131">
        <f t="shared" si="4"/>
        <v>0.60213866296533824</v>
      </c>
    </row>
    <row r="36" spans="1:7" x14ac:dyDescent="0.25">
      <c r="A36" s="149">
        <f t="shared" si="6"/>
        <v>18</v>
      </c>
      <c r="B36" s="151">
        <f t="shared" si="5"/>
        <v>73311684.376671568</v>
      </c>
      <c r="C36" s="151">
        <f t="shared" si="0"/>
        <v>305465.35156946484</v>
      </c>
      <c r="D36" s="151">
        <f t="shared" si="1"/>
        <v>136143.14384931428</v>
      </c>
      <c r="E36" s="151">
        <f t="shared" si="2"/>
        <v>441608.49541877909</v>
      </c>
      <c r="F36" s="151">
        <f t="shared" si="3"/>
        <v>73175541.232822254</v>
      </c>
      <c r="G36" s="131">
        <f t="shared" si="4"/>
        <v>0.60213866296533824</v>
      </c>
    </row>
    <row r="37" spans="1:7" x14ac:dyDescent="0.25">
      <c r="A37" s="149">
        <f t="shared" si="6"/>
        <v>19</v>
      </c>
      <c r="B37" s="151">
        <f t="shared" si="5"/>
        <v>73175541.232822254</v>
      </c>
      <c r="C37" s="151">
        <f t="shared" si="0"/>
        <v>304898.08847009274</v>
      </c>
      <c r="D37" s="151">
        <f t="shared" si="1"/>
        <v>136710.40694868643</v>
      </c>
      <c r="E37" s="151">
        <f t="shared" si="2"/>
        <v>441608.4954187792</v>
      </c>
      <c r="F37" s="151">
        <f t="shared" si="3"/>
        <v>73038830.825873569</v>
      </c>
      <c r="G37" s="131">
        <f t="shared" si="4"/>
        <v>0.60213866296533847</v>
      </c>
    </row>
    <row r="38" spans="1:7" x14ac:dyDescent="0.25">
      <c r="A38" s="149">
        <f t="shared" si="6"/>
        <v>20</v>
      </c>
      <c r="B38" s="151">
        <f t="shared" si="5"/>
        <v>73038830.825873569</v>
      </c>
      <c r="C38" s="151">
        <f t="shared" si="0"/>
        <v>304328.46177447314</v>
      </c>
      <c r="D38" s="151">
        <f t="shared" si="1"/>
        <v>137280.03364430595</v>
      </c>
      <c r="E38" s="151">
        <f t="shared" si="2"/>
        <v>441608.49541877909</v>
      </c>
      <c r="F38" s="151">
        <f t="shared" si="3"/>
        <v>72901550.792229265</v>
      </c>
      <c r="G38" s="131">
        <f t="shared" si="4"/>
        <v>0.60213866296533824</v>
      </c>
    </row>
    <row r="39" spans="1:7" x14ac:dyDescent="0.25">
      <c r="A39" s="149">
        <f t="shared" si="6"/>
        <v>21</v>
      </c>
      <c r="B39" s="151">
        <f t="shared" si="5"/>
        <v>72901550.792229265</v>
      </c>
      <c r="C39" s="151">
        <f t="shared" si="0"/>
        <v>303756.46163428854</v>
      </c>
      <c r="D39" s="151">
        <f t="shared" si="1"/>
        <v>137852.03378449054</v>
      </c>
      <c r="E39" s="151">
        <f t="shared" si="2"/>
        <v>441608.49541877909</v>
      </c>
      <c r="F39" s="151">
        <f t="shared" si="3"/>
        <v>72763698.758444771</v>
      </c>
      <c r="G39" s="131">
        <f t="shared" si="4"/>
        <v>0.60213866296533824</v>
      </c>
    </row>
    <row r="40" spans="1:7" x14ac:dyDescent="0.25">
      <c r="A40" s="149">
        <f t="shared" si="6"/>
        <v>22</v>
      </c>
      <c r="B40" s="151">
        <f t="shared" si="5"/>
        <v>72763698.758444771</v>
      </c>
      <c r="C40" s="151">
        <f t="shared" si="0"/>
        <v>303182.07816018647</v>
      </c>
      <c r="D40" s="151">
        <f t="shared" si="1"/>
        <v>138426.41725859261</v>
      </c>
      <c r="E40" s="151">
        <f t="shared" si="2"/>
        <v>441608.49541877909</v>
      </c>
      <c r="F40" s="151">
        <f t="shared" si="3"/>
        <v>72625272.341186181</v>
      </c>
      <c r="G40" s="131">
        <f t="shared" si="4"/>
        <v>0.60213866296533824</v>
      </c>
    </row>
    <row r="41" spans="1:7" x14ac:dyDescent="0.25">
      <c r="A41" s="149">
        <f t="shared" si="6"/>
        <v>23</v>
      </c>
      <c r="B41" s="151">
        <f t="shared" si="5"/>
        <v>72625272.341186181</v>
      </c>
      <c r="C41" s="151">
        <f t="shared" si="0"/>
        <v>302605.30142160907</v>
      </c>
      <c r="D41" s="151">
        <f t="shared" si="1"/>
        <v>139003.19399717008</v>
      </c>
      <c r="E41" s="151">
        <f t="shared" si="2"/>
        <v>441608.49541877914</v>
      </c>
      <c r="F41" s="151">
        <f t="shared" si="3"/>
        <v>72486269.147189006</v>
      </c>
      <c r="G41" s="131">
        <f t="shared" si="4"/>
        <v>0.60213866296533836</v>
      </c>
    </row>
    <row r="42" spans="1:7" x14ac:dyDescent="0.25">
      <c r="A42" s="149">
        <f t="shared" si="6"/>
        <v>24</v>
      </c>
      <c r="B42" s="151">
        <f t="shared" si="5"/>
        <v>72486269.147189006</v>
      </c>
      <c r="C42" s="151">
        <f t="shared" si="0"/>
        <v>302026.12144662079</v>
      </c>
      <c r="D42" s="151">
        <f t="shared" si="1"/>
        <v>139582.3739721583</v>
      </c>
      <c r="E42" s="151">
        <f t="shared" si="2"/>
        <v>441608.49541877909</v>
      </c>
      <c r="F42" s="151">
        <f t="shared" si="3"/>
        <v>72346686.773216844</v>
      </c>
      <c r="G42" s="131">
        <f t="shared" si="4"/>
        <v>0.60213866296533824</v>
      </c>
    </row>
    <row r="43" spans="1:7" x14ac:dyDescent="0.25">
      <c r="A43" s="149">
        <f t="shared" si="6"/>
        <v>25</v>
      </c>
      <c r="B43" s="151">
        <f t="shared" si="5"/>
        <v>72346686.773216844</v>
      </c>
      <c r="C43" s="151">
        <f t="shared" si="0"/>
        <v>301444.52822173684</v>
      </c>
      <c r="D43" s="151">
        <f t="shared" si="1"/>
        <v>140163.96719704228</v>
      </c>
      <c r="E43" s="151">
        <f t="shared" si="2"/>
        <v>441608.49541877909</v>
      </c>
      <c r="F43" s="151">
        <f t="shared" si="3"/>
        <v>72206522.806019798</v>
      </c>
      <c r="G43" s="131">
        <f t="shared" si="4"/>
        <v>0.60213866296533824</v>
      </c>
    </row>
    <row r="44" spans="1:7" x14ac:dyDescent="0.25">
      <c r="A44" s="149">
        <f t="shared" si="6"/>
        <v>26</v>
      </c>
      <c r="B44" s="151">
        <f t="shared" si="5"/>
        <v>72206522.806019798</v>
      </c>
      <c r="C44" s="151">
        <f t="shared" si="0"/>
        <v>300860.51169174921</v>
      </c>
      <c r="D44" s="151">
        <f t="shared" si="1"/>
        <v>140747.98372702996</v>
      </c>
      <c r="E44" s="151">
        <f t="shared" si="2"/>
        <v>441608.4954187792</v>
      </c>
      <c r="F44" s="151">
        <f t="shared" si="3"/>
        <v>72065774.822292775</v>
      </c>
      <c r="G44" s="131">
        <f t="shared" si="4"/>
        <v>0.60213866296533847</v>
      </c>
    </row>
    <row r="45" spans="1:7" x14ac:dyDescent="0.25">
      <c r="A45" s="149">
        <f t="shared" si="6"/>
        <v>27</v>
      </c>
      <c r="B45" s="151">
        <f t="shared" si="5"/>
        <v>72065774.822292775</v>
      </c>
      <c r="C45" s="151">
        <f t="shared" si="0"/>
        <v>300274.06175955315</v>
      </c>
      <c r="D45" s="151">
        <f t="shared" si="1"/>
        <v>141334.43365922588</v>
      </c>
      <c r="E45" s="151">
        <f t="shared" si="2"/>
        <v>441608.49541877903</v>
      </c>
      <c r="F45" s="151">
        <f t="shared" si="3"/>
        <v>71924440.388633549</v>
      </c>
      <c r="G45" s="131">
        <f t="shared" si="4"/>
        <v>0.60213866296533813</v>
      </c>
    </row>
    <row r="46" spans="1:7" x14ac:dyDescent="0.25">
      <c r="A46" s="149">
        <f t="shared" si="6"/>
        <v>28</v>
      </c>
      <c r="B46" s="151">
        <f t="shared" si="5"/>
        <v>71924440.388633549</v>
      </c>
      <c r="C46" s="151">
        <f t="shared" si="0"/>
        <v>299685.16828597314</v>
      </c>
      <c r="D46" s="151">
        <f t="shared" si="1"/>
        <v>141923.32713280604</v>
      </c>
      <c r="E46" s="151">
        <f t="shared" si="2"/>
        <v>441608.4954187792</v>
      </c>
      <c r="F46" s="151">
        <f t="shared" si="3"/>
        <v>71782517.061500743</v>
      </c>
      <c r="G46" s="131">
        <f t="shared" si="4"/>
        <v>0.60213866296533847</v>
      </c>
    </row>
    <row r="47" spans="1:7" x14ac:dyDescent="0.25">
      <c r="A47" s="149">
        <f t="shared" si="6"/>
        <v>29</v>
      </c>
      <c r="B47" s="151">
        <f t="shared" si="5"/>
        <v>71782517.061500743</v>
      </c>
      <c r="C47" s="151">
        <f t="shared" si="0"/>
        <v>299093.82108958642</v>
      </c>
      <c r="D47" s="151">
        <f t="shared" si="1"/>
        <v>142514.6743291927</v>
      </c>
      <c r="E47" s="151">
        <f t="shared" si="2"/>
        <v>441608.49541877909</v>
      </c>
      <c r="F47" s="151">
        <f t="shared" si="3"/>
        <v>71640002.387171552</v>
      </c>
      <c r="G47" s="131">
        <f t="shared" si="4"/>
        <v>0.60213866296533824</v>
      </c>
    </row>
    <row r="48" spans="1:7" x14ac:dyDescent="0.25">
      <c r="A48" s="149">
        <f t="shared" si="6"/>
        <v>30</v>
      </c>
      <c r="B48" s="151">
        <f t="shared" si="5"/>
        <v>71640002.387171552</v>
      </c>
      <c r="C48" s="151">
        <f t="shared" si="0"/>
        <v>298500.00994654815</v>
      </c>
      <c r="D48" s="151">
        <f t="shared" si="1"/>
        <v>143108.48547223103</v>
      </c>
      <c r="E48" s="151">
        <f t="shared" si="2"/>
        <v>441608.4954187792</v>
      </c>
      <c r="F48" s="151">
        <f t="shared" si="3"/>
        <v>71496893.901699319</v>
      </c>
      <c r="G48" s="131">
        <f t="shared" si="4"/>
        <v>0.60213866296533847</v>
      </c>
    </row>
    <row r="49" spans="1:7" x14ac:dyDescent="0.25">
      <c r="A49" s="149">
        <f t="shared" si="6"/>
        <v>31</v>
      </c>
      <c r="B49" s="151">
        <f t="shared" si="5"/>
        <v>71496893.901699319</v>
      </c>
      <c r="C49" s="151">
        <f t="shared" si="0"/>
        <v>297903.72459041385</v>
      </c>
      <c r="D49" s="151">
        <f t="shared" si="1"/>
        <v>143704.77082836529</v>
      </c>
      <c r="E49" s="151">
        <f t="shared" si="2"/>
        <v>441608.49541877914</v>
      </c>
      <c r="F49" s="151">
        <f t="shared" si="3"/>
        <v>71353189.130870953</v>
      </c>
      <c r="G49" s="131">
        <f t="shared" si="4"/>
        <v>0.60213866296533836</v>
      </c>
    </row>
    <row r="50" spans="1:7" x14ac:dyDescent="0.25">
      <c r="A50" s="149">
        <f t="shared" si="6"/>
        <v>32</v>
      </c>
      <c r="B50" s="151">
        <f t="shared" si="5"/>
        <v>71353189.130870953</v>
      </c>
      <c r="C50" s="151">
        <f t="shared" si="0"/>
        <v>297304.95471196232</v>
      </c>
      <c r="D50" s="151">
        <f t="shared" si="1"/>
        <v>144303.54070681683</v>
      </c>
      <c r="E50" s="151">
        <f t="shared" si="2"/>
        <v>441608.49541877914</v>
      </c>
      <c r="F50" s="151">
        <f t="shared" si="3"/>
        <v>71208885.59016414</v>
      </c>
      <c r="G50" s="131">
        <f t="shared" si="4"/>
        <v>0.60213866296533836</v>
      </c>
    </row>
    <row r="51" spans="1:7" x14ac:dyDescent="0.25">
      <c r="A51" s="149">
        <f t="shared" si="6"/>
        <v>33</v>
      </c>
      <c r="B51" s="151">
        <f t="shared" si="5"/>
        <v>71208885.59016414</v>
      </c>
      <c r="C51" s="151">
        <f t="shared" si="0"/>
        <v>296703.68995901727</v>
      </c>
      <c r="D51" s="151">
        <f t="shared" si="1"/>
        <v>144904.8054597619</v>
      </c>
      <c r="E51" s="151">
        <f t="shared" si="2"/>
        <v>441608.4954187792</v>
      </c>
      <c r="F51" s="151">
        <f t="shared" si="3"/>
        <v>71063980.784704372</v>
      </c>
      <c r="G51" s="131">
        <f t="shared" si="4"/>
        <v>0.60213866296533847</v>
      </c>
    </row>
    <row r="52" spans="1:7" x14ac:dyDescent="0.25">
      <c r="A52" s="149">
        <f t="shared" si="6"/>
        <v>34</v>
      </c>
      <c r="B52" s="151">
        <f t="shared" si="5"/>
        <v>71063980.784704372</v>
      </c>
      <c r="C52" s="151">
        <f t="shared" si="0"/>
        <v>296099.91993626812</v>
      </c>
      <c r="D52" s="151">
        <f t="shared" si="1"/>
        <v>145508.5754825109</v>
      </c>
      <c r="E52" s="151">
        <f t="shared" si="2"/>
        <v>441608.49541877903</v>
      </c>
      <c r="F52" s="151">
        <f t="shared" si="3"/>
        <v>70918472.209221855</v>
      </c>
      <c r="G52" s="131">
        <f t="shared" si="4"/>
        <v>0.60213866296533813</v>
      </c>
    </row>
    <row r="53" spans="1:7" x14ac:dyDescent="0.25">
      <c r="A53" s="149">
        <f t="shared" si="6"/>
        <v>35</v>
      </c>
      <c r="B53" s="151">
        <f t="shared" si="5"/>
        <v>70918472.209221855</v>
      </c>
      <c r="C53" s="151">
        <f t="shared" si="0"/>
        <v>295493.63420509105</v>
      </c>
      <c r="D53" s="151">
        <f t="shared" si="1"/>
        <v>146114.86121368804</v>
      </c>
      <c r="E53" s="151">
        <f t="shared" si="2"/>
        <v>441608.49541877909</v>
      </c>
      <c r="F53" s="151">
        <f t="shared" si="3"/>
        <v>70772357.348008171</v>
      </c>
      <c r="G53" s="131">
        <f t="shared" si="4"/>
        <v>0.60213866296533824</v>
      </c>
    </row>
    <row r="54" spans="1:7" x14ac:dyDescent="0.25">
      <c r="A54" s="149">
        <f t="shared" si="6"/>
        <v>36</v>
      </c>
      <c r="B54" s="151">
        <f t="shared" si="5"/>
        <v>70772357.348008171</v>
      </c>
      <c r="C54" s="151">
        <f t="shared" si="0"/>
        <v>294884.82228336739</v>
      </c>
      <c r="D54" s="151">
        <f t="shared" si="1"/>
        <v>146723.67313541169</v>
      </c>
      <c r="E54" s="151">
        <f t="shared" si="2"/>
        <v>441608.49541877909</v>
      </c>
      <c r="F54" s="151">
        <f t="shared" si="3"/>
        <v>70625633.674872756</v>
      </c>
      <c r="G54" s="131">
        <f t="shared" si="4"/>
        <v>0.60213866296533824</v>
      </c>
    </row>
    <row r="55" spans="1:7" x14ac:dyDescent="0.25">
      <c r="A55" s="149">
        <f t="shared" si="6"/>
        <v>37</v>
      </c>
      <c r="B55" s="151">
        <f t="shared" si="5"/>
        <v>70625633.674872756</v>
      </c>
      <c r="C55" s="151">
        <f t="shared" si="0"/>
        <v>294273.47364530322</v>
      </c>
      <c r="D55" s="151">
        <f t="shared" si="1"/>
        <v>147335.02177347598</v>
      </c>
      <c r="E55" s="151">
        <f t="shared" si="2"/>
        <v>441608.4954187792</v>
      </c>
      <c r="F55" s="151">
        <f t="shared" si="3"/>
        <v>70478298.653099284</v>
      </c>
      <c r="G55" s="131">
        <f t="shared" si="4"/>
        <v>0.60213866296533847</v>
      </c>
    </row>
    <row r="56" spans="1:7" x14ac:dyDescent="0.25">
      <c r="A56" s="149">
        <f t="shared" si="6"/>
        <v>38</v>
      </c>
      <c r="B56" s="151">
        <f t="shared" si="5"/>
        <v>70478298.653099284</v>
      </c>
      <c r="C56" s="151">
        <f t="shared" si="0"/>
        <v>293659.5777212471</v>
      </c>
      <c r="D56" s="151">
        <f t="shared" si="1"/>
        <v>147948.91769753207</v>
      </c>
      <c r="E56" s="151">
        <f t="shared" si="2"/>
        <v>441608.4954187792</v>
      </c>
      <c r="F56" s="151">
        <f t="shared" si="3"/>
        <v>70330349.73540175</v>
      </c>
      <c r="G56" s="131">
        <f t="shared" si="4"/>
        <v>0.60213866296533847</v>
      </c>
    </row>
    <row r="57" spans="1:7" x14ac:dyDescent="0.25">
      <c r="A57" s="149">
        <f t="shared" si="6"/>
        <v>39</v>
      </c>
      <c r="B57" s="151">
        <f t="shared" si="5"/>
        <v>70330349.73540175</v>
      </c>
      <c r="C57" s="151">
        <f t="shared" si="0"/>
        <v>293043.12389750726</v>
      </c>
      <c r="D57" s="151">
        <f t="shared" si="1"/>
        <v>148565.37152127182</v>
      </c>
      <c r="E57" s="151">
        <f t="shared" si="2"/>
        <v>441608.49541877909</v>
      </c>
      <c r="F57" s="151">
        <f t="shared" si="3"/>
        <v>70181784.36388047</v>
      </c>
      <c r="G57" s="131">
        <f t="shared" si="4"/>
        <v>0.60213866296533824</v>
      </c>
    </row>
    <row r="58" spans="1:7" x14ac:dyDescent="0.25">
      <c r="A58" s="149">
        <f t="shared" si="6"/>
        <v>40</v>
      </c>
      <c r="B58" s="151">
        <f t="shared" si="5"/>
        <v>70181784.36388047</v>
      </c>
      <c r="C58" s="151">
        <f t="shared" si="0"/>
        <v>292424.10151616868</v>
      </c>
      <c r="D58" s="151">
        <f t="shared" si="1"/>
        <v>149184.39390261043</v>
      </c>
      <c r="E58" s="151">
        <f t="shared" si="2"/>
        <v>441608.49541877909</v>
      </c>
      <c r="F58" s="151">
        <f t="shared" si="3"/>
        <v>70032599.969977856</v>
      </c>
      <c r="G58" s="131">
        <f t="shared" si="4"/>
        <v>0.60213866296533824</v>
      </c>
    </row>
    <row r="59" spans="1:7" x14ac:dyDescent="0.25">
      <c r="A59" s="149">
        <f t="shared" si="6"/>
        <v>41</v>
      </c>
      <c r="B59" s="151">
        <f t="shared" si="5"/>
        <v>70032599.969977856</v>
      </c>
      <c r="C59" s="151">
        <f t="shared" si="0"/>
        <v>291802.49987490778</v>
      </c>
      <c r="D59" s="151">
        <f t="shared" si="1"/>
        <v>149805.99554387131</v>
      </c>
      <c r="E59" s="151">
        <f t="shared" si="2"/>
        <v>441608.49541877909</v>
      </c>
      <c r="F59" s="151">
        <f t="shared" si="3"/>
        <v>69882793.974433988</v>
      </c>
      <c r="G59" s="131">
        <f t="shared" si="4"/>
        <v>0.60213866296533824</v>
      </c>
    </row>
    <row r="60" spans="1:7" x14ac:dyDescent="0.25">
      <c r="A60" s="149">
        <f t="shared" si="6"/>
        <v>42</v>
      </c>
      <c r="B60" s="151">
        <f t="shared" si="5"/>
        <v>69882793.974433988</v>
      </c>
      <c r="C60" s="151">
        <f t="shared" si="0"/>
        <v>291178.30822680832</v>
      </c>
      <c r="D60" s="151">
        <f t="shared" si="1"/>
        <v>150430.18719197076</v>
      </c>
      <c r="E60" s="151">
        <f t="shared" si="2"/>
        <v>441608.49541877909</v>
      </c>
      <c r="F60" s="151">
        <f t="shared" si="3"/>
        <v>69732363.78724201</v>
      </c>
      <c r="G60" s="131">
        <f t="shared" si="4"/>
        <v>0.60213866296533824</v>
      </c>
    </row>
    <row r="61" spans="1:7" x14ac:dyDescent="0.25">
      <c r="A61" s="149">
        <f t="shared" si="6"/>
        <v>43</v>
      </c>
      <c r="B61" s="151">
        <f t="shared" si="5"/>
        <v>69732363.78724201</v>
      </c>
      <c r="C61" s="151">
        <f t="shared" si="0"/>
        <v>290551.5157801751</v>
      </c>
      <c r="D61" s="151">
        <f t="shared" si="1"/>
        <v>151056.97963860401</v>
      </c>
      <c r="E61" s="151">
        <f t="shared" si="2"/>
        <v>441608.49541877909</v>
      </c>
      <c r="F61" s="151">
        <f t="shared" si="3"/>
        <v>69581306.807603404</v>
      </c>
      <c r="G61" s="131">
        <f t="shared" si="4"/>
        <v>0.60213866296533824</v>
      </c>
    </row>
    <row r="62" spans="1:7" x14ac:dyDescent="0.25">
      <c r="A62" s="149">
        <f t="shared" si="6"/>
        <v>44</v>
      </c>
      <c r="B62" s="151">
        <f t="shared" si="5"/>
        <v>69581306.807603404</v>
      </c>
      <c r="C62" s="151">
        <f t="shared" si="0"/>
        <v>289922.11169834761</v>
      </c>
      <c r="D62" s="151">
        <f t="shared" si="1"/>
        <v>151686.38372043151</v>
      </c>
      <c r="E62" s="151">
        <f t="shared" si="2"/>
        <v>441608.49541877909</v>
      </c>
      <c r="F62" s="151">
        <f t="shared" si="3"/>
        <v>69429620.423882976</v>
      </c>
      <c r="G62" s="131">
        <f t="shared" si="4"/>
        <v>0.60213866296533824</v>
      </c>
    </row>
    <row r="63" spans="1:7" x14ac:dyDescent="0.25">
      <c r="A63" s="149">
        <f t="shared" si="6"/>
        <v>45</v>
      </c>
      <c r="B63" s="151">
        <f t="shared" si="5"/>
        <v>69429620.423882976</v>
      </c>
      <c r="C63" s="151">
        <f t="shared" si="0"/>
        <v>289290.08509951254</v>
      </c>
      <c r="D63" s="151">
        <f t="shared" si="1"/>
        <v>152318.41031926661</v>
      </c>
      <c r="E63" s="151">
        <f t="shared" si="2"/>
        <v>441608.49541877914</v>
      </c>
      <c r="F63" s="151">
        <f t="shared" si="3"/>
        <v>69277302.013563707</v>
      </c>
      <c r="G63" s="131">
        <f t="shared" si="4"/>
        <v>0.60213866296533836</v>
      </c>
    </row>
    <row r="64" spans="1:7" x14ac:dyDescent="0.25">
      <c r="A64" s="149">
        <f t="shared" si="6"/>
        <v>46</v>
      </c>
      <c r="B64" s="151">
        <f t="shared" si="5"/>
        <v>69277302.013563707</v>
      </c>
      <c r="C64" s="151">
        <f t="shared" si="0"/>
        <v>288655.42505651549</v>
      </c>
      <c r="D64" s="151">
        <f t="shared" si="1"/>
        <v>152953.07036226359</v>
      </c>
      <c r="E64" s="151">
        <f t="shared" si="2"/>
        <v>441608.49541877909</v>
      </c>
      <c r="F64" s="151">
        <f t="shared" si="3"/>
        <v>69124348.943201438</v>
      </c>
      <c r="G64" s="131">
        <f t="shared" si="4"/>
        <v>0.60213866296533824</v>
      </c>
    </row>
    <row r="65" spans="1:7" x14ac:dyDescent="0.25">
      <c r="A65" s="149">
        <f t="shared" si="6"/>
        <v>47</v>
      </c>
      <c r="B65" s="151">
        <f t="shared" si="5"/>
        <v>69124348.943201438</v>
      </c>
      <c r="C65" s="151">
        <f t="shared" si="0"/>
        <v>288018.12059667276</v>
      </c>
      <c r="D65" s="151">
        <f t="shared" si="1"/>
        <v>153590.37482210633</v>
      </c>
      <c r="E65" s="151">
        <f t="shared" si="2"/>
        <v>441608.49541877909</v>
      </c>
      <c r="F65" s="151">
        <f t="shared" si="3"/>
        <v>68970758.568379328</v>
      </c>
      <c r="G65" s="131">
        <f t="shared" si="4"/>
        <v>0.60213866296533824</v>
      </c>
    </row>
    <row r="66" spans="1:7" x14ac:dyDescent="0.25">
      <c r="A66" s="149">
        <f t="shared" si="6"/>
        <v>48</v>
      </c>
      <c r="B66" s="151">
        <f t="shared" si="5"/>
        <v>68970758.568379328</v>
      </c>
      <c r="C66" s="151">
        <f t="shared" si="0"/>
        <v>287378.16070158058</v>
      </c>
      <c r="D66" s="151">
        <f t="shared" si="1"/>
        <v>154230.33471719848</v>
      </c>
      <c r="E66" s="151">
        <f t="shared" si="2"/>
        <v>441608.49541877909</v>
      </c>
      <c r="F66" s="151">
        <f t="shared" si="3"/>
        <v>68816528.233662128</v>
      </c>
      <c r="G66" s="131">
        <f t="shared" si="4"/>
        <v>0.60213866296533824</v>
      </c>
    </row>
    <row r="67" spans="1:7" x14ac:dyDescent="0.25">
      <c r="A67" s="149">
        <f t="shared" si="6"/>
        <v>49</v>
      </c>
      <c r="B67" s="151">
        <f t="shared" si="5"/>
        <v>68816528.233662128</v>
      </c>
      <c r="C67" s="151">
        <f t="shared" si="0"/>
        <v>286735.53430692572</v>
      </c>
      <c r="D67" s="151">
        <f t="shared" si="1"/>
        <v>154872.96111185345</v>
      </c>
      <c r="E67" s="151">
        <f t="shared" si="2"/>
        <v>441608.4954187792</v>
      </c>
      <c r="F67" s="151">
        <f t="shared" si="3"/>
        <v>68661655.27255027</v>
      </c>
      <c r="G67" s="131">
        <f t="shared" si="4"/>
        <v>0.60213866296533847</v>
      </c>
    </row>
    <row r="68" spans="1:7" x14ac:dyDescent="0.25">
      <c r="A68" s="149">
        <f t="shared" si="6"/>
        <v>50</v>
      </c>
      <c r="B68" s="151">
        <f t="shared" si="5"/>
        <v>68661655.27255027</v>
      </c>
      <c r="C68" s="151">
        <f t="shared" si="0"/>
        <v>286090.23030229291</v>
      </c>
      <c r="D68" s="151">
        <f t="shared" si="1"/>
        <v>155518.2651164862</v>
      </c>
      <c r="E68" s="151">
        <f t="shared" si="2"/>
        <v>441608.49541877909</v>
      </c>
      <c r="F68" s="151">
        <f t="shared" si="3"/>
        <v>68506137.007433787</v>
      </c>
      <c r="G68" s="131">
        <f t="shared" si="4"/>
        <v>0.60213866296533824</v>
      </c>
    </row>
    <row r="69" spans="1:7" x14ac:dyDescent="0.25">
      <c r="A69" s="149">
        <f t="shared" si="6"/>
        <v>51</v>
      </c>
      <c r="B69" s="151">
        <f t="shared" si="5"/>
        <v>68506137.007433787</v>
      </c>
      <c r="C69" s="151">
        <f t="shared" si="0"/>
        <v>285442.23753097421</v>
      </c>
      <c r="D69" s="151">
        <f t="shared" si="1"/>
        <v>156166.25788780488</v>
      </c>
      <c r="E69" s="151">
        <f t="shared" si="2"/>
        <v>441608.49541877909</v>
      </c>
      <c r="F69" s="151">
        <f t="shared" si="3"/>
        <v>68349970.749545977</v>
      </c>
      <c r="G69" s="131">
        <f t="shared" si="4"/>
        <v>0.60213866296533824</v>
      </c>
    </row>
    <row r="70" spans="1:7" x14ac:dyDescent="0.25">
      <c r="A70" s="149">
        <f t="shared" si="6"/>
        <v>52</v>
      </c>
      <c r="B70" s="151">
        <f t="shared" si="5"/>
        <v>68349970.749545977</v>
      </c>
      <c r="C70" s="151">
        <f t="shared" si="0"/>
        <v>284791.5447897751</v>
      </c>
      <c r="D70" s="151">
        <f t="shared" si="1"/>
        <v>156816.9506290041</v>
      </c>
      <c r="E70" s="151">
        <f t="shared" si="2"/>
        <v>441608.4954187792</v>
      </c>
      <c r="F70" s="151">
        <f t="shared" si="3"/>
        <v>68193153.798916966</v>
      </c>
      <c r="G70" s="131">
        <f t="shared" si="4"/>
        <v>0.60213866296533847</v>
      </c>
    </row>
    <row r="71" spans="1:7" x14ac:dyDescent="0.25">
      <c r="A71" s="149">
        <f t="shared" si="6"/>
        <v>53</v>
      </c>
      <c r="B71" s="151">
        <f t="shared" si="5"/>
        <v>68193153.798916966</v>
      </c>
      <c r="C71" s="151">
        <f t="shared" si="0"/>
        <v>284138.14082882088</v>
      </c>
      <c r="D71" s="151">
        <f t="shared" si="1"/>
        <v>157470.35458995824</v>
      </c>
      <c r="E71" s="151">
        <f t="shared" si="2"/>
        <v>441608.49541877909</v>
      </c>
      <c r="F71" s="151">
        <f t="shared" si="3"/>
        <v>68035683.444327012</v>
      </c>
      <c r="G71" s="131">
        <f t="shared" si="4"/>
        <v>0.60213866296533824</v>
      </c>
    </row>
    <row r="72" spans="1:7" x14ac:dyDescent="0.25">
      <c r="A72" s="149">
        <f t="shared" si="6"/>
        <v>54</v>
      </c>
      <c r="B72" s="151">
        <f t="shared" si="5"/>
        <v>68035683.444327012</v>
      </c>
      <c r="C72" s="151">
        <f t="shared" si="0"/>
        <v>283482.01435136265</v>
      </c>
      <c r="D72" s="151">
        <f t="shared" si="1"/>
        <v>158126.4810674164</v>
      </c>
      <c r="E72" s="151">
        <f t="shared" si="2"/>
        <v>441608.49541877909</v>
      </c>
      <c r="F72" s="151">
        <f t="shared" si="3"/>
        <v>67877556.963259593</v>
      </c>
      <c r="G72" s="131">
        <f t="shared" si="4"/>
        <v>0.60213866296533824</v>
      </c>
    </row>
    <row r="73" spans="1:7" x14ac:dyDescent="0.25">
      <c r="A73" s="149">
        <f t="shared" si="6"/>
        <v>55</v>
      </c>
      <c r="B73" s="151">
        <f t="shared" si="5"/>
        <v>67877556.963259593</v>
      </c>
      <c r="C73" s="151">
        <f t="shared" si="0"/>
        <v>282823.15401358181</v>
      </c>
      <c r="D73" s="151">
        <f t="shared" si="1"/>
        <v>158785.34140519728</v>
      </c>
      <c r="E73" s="151">
        <f t="shared" si="2"/>
        <v>441608.49541877909</v>
      </c>
      <c r="F73" s="151">
        <f t="shared" si="3"/>
        <v>67718771.621854395</v>
      </c>
      <c r="G73" s="131">
        <f t="shared" si="4"/>
        <v>0.60213866296533824</v>
      </c>
    </row>
    <row r="74" spans="1:7" x14ac:dyDescent="0.25">
      <c r="A74" s="149">
        <f t="shared" si="6"/>
        <v>56</v>
      </c>
      <c r="B74" s="151">
        <f t="shared" si="5"/>
        <v>67718771.621854395</v>
      </c>
      <c r="C74" s="151">
        <f t="shared" si="0"/>
        <v>282161.54842439352</v>
      </c>
      <c r="D74" s="151">
        <f t="shared" si="1"/>
        <v>159446.94699438562</v>
      </c>
      <c r="E74" s="151">
        <f t="shared" si="2"/>
        <v>441608.49541877914</v>
      </c>
      <c r="F74" s="151">
        <f t="shared" si="3"/>
        <v>67559324.674860016</v>
      </c>
      <c r="G74" s="131">
        <f t="shared" si="4"/>
        <v>0.60213866296533836</v>
      </c>
    </row>
    <row r="75" spans="1:7" x14ac:dyDescent="0.25">
      <c r="A75" s="149">
        <f t="shared" si="6"/>
        <v>57</v>
      </c>
      <c r="B75" s="151">
        <f t="shared" si="5"/>
        <v>67559324.674860016</v>
      </c>
      <c r="C75" s="151">
        <f t="shared" si="0"/>
        <v>281497.18614525022</v>
      </c>
      <c r="D75" s="151">
        <f t="shared" si="1"/>
        <v>160111.30927352887</v>
      </c>
      <c r="E75" s="151">
        <f t="shared" si="2"/>
        <v>441608.49541877909</v>
      </c>
      <c r="F75" s="151">
        <f t="shared" si="3"/>
        <v>67399213.365586489</v>
      </c>
      <c r="G75" s="131">
        <f t="shared" si="4"/>
        <v>0.60213866296533824</v>
      </c>
    </row>
    <row r="76" spans="1:7" x14ac:dyDescent="0.25">
      <c r="A76" s="149">
        <f t="shared" si="6"/>
        <v>58</v>
      </c>
      <c r="B76" s="151">
        <f t="shared" si="5"/>
        <v>67399213.365586489</v>
      </c>
      <c r="C76" s="151">
        <f t="shared" si="0"/>
        <v>280830.05568994384</v>
      </c>
      <c r="D76" s="151">
        <f t="shared" si="1"/>
        <v>160778.43972883525</v>
      </c>
      <c r="E76" s="151">
        <f t="shared" si="2"/>
        <v>441608.49541877909</v>
      </c>
      <c r="F76" s="151">
        <f t="shared" si="3"/>
        <v>67238434.925857648</v>
      </c>
      <c r="G76" s="131">
        <f t="shared" si="4"/>
        <v>0.60213866296533824</v>
      </c>
    </row>
    <row r="77" spans="1:7" x14ac:dyDescent="0.25">
      <c r="A77" s="149">
        <f t="shared" si="6"/>
        <v>59</v>
      </c>
      <c r="B77" s="151">
        <f t="shared" si="5"/>
        <v>67238434.925857648</v>
      </c>
      <c r="C77" s="151">
        <f t="shared" si="0"/>
        <v>280160.14552440698</v>
      </c>
      <c r="D77" s="151">
        <f t="shared" si="1"/>
        <v>161448.34989437211</v>
      </c>
      <c r="E77" s="151">
        <f t="shared" si="2"/>
        <v>441608.49541877909</v>
      </c>
      <c r="F77" s="151">
        <f t="shared" si="3"/>
        <v>67076986.575963274</v>
      </c>
      <c r="G77" s="131">
        <f t="shared" si="4"/>
        <v>0.60213866296533824</v>
      </c>
    </row>
    <row r="78" spans="1:7" x14ac:dyDescent="0.25">
      <c r="A78" s="149">
        <f t="shared" si="6"/>
        <v>60</v>
      </c>
      <c r="B78" s="151">
        <f t="shared" si="5"/>
        <v>67076986.575963274</v>
      </c>
      <c r="C78" s="151">
        <f t="shared" si="0"/>
        <v>279487.4440665138</v>
      </c>
      <c r="D78" s="151">
        <f t="shared" si="1"/>
        <v>162121.05135226529</v>
      </c>
      <c r="E78" s="151">
        <f t="shared" si="2"/>
        <v>441608.49541877909</v>
      </c>
      <c r="F78" s="151">
        <f t="shared" si="3"/>
        <v>66914865.524611011</v>
      </c>
      <c r="G78" s="131">
        <f t="shared" si="4"/>
        <v>0.60213866296533824</v>
      </c>
    </row>
    <row r="79" spans="1:7" x14ac:dyDescent="0.25">
      <c r="A79" s="149">
        <f t="shared" si="6"/>
        <v>61</v>
      </c>
      <c r="B79" s="151">
        <f t="shared" si="5"/>
        <v>66914865.524611011</v>
      </c>
      <c r="C79" s="151">
        <f t="shared" si="0"/>
        <v>278811.93968587939</v>
      </c>
      <c r="D79" s="151">
        <f t="shared" si="1"/>
        <v>162796.55573289975</v>
      </c>
      <c r="E79" s="151">
        <f t="shared" si="2"/>
        <v>441608.49541877914</v>
      </c>
      <c r="F79" s="151">
        <f t="shared" si="3"/>
        <v>66752068.968878113</v>
      </c>
      <c r="G79" s="131">
        <f t="shared" si="4"/>
        <v>0.60213866296533836</v>
      </c>
    </row>
    <row r="80" spans="1:7" x14ac:dyDescent="0.25">
      <c r="A80" s="149">
        <f t="shared" si="6"/>
        <v>62</v>
      </c>
      <c r="B80" s="151">
        <f t="shared" si="5"/>
        <v>66752068.968878113</v>
      </c>
      <c r="C80" s="151">
        <f t="shared" si="0"/>
        <v>278133.62070365902</v>
      </c>
      <c r="D80" s="151">
        <f t="shared" si="1"/>
        <v>163474.87471512015</v>
      </c>
      <c r="E80" s="151">
        <f t="shared" si="2"/>
        <v>441608.4954187792</v>
      </c>
      <c r="F80" s="151">
        <f t="shared" si="3"/>
        <v>66588594.094162993</v>
      </c>
      <c r="G80" s="131">
        <f t="shared" si="4"/>
        <v>0.60213866296533847</v>
      </c>
    </row>
    <row r="81" spans="1:7" x14ac:dyDescent="0.25">
      <c r="A81" s="149">
        <f t="shared" si="6"/>
        <v>63</v>
      </c>
      <c r="B81" s="151">
        <f t="shared" si="5"/>
        <v>66588594.094162993</v>
      </c>
      <c r="C81" s="151">
        <f t="shared" si="0"/>
        <v>277452.47539234598</v>
      </c>
      <c r="D81" s="151">
        <f t="shared" si="1"/>
        <v>164156.02002643317</v>
      </c>
      <c r="E81" s="151">
        <f t="shared" si="2"/>
        <v>441608.49541877914</v>
      </c>
      <c r="F81" s="151">
        <f t="shared" si="3"/>
        <v>66424438.074136563</v>
      </c>
      <c r="G81" s="131">
        <f t="shared" si="4"/>
        <v>0.60213866296533836</v>
      </c>
    </row>
    <row r="82" spans="1:7" x14ac:dyDescent="0.25">
      <c r="A82" s="149">
        <f t="shared" si="6"/>
        <v>64</v>
      </c>
      <c r="B82" s="151">
        <f t="shared" si="5"/>
        <v>66424438.074136563</v>
      </c>
      <c r="C82" s="151">
        <f t="shared" si="0"/>
        <v>276768.49197556917</v>
      </c>
      <c r="D82" s="151">
        <f t="shared" si="1"/>
        <v>164840.00344320995</v>
      </c>
      <c r="E82" s="151">
        <f t="shared" si="2"/>
        <v>441608.49541877909</v>
      </c>
      <c r="F82" s="151">
        <f t="shared" si="3"/>
        <v>66259598.070693351</v>
      </c>
      <c r="G82" s="131">
        <f t="shared" si="4"/>
        <v>0.60213866296533824</v>
      </c>
    </row>
    <row r="83" spans="1:7" x14ac:dyDescent="0.25">
      <c r="A83" s="149">
        <f t="shared" si="6"/>
        <v>65</v>
      </c>
      <c r="B83" s="151">
        <f t="shared" si="5"/>
        <v>66259598.070693351</v>
      </c>
      <c r="C83" s="151">
        <f t="shared" ref="C83:C146" si="7">IF(ISERROR(IPMT(C$6/12,A83,$C$8,-$B$19,0)),0,IPMT(C$6/12,A83,$C$8,-$B$19,0))</f>
        <v>276081.65862788906</v>
      </c>
      <c r="D83" s="151">
        <f t="shared" ref="D83:D146" si="8">IF(ISERROR(PPMT($C$6/12,$A83,$C$8,-$B$19,0)),0,PPMT($C$6/12,$A83,$C$8,-$B$19,0))</f>
        <v>165526.83679089</v>
      </c>
      <c r="E83" s="151">
        <f t="shared" ref="E83:E146" si="9">+C83+D83</f>
        <v>441608.49541877909</v>
      </c>
      <c r="F83" s="151">
        <f t="shared" ref="F83:F146" si="10">+B83-D83</f>
        <v>66094071.233902462</v>
      </c>
      <c r="G83" s="131">
        <f t="shared" ref="G83:G146" si="11">E83/$C$10</f>
        <v>0.60213866296533824</v>
      </c>
    </row>
    <row r="84" spans="1:7" x14ac:dyDescent="0.25">
      <c r="A84" s="149">
        <f t="shared" si="6"/>
        <v>66</v>
      </c>
      <c r="B84" s="151">
        <f t="shared" ref="B84:B147" si="12">+F83</f>
        <v>66094071.233902462</v>
      </c>
      <c r="C84" s="151">
        <f t="shared" si="7"/>
        <v>275391.96347459382</v>
      </c>
      <c r="D84" s="151">
        <f t="shared" si="8"/>
        <v>166216.53194418541</v>
      </c>
      <c r="E84" s="151">
        <f t="shared" si="9"/>
        <v>441608.4954187792</v>
      </c>
      <c r="F84" s="151">
        <f t="shared" si="10"/>
        <v>65927854.701958276</v>
      </c>
      <c r="G84" s="131">
        <f t="shared" si="11"/>
        <v>0.60213866296533847</v>
      </c>
    </row>
    <row r="85" spans="1:7" x14ac:dyDescent="0.25">
      <c r="A85" s="149">
        <f t="shared" ref="A85:A148" si="13">A84+1</f>
        <v>67</v>
      </c>
      <c r="B85" s="151">
        <f t="shared" si="12"/>
        <v>65927854.701958276</v>
      </c>
      <c r="C85" s="151">
        <f t="shared" si="7"/>
        <v>274699.39459149295</v>
      </c>
      <c r="D85" s="151">
        <f t="shared" si="8"/>
        <v>166909.10082728614</v>
      </c>
      <c r="E85" s="151">
        <f t="shared" si="9"/>
        <v>441608.49541877909</v>
      </c>
      <c r="F85" s="151">
        <f t="shared" si="10"/>
        <v>65760945.601130992</v>
      </c>
      <c r="G85" s="131">
        <f t="shared" si="11"/>
        <v>0.60213866296533824</v>
      </c>
    </row>
    <row r="86" spans="1:7" x14ac:dyDescent="0.25">
      <c r="A86" s="149">
        <f t="shared" si="13"/>
        <v>68</v>
      </c>
      <c r="B86" s="151">
        <f t="shared" si="12"/>
        <v>65760945.601130992</v>
      </c>
      <c r="C86" s="151">
        <f t="shared" si="7"/>
        <v>274003.94000471261</v>
      </c>
      <c r="D86" s="151">
        <f t="shared" si="8"/>
        <v>167604.55541406653</v>
      </c>
      <c r="E86" s="151">
        <f t="shared" si="9"/>
        <v>441608.49541877914</v>
      </c>
      <c r="F86" s="151">
        <f t="shared" si="10"/>
        <v>65593341.045716926</v>
      </c>
      <c r="G86" s="131">
        <f t="shared" si="11"/>
        <v>0.60213866296533836</v>
      </c>
    </row>
    <row r="87" spans="1:7" x14ac:dyDescent="0.25">
      <c r="A87" s="149">
        <f t="shared" si="13"/>
        <v>69</v>
      </c>
      <c r="B87" s="151">
        <f t="shared" si="12"/>
        <v>65593341.045716926</v>
      </c>
      <c r="C87" s="151">
        <f t="shared" si="7"/>
        <v>273305.58769048733</v>
      </c>
      <c r="D87" s="151">
        <f t="shared" si="8"/>
        <v>168302.90772829176</v>
      </c>
      <c r="E87" s="151">
        <f t="shared" si="9"/>
        <v>441608.49541877909</v>
      </c>
      <c r="F87" s="151">
        <f t="shared" si="10"/>
        <v>65425038.137988634</v>
      </c>
      <c r="G87" s="131">
        <f t="shared" si="11"/>
        <v>0.60213866296533824</v>
      </c>
    </row>
    <row r="88" spans="1:7" x14ac:dyDescent="0.25">
      <c r="A88" s="149">
        <f t="shared" si="13"/>
        <v>70</v>
      </c>
      <c r="B88" s="151">
        <f t="shared" si="12"/>
        <v>65425038.137988634</v>
      </c>
      <c r="C88" s="151">
        <f t="shared" si="7"/>
        <v>272604.32557495282</v>
      </c>
      <c r="D88" s="151">
        <f t="shared" si="8"/>
        <v>169004.16984382633</v>
      </c>
      <c r="E88" s="151">
        <f t="shared" si="9"/>
        <v>441608.49541877914</v>
      </c>
      <c r="F88" s="151">
        <f t="shared" si="10"/>
        <v>65256033.968144812</v>
      </c>
      <c r="G88" s="131">
        <f t="shared" si="11"/>
        <v>0.60213866296533836</v>
      </c>
    </row>
    <row r="89" spans="1:7" x14ac:dyDescent="0.25">
      <c r="A89" s="149">
        <f t="shared" si="13"/>
        <v>71</v>
      </c>
      <c r="B89" s="151">
        <f t="shared" si="12"/>
        <v>65256033.968144812</v>
      </c>
      <c r="C89" s="151">
        <f t="shared" si="7"/>
        <v>271900.14153393684</v>
      </c>
      <c r="D89" s="151">
        <f t="shared" si="8"/>
        <v>169708.35388484228</v>
      </c>
      <c r="E89" s="151">
        <f t="shared" si="9"/>
        <v>441608.49541877909</v>
      </c>
      <c r="F89" s="151">
        <f t="shared" si="10"/>
        <v>65086325.614259966</v>
      </c>
      <c r="G89" s="131">
        <f t="shared" si="11"/>
        <v>0.60213866296533824</v>
      </c>
    </row>
    <row r="90" spans="1:7" x14ac:dyDescent="0.25">
      <c r="A90" s="149">
        <f t="shared" si="13"/>
        <v>72</v>
      </c>
      <c r="B90" s="151">
        <f t="shared" si="12"/>
        <v>65086325.614259966</v>
      </c>
      <c r="C90" s="151">
        <f t="shared" si="7"/>
        <v>271193.02339274995</v>
      </c>
      <c r="D90" s="151">
        <f t="shared" si="8"/>
        <v>170415.47202602914</v>
      </c>
      <c r="E90" s="151">
        <f t="shared" si="9"/>
        <v>441608.49541877909</v>
      </c>
      <c r="F90" s="151">
        <f t="shared" si="10"/>
        <v>64915910.142233938</v>
      </c>
      <c r="G90" s="131">
        <f t="shared" si="11"/>
        <v>0.60213866296533824</v>
      </c>
    </row>
    <row r="91" spans="1:7" x14ac:dyDescent="0.25">
      <c r="A91" s="149">
        <f t="shared" si="13"/>
        <v>73</v>
      </c>
      <c r="B91" s="151">
        <f t="shared" si="12"/>
        <v>64915910.142233938</v>
      </c>
      <c r="C91" s="151">
        <f t="shared" si="7"/>
        <v>270482.95892597485</v>
      </c>
      <c r="D91" s="151">
        <f t="shared" si="8"/>
        <v>171125.53649280424</v>
      </c>
      <c r="E91" s="151">
        <f t="shared" si="9"/>
        <v>441608.49541877909</v>
      </c>
      <c r="F91" s="151">
        <f t="shared" si="10"/>
        <v>64744784.605741136</v>
      </c>
      <c r="G91" s="131">
        <f t="shared" si="11"/>
        <v>0.60213866296533824</v>
      </c>
    </row>
    <row r="92" spans="1:7" x14ac:dyDescent="0.25">
      <c r="A92" s="149">
        <f t="shared" si="13"/>
        <v>74</v>
      </c>
      <c r="B92" s="151">
        <f t="shared" si="12"/>
        <v>64744784.605741136</v>
      </c>
      <c r="C92" s="151">
        <f t="shared" si="7"/>
        <v>269769.93585725484</v>
      </c>
      <c r="D92" s="151">
        <f t="shared" si="8"/>
        <v>171838.55956152425</v>
      </c>
      <c r="E92" s="151">
        <f t="shared" si="9"/>
        <v>441608.49541877909</v>
      </c>
      <c r="F92" s="151">
        <f t="shared" si="10"/>
        <v>64572946.046179615</v>
      </c>
      <c r="G92" s="131">
        <f t="shared" si="11"/>
        <v>0.60213866296533824</v>
      </c>
    </row>
    <row r="93" spans="1:7" x14ac:dyDescent="0.25">
      <c r="A93" s="149">
        <f t="shared" si="13"/>
        <v>75</v>
      </c>
      <c r="B93" s="151">
        <f t="shared" si="12"/>
        <v>64572946.046179615</v>
      </c>
      <c r="C93" s="151">
        <f t="shared" si="7"/>
        <v>269053.94185908179</v>
      </c>
      <c r="D93" s="151">
        <f t="shared" si="8"/>
        <v>172554.55355969726</v>
      </c>
      <c r="E93" s="151">
        <f t="shared" si="9"/>
        <v>441608.49541877909</v>
      </c>
      <c r="F93" s="151">
        <f t="shared" si="10"/>
        <v>64400391.492619917</v>
      </c>
      <c r="G93" s="131">
        <f t="shared" si="11"/>
        <v>0.60213866296533824</v>
      </c>
    </row>
    <row r="94" spans="1:7" x14ac:dyDescent="0.25">
      <c r="A94" s="149">
        <f t="shared" si="13"/>
        <v>76</v>
      </c>
      <c r="B94" s="151">
        <f t="shared" si="12"/>
        <v>64400391.492619917</v>
      </c>
      <c r="C94" s="151">
        <f t="shared" si="7"/>
        <v>268334.96455258311</v>
      </c>
      <c r="D94" s="151">
        <f t="shared" si="8"/>
        <v>173273.530866196</v>
      </c>
      <c r="E94" s="151">
        <f t="shared" si="9"/>
        <v>441608.49541877909</v>
      </c>
      <c r="F94" s="151">
        <f t="shared" si="10"/>
        <v>64227117.961753719</v>
      </c>
      <c r="G94" s="131">
        <f t="shared" si="11"/>
        <v>0.60213866296533824</v>
      </c>
    </row>
    <row r="95" spans="1:7" x14ac:dyDescent="0.25">
      <c r="A95" s="149">
        <f t="shared" si="13"/>
        <v>77</v>
      </c>
      <c r="B95" s="151">
        <f t="shared" si="12"/>
        <v>64227117.961753719</v>
      </c>
      <c r="C95" s="151">
        <f t="shared" si="7"/>
        <v>267612.99150730734</v>
      </c>
      <c r="D95" s="151">
        <f t="shared" si="8"/>
        <v>173995.50391147181</v>
      </c>
      <c r="E95" s="151">
        <f t="shared" si="9"/>
        <v>441608.49541877914</v>
      </c>
      <c r="F95" s="151">
        <f t="shared" si="10"/>
        <v>64053122.457842246</v>
      </c>
      <c r="G95" s="131">
        <f t="shared" si="11"/>
        <v>0.60213866296533836</v>
      </c>
    </row>
    <row r="96" spans="1:7" x14ac:dyDescent="0.25">
      <c r="A96" s="149">
        <f t="shared" si="13"/>
        <v>78</v>
      </c>
      <c r="B96" s="151">
        <f t="shared" si="12"/>
        <v>64053122.457842246</v>
      </c>
      <c r="C96" s="151">
        <f t="shared" si="7"/>
        <v>266888.01024100947</v>
      </c>
      <c r="D96" s="151">
        <f t="shared" si="8"/>
        <v>174720.48517776965</v>
      </c>
      <c r="E96" s="151">
        <f t="shared" si="9"/>
        <v>441608.49541877909</v>
      </c>
      <c r="F96" s="151">
        <f t="shared" si="10"/>
        <v>63878401.972664475</v>
      </c>
      <c r="G96" s="131">
        <f t="shared" si="11"/>
        <v>0.60213866296533824</v>
      </c>
    </row>
    <row r="97" spans="1:7" x14ac:dyDescent="0.25">
      <c r="A97" s="149">
        <f t="shared" si="13"/>
        <v>79</v>
      </c>
      <c r="B97" s="151">
        <f t="shared" si="12"/>
        <v>63878401.972664475</v>
      </c>
      <c r="C97" s="151">
        <f t="shared" si="7"/>
        <v>266160.00821943546</v>
      </c>
      <c r="D97" s="151">
        <f t="shared" si="8"/>
        <v>175448.48719934368</v>
      </c>
      <c r="E97" s="151">
        <f t="shared" si="9"/>
        <v>441608.49541877914</v>
      </c>
      <c r="F97" s="151">
        <f t="shared" si="10"/>
        <v>63702953.485465132</v>
      </c>
      <c r="G97" s="131">
        <f t="shared" si="11"/>
        <v>0.60213866296533836</v>
      </c>
    </row>
    <row r="98" spans="1:7" x14ac:dyDescent="0.25">
      <c r="A98" s="149">
        <f t="shared" si="13"/>
        <v>80</v>
      </c>
      <c r="B98" s="151">
        <f t="shared" si="12"/>
        <v>63702953.485465132</v>
      </c>
      <c r="C98" s="151">
        <f t="shared" si="7"/>
        <v>265428.97285610478</v>
      </c>
      <c r="D98" s="151">
        <f t="shared" si="8"/>
        <v>176179.52256267428</v>
      </c>
      <c r="E98" s="151">
        <f t="shared" si="9"/>
        <v>441608.49541877909</v>
      </c>
      <c r="F98" s="151">
        <f t="shared" si="10"/>
        <v>63526773.962902457</v>
      </c>
      <c r="G98" s="131">
        <f t="shared" si="11"/>
        <v>0.60213866296533824</v>
      </c>
    </row>
    <row r="99" spans="1:7" x14ac:dyDescent="0.25">
      <c r="A99" s="149">
        <f t="shared" si="13"/>
        <v>81</v>
      </c>
      <c r="B99" s="151">
        <f t="shared" si="12"/>
        <v>63526773.962902457</v>
      </c>
      <c r="C99" s="151">
        <f t="shared" si="7"/>
        <v>264694.89151209372</v>
      </c>
      <c r="D99" s="151">
        <f t="shared" si="8"/>
        <v>176913.60390668543</v>
      </c>
      <c r="E99" s="151">
        <f t="shared" si="9"/>
        <v>441608.49541877914</v>
      </c>
      <c r="F99" s="151">
        <f t="shared" si="10"/>
        <v>63349860.358995773</v>
      </c>
      <c r="G99" s="131">
        <f t="shared" si="11"/>
        <v>0.60213866296533836</v>
      </c>
    </row>
    <row r="100" spans="1:7" x14ac:dyDescent="0.25">
      <c r="A100" s="149">
        <f t="shared" si="13"/>
        <v>82</v>
      </c>
      <c r="B100" s="151">
        <f t="shared" si="12"/>
        <v>63349860.358995773</v>
      </c>
      <c r="C100" s="151">
        <f t="shared" si="7"/>
        <v>263957.75149581581</v>
      </c>
      <c r="D100" s="151">
        <f t="shared" si="8"/>
        <v>177650.74392296327</v>
      </c>
      <c r="E100" s="151">
        <f t="shared" si="9"/>
        <v>441608.49541877909</v>
      </c>
      <c r="F100" s="151">
        <f t="shared" si="10"/>
        <v>63172209.615072809</v>
      </c>
      <c r="G100" s="131">
        <f t="shared" si="11"/>
        <v>0.60213866296533824</v>
      </c>
    </row>
    <row r="101" spans="1:7" x14ac:dyDescent="0.25">
      <c r="A101" s="149">
        <f t="shared" si="13"/>
        <v>83</v>
      </c>
      <c r="B101" s="151">
        <f t="shared" si="12"/>
        <v>63172209.615072809</v>
      </c>
      <c r="C101" s="151">
        <f t="shared" si="7"/>
        <v>263217.54006280348</v>
      </c>
      <c r="D101" s="151">
        <f t="shared" si="8"/>
        <v>178390.9553559756</v>
      </c>
      <c r="E101" s="151">
        <f t="shared" si="9"/>
        <v>441608.49541877909</v>
      </c>
      <c r="F101" s="151">
        <f t="shared" si="10"/>
        <v>62993818.659716837</v>
      </c>
      <c r="G101" s="131">
        <f t="shared" si="11"/>
        <v>0.60213866296533824</v>
      </c>
    </row>
    <row r="102" spans="1:7" x14ac:dyDescent="0.25">
      <c r="A102" s="149">
        <f t="shared" si="13"/>
        <v>84</v>
      </c>
      <c r="B102" s="151">
        <f t="shared" si="12"/>
        <v>62993818.659716837</v>
      </c>
      <c r="C102" s="151">
        <f t="shared" si="7"/>
        <v>262474.24441548693</v>
      </c>
      <c r="D102" s="151">
        <f t="shared" si="8"/>
        <v>179134.25100329216</v>
      </c>
      <c r="E102" s="151">
        <f t="shared" si="9"/>
        <v>441608.49541877909</v>
      </c>
      <c r="F102" s="151">
        <f t="shared" si="10"/>
        <v>62814684.408713542</v>
      </c>
      <c r="G102" s="131">
        <f t="shared" si="11"/>
        <v>0.60213866296533824</v>
      </c>
    </row>
    <row r="103" spans="1:7" x14ac:dyDescent="0.25">
      <c r="A103" s="149">
        <f t="shared" si="13"/>
        <v>85</v>
      </c>
      <c r="B103" s="151">
        <f t="shared" si="12"/>
        <v>62814684.408713542</v>
      </c>
      <c r="C103" s="151">
        <f t="shared" si="7"/>
        <v>261727.85170297322</v>
      </c>
      <c r="D103" s="151">
        <f t="shared" si="8"/>
        <v>179880.64371580587</v>
      </c>
      <c r="E103" s="151">
        <f t="shared" si="9"/>
        <v>441608.49541877909</v>
      </c>
      <c r="F103" s="151">
        <f t="shared" si="10"/>
        <v>62634803.764997736</v>
      </c>
      <c r="G103" s="131">
        <f t="shared" si="11"/>
        <v>0.60213866296533824</v>
      </c>
    </row>
    <row r="104" spans="1:7" x14ac:dyDescent="0.25">
      <c r="A104" s="149">
        <f t="shared" si="13"/>
        <v>86</v>
      </c>
      <c r="B104" s="151">
        <f t="shared" si="12"/>
        <v>62634803.764997736</v>
      </c>
      <c r="C104" s="151">
        <f t="shared" si="7"/>
        <v>260978.34902082407</v>
      </c>
      <c r="D104" s="151">
        <f t="shared" si="8"/>
        <v>180630.14639795508</v>
      </c>
      <c r="E104" s="151">
        <f t="shared" si="9"/>
        <v>441608.49541877914</v>
      </c>
      <c r="F104" s="151">
        <f t="shared" si="10"/>
        <v>62454173.61859978</v>
      </c>
      <c r="G104" s="131">
        <f t="shared" si="11"/>
        <v>0.60213866296533836</v>
      </c>
    </row>
    <row r="105" spans="1:7" x14ac:dyDescent="0.25">
      <c r="A105" s="149">
        <f t="shared" si="13"/>
        <v>87</v>
      </c>
      <c r="B105" s="151">
        <f t="shared" si="12"/>
        <v>62454173.61859978</v>
      </c>
      <c r="C105" s="151">
        <f t="shared" si="7"/>
        <v>260225.72341083261</v>
      </c>
      <c r="D105" s="151">
        <f t="shared" si="8"/>
        <v>181382.77200794654</v>
      </c>
      <c r="E105" s="151">
        <f t="shared" si="9"/>
        <v>441608.49541877914</v>
      </c>
      <c r="F105" s="151">
        <f t="shared" si="10"/>
        <v>62272790.84659183</v>
      </c>
      <c r="G105" s="131">
        <f t="shared" si="11"/>
        <v>0.60213866296533836</v>
      </c>
    </row>
    <row r="106" spans="1:7" x14ac:dyDescent="0.25">
      <c r="A106" s="149">
        <f t="shared" si="13"/>
        <v>88</v>
      </c>
      <c r="B106" s="151">
        <f t="shared" si="12"/>
        <v>62272790.84659183</v>
      </c>
      <c r="C106" s="151">
        <f t="shared" si="7"/>
        <v>259469.96186079943</v>
      </c>
      <c r="D106" s="151">
        <f t="shared" si="8"/>
        <v>182138.53355797968</v>
      </c>
      <c r="E106" s="151">
        <f t="shared" si="9"/>
        <v>441608.49541877909</v>
      </c>
      <c r="F106" s="151">
        <f t="shared" si="10"/>
        <v>62090652.313033849</v>
      </c>
      <c r="G106" s="131">
        <f t="shared" si="11"/>
        <v>0.60213866296533824</v>
      </c>
    </row>
    <row r="107" spans="1:7" x14ac:dyDescent="0.25">
      <c r="A107" s="149">
        <f t="shared" si="13"/>
        <v>89</v>
      </c>
      <c r="B107" s="151">
        <f t="shared" si="12"/>
        <v>62090652.313033849</v>
      </c>
      <c r="C107" s="151">
        <f t="shared" si="7"/>
        <v>258711.05130430788</v>
      </c>
      <c r="D107" s="151">
        <f t="shared" si="8"/>
        <v>182897.44411447123</v>
      </c>
      <c r="E107" s="151">
        <f t="shared" si="9"/>
        <v>441608.49541877909</v>
      </c>
      <c r="F107" s="151">
        <f t="shared" si="10"/>
        <v>61907754.86891938</v>
      </c>
      <c r="G107" s="131">
        <f t="shared" si="11"/>
        <v>0.60213866296533824</v>
      </c>
    </row>
    <row r="108" spans="1:7" x14ac:dyDescent="0.25">
      <c r="A108" s="149">
        <f t="shared" si="13"/>
        <v>90</v>
      </c>
      <c r="B108" s="151">
        <f t="shared" si="12"/>
        <v>61907754.86891938</v>
      </c>
      <c r="C108" s="151">
        <f t="shared" si="7"/>
        <v>257948.97862049757</v>
      </c>
      <c r="D108" s="151">
        <f t="shared" si="8"/>
        <v>183659.51679828158</v>
      </c>
      <c r="E108" s="151">
        <f t="shared" si="9"/>
        <v>441608.49541877914</v>
      </c>
      <c r="F108" s="151">
        <f t="shared" si="10"/>
        <v>61724095.3521211</v>
      </c>
      <c r="G108" s="131">
        <f t="shared" si="11"/>
        <v>0.60213866296533836</v>
      </c>
    </row>
    <row r="109" spans="1:7" x14ac:dyDescent="0.25">
      <c r="A109" s="149">
        <f t="shared" si="13"/>
        <v>91</v>
      </c>
      <c r="B109" s="151">
        <f t="shared" si="12"/>
        <v>61724095.3521211</v>
      </c>
      <c r="C109" s="151">
        <f t="shared" si="7"/>
        <v>257183.73063383801</v>
      </c>
      <c r="D109" s="151">
        <f t="shared" si="8"/>
        <v>184424.76478494107</v>
      </c>
      <c r="E109" s="151">
        <f t="shared" si="9"/>
        <v>441608.49541877909</v>
      </c>
      <c r="F109" s="151">
        <f t="shared" si="10"/>
        <v>61539670.58733616</v>
      </c>
      <c r="G109" s="131">
        <f t="shared" si="11"/>
        <v>0.60213866296533824</v>
      </c>
    </row>
    <row r="110" spans="1:7" x14ac:dyDescent="0.25">
      <c r="A110" s="149">
        <f t="shared" si="13"/>
        <v>92</v>
      </c>
      <c r="B110" s="151">
        <f t="shared" si="12"/>
        <v>61539670.58733616</v>
      </c>
      <c r="C110" s="151">
        <f t="shared" si="7"/>
        <v>256415.29411390077</v>
      </c>
      <c r="D110" s="151">
        <f t="shared" si="8"/>
        <v>185193.20130487831</v>
      </c>
      <c r="E110" s="151">
        <f t="shared" si="9"/>
        <v>441608.49541877909</v>
      </c>
      <c r="F110" s="151">
        <f t="shared" si="10"/>
        <v>61354477.386031285</v>
      </c>
      <c r="G110" s="131">
        <f t="shared" si="11"/>
        <v>0.60213866296533824</v>
      </c>
    </row>
    <row r="111" spans="1:7" x14ac:dyDescent="0.25">
      <c r="A111" s="149">
        <f t="shared" si="13"/>
        <v>93</v>
      </c>
      <c r="B111" s="151">
        <f t="shared" si="12"/>
        <v>61354477.386031285</v>
      </c>
      <c r="C111" s="151">
        <f t="shared" si="7"/>
        <v>255643.65577513049</v>
      </c>
      <c r="D111" s="151">
        <f t="shared" si="8"/>
        <v>185964.83964364865</v>
      </c>
      <c r="E111" s="151">
        <f t="shared" si="9"/>
        <v>441608.49541877914</v>
      </c>
      <c r="F111" s="151">
        <f t="shared" si="10"/>
        <v>61168512.546387635</v>
      </c>
      <c r="G111" s="131">
        <f t="shared" si="11"/>
        <v>0.60213866296533836</v>
      </c>
    </row>
    <row r="112" spans="1:7" x14ac:dyDescent="0.25">
      <c r="A112" s="149">
        <f t="shared" si="13"/>
        <v>94</v>
      </c>
      <c r="B112" s="151">
        <f t="shared" si="12"/>
        <v>61168512.546387635</v>
      </c>
      <c r="C112" s="151">
        <f t="shared" si="7"/>
        <v>254868.80227661526</v>
      </c>
      <c r="D112" s="151">
        <f t="shared" si="8"/>
        <v>186739.69314216386</v>
      </c>
      <c r="E112" s="151">
        <f t="shared" si="9"/>
        <v>441608.49541877909</v>
      </c>
      <c r="F112" s="151">
        <f t="shared" si="10"/>
        <v>60981772.853245474</v>
      </c>
      <c r="G112" s="131">
        <f t="shared" si="11"/>
        <v>0.60213866296533824</v>
      </c>
    </row>
    <row r="113" spans="1:7" x14ac:dyDescent="0.25">
      <c r="A113" s="149">
        <f t="shared" si="13"/>
        <v>95</v>
      </c>
      <c r="B113" s="151">
        <f t="shared" si="12"/>
        <v>60981772.853245474</v>
      </c>
      <c r="C113" s="151">
        <f t="shared" si="7"/>
        <v>254090.72022185623</v>
      </c>
      <c r="D113" s="151">
        <f t="shared" si="8"/>
        <v>187517.77519692288</v>
      </c>
      <c r="E113" s="151">
        <f t="shared" si="9"/>
        <v>441608.49541877909</v>
      </c>
      <c r="F113" s="151">
        <f t="shared" si="10"/>
        <v>60794255.07804855</v>
      </c>
      <c r="G113" s="131">
        <f t="shared" si="11"/>
        <v>0.60213866296533824</v>
      </c>
    </row>
    <row r="114" spans="1:7" x14ac:dyDescent="0.25">
      <c r="A114" s="149">
        <f t="shared" si="13"/>
        <v>96</v>
      </c>
      <c r="B114" s="151">
        <f t="shared" si="12"/>
        <v>60794255.07804855</v>
      </c>
      <c r="C114" s="151">
        <f t="shared" si="7"/>
        <v>253309.39615853573</v>
      </c>
      <c r="D114" s="151">
        <f t="shared" si="8"/>
        <v>188299.09926024335</v>
      </c>
      <c r="E114" s="151">
        <f t="shared" si="9"/>
        <v>441608.49541877909</v>
      </c>
      <c r="F114" s="151">
        <f t="shared" si="10"/>
        <v>60605955.978788309</v>
      </c>
      <c r="G114" s="131">
        <f t="shared" si="11"/>
        <v>0.60213866296533824</v>
      </c>
    </row>
    <row r="115" spans="1:7" x14ac:dyDescent="0.25">
      <c r="A115" s="149">
        <f t="shared" si="13"/>
        <v>97</v>
      </c>
      <c r="B115" s="151">
        <f t="shared" si="12"/>
        <v>60605955.978788309</v>
      </c>
      <c r="C115" s="151">
        <f t="shared" si="7"/>
        <v>252524.81657828475</v>
      </c>
      <c r="D115" s="151">
        <f t="shared" si="8"/>
        <v>189083.67884049437</v>
      </c>
      <c r="E115" s="151">
        <f t="shared" si="9"/>
        <v>441608.49541877909</v>
      </c>
      <c r="F115" s="151">
        <f t="shared" si="10"/>
        <v>60416872.299947813</v>
      </c>
      <c r="G115" s="131">
        <f t="shared" si="11"/>
        <v>0.60213866296533824</v>
      </c>
    </row>
    <row r="116" spans="1:7" x14ac:dyDescent="0.25">
      <c r="A116" s="149">
        <f t="shared" si="13"/>
        <v>98</v>
      </c>
      <c r="B116" s="151">
        <f t="shared" si="12"/>
        <v>60416872.299947813</v>
      </c>
      <c r="C116" s="151">
        <f t="shared" si="7"/>
        <v>251736.9679164493</v>
      </c>
      <c r="D116" s="151">
        <f t="shared" si="8"/>
        <v>189871.52750232976</v>
      </c>
      <c r="E116" s="151">
        <f t="shared" si="9"/>
        <v>441608.49541877909</v>
      </c>
      <c r="F116" s="151">
        <f t="shared" si="10"/>
        <v>60227000.772445485</v>
      </c>
      <c r="G116" s="131">
        <f t="shared" si="11"/>
        <v>0.60213866296533824</v>
      </c>
    </row>
    <row r="117" spans="1:7" x14ac:dyDescent="0.25">
      <c r="A117" s="149">
        <f t="shared" si="13"/>
        <v>99</v>
      </c>
      <c r="B117" s="151">
        <f t="shared" si="12"/>
        <v>60227000.772445485</v>
      </c>
      <c r="C117" s="151">
        <f t="shared" si="7"/>
        <v>250945.83655185628</v>
      </c>
      <c r="D117" s="151">
        <f t="shared" si="8"/>
        <v>190662.65886692281</v>
      </c>
      <c r="E117" s="151">
        <f t="shared" si="9"/>
        <v>441608.49541877909</v>
      </c>
      <c r="F117" s="151">
        <f t="shared" si="10"/>
        <v>60036338.113578565</v>
      </c>
      <c r="G117" s="131">
        <f t="shared" si="11"/>
        <v>0.60213866296533824</v>
      </c>
    </row>
    <row r="118" spans="1:7" x14ac:dyDescent="0.25">
      <c r="A118" s="149">
        <f t="shared" si="13"/>
        <v>100</v>
      </c>
      <c r="B118" s="151">
        <f t="shared" si="12"/>
        <v>60036338.113578565</v>
      </c>
      <c r="C118" s="151">
        <f t="shared" si="7"/>
        <v>250151.40880657744</v>
      </c>
      <c r="D118" s="151">
        <f t="shared" si="8"/>
        <v>191457.08661220167</v>
      </c>
      <c r="E118" s="151">
        <f t="shared" si="9"/>
        <v>441608.49541877909</v>
      </c>
      <c r="F118" s="151">
        <f t="shared" si="10"/>
        <v>59844881.026966363</v>
      </c>
      <c r="G118" s="131">
        <f t="shared" si="11"/>
        <v>0.60213866296533824</v>
      </c>
    </row>
    <row r="119" spans="1:7" x14ac:dyDescent="0.25">
      <c r="A119" s="149">
        <f t="shared" si="13"/>
        <v>101</v>
      </c>
      <c r="B119" s="151">
        <f t="shared" si="12"/>
        <v>59844881.026966363</v>
      </c>
      <c r="C119" s="151">
        <f t="shared" si="7"/>
        <v>249353.6709456933</v>
      </c>
      <c r="D119" s="151">
        <f t="shared" si="8"/>
        <v>192254.82447308581</v>
      </c>
      <c r="E119" s="151">
        <f t="shared" si="9"/>
        <v>441608.49541877909</v>
      </c>
      <c r="F119" s="151">
        <f t="shared" si="10"/>
        <v>59652626.20249328</v>
      </c>
      <c r="G119" s="131">
        <f t="shared" si="11"/>
        <v>0.60213866296533824</v>
      </c>
    </row>
    <row r="120" spans="1:7" x14ac:dyDescent="0.25">
      <c r="A120" s="149">
        <f t="shared" si="13"/>
        <v>102</v>
      </c>
      <c r="B120" s="151">
        <f t="shared" si="12"/>
        <v>59652626.20249328</v>
      </c>
      <c r="C120" s="151">
        <f t="shared" si="7"/>
        <v>248552.60917705542</v>
      </c>
      <c r="D120" s="151">
        <f t="shared" si="8"/>
        <v>193055.8862417237</v>
      </c>
      <c r="E120" s="151">
        <f t="shared" si="9"/>
        <v>441608.49541877909</v>
      </c>
      <c r="F120" s="151">
        <f t="shared" si="10"/>
        <v>59459570.316251554</v>
      </c>
      <c r="G120" s="131">
        <f t="shared" si="11"/>
        <v>0.60213866296533824</v>
      </c>
    </row>
    <row r="121" spans="1:7" x14ac:dyDescent="0.25">
      <c r="A121" s="149">
        <f t="shared" si="13"/>
        <v>103</v>
      </c>
      <c r="B121" s="151">
        <f t="shared" si="12"/>
        <v>59459570.316251554</v>
      </c>
      <c r="C121" s="151">
        <f t="shared" si="7"/>
        <v>247748.20965104821</v>
      </c>
      <c r="D121" s="151">
        <f t="shared" si="8"/>
        <v>193860.28576773088</v>
      </c>
      <c r="E121" s="151">
        <f t="shared" si="9"/>
        <v>441608.49541877909</v>
      </c>
      <c r="F121" s="151">
        <f t="shared" si="10"/>
        <v>59265710.03048382</v>
      </c>
      <c r="G121" s="131">
        <f t="shared" si="11"/>
        <v>0.60213866296533824</v>
      </c>
    </row>
    <row r="122" spans="1:7" x14ac:dyDescent="0.25">
      <c r="A122" s="149">
        <f t="shared" si="13"/>
        <v>104</v>
      </c>
      <c r="B122" s="151">
        <f t="shared" si="12"/>
        <v>59265710.03048382</v>
      </c>
      <c r="C122" s="151">
        <f t="shared" si="7"/>
        <v>246940.45846034936</v>
      </c>
      <c r="D122" s="151">
        <f t="shared" si="8"/>
        <v>194668.03695842979</v>
      </c>
      <c r="E122" s="151">
        <f t="shared" si="9"/>
        <v>441608.49541877914</v>
      </c>
      <c r="F122" s="151">
        <f t="shared" si="10"/>
        <v>59071041.993525393</v>
      </c>
      <c r="G122" s="131">
        <f t="shared" si="11"/>
        <v>0.60213866296533836</v>
      </c>
    </row>
    <row r="123" spans="1:7" x14ac:dyDescent="0.25">
      <c r="A123" s="149">
        <f t="shared" si="13"/>
        <v>105</v>
      </c>
      <c r="B123" s="151">
        <f t="shared" si="12"/>
        <v>59071041.993525393</v>
      </c>
      <c r="C123" s="151">
        <f t="shared" si="7"/>
        <v>246129.34163968923</v>
      </c>
      <c r="D123" s="151">
        <f t="shared" si="8"/>
        <v>195479.15377908989</v>
      </c>
      <c r="E123" s="151">
        <f t="shared" si="9"/>
        <v>441608.49541877909</v>
      </c>
      <c r="F123" s="151">
        <f t="shared" si="10"/>
        <v>58875562.839746304</v>
      </c>
      <c r="G123" s="131">
        <f t="shared" si="11"/>
        <v>0.60213866296533824</v>
      </c>
    </row>
    <row r="124" spans="1:7" x14ac:dyDescent="0.25">
      <c r="A124" s="149">
        <f t="shared" si="13"/>
        <v>106</v>
      </c>
      <c r="B124" s="151">
        <f t="shared" si="12"/>
        <v>58875562.839746304</v>
      </c>
      <c r="C124" s="151">
        <f t="shared" si="7"/>
        <v>245314.84516560964</v>
      </c>
      <c r="D124" s="151">
        <f t="shared" si="8"/>
        <v>196293.65025316941</v>
      </c>
      <c r="E124" s="151">
        <f t="shared" si="9"/>
        <v>441608.49541877909</v>
      </c>
      <c r="F124" s="151">
        <f t="shared" si="10"/>
        <v>58679269.189493135</v>
      </c>
      <c r="G124" s="131">
        <f t="shared" si="11"/>
        <v>0.60213866296533824</v>
      </c>
    </row>
    <row r="125" spans="1:7" x14ac:dyDescent="0.25">
      <c r="A125" s="149">
        <f t="shared" si="13"/>
        <v>107</v>
      </c>
      <c r="B125" s="151">
        <f t="shared" si="12"/>
        <v>58679269.189493135</v>
      </c>
      <c r="C125" s="151">
        <f t="shared" si="7"/>
        <v>244496.95495622148</v>
      </c>
      <c r="D125" s="151">
        <f t="shared" si="8"/>
        <v>197111.54046255763</v>
      </c>
      <c r="E125" s="151">
        <f t="shared" si="9"/>
        <v>441608.49541877909</v>
      </c>
      <c r="F125" s="151">
        <f t="shared" si="10"/>
        <v>58482157.649030574</v>
      </c>
      <c r="G125" s="131">
        <f t="shared" si="11"/>
        <v>0.60213866296533824</v>
      </c>
    </row>
    <row r="126" spans="1:7" x14ac:dyDescent="0.25">
      <c r="A126" s="149">
        <f t="shared" si="13"/>
        <v>108</v>
      </c>
      <c r="B126" s="151">
        <f t="shared" si="12"/>
        <v>58482157.649030574</v>
      </c>
      <c r="C126" s="151">
        <f t="shared" si="7"/>
        <v>243675.65687096084</v>
      </c>
      <c r="D126" s="151">
        <f t="shared" si="8"/>
        <v>197932.83854781828</v>
      </c>
      <c r="E126" s="151">
        <f t="shared" si="9"/>
        <v>441608.49541877909</v>
      </c>
      <c r="F126" s="151">
        <f t="shared" si="10"/>
        <v>58284224.810482755</v>
      </c>
      <c r="G126" s="131">
        <f t="shared" si="11"/>
        <v>0.60213866296533824</v>
      </c>
    </row>
    <row r="127" spans="1:7" x14ac:dyDescent="0.25">
      <c r="A127" s="149">
        <f t="shared" si="13"/>
        <v>109</v>
      </c>
      <c r="B127" s="151">
        <f t="shared" si="12"/>
        <v>58284224.810482755</v>
      </c>
      <c r="C127" s="151">
        <f t="shared" si="7"/>
        <v>242850.93671034489</v>
      </c>
      <c r="D127" s="151">
        <f t="shared" si="8"/>
        <v>198757.5587084342</v>
      </c>
      <c r="E127" s="151">
        <f t="shared" si="9"/>
        <v>441608.49541877909</v>
      </c>
      <c r="F127" s="151">
        <f t="shared" si="10"/>
        <v>58085467.251774319</v>
      </c>
      <c r="G127" s="131">
        <f t="shared" si="11"/>
        <v>0.60213866296533824</v>
      </c>
    </row>
    <row r="128" spans="1:7" x14ac:dyDescent="0.25">
      <c r="A128" s="149">
        <f t="shared" si="13"/>
        <v>110</v>
      </c>
      <c r="B128" s="151">
        <f t="shared" si="12"/>
        <v>58085467.251774319</v>
      </c>
      <c r="C128" s="151">
        <f t="shared" si="7"/>
        <v>242022.78021572644</v>
      </c>
      <c r="D128" s="151">
        <f t="shared" si="8"/>
        <v>199585.71520305268</v>
      </c>
      <c r="E128" s="151">
        <f t="shared" si="9"/>
        <v>441608.49541877909</v>
      </c>
      <c r="F128" s="151">
        <f t="shared" si="10"/>
        <v>57885881.536571264</v>
      </c>
      <c r="G128" s="131">
        <f t="shared" si="11"/>
        <v>0.60213866296533824</v>
      </c>
    </row>
    <row r="129" spans="1:7" x14ac:dyDescent="0.25">
      <c r="A129" s="149">
        <f t="shared" si="13"/>
        <v>111</v>
      </c>
      <c r="B129" s="151">
        <f t="shared" si="12"/>
        <v>57885881.536571264</v>
      </c>
      <c r="C129" s="151">
        <f t="shared" si="7"/>
        <v>241191.17306904704</v>
      </c>
      <c r="D129" s="151">
        <f t="shared" si="8"/>
        <v>200417.32234973204</v>
      </c>
      <c r="E129" s="151">
        <f t="shared" si="9"/>
        <v>441608.49541877909</v>
      </c>
      <c r="F129" s="151">
        <f t="shared" si="10"/>
        <v>57685464.21422153</v>
      </c>
      <c r="G129" s="131">
        <f t="shared" si="11"/>
        <v>0.60213866296533824</v>
      </c>
    </row>
    <row r="130" spans="1:7" x14ac:dyDescent="0.25">
      <c r="A130" s="149">
        <f t="shared" si="13"/>
        <v>112</v>
      </c>
      <c r="B130" s="151">
        <f t="shared" si="12"/>
        <v>57685464.21422153</v>
      </c>
      <c r="C130" s="151">
        <f t="shared" si="7"/>
        <v>240356.10089258983</v>
      </c>
      <c r="D130" s="151">
        <f t="shared" si="8"/>
        <v>201252.39452618928</v>
      </c>
      <c r="E130" s="151">
        <f t="shared" si="9"/>
        <v>441608.49541877909</v>
      </c>
      <c r="F130" s="151">
        <f t="shared" si="10"/>
        <v>57484211.819695339</v>
      </c>
      <c r="G130" s="131">
        <f t="shared" si="11"/>
        <v>0.60213866296533824</v>
      </c>
    </row>
    <row r="131" spans="1:7" x14ac:dyDescent="0.25">
      <c r="A131" s="149">
        <f t="shared" si="13"/>
        <v>113</v>
      </c>
      <c r="B131" s="151">
        <f t="shared" si="12"/>
        <v>57484211.819695339</v>
      </c>
      <c r="C131" s="151">
        <f t="shared" si="7"/>
        <v>239517.54924873073</v>
      </c>
      <c r="D131" s="151">
        <f t="shared" si="8"/>
        <v>202090.94617004838</v>
      </c>
      <c r="E131" s="151">
        <f t="shared" si="9"/>
        <v>441608.49541877909</v>
      </c>
      <c r="F131" s="151">
        <f t="shared" si="10"/>
        <v>57282120.873525292</v>
      </c>
      <c r="G131" s="131">
        <f t="shared" si="11"/>
        <v>0.60213866296533824</v>
      </c>
    </row>
    <row r="132" spans="1:7" x14ac:dyDescent="0.25">
      <c r="A132" s="149">
        <f t="shared" si="13"/>
        <v>114</v>
      </c>
      <c r="B132" s="151">
        <f t="shared" si="12"/>
        <v>57282120.873525292</v>
      </c>
      <c r="C132" s="151">
        <f t="shared" si="7"/>
        <v>238675.50363968886</v>
      </c>
      <c r="D132" s="151">
        <f t="shared" si="8"/>
        <v>202932.99177909025</v>
      </c>
      <c r="E132" s="151">
        <f t="shared" si="9"/>
        <v>441608.49541877909</v>
      </c>
      <c r="F132" s="151">
        <f t="shared" si="10"/>
        <v>57079187.881746203</v>
      </c>
      <c r="G132" s="131">
        <f t="shared" si="11"/>
        <v>0.60213866296533824</v>
      </c>
    </row>
    <row r="133" spans="1:7" x14ac:dyDescent="0.25">
      <c r="A133" s="149">
        <f t="shared" si="13"/>
        <v>115</v>
      </c>
      <c r="B133" s="151">
        <f t="shared" si="12"/>
        <v>57079187.881746203</v>
      </c>
      <c r="C133" s="151">
        <f t="shared" si="7"/>
        <v>237829.949507276</v>
      </c>
      <c r="D133" s="151">
        <f t="shared" si="8"/>
        <v>203778.54591150311</v>
      </c>
      <c r="E133" s="151">
        <f t="shared" si="9"/>
        <v>441608.49541877909</v>
      </c>
      <c r="F133" s="151">
        <f t="shared" si="10"/>
        <v>56875409.335834697</v>
      </c>
      <c r="G133" s="131">
        <f t="shared" si="11"/>
        <v>0.60213866296533824</v>
      </c>
    </row>
    <row r="134" spans="1:7" x14ac:dyDescent="0.25">
      <c r="A134" s="149">
        <f t="shared" si="13"/>
        <v>116</v>
      </c>
      <c r="B134" s="151">
        <f t="shared" si="12"/>
        <v>56875409.335834697</v>
      </c>
      <c r="C134" s="151">
        <f t="shared" si="7"/>
        <v>236980.87223264473</v>
      </c>
      <c r="D134" s="151">
        <f t="shared" si="8"/>
        <v>204627.62318613438</v>
      </c>
      <c r="E134" s="151">
        <f t="shared" si="9"/>
        <v>441608.49541877909</v>
      </c>
      <c r="F134" s="151">
        <f t="shared" si="10"/>
        <v>56670781.712648563</v>
      </c>
      <c r="G134" s="131">
        <f t="shared" si="11"/>
        <v>0.60213866296533824</v>
      </c>
    </row>
    <row r="135" spans="1:7" x14ac:dyDescent="0.25">
      <c r="A135" s="149">
        <f t="shared" si="13"/>
        <v>117</v>
      </c>
      <c r="B135" s="151">
        <f t="shared" si="12"/>
        <v>56670781.712648563</v>
      </c>
      <c r="C135" s="151">
        <f t="shared" si="7"/>
        <v>236128.25713603583</v>
      </c>
      <c r="D135" s="151">
        <f t="shared" si="8"/>
        <v>205480.23828274332</v>
      </c>
      <c r="E135" s="151">
        <f t="shared" si="9"/>
        <v>441608.49541877914</v>
      </c>
      <c r="F135" s="151">
        <f t="shared" si="10"/>
        <v>56465301.474365823</v>
      </c>
      <c r="G135" s="131">
        <f t="shared" si="11"/>
        <v>0.60213866296533836</v>
      </c>
    </row>
    <row r="136" spans="1:7" x14ac:dyDescent="0.25">
      <c r="A136" s="149">
        <f t="shared" si="13"/>
        <v>118</v>
      </c>
      <c r="B136" s="151">
        <f t="shared" si="12"/>
        <v>56465301.474365823</v>
      </c>
      <c r="C136" s="151">
        <f t="shared" si="7"/>
        <v>235272.08947652442</v>
      </c>
      <c r="D136" s="151">
        <f t="shared" si="8"/>
        <v>206336.40594225473</v>
      </c>
      <c r="E136" s="151">
        <f t="shared" si="9"/>
        <v>441608.49541877914</v>
      </c>
      <c r="F136" s="151">
        <f t="shared" si="10"/>
        <v>56258965.068423569</v>
      </c>
      <c r="G136" s="131">
        <f t="shared" si="11"/>
        <v>0.60213866296533836</v>
      </c>
    </row>
    <row r="137" spans="1:7" x14ac:dyDescent="0.25">
      <c r="A137" s="149">
        <f t="shared" si="13"/>
        <v>119</v>
      </c>
      <c r="B137" s="151">
        <f t="shared" si="12"/>
        <v>56258965.068423569</v>
      </c>
      <c r="C137" s="151">
        <f t="shared" si="7"/>
        <v>234412.35445176499</v>
      </c>
      <c r="D137" s="151">
        <f t="shared" si="8"/>
        <v>207196.14096701413</v>
      </c>
      <c r="E137" s="151">
        <f t="shared" si="9"/>
        <v>441608.49541877909</v>
      </c>
      <c r="F137" s="151">
        <f t="shared" si="10"/>
        <v>56051768.927456558</v>
      </c>
      <c r="G137" s="131">
        <f t="shared" si="11"/>
        <v>0.60213866296533824</v>
      </c>
    </row>
    <row r="138" spans="1:7" x14ac:dyDescent="0.25">
      <c r="A138" s="149">
        <f t="shared" si="13"/>
        <v>120</v>
      </c>
      <c r="B138" s="151">
        <f t="shared" si="12"/>
        <v>56051768.927456558</v>
      </c>
      <c r="C138" s="151">
        <f t="shared" si="7"/>
        <v>233549.03719773577</v>
      </c>
      <c r="D138" s="151">
        <f t="shared" si="8"/>
        <v>208059.45822104334</v>
      </c>
      <c r="E138" s="151">
        <f t="shared" si="9"/>
        <v>441608.49541877909</v>
      </c>
      <c r="F138" s="151">
        <f t="shared" si="10"/>
        <v>55843709.469235517</v>
      </c>
      <c r="G138" s="131">
        <f t="shared" si="11"/>
        <v>0.60213866296533824</v>
      </c>
    </row>
    <row r="139" spans="1:7" x14ac:dyDescent="0.25">
      <c r="A139" s="149">
        <f t="shared" si="13"/>
        <v>121</v>
      </c>
      <c r="B139" s="151">
        <f t="shared" si="12"/>
        <v>55843709.469235517</v>
      </c>
      <c r="C139" s="151">
        <f t="shared" si="7"/>
        <v>232682.12278848144</v>
      </c>
      <c r="D139" s="151">
        <f t="shared" si="8"/>
        <v>208926.37263029767</v>
      </c>
      <c r="E139" s="151">
        <f t="shared" si="9"/>
        <v>441608.49541877909</v>
      </c>
      <c r="F139" s="151">
        <f t="shared" si="10"/>
        <v>55634783.096605219</v>
      </c>
      <c r="G139" s="131">
        <f t="shared" si="11"/>
        <v>0.60213866296533824</v>
      </c>
    </row>
    <row r="140" spans="1:7" x14ac:dyDescent="0.25">
      <c r="A140" s="149">
        <f t="shared" si="13"/>
        <v>122</v>
      </c>
      <c r="B140" s="151">
        <f t="shared" si="12"/>
        <v>55634783.096605219</v>
      </c>
      <c r="C140" s="151">
        <f t="shared" si="7"/>
        <v>231811.59623585516</v>
      </c>
      <c r="D140" s="151">
        <f t="shared" si="8"/>
        <v>209796.89918292395</v>
      </c>
      <c r="E140" s="151">
        <f t="shared" si="9"/>
        <v>441608.49541877909</v>
      </c>
      <c r="F140" s="151">
        <f t="shared" si="10"/>
        <v>55424986.197422296</v>
      </c>
      <c r="G140" s="131">
        <f t="shared" si="11"/>
        <v>0.60213866296533824</v>
      </c>
    </row>
    <row r="141" spans="1:7" x14ac:dyDescent="0.25">
      <c r="A141" s="149">
        <f t="shared" si="13"/>
        <v>123</v>
      </c>
      <c r="B141" s="151">
        <f t="shared" si="12"/>
        <v>55424986.197422296</v>
      </c>
      <c r="C141" s="151">
        <f t="shared" si="7"/>
        <v>230937.44248925964</v>
      </c>
      <c r="D141" s="151">
        <f t="shared" si="8"/>
        <v>210671.05292951941</v>
      </c>
      <c r="E141" s="151">
        <f t="shared" si="9"/>
        <v>441608.49541877909</v>
      </c>
      <c r="F141" s="151">
        <f t="shared" si="10"/>
        <v>55214315.144492775</v>
      </c>
      <c r="G141" s="131">
        <f t="shared" si="11"/>
        <v>0.60213866296533824</v>
      </c>
    </row>
    <row r="142" spans="1:7" x14ac:dyDescent="0.25">
      <c r="A142" s="149">
        <f t="shared" si="13"/>
        <v>124</v>
      </c>
      <c r="B142" s="151">
        <f t="shared" si="12"/>
        <v>55214315.144492775</v>
      </c>
      <c r="C142" s="151">
        <f t="shared" si="7"/>
        <v>230059.6464353867</v>
      </c>
      <c r="D142" s="151">
        <f t="shared" si="8"/>
        <v>211548.84898339244</v>
      </c>
      <c r="E142" s="151">
        <f t="shared" si="9"/>
        <v>441608.49541877914</v>
      </c>
      <c r="F142" s="151">
        <f t="shared" si="10"/>
        <v>55002766.295509383</v>
      </c>
      <c r="G142" s="131">
        <f t="shared" si="11"/>
        <v>0.60213866296533836</v>
      </c>
    </row>
    <row r="143" spans="1:7" x14ac:dyDescent="0.25">
      <c r="A143" s="149">
        <f t="shared" si="13"/>
        <v>125</v>
      </c>
      <c r="B143" s="151">
        <f t="shared" si="12"/>
        <v>55002766.295509383</v>
      </c>
      <c r="C143" s="151">
        <f t="shared" si="7"/>
        <v>229178.19289795589</v>
      </c>
      <c r="D143" s="151">
        <f t="shared" si="8"/>
        <v>212430.30252082323</v>
      </c>
      <c r="E143" s="151">
        <f t="shared" si="9"/>
        <v>441608.49541877909</v>
      </c>
      <c r="F143" s="151">
        <f t="shared" si="10"/>
        <v>54790335.992988557</v>
      </c>
      <c r="G143" s="131">
        <f t="shared" si="11"/>
        <v>0.60213866296533824</v>
      </c>
    </row>
    <row r="144" spans="1:7" x14ac:dyDescent="0.25">
      <c r="A144" s="149">
        <f t="shared" si="13"/>
        <v>126</v>
      </c>
      <c r="B144" s="151">
        <f t="shared" si="12"/>
        <v>54790335.992988557</v>
      </c>
      <c r="C144" s="151">
        <f t="shared" si="7"/>
        <v>228293.06663745243</v>
      </c>
      <c r="D144" s="151">
        <f t="shared" si="8"/>
        <v>213315.42878132666</v>
      </c>
      <c r="E144" s="151">
        <f t="shared" si="9"/>
        <v>441608.49541877909</v>
      </c>
      <c r="F144" s="151">
        <f t="shared" si="10"/>
        <v>54577020.564207233</v>
      </c>
      <c r="G144" s="131">
        <f t="shared" si="11"/>
        <v>0.60213866296533824</v>
      </c>
    </row>
    <row r="145" spans="1:7" x14ac:dyDescent="0.25">
      <c r="A145" s="149">
        <f t="shared" si="13"/>
        <v>127</v>
      </c>
      <c r="B145" s="151">
        <f t="shared" si="12"/>
        <v>54577020.564207233</v>
      </c>
      <c r="C145" s="151">
        <f t="shared" si="7"/>
        <v>227404.25235086359</v>
      </c>
      <c r="D145" s="151">
        <f t="shared" si="8"/>
        <v>214204.24306791552</v>
      </c>
      <c r="E145" s="151">
        <f t="shared" si="9"/>
        <v>441608.49541877909</v>
      </c>
      <c r="F145" s="151">
        <f t="shared" si="10"/>
        <v>54362816.321139321</v>
      </c>
      <c r="G145" s="131">
        <f t="shared" si="11"/>
        <v>0.60213866296533824</v>
      </c>
    </row>
    <row r="146" spans="1:7" x14ac:dyDescent="0.25">
      <c r="A146" s="149">
        <f t="shared" si="13"/>
        <v>128</v>
      </c>
      <c r="B146" s="151">
        <f t="shared" si="12"/>
        <v>54362816.321139321</v>
      </c>
      <c r="C146" s="151">
        <f t="shared" si="7"/>
        <v>226511.73467141396</v>
      </c>
      <c r="D146" s="151">
        <f t="shared" si="8"/>
        <v>215096.76074736516</v>
      </c>
      <c r="E146" s="151">
        <f t="shared" si="9"/>
        <v>441608.49541877909</v>
      </c>
      <c r="F146" s="151">
        <f t="shared" si="10"/>
        <v>54147719.560391955</v>
      </c>
      <c r="G146" s="131">
        <f t="shared" si="11"/>
        <v>0.60213866296533824</v>
      </c>
    </row>
    <row r="147" spans="1:7" x14ac:dyDescent="0.25">
      <c r="A147" s="149">
        <f t="shared" si="13"/>
        <v>129</v>
      </c>
      <c r="B147" s="151">
        <f t="shared" si="12"/>
        <v>54147719.560391955</v>
      </c>
      <c r="C147" s="151">
        <f t="shared" ref="C147:C150" si="14">IF(ISERROR(IPMT(C$6/12,A147,$C$8,-$B$19,0)),0,IPMT(C$6/12,A147,$C$8,-$B$19,0))</f>
        <v>225615.49816829994</v>
      </c>
      <c r="D147" s="151">
        <f t="shared" ref="D147:D150" si="15">IF(ISERROR(PPMT($C$6/12,$A147,$C$8,-$B$19,0)),0,PPMT($C$6/12,$A147,$C$8,-$B$19,0))</f>
        <v>215992.99725047921</v>
      </c>
      <c r="E147" s="151">
        <f t="shared" ref="E147:E150" si="16">+C147+D147</f>
        <v>441608.49541877914</v>
      </c>
      <c r="F147" s="151">
        <f t="shared" ref="F147:F150" si="17">+B147-D147</f>
        <v>53931726.563141473</v>
      </c>
      <c r="G147" s="131">
        <f t="shared" ref="G147:G150" si="18">E147/$C$10</f>
        <v>0.60213866296533836</v>
      </c>
    </row>
    <row r="148" spans="1:7" x14ac:dyDescent="0.25">
      <c r="A148" s="149">
        <f t="shared" si="13"/>
        <v>130</v>
      </c>
      <c r="B148" s="151">
        <f t="shared" ref="B148:B150" si="19">+F147</f>
        <v>53931726.563141473</v>
      </c>
      <c r="C148" s="151">
        <f t="shared" si="14"/>
        <v>224715.52734642292</v>
      </c>
      <c r="D148" s="151">
        <f t="shared" si="15"/>
        <v>216892.96807235619</v>
      </c>
      <c r="E148" s="151">
        <f t="shared" si="16"/>
        <v>441608.49541877909</v>
      </c>
      <c r="F148" s="151">
        <f t="shared" si="17"/>
        <v>53714833.595069118</v>
      </c>
      <c r="G148" s="131">
        <f t="shared" si="18"/>
        <v>0.60213866296533824</v>
      </c>
    </row>
    <row r="149" spans="1:7" x14ac:dyDescent="0.25">
      <c r="A149" s="149">
        <f t="shared" ref="A149:A150" si="20">A148+1</f>
        <v>131</v>
      </c>
      <c r="B149" s="151">
        <f t="shared" si="19"/>
        <v>53714833.595069118</v>
      </c>
      <c r="C149" s="151">
        <f t="shared" si="14"/>
        <v>223811.8066461214</v>
      </c>
      <c r="D149" s="151">
        <f t="shared" si="15"/>
        <v>217796.68877265765</v>
      </c>
      <c r="E149" s="151">
        <f t="shared" si="16"/>
        <v>441608.49541877909</v>
      </c>
      <c r="F149" s="151">
        <f t="shared" si="17"/>
        <v>53497036.906296462</v>
      </c>
      <c r="G149" s="131">
        <f t="shared" si="18"/>
        <v>0.60213866296533824</v>
      </c>
    </row>
    <row r="150" spans="1:7" x14ac:dyDescent="0.25">
      <c r="A150" s="149">
        <f t="shared" si="20"/>
        <v>132</v>
      </c>
      <c r="B150" s="151">
        <f t="shared" si="19"/>
        <v>53497036.906296462</v>
      </c>
      <c r="C150" s="151">
        <f t="shared" si="14"/>
        <v>222904.32044290198</v>
      </c>
      <c r="D150" s="151">
        <f t="shared" si="15"/>
        <v>218704.1749758771</v>
      </c>
      <c r="E150" s="151">
        <f t="shared" si="16"/>
        <v>441608.49541877909</v>
      </c>
      <c r="F150" s="151">
        <f t="shared" si="17"/>
        <v>53278332.731320582</v>
      </c>
      <c r="G150" s="131">
        <f t="shared" si="18"/>
        <v>0.60213866296533824</v>
      </c>
    </row>
  </sheetData>
  <pageMargins left="0.5" right="0.5" top="0.5" bottom="0.5" header="0.5" footer="0.5"/>
  <pageSetup scale="90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50"/>
  <sheetViews>
    <sheetView showGridLines="0" workbookViewId="0">
      <selection activeCell="I24" sqref="I24"/>
    </sheetView>
  </sheetViews>
  <sheetFormatPr defaultColWidth="9.33203125" defaultRowHeight="13.8" x14ac:dyDescent="0.25"/>
  <cols>
    <col min="1" max="9" width="12.6640625" style="134" customWidth="1"/>
    <col min="10" max="16384" width="9.33203125" style="134"/>
  </cols>
  <sheetData>
    <row r="1" spans="1:11" ht="14.4" thickBot="1" x14ac:dyDescent="0.3">
      <c r="A1" s="132" t="s">
        <v>103</v>
      </c>
      <c r="B1" s="133"/>
      <c r="C1" s="133"/>
      <c r="D1" s="133"/>
      <c r="E1" s="133"/>
      <c r="F1" s="133"/>
      <c r="G1" s="133"/>
      <c r="H1" s="133"/>
    </row>
    <row r="2" spans="1:11" x14ac:dyDescent="0.25">
      <c r="A2" s="135" t="s">
        <v>26</v>
      </c>
    </row>
    <row r="3" spans="1:11" x14ac:dyDescent="0.25">
      <c r="A3" s="136"/>
      <c r="E3" s="137"/>
    </row>
    <row r="4" spans="1:11" ht="15" customHeight="1" x14ac:dyDescent="0.25">
      <c r="A4" s="134" t="s">
        <v>27</v>
      </c>
      <c r="C4" s="138">
        <f>Analysis!C9*Analysis!C12</f>
        <v>0</v>
      </c>
      <c r="D4" s="137"/>
    </row>
    <row r="5" spans="1:11" ht="15" customHeight="1" x14ac:dyDescent="0.25">
      <c r="A5" s="67"/>
      <c r="B5" s="67"/>
      <c r="C5" s="67"/>
      <c r="D5" s="139"/>
      <c r="E5" s="140"/>
      <c r="G5" s="141"/>
    </row>
    <row r="6" spans="1:11" ht="15" customHeight="1" x14ac:dyDescent="0.25">
      <c r="A6" s="134" t="s">
        <v>29</v>
      </c>
      <c r="C6" s="142">
        <f>Analysis!C14</f>
        <v>0</v>
      </c>
      <c r="D6" s="139"/>
      <c r="E6" s="140"/>
      <c r="G6" s="80"/>
    </row>
    <row r="7" spans="1:11" ht="15" customHeight="1" x14ac:dyDescent="0.25">
      <c r="A7" s="136"/>
      <c r="D7" s="139"/>
      <c r="E7" s="140"/>
      <c r="G7" s="80"/>
    </row>
    <row r="8" spans="1:11" ht="15" customHeight="1" x14ac:dyDescent="0.25">
      <c r="A8" s="134" t="s">
        <v>30</v>
      </c>
      <c r="C8" s="143">
        <f>Analysis!C10*12</f>
        <v>60</v>
      </c>
      <c r="D8" s="139"/>
      <c r="F8" s="140"/>
      <c r="G8" s="67"/>
    </row>
    <row r="9" spans="1:11" ht="15" customHeight="1" x14ac:dyDescent="0.25">
      <c r="A9" s="136"/>
      <c r="D9" s="137"/>
      <c r="E9" s="140"/>
      <c r="G9" s="67"/>
    </row>
    <row r="10" spans="1:11" ht="15" customHeight="1" x14ac:dyDescent="0.25">
      <c r="A10" s="140" t="s">
        <v>28</v>
      </c>
      <c r="C10" s="143">
        <f>Analysis!C9</f>
        <v>79290</v>
      </c>
      <c r="D10" s="137"/>
      <c r="E10" s="140"/>
      <c r="G10" s="67"/>
      <c r="I10" s="144"/>
    </row>
    <row r="11" spans="1:11" ht="15" customHeight="1" x14ac:dyDescent="0.25">
      <c r="D11" s="137"/>
      <c r="E11" s="140"/>
      <c r="G11" s="67"/>
      <c r="K11" s="144"/>
    </row>
    <row r="12" spans="1:11" ht="15" customHeight="1" x14ac:dyDescent="0.25">
      <c r="A12" s="136"/>
      <c r="D12" s="137"/>
      <c r="F12" s="140"/>
    </row>
    <row r="13" spans="1:11" ht="15" customHeight="1" x14ac:dyDescent="0.25">
      <c r="B13" s="145" t="s">
        <v>31</v>
      </c>
      <c r="F13" s="145" t="s">
        <v>32</v>
      </c>
    </row>
    <row r="14" spans="1:11" ht="15" customHeight="1" x14ac:dyDescent="0.25">
      <c r="A14" s="145" t="s">
        <v>33</v>
      </c>
      <c r="B14" s="145" t="s">
        <v>34</v>
      </c>
      <c r="C14" s="146" t="s">
        <v>33</v>
      </c>
      <c r="D14" s="146"/>
      <c r="E14" s="147"/>
      <c r="F14" s="145" t="s">
        <v>34</v>
      </c>
    </row>
    <row r="15" spans="1:11" ht="15" customHeight="1" x14ac:dyDescent="0.25">
      <c r="A15" s="145"/>
      <c r="B15" s="145"/>
      <c r="C15" s="148" t="s">
        <v>35</v>
      </c>
      <c r="D15" s="148"/>
      <c r="E15" s="148"/>
      <c r="F15" s="145"/>
    </row>
    <row r="16" spans="1:11" ht="15" customHeight="1" x14ac:dyDescent="0.25">
      <c r="A16" s="145" t="s">
        <v>36</v>
      </c>
      <c r="B16" s="145" t="s">
        <v>37</v>
      </c>
      <c r="C16" s="145" t="s">
        <v>38</v>
      </c>
      <c r="D16" s="145" t="s">
        <v>34</v>
      </c>
      <c r="E16" s="145" t="s">
        <v>39</v>
      </c>
      <c r="F16" s="145" t="s">
        <v>37</v>
      </c>
      <c r="G16" s="145" t="s">
        <v>40</v>
      </c>
    </row>
    <row r="17" spans="1:13" ht="15" customHeight="1" x14ac:dyDescent="0.25">
      <c r="A17" s="148" t="s">
        <v>35</v>
      </c>
      <c r="B17" s="148" t="s">
        <v>35</v>
      </c>
      <c r="C17" s="148" t="s">
        <v>35</v>
      </c>
      <c r="D17" s="148" t="s">
        <v>35</v>
      </c>
      <c r="E17" s="148" t="s">
        <v>35</v>
      </c>
      <c r="F17" s="148" t="s">
        <v>35</v>
      </c>
      <c r="G17" s="148" t="s">
        <v>35</v>
      </c>
    </row>
    <row r="18" spans="1:13" ht="15" customHeight="1" x14ac:dyDescent="0.25">
      <c r="A18" s="148"/>
      <c r="B18" s="148"/>
      <c r="C18" s="148"/>
      <c r="D18" s="148"/>
      <c r="E18" s="148"/>
      <c r="F18" s="148"/>
    </row>
    <row r="19" spans="1:13" ht="15" customHeight="1" x14ac:dyDescent="0.25">
      <c r="A19" s="149">
        <v>1</v>
      </c>
      <c r="B19" s="150">
        <f>C4</f>
        <v>0</v>
      </c>
      <c r="C19" s="141">
        <f t="shared" ref="C19:C82" si="0">IF(ISERROR(IPMT(C$6/12,A19,$C$8,-$B$19,0)),0,IPMT(C$6/12,A19,$C$8,-$B$19,0))</f>
        <v>0</v>
      </c>
      <c r="D19" s="141">
        <f t="shared" ref="D19:D82" si="1">IF(ISERROR(PPMT($C$6/12,$A19,$C$8,-$B$19,0)),0,PPMT($C$6/12,$A19,$C$8,-$B$19,0))</f>
        <v>0</v>
      </c>
      <c r="E19" s="141">
        <f t="shared" ref="E19:E82" si="2">+C19+D19</f>
        <v>0</v>
      </c>
      <c r="F19" s="141">
        <f t="shared" ref="F19:F82" si="3">+B19-D19</f>
        <v>0</v>
      </c>
      <c r="G19" s="141">
        <f t="shared" ref="G19:G82" si="4">E19/$C$10</f>
        <v>0</v>
      </c>
    </row>
    <row r="20" spans="1:13" ht="15" customHeight="1" x14ac:dyDescent="0.25">
      <c r="A20" s="149">
        <f>A19+1</f>
        <v>2</v>
      </c>
      <c r="B20" s="151">
        <f t="shared" ref="B20:B83" si="5">+F19</f>
        <v>0</v>
      </c>
      <c r="C20" s="151">
        <f t="shared" si="0"/>
        <v>0</v>
      </c>
      <c r="D20" s="151">
        <f t="shared" si="1"/>
        <v>0</v>
      </c>
      <c r="E20" s="151">
        <f t="shared" si="2"/>
        <v>0</v>
      </c>
      <c r="F20" s="151">
        <f t="shared" si="3"/>
        <v>0</v>
      </c>
      <c r="G20" s="131">
        <f t="shared" si="4"/>
        <v>0</v>
      </c>
    </row>
    <row r="21" spans="1:13" ht="15" customHeight="1" x14ac:dyDescent="0.25">
      <c r="A21" s="149">
        <f t="shared" ref="A21:A84" si="6">A20+1</f>
        <v>3</v>
      </c>
      <c r="B21" s="151">
        <f t="shared" si="5"/>
        <v>0</v>
      </c>
      <c r="C21" s="151">
        <f t="shared" si="0"/>
        <v>0</v>
      </c>
      <c r="D21" s="151">
        <f t="shared" si="1"/>
        <v>0</v>
      </c>
      <c r="E21" s="151">
        <f t="shared" si="2"/>
        <v>0</v>
      </c>
      <c r="F21" s="151">
        <f t="shared" si="3"/>
        <v>0</v>
      </c>
      <c r="G21" s="131">
        <f t="shared" si="4"/>
        <v>0</v>
      </c>
    </row>
    <row r="22" spans="1:13" x14ac:dyDescent="0.25">
      <c r="A22" s="149">
        <f t="shared" si="6"/>
        <v>4</v>
      </c>
      <c r="B22" s="151">
        <f t="shared" si="5"/>
        <v>0</v>
      </c>
      <c r="C22" s="151">
        <f t="shared" si="0"/>
        <v>0</v>
      </c>
      <c r="D22" s="151">
        <f t="shared" si="1"/>
        <v>0</v>
      </c>
      <c r="E22" s="151">
        <f t="shared" si="2"/>
        <v>0</v>
      </c>
      <c r="F22" s="151">
        <f t="shared" si="3"/>
        <v>0</v>
      </c>
      <c r="G22" s="131">
        <f t="shared" si="4"/>
        <v>0</v>
      </c>
      <c r="M22" s="144"/>
    </row>
    <row r="23" spans="1:13" x14ac:dyDescent="0.25">
      <c r="A23" s="149">
        <f t="shared" si="6"/>
        <v>5</v>
      </c>
      <c r="B23" s="151">
        <f t="shared" si="5"/>
        <v>0</v>
      </c>
      <c r="C23" s="151">
        <f t="shared" si="0"/>
        <v>0</v>
      </c>
      <c r="D23" s="151">
        <f t="shared" si="1"/>
        <v>0</v>
      </c>
      <c r="E23" s="151">
        <f t="shared" si="2"/>
        <v>0</v>
      </c>
      <c r="F23" s="151">
        <f t="shared" si="3"/>
        <v>0</v>
      </c>
      <c r="G23" s="131">
        <f t="shared" si="4"/>
        <v>0</v>
      </c>
    </row>
    <row r="24" spans="1:13" x14ac:dyDescent="0.25">
      <c r="A24" s="149">
        <f t="shared" si="6"/>
        <v>6</v>
      </c>
      <c r="B24" s="151">
        <f t="shared" si="5"/>
        <v>0</v>
      </c>
      <c r="C24" s="151">
        <f t="shared" si="0"/>
        <v>0</v>
      </c>
      <c r="D24" s="151">
        <f t="shared" si="1"/>
        <v>0</v>
      </c>
      <c r="E24" s="151">
        <f t="shared" si="2"/>
        <v>0</v>
      </c>
      <c r="F24" s="151">
        <f t="shared" si="3"/>
        <v>0</v>
      </c>
      <c r="G24" s="131">
        <f t="shared" si="4"/>
        <v>0</v>
      </c>
    </row>
    <row r="25" spans="1:13" x14ac:dyDescent="0.25">
      <c r="A25" s="149">
        <f t="shared" si="6"/>
        <v>7</v>
      </c>
      <c r="B25" s="151">
        <f t="shared" si="5"/>
        <v>0</v>
      </c>
      <c r="C25" s="151">
        <f t="shared" si="0"/>
        <v>0</v>
      </c>
      <c r="D25" s="151">
        <f t="shared" si="1"/>
        <v>0</v>
      </c>
      <c r="E25" s="151">
        <f t="shared" si="2"/>
        <v>0</v>
      </c>
      <c r="F25" s="151">
        <f t="shared" si="3"/>
        <v>0</v>
      </c>
      <c r="G25" s="131">
        <f t="shared" si="4"/>
        <v>0</v>
      </c>
    </row>
    <row r="26" spans="1:13" x14ac:dyDescent="0.25">
      <c r="A26" s="149">
        <f t="shared" si="6"/>
        <v>8</v>
      </c>
      <c r="B26" s="151">
        <f t="shared" si="5"/>
        <v>0</v>
      </c>
      <c r="C26" s="151">
        <f t="shared" si="0"/>
        <v>0</v>
      </c>
      <c r="D26" s="151">
        <f t="shared" si="1"/>
        <v>0</v>
      </c>
      <c r="E26" s="151">
        <f t="shared" si="2"/>
        <v>0</v>
      </c>
      <c r="F26" s="151">
        <f t="shared" si="3"/>
        <v>0</v>
      </c>
      <c r="G26" s="131">
        <f t="shared" si="4"/>
        <v>0</v>
      </c>
    </row>
    <row r="27" spans="1:13" x14ac:dyDescent="0.25">
      <c r="A27" s="149">
        <f t="shared" si="6"/>
        <v>9</v>
      </c>
      <c r="B27" s="151">
        <f t="shared" si="5"/>
        <v>0</v>
      </c>
      <c r="C27" s="151">
        <f t="shared" si="0"/>
        <v>0</v>
      </c>
      <c r="D27" s="151">
        <f t="shared" si="1"/>
        <v>0</v>
      </c>
      <c r="E27" s="151">
        <f t="shared" si="2"/>
        <v>0</v>
      </c>
      <c r="F27" s="151">
        <f t="shared" si="3"/>
        <v>0</v>
      </c>
      <c r="G27" s="131">
        <f t="shared" si="4"/>
        <v>0</v>
      </c>
    </row>
    <row r="28" spans="1:13" x14ac:dyDescent="0.25">
      <c r="A28" s="149">
        <f t="shared" si="6"/>
        <v>10</v>
      </c>
      <c r="B28" s="151">
        <f t="shared" si="5"/>
        <v>0</v>
      </c>
      <c r="C28" s="151">
        <f t="shared" si="0"/>
        <v>0</v>
      </c>
      <c r="D28" s="151">
        <f t="shared" si="1"/>
        <v>0</v>
      </c>
      <c r="E28" s="151">
        <f t="shared" si="2"/>
        <v>0</v>
      </c>
      <c r="F28" s="151">
        <f t="shared" si="3"/>
        <v>0</v>
      </c>
      <c r="G28" s="131">
        <f t="shared" si="4"/>
        <v>0</v>
      </c>
    </row>
    <row r="29" spans="1:13" x14ac:dyDescent="0.25">
      <c r="A29" s="149">
        <f t="shared" si="6"/>
        <v>11</v>
      </c>
      <c r="B29" s="151">
        <f t="shared" si="5"/>
        <v>0</v>
      </c>
      <c r="C29" s="151">
        <f t="shared" si="0"/>
        <v>0</v>
      </c>
      <c r="D29" s="151">
        <f t="shared" si="1"/>
        <v>0</v>
      </c>
      <c r="E29" s="151">
        <f t="shared" si="2"/>
        <v>0</v>
      </c>
      <c r="F29" s="151">
        <f t="shared" si="3"/>
        <v>0</v>
      </c>
      <c r="G29" s="131">
        <f t="shared" si="4"/>
        <v>0</v>
      </c>
    </row>
    <row r="30" spans="1:13" x14ac:dyDescent="0.25">
      <c r="A30" s="149">
        <f t="shared" si="6"/>
        <v>12</v>
      </c>
      <c r="B30" s="151">
        <f t="shared" si="5"/>
        <v>0</v>
      </c>
      <c r="C30" s="151">
        <f t="shared" si="0"/>
        <v>0</v>
      </c>
      <c r="D30" s="151">
        <f t="shared" si="1"/>
        <v>0</v>
      </c>
      <c r="E30" s="151">
        <f t="shared" si="2"/>
        <v>0</v>
      </c>
      <c r="F30" s="151">
        <f t="shared" si="3"/>
        <v>0</v>
      </c>
      <c r="G30" s="131">
        <f t="shared" si="4"/>
        <v>0</v>
      </c>
    </row>
    <row r="31" spans="1:13" x14ac:dyDescent="0.25">
      <c r="A31" s="149">
        <f t="shared" si="6"/>
        <v>13</v>
      </c>
      <c r="B31" s="151">
        <f t="shared" si="5"/>
        <v>0</v>
      </c>
      <c r="C31" s="151">
        <f t="shared" si="0"/>
        <v>0</v>
      </c>
      <c r="D31" s="151">
        <f t="shared" si="1"/>
        <v>0</v>
      </c>
      <c r="E31" s="151">
        <f t="shared" si="2"/>
        <v>0</v>
      </c>
      <c r="F31" s="151">
        <f t="shared" si="3"/>
        <v>0</v>
      </c>
      <c r="G31" s="131">
        <f t="shared" si="4"/>
        <v>0</v>
      </c>
    </row>
    <row r="32" spans="1:13" x14ac:dyDescent="0.25">
      <c r="A32" s="149">
        <f t="shared" si="6"/>
        <v>14</v>
      </c>
      <c r="B32" s="151">
        <f t="shared" si="5"/>
        <v>0</v>
      </c>
      <c r="C32" s="151">
        <f t="shared" si="0"/>
        <v>0</v>
      </c>
      <c r="D32" s="151">
        <f t="shared" si="1"/>
        <v>0</v>
      </c>
      <c r="E32" s="151">
        <f t="shared" si="2"/>
        <v>0</v>
      </c>
      <c r="F32" s="151">
        <f t="shared" si="3"/>
        <v>0</v>
      </c>
      <c r="G32" s="131">
        <f t="shared" si="4"/>
        <v>0</v>
      </c>
    </row>
    <row r="33" spans="1:7" x14ac:dyDescent="0.25">
      <c r="A33" s="149">
        <f t="shared" si="6"/>
        <v>15</v>
      </c>
      <c r="B33" s="151">
        <f t="shared" si="5"/>
        <v>0</v>
      </c>
      <c r="C33" s="151">
        <f t="shared" si="0"/>
        <v>0</v>
      </c>
      <c r="D33" s="151">
        <f t="shared" si="1"/>
        <v>0</v>
      </c>
      <c r="E33" s="151">
        <f t="shared" si="2"/>
        <v>0</v>
      </c>
      <c r="F33" s="151">
        <f t="shared" si="3"/>
        <v>0</v>
      </c>
      <c r="G33" s="131">
        <f t="shared" si="4"/>
        <v>0</v>
      </c>
    </row>
    <row r="34" spans="1:7" x14ac:dyDescent="0.25">
      <c r="A34" s="149">
        <f t="shared" si="6"/>
        <v>16</v>
      </c>
      <c r="B34" s="151">
        <f t="shared" si="5"/>
        <v>0</v>
      </c>
      <c r="C34" s="151">
        <f t="shared" si="0"/>
        <v>0</v>
      </c>
      <c r="D34" s="151">
        <f t="shared" si="1"/>
        <v>0</v>
      </c>
      <c r="E34" s="151">
        <f t="shared" si="2"/>
        <v>0</v>
      </c>
      <c r="F34" s="151">
        <f t="shared" si="3"/>
        <v>0</v>
      </c>
      <c r="G34" s="131">
        <f t="shared" si="4"/>
        <v>0</v>
      </c>
    </row>
    <row r="35" spans="1:7" x14ac:dyDescent="0.25">
      <c r="A35" s="149">
        <f t="shared" si="6"/>
        <v>17</v>
      </c>
      <c r="B35" s="151">
        <f t="shared" si="5"/>
        <v>0</v>
      </c>
      <c r="C35" s="151">
        <f t="shared" si="0"/>
        <v>0</v>
      </c>
      <c r="D35" s="151">
        <f t="shared" si="1"/>
        <v>0</v>
      </c>
      <c r="E35" s="151">
        <f t="shared" si="2"/>
        <v>0</v>
      </c>
      <c r="F35" s="151">
        <f t="shared" si="3"/>
        <v>0</v>
      </c>
      <c r="G35" s="131">
        <f t="shared" si="4"/>
        <v>0</v>
      </c>
    </row>
    <row r="36" spans="1:7" x14ac:dyDescent="0.25">
      <c r="A36" s="149">
        <f t="shared" si="6"/>
        <v>18</v>
      </c>
      <c r="B36" s="151">
        <f t="shared" si="5"/>
        <v>0</v>
      </c>
      <c r="C36" s="151">
        <f t="shared" si="0"/>
        <v>0</v>
      </c>
      <c r="D36" s="151">
        <f t="shared" si="1"/>
        <v>0</v>
      </c>
      <c r="E36" s="151">
        <f t="shared" si="2"/>
        <v>0</v>
      </c>
      <c r="F36" s="151">
        <f t="shared" si="3"/>
        <v>0</v>
      </c>
      <c r="G36" s="131">
        <f t="shared" si="4"/>
        <v>0</v>
      </c>
    </row>
    <row r="37" spans="1:7" x14ac:dyDescent="0.25">
      <c r="A37" s="149">
        <f t="shared" si="6"/>
        <v>19</v>
      </c>
      <c r="B37" s="151">
        <f t="shared" si="5"/>
        <v>0</v>
      </c>
      <c r="C37" s="151">
        <f t="shared" si="0"/>
        <v>0</v>
      </c>
      <c r="D37" s="151">
        <f t="shared" si="1"/>
        <v>0</v>
      </c>
      <c r="E37" s="151">
        <f t="shared" si="2"/>
        <v>0</v>
      </c>
      <c r="F37" s="151">
        <f t="shared" si="3"/>
        <v>0</v>
      </c>
      <c r="G37" s="131">
        <f t="shared" si="4"/>
        <v>0</v>
      </c>
    </row>
    <row r="38" spans="1:7" x14ac:dyDescent="0.25">
      <c r="A38" s="149">
        <f t="shared" si="6"/>
        <v>20</v>
      </c>
      <c r="B38" s="151">
        <f t="shared" si="5"/>
        <v>0</v>
      </c>
      <c r="C38" s="151">
        <f t="shared" si="0"/>
        <v>0</v>
      </c>
      <c r="D38" s="151">
        <f t="shared" si="1"/>
        <v>0</v>
      </c>
      <c r="E38" s="151">
        <f t="shared" si="2"/>
        <v>0</v>
      </c>
      <c r="F38" s="151">
        <f t="shared" si="3"/>
        <v>0</v>
      </c>
      <c r="G38" s="131">
        <f t="shared" si="4"/>
        <v>0</v>
      </c>
    </row>
    <row r="39" spans="1:7" x14ac:dyDescent="0.25">
      <c r="A39" s="149">
        <f t="shared" si="6"/>
        <v>21</v>
      </c>
      <c r="B39" s="151">
        <f t="shared" si="5"/>
        <v>0</v>
      </c>
      <c r="C39" s="151">
        <f t="shared" si="0"/>
        <v>0</v>
      </c>
      <c r="D39" s="151">
        <f t="shared" si="1"/>
        <v>0</v>
      </c>
      <c r="E39" s="151">
        <f t="shared" si="2"/>
        <v>0</v>
      </c>
      <c r="F39" s="151">
        <f t="shared" si="3"/>
        <v>0</v>
      </c>
      <c r="G39" s="131">
        <f t="shared" si="4"/>
        <v>0</v>
      </c>
    </row>
    <row r="40" spans="1:7" x14ac:dyDescent="0.25">
      <c r="A40" s="149">
        <f t="shared" si="6"/>
        <v>22</v>
      </c>
      <c r="B40" s="151">
        <f t="shared" si="5"/>
        <v>0</v>
      </c>
      <c r="C40" s="151">
        <f t="shared" si="0"/>
        <v>0</v>
      </c>
      <c r="D40" s="151">
        <f t="shared" si="1"/>
        <v>0</v>
      </c>
      <c r="E40" s="151">
        <f t="shared" si="2"/>
        <v>0</v>
      </c>
      <c r="F40" s="151">
        <f t="shared" si="3"/>
        <v>0</v>
      </c>
      <c r="G40" s="131">
        <f t="shared" si="4"/>
        <v>0</v>
      </c>
    </row>
    <row r="41" spans="1:7" x14ac:dyDescent="0.25">
      <c r="A41" s="149">
        <f t="shared" si="6"/>
        <v>23</v>
      </c>
      <c r="B41" s="151">
        <f t="shared" si="5"/>
        <v>0</v>
      </c>
      <c r="C41" s="151">
        <f t="shared" si="0"/>
        <v>0</v>
      </c>
      <c r="D41" s="151">
        <f t="shared" si="1"/>
        <v>0</v>
      </c>
      <c r="E41" s="151">
        <f t="shared" si="2"/>
        <v>0</v>
      </c>
      <c r="F41" s="151">
        <f t="shared" si="3"/>
        <v>0</v>
      </c>
      <c r="G41" s="131">
        <f t="shared" si="4"/>
        <v>0</v>
      </c>
    </row>
    <row r="42" spans="1:7" x14ac:dyDescent="0.25">
      <c r="A42" s="149">
        <f t="shared" si="6"/>
        <v>24</v>
      </c>
      <c r="B42" s="151">
        <f t="shared" si="5"/>
        <v>0</v>
      </c>
      <c r="C42" s="151">
        <f t="shared" si="0"/>
        <v>0</v>
      </c>
      <c r="D42" s="151">
        <f t="shared" si="1"/>
        <v>0</v>
      </c>
      <c r="E42" s="151">
        <f t="shared" si="2"/>
        <v>0</v>
      </c>
      <c r="F42" s="151">
        <f t="shared" si="3"/>
        <v>0</v>
      </c>
      <c r="G42" s="131">
        <f t="shared" si="4"/>
        <v>0</v>
      </c>
    </row>
    <row r="43" spans="1:7" x14ac:dyDescent="0.25">
      <c r="A43" s="149">
        <f t="shared" si="6"/>
        <v>25</v>
      </c>
      <c r="B43" s="151">
        <f t="shared" si="5"/>
        <v>0</v>
      </c>
      <c r="C43" s="151">
        <f t="shared" si="0"/>
        <v>0</v>
      </c>
      <c r="D43" s="151">
        <f t="shared" si="1"/>
        <v>0</v>
      </c>
      <c r="E43" s="151">
        <f t="shared" si="2"/>
        <v>0</v>
      </c>
      <c r="F43" s="151">
        <f t="shared" si="3"/>
        <v>0</v>
      </c>
      <c r="G43" s="131">
        <f t="shared" si="4"/>
        <v>0</v>
      </c>
    </row>
    <row r="44" spans="1:7" x14ac:dyDescent="0.25">
      <c r="A44" s="149">
        <f t="shared" si="6"/>
        <v>26</v>
      </c>
      <c r="B44" s="151">
        <f t="shared" si="5"/>
        <v>0</v>
      </c>
      <c r="C44" s="151">
        <f t="shared" si="0"/>
        <v>0</v>
      </c>
      <c r="D44" s="151">
        <f t="shared" si="1"/>
        <v>0</v>
      </c>
      <c r="E44" s="151">
        <f t="shared" si="2"/>
        <v>0</v>
      </c>
      <c r="F44" s="151">
        <f t="shared" si="3"/>
        <v>0</v>
      </c>
      <c r="G44" s="131">
        <f t="shared" si="4"/>
        <v>0</v>
      </c>
    </row>
    <row r="45" spans="1:7" x14ac:dyDescent="0.25">
      <c r="A45" s="149">
        <f t="shared" si="6"/>
        <v>27</v>
      </c>
      <c r="B45" s="151">
        <f t="shared" si="5"/>
        <v>0</v>
      </c>
      <c r="C45" s="151">
        <f t="shared" si="0"/>
        <v>0</v>
      </c>
      <c r="D45" s="151">
        <f t="shared" si="1"/>
        <v>0</v>
      </c>
      <c r="E45" s="151">
        <f t="shared" si="2"/>
        <v>0</v>
      </c>
      <c r="F45" s="151">
        <f t="shared" si="3"/>
        <v>0</v>
      </c>
      <c r="G45" s="131">
        <f t="shared" si="4"/>
        <v>0</v>
      </c>
    </row>
    <row r="46" spans="1:7" x14ac:dyDescent="0.25">
      <c r="A46" s="149">
        <f t="shared" si="6"/>
        <v>28</v>
      </c>
      <c r="B46" s="151">
        <f t="shared" si="5"/>
        <v>0</v>
      </c>
      <c r="C46" s="151">
        <f t="shared" si="0"/>
        <v>0</v>
      </c>
      <c r="D46" s="151">
        <f t="shared" si="1"/>
        <v>0</v>
      </c>
      <c r="E46" s="151">
        <f t="shared" si="2"/>
        <v>0</v>
      </c>
      <c r="F46" s="151">
        <f t="shared" si="3"/>
        <v>0</v>
      </c>
      <c r="G46" s="131">
        <f t="shared" si="4"/>
        <v>0</v>
      </c>
    </row>
    <row r="47" spans="1:7" x14ac:dyDescent="0.25">
      <c r="A47" s="149">
        <f t="shared" si="6"/>
        <v>29</v>
      </c>
      <c r="B47" s="151">
        <f t="shared" si="5"/>
        <v>0</v>
      </c>
      <c r="C47" s="151">
        <f t="shared" si="0"/>
        <v>0</v>
      </c>
      <c r="D47" s="151">
        <f t="shared" si="1"/>
        <v>0</v>
      </c>
      <c r="E47" s="151">
        <f t="shared" si="2"/>
        <v>0</v>
      </c>
      <c r="F47" s="151">
        <f t="shared" si="3"/>
        <v>0</v>
      </c>
      <c r="G47" s="131">
        <f t="shared" si="4"/>
        <v>0</v>
      </c>
    </row>
    <row r="48" spans="1:7" x14ac:dyDescent="0.25">
      <c r="A48" s="149">
        <f t="shared" si="6"/>
        <v>30</v>
      </c>
      <c r="B48" s="151">
        <f t="shared" si="5"/>
        <v>0</v>
      </c>
      <c r="C48" s="151">
        <f t="shared" si="0"/>
        <v>0</v>
      </c>
      <c r="D48" s="151">
        <f t="shared" si="1"/>
        <v>0</v>
      </c>
      <c r="E48" s="151">
        <f t="shared" si="2"/>
        <v>0</v>
      </c>
      <c r="F48" s="151">
        <f t="shared" si="3"/>
        <v>0</v>
      </c>
      <c r="G48" s="131">
        <f t="shared" si="4"/>
        <v>0</v>
      </c>
    </row>
    <row r="49" spans="1:7" x14ac:dyDescent="0.25">
      <c r="A49" s="149">
        <f t="shared" si="6"/>
        <v>31</v>
      </c>
      <c r="B49" s="151">
        <f t="shared" si="5"/>
        <v>0</v>
      </c>
      <c r="C49" s="151">
        <f t="shared" si="0"/>
        <v>0</v>
      </c>
      <c r="D49" s="151">
        <f t="shared" si="1"/>
        <v>0</v>
      </c>
      <c r="E49" s="151">
        <f t="shared" si="2"/>
        <v>0</v>
      </c>
      <c r="F49" s="151">
        <f t="shared" si="3"/>
        <v>0</v>
      </c>
      <c r="G49" s="131">
        <f t="shared" si="4"/>
        <v>0</v>
      </c>
    </row>
    <row r="50" spans="1:7" x14ac:dyDescent="0.25">
      <c r="A50" s="149">
        <f t="shared" si="6"/>
        <v>32</v>
      </c>
      <c r="B50" s="151">
        <f t="shared" si="5"/>
        <v>0</v>
      </c>
      <c r="C50" s="151">
        <f t="shared" si="0"/>
        <v>0</v>
      </c>
      <c r="D50" s="151">
        <f t="shared" si="1"/>
        <v>0</v>
      </c>
      <c r="E50" s="151">
        <f t="shared" si="2"/>
        <v>0</v>
      </c>
      <c r="F50" s="151">
        <f t="shared" si="3"/>
        <v>0</v>
      </c>
      <c r="G50" s="131">
        <f t="shared" si="4"/>
        <v>0</v>
      </c>
    </row>
    <row r="51" spans="1:7" x14ac:dyDescent="0.25">
      <c r="A51" s="149">
        <f t="shared" si="6"/>
        <v>33</v>
      </c>
      <c r="B51" s="151">
        <f t="shared" si="5"/>
        <v>0</v>
      </c>
      <c r="C51" s="151">
        <f t="shared" si="0"/>
        <v>0</v>
      </c>
      <c r="D51" s="151">
        <f t="shared" si="1"/>
        <v>0</v>
      </c>
      <c r="E51" s="151">
        <f t="shared" si="2"/>
        <v>0</v>
      </c>
      <c r="F51" s="151">
        <f t="shared" si="3"/>
        <v>0</v>
      </c>
      <c r="G51" s="131">
        <f t="shared" si="4"/>
        <v>0</v>
      </c>
    </row>
    <row r="52" spans="1:7" x14ac:dyDescent="0.25">
      <c r="A52" s="149">
        <f t="shared" si="6"/>
        <v>34</v>
      </c>
      <c r="B52" s="151">
        <f t="shared" si="5"/>
        <v>0</v>
      </c>
      <c r="C52" s="151">
        <f t="shared" si="0"/>
        <v>0</v>
      </c>
      <c r="D52" s="151">
        <f t="shared" si="1"/>
        <v>0</v>
      </c>
      <c r="E52" s="151">
        <f t="shared" si="2"/>
        <v>0</v>
      </c>
      <c r="F52" s="151">
        <f t="shared" si="3"/>
        <v>0</v>
      </c>
      <c r="G52" s="131">
        <f t="shared" si="4"/>
        <v>0</v>
      </c>
    </row>
    <row r="53" spans="1:7" x14ac:dyDescent="0.25">
      <c r="A53" s="149">
        <f t="shared" si="6"/>
        <v>35</v>
      </c>
      <c r="B53" s="151">
        <f t="shared" si="5"/>
        <v>0</v>
      </c>
      <c r="C53" s="151">
        <f t="shared" si="0"/>
        <v>0</v>
      </c>
      <c r="D53" s="151">
        <f t="shared" si="1"/>
        <v>0</v>
      </c>
      <c r="E53" s="151">
        <f t="shared" si="2"/>
        <v>0</v>
      </c>
      <c r="F53" s="151">
        <f t="shared" si="3"/>
        <v>0</v>
      </c>
      <c r="G53" s="131">
        <f t="shared" si="4"/>
        <v>0</v>
      </c>
    </row>
    <row r="54" spans="1:7" x14ac:dyDescent="0.25">
      <c r="A54" s="149">
        <f t="shared" si="6"/>
        <v>36</v>
      </c>
      <c r="B54" s="151">
        <f t="shared" si="5"/>
        <v>0</v>
      </c>
      <c r="C54" s="151">
        <f t="shared" si="0"/>
        <v>0</v>
      </c>
      <c r="D54" s="151">
        <f t="shared" si="1"/>
        <v>0</v>
      </c>
      <c r="E54" s="151">
        <f t="shared" si="2"/>
        <v>0</v>
      </c>
      <c r="F54" s="151">
        <f t="shared" si="3"/>
        <v>0</v>
      </c>
      <c r="G54" s="131">
        <f t="shared" si="4"/>
        <v>0</v>
      </c>
    </row>
    <row r="55" spans="1:7" x14ac:dyDescent="0.25">
      <c r="A55" s="149">
        <f t="shared" si="6"/>
        <v>37</v>
      </c>
      <c r="B55" s="151">
        <f t="shared" si="5"/>
        <v>0</v>
      </c>
      <c r="C55" s="151">
        <f t="shared" si="0"/>
        <v>0</v>
      </c>
      <c r="D55" s="151">
        <f t="shared" si="1"/>
        <v>0</v>
      </c>
      <c r="E55" s="151">
        <f t="shared" si="2"/>
        <v>0</v>
      </c>
      <c r="F55" s="151">
        <f t="shared" si="3"/>
        <v>0</v>
      </c>
      <c r="G55" s="131">
        <f t="shared" si="4"/>
        <v>0</v>
      </c>
    </row>
    <row r="56" spans="1:7" x14ac:dyDescent="0.25">
      <c r="A56" s="149">
        <f t="shared" si="6"/>
        <v>38</v>
      </c>
      <c r="B56" s="151">
        <f t="shared" si="5"/>
        <v>0</v>
      </c>
      <c r="C56" s="151">
        <f t="shared" si="0"/>
        <v>0</v>
      </c>
      <c r="D56" s="151">
        <f t="shared" si="1"/>
        <v>0</v>
      </c>
      <c r="E56" s="151">
        <f t="shared" si="2"/>
        <v>0</v>
      </c>
      <c r="F56" s="151">
        <f t="shared" si="3"/>
        <v>0</v>
      </c>
      <c r="G56" s="131">
        <f t="shared" si="4"/>
        <v>0</v>
      </c>
    </row>
    <row r="57" spans="1:7" x14ac:dyDescent="0.25">
      <c r="A57" s="149">
        <f t="shared" si="6"/>
        <v>39</v>
      </c>
      <c r="B57" s="151">
        <f t="shared" si="5"/>
        <v>0</v>
      </c>
      <c r="C57" s="151">
        <f t="shared" si="0"/>
        <v>0</v>
      </c>
      <c r="D57" s="151">
        <f t="shared" si="1"/>
        <v>0</v>
      </c>
      <c r="E57" s="151">
        <f t="shared" si="2"/>
        <v>0</v>
      </c>
      <c r="F57" s="151">
        <f t="shared" si="3"/>
        <v>0</v>
      </c>
      <c r="G57" s="131">
        <f t="shared" si="4"/>
        <v>0</v>
      </c>
    </row>
    <row r="58" spans="1:7" x14ac:dyDescent="0.25">
      <c r="A58" s="149">
        <f t="shared" si="6"/>
        <v>40</v>
      </c>
      <c r="B58" s="151">
        <f t="shared" si="5"/>
        <v>0</v>
      </c>
      <c r="C58" s="151">
        <f t="shared" si="0"/>
        <v>0</v>
      </c>
      <c r="D58" s="151">
        <f t="shared" si="1"/>
        <v>0</v>
      </c>
      <c r="E58" s="151">
        <f t="shared" si="2"/>
        <v>0</v>
      </c>
      <c r="F58" s="151">
        <f t="shared" si="3"/>
        <v>0</v>
      </c>
      <c r="G58" s="131">
        <f t="shared" si="4"/>
        <v>0</v>
      </c>
    </row>
    <row r="59" spans="1:7" x14ac:dyDescent="0.25">
      <c r="A59" s="149">
        <f t="shared" si="6"/>
        <v>41</v>
      </c>
      <c r="B59" s="151">
        <f t="shared" si="5"/>
        <v>0</v>
      </c>
      <c r="C59" s="151">
        <f t="shared" si="0"/>
        <v>0</v>
      </c>
      <c r="D59" s="151">
        <f t="shared" si="1"/>
        <v>0</v>
      </c>
      <c r="E59" s="151">
        <f t="shared" si="2"/>
        <v>0</v>
      </c>
      <c r="F59" s="151">
        <f t="shared" si="3"/>
        <v>0</v>
      </c>
      <c r="G59" s="131">
        <f t="shared" si="4"/>
        <v>0</v>
      </c>
    </row>
    <row r="60" spans="1:7" x14ac:dyDescent="0.25">
      <c r="A60" s="149">
        <f t="shared" si="6"/>
        <v>42</v>
      </c>
      <c r="B60" s="151">
        <f t="shared" si="5"/>
        <v>0</v>
      </c>
      <c r="C60" s="151">
        <f t="shared" si="0"/>
        <v>0</v>
      </c>
      <c r="D60" s="151">
        <f t="shared" si="1"/>
        <v>0</v>
      </c>
      <c r="E60" s="151">
        <f t="shared" si="2"/>
        <v>0</v>
      </c>
      <c r="F60" s="151">
        <f t="shared" si="3"/>
        <v>0</v>
      </c>
      <c r="G60" s="131">
        <f t="shared" si="4"/>
        <v>0</v>
      </c>
    </row>
    <row r="61" spans="1:7" x14ac:dyDescent="0.25">
      <c r="A61" s="149">
        <f t="shared" si="6"/>
        <v>43</v>
      </c>
      <c r="B61" s="151">
        <f t="shared" si="5"/>
        <v>0</v>
      </c>
      <c r="C61" s="151">
        <f t="shared" si="0"/>
        <v>0</v>
      </c>
      <c r="D61" s="151">
        <f t="shared" si="1"/>
        <v>0</v>
      </c>
      <c r="E61" s="151">
        <f t="shared" si="2"/>
        <v>0</v>
      </c>
      <c r="F61" s="151">
        <f t="shared" si="3"/>
        <v>0</v>
      </c>
      <c r="G61" s="131">
        <f t="shared" si="4"/>
        <v>0</v>
      </c>
    </row>
    <row r="62" spans="1:7" x14ac:dyDescent="0.25">
      <c r="A62" s="149">
        <f t="shared" si="6"/>
        <v>44</v>
      </c>
      <c r="B62" s="151">
        <f t="shared" si="5"/>
        <v>0</v>
      </c>
      <c r="C62" s="151">
        <f t="shared" si="0"/>
        <v>0</v>
      </c>
      <c r="D62" s="151">
        <f t="shared" si="1"/>
        <v>0</v>
      </c>
      <c r="E62" s="151">
        <f t="shared" si="2"/>
        <v>0</v>
      </c>
      <c r="F62" s="151">
        <f t="shared" si="3"/>
        <v>0</v>
      </c>
      <c r="G62" s="131">
        <f t="shared" si="4"/>
        <v>0</v>
      </c>
    </row>
    <row r="63" spans="1:7" x14ac:dyDescent="0.25">
      <c r="A63" s="149">
        <f t="shared" si="6"/>
        <v>45</v>
      </c>
      <c r="B63" s="151">
        <f t="shared" si="5"/>
        <v>0</v>
      </c>
      <c r="C63" s="151">
        <f t="shared" si="0"/>
        <v>0</v>
      </c>
      <c r="D63" s="151">
        <f t="shared" si="1"/>
        <v>0</v>
      </c>
      <c r="E63" s="151">
        <f t="shared" si="2"/>
        <v>0</v>
      </c>
      <c r="F63" s="151">
        <f t="shared" si="3"/>
        <v>0</v>
      </c>
      <c r="G63" s="131">
        <f t="shared" si="4"/>
        <v>0</v>
      </c>
    </row>
    <row r="64" spans="1:7" x14ac:dyDescent="0.25">
      <c r="A64" s="149">
        <f t="shared" si="6"/>
        <v>46</v>
      </c>
      <c r="B64" s="151">
        <f t="shared" si="5"/>
        <v>0</v>
      </c>
      <c r="C64" s="151">
        <f t="shared" si="0"/>
        <v>0</v>
      </c>
      <c r="D64" s="151">
        <f t="shared" si="1"/>
        <v>0</v>
      </c>
      <c r="E64" s="151">
        <f t="shared" si="2"/>
        <v>0</v>
      </c>
      <c r="F64" s="151">
        <f t="shared" si="3"/>
        <v>0</v>
      </c>
      <c r="G64" s="131">
        <f t="shared" si="4"/>
        <v>0</v>
      </c>
    </row>
    <row r="65" spans="1:7" x14ac:dyDescent="0.25">
      <c r="A65" s="149">
        <f t="shared" si="6"/>
        <v>47</v>
      </c>
      <c r="B65" s="151">
        <f t="shared" si="5"/>
        <v>0</v>
      </c>
      <c r="C65" s="151">
        <f t="shared" si="0"/>
        <v>0</v>
      </c>
      <c r="D65" s="151">
        <f t="shared" si="1"/>
        <v>0</v>
      </c>
      <c r="E65" s="151">
        <f t="shared" si="2"/>
        <v>0</v>
      </c>
      <c r="F65" s="151">
        <f t="shared" si="3"/>
        <v>0</v>
      </c>
      <c r="G65" s="131">
        <f t="shared" si="4"/>
        <v>0</v>
      </c>
    </row>
    <row r="66" spans="1:7" x14ac:dyDescent="0.25">
      <c r="A66" s="149">
        <f t="shared" si="6"/>
        <v>48</v>
      </c>
      <c r="B66" s="151">
        <f t="shared" si="5"/>
        <v>0</v>
      </c>
      <c r="C66" s="151">
        <f t="shared" si="0"/>
        <v>0</v>
      </c>
      <c r="D66" s="151">
        <f t="shared" si="1"/>
        <v>0</v>
      </c>
      <c r="E66" s="151">
        <f t="shared" si="2"/>
        <v>0</v>
      </c>
      <c r="F66" s="151">
        <f t="shared" si="3"/>
        <v>0</v>
      </c>
      <c r="G66" s="131">
        <f t="shared" si="4"/>
        <v>0</v>
      </c>
    </row>
    <row r="67" spans="1:7" x14ac:dyDescent="0.25">
      <c r="A67" s="149">
        <f t="shared" si="6"/>
        <v>49</v>
      </c>
      <c r="B67" s="151">
        <f t="shared" si="5"/>
        <v>0</v>
      </c>
      <c r="C67" s="151">
        <f t="shared" si="0"/>
        <v>0</v>
      </c>
      <c r="D67" s="151">
        <f t="shared" si="1"/>
        <v>0</v>
      </c>
      <c r="E67" s="151">
        <f t="shared" si="2"/>
        <v>0</v>
      </c>
      <c r="F67" s="151">
        <f t="shared" si="3"/>
        <v>0</v>
      </c>
      <c r="G67" s="131">
        <f t="shared" si="4"/>
        <v>0</v>
      </c>
    </row>
    <row r="68" spans="1:7" x14ac:dyDescent="0.25">
      <c r="A68" s="149">
        <f t="shared" si="6"/>
        <v>50</v>
      </c>
      <c r="B68" s="151">
        <f t="shared" si="5"/>
        <v>0</v>
      </c>
      <c r="C68" s="151">
        <f t="shared" si="0"/>
        <v>0</v>
      </c>
      <c r="D68" s="151">
        <f t="shared" si="1"/>
        <v>0</v>
      </c>
      <c r="E68" s="151">
        <f t="shared" si="2"/>
        <v>0</v>
      </c>
      <c r="F68" s="151">
        <f t="shared" si="3"/>
        <v>0</v>
      </c>
      <c r="G68" s="131">
        <f t="shared" si="4"/>
        <v>0</v>
      </c>
    </row>
    <row r="69" spans="1:7" x14ac:dyDescent="0.25">
      <c r="A69" s="149">
        <f t="shared" si="6"/>
        <v>51</v>
      </c>
      <c r="B69" s="151">
        <f t="shared" si="5"/>
        <v>0</v>
      </c>
      <c r="C69" s="151">
        <f t="shared" si="0"/>
        <v>0</v>
      </c>
      <c r="D69" s="151">
        <f t="shared" si="1"/>
        <v>0</v>
      </c>
      <c r="E69" s="151">
        <f t="shared" si="2"/>
        <v>0</v>
      </c>
      <c r="F69" s="151">
        <f t="shared" si="3"/>
        <v>0</v>
      </c>
      <c r="G69" s="131">
        <f t="shared" si="4"/>
        <v>0</v>
      </c>
    </row>
    <row r="70" spans="1:7" x14ac:dyDescent="0.25">
      <c r="A70" s="149">
        <f t="shared" si="6"/>
        <v>52</v>
      </c>
      <c r="B70" s="151">
        <f t="shared" si="5"/>
        <v>0</v>
      </c>
      <c r="C70" s="151">
        <f t="shared" si="0"/>
        <v>0</v>
      </c>
      <c r="D70" s="151">
        <f t="shared" si="1"/>
        <v>0</v>
      </c>
      <c r="E70" s="151">
        <f t="shared" si="2"/>
        <v>0</v>
      </c>
      <c r="F70" s="151">
        <f t="shared" si="3"/>
        <v>0</v>
      </c>
      <c r="G70" s="131">
        <f t="shared" si="4"/>
        <v>0</v>
      </c>
    </row>
    <row r="71" spans="1:7" x14ac:dyDescent="0.25">
      <c r="A71" s="149">
        <f t="shared" si="6"/>
        <v>53</v>
      </c>
      <c r="B71" s="151">
        <f t="shared" si="5"/>
        <v>0</v>
      </c>
      <c r="C71" s="151">
        <f t="shared" si="0"/>
        <v>0</v>
      </c>
      <c r="D71" s="151">
        <f t="shared" si="1"/>
        <v>0</v>
      </c>
      <c r="E71" s="151">
        <f t="shared" si="2"/>
        <v>0</v>
      </c>
      <c r="F71" s="151">
        <f t="shared" si="3"/>
        <v>0</v>
      </c>
      <c r="G71" s="131">
        <f t="shared" si="4"/>
        <v>0</v>
      </c>
    </row>
    <row r="72" spans="1:7" x14ac:dyDescent="0.25">
      <c r="A72" s="149">
        <f t="shared" si="6"/>
        <v>54</v>
      </c>
      <c r="B72" s="151">
        <f t="shared" si="5"/>
        <v>0</v>
      </c>
      <c r="C72" s="151">
        <f t="shared" si="0"/>
        <v>0</v>
      </c>
      <c r="D72" s="151">
        <f t="shared" si="1"/>
        <v>0</v>
      </c>
      <c r="E72" s="151">
        <f t="shared" si="2"/>
        <v>0</v>
      </c>
      <c r="F72" s="151">
        <f t="shared" si="3"/>
        <v>0</v>
      </c>
      <c r="G72" s="131">
        <f t="shared" si="4"/>
        <v>0</v>
      </c>
    </row>
    <row r="73" spans="1:7" x14ac:dyDescent="0.25">
      <c r="A73" s="149">
        <f t="shared" si="6"/>
        <v>55</v>
      </c>
      <c r="B73" s="151">
        <f t="shared" si="5"/>
        <v>0</v>
      </c>
      <c r="C73" s="151">
        <f t="shared" si="0"/>
        <v>0</v>
      </c>
      <c r="D73" s="151">
        <f t="shared" si="1"/>
        <v>0</v>
      </c>
      <c r="E73" s="151">
        <f t="shared" si="2"/>
        <v>0</v>
      </c>
      <c r="F73" s="151">
        <f t="shared" si="3"/>
        <v>0</v>
      </c>
      <c r="G73" s="131">
        <f t="shared" si="4"/>
        <v>0</v>
      </c>
    </row>
    <row r="74" spans="1:7" x14ac:dyDescent="0.25">
      <c r="A74" s="149">
        <f t="shared" si="6"/>
        <v>56</v>
      </c>
      <c r="B74" s="151">
        <f t="shared" si="5"/>
        <v>0</v>
      </c>
      <c r="C74" s="151">
        <f t="shared" si="0"/>
        <v>0</v>
      </c>
      <c r="D74" s="151">
        <f t="shared" si="1"/>
        <v>0</v>
      </c>
      <c r="E74" s="151">
        <f t="shared" si="2"/>
        <v>0</v>
      </c>
      <c r="F74" s="151">
        <f t="shared" si="3"/>
        <v>0</v>
      </c>
      <c r="G74" s="131">
        <f t="shared" si="4"/>
        <v>0</v>
      </c>
    </row>
    <row r="75" spans="1:7" x14ac:dyDescent="0.25">
      <c r="A75" s="149">
        <f t="shared" si="6"/>
        <v>57</v>
      </c>
      <c r="B75" s="151">
        <f t="shared" si="5"/>
        <v>0</v>
      </c>
      <c r="C75" s="151">
        <f t="shared" si="0"/>
        <v>0</v>
      </c>
      <c r="D75" s="151">
        <f t="shared" si="1"/>
        <v>0</v>
      </c>
      <c r="E75" s="151">
        <f t="shared" si="2"/>
        <v>0</v>
      </c>
      <c r="F75" s="151">
        <f t="shared" si="3"/>
        <v>0</v>
      </c>
      <c r="G75" s="131">
        <f t="shared" si="4"/>
        <v>0</v>
      </c>
    </row>
    <row r="76" spans="1:7" x14ac:dyDescent="0.25">
      <c r="A76" s="149">
        <f t="shared" si="6"/>
        <v>58</v>
      </c>
      <c r="B76" s="151">
        <f t="shared" si="5"/>
        <v>0</v>
      </c>
      <c r="C76" s="151">
        <f t="shared" si="0"/>
        <v>0</v>
      </c>
      <c r="D76" s="151">
        <f t="shared" si="1"/>
        <v>0</v>
      </c>
      <c r="E76" s="151">
        <f t="shared" si="2"/>
        <v>0</v>
      </c>
      <c r="F76" s="151">
        <f t="shared" si="3"/>
        <v>0</v>
      </c>
      <c r="G76" s="131">
        <f t="shared" si="4"/>
        <v>0</v>
      </c>
    </row>
    <row r="77" spans="1:7" x14ac:dyDescent="0.25">
      <c r="A77" s="149">
        <f t="shared" si="6"/>
        <v>59</v>
      </c>
      <c r="B77" s="151">
        <f t="shared" si="5"/>
        <v>0</v>
      </c>
      <c r="C77" s="151">
        <f t="shared" si="0"/>
        <v>0</v>
      </c>
      <c r="D77" s="151">
        <f t="shared" si="1"/>
        <v>0</v>
      </c>
      <c r="E77" s="151">
        <f t="shared" si="2"/>
        <v>0</v>
      </c>
      <c r="F77" s="151">
        <f t="shared" si="3"/>
        <v>0</v>
      </c>
      <c r="G77" s="131">
        <f t="shared" si="4"/>
        <v>0</v>
      </c>
    </row>
    <row r="78" spans="1:7" x14ac:dyDescent="0.25">
      <c r="A78" s="149">
        <f t="shared" si="6"/>
        <v>60</v>
      </c>
      <c r="B78" s="151">
        <f t="shared" si="5"/>
        <v>0</v>
      </c>
      <c r="C78" s="151">
        <f t="shared" si="0"/>
        <v>0</v>
      </c>
      <c r="D78" s="151">
        <f t="shared" si="1"/>
        <v>0</v>
      </c>
      <c r="E78" s="151">
        <f t="shared" si="2"/>
        <v>0</v>
      </c>
      <c r="F78" s="151">
        <f t="shared" si="3"/>
        <v>0</v>
      </c>
      <c r="G78" s="131">
        <f t="shared" si="4"/>
        <v>0</v>
      </c>
    </row>
    <row r="79" spans="1:7" x14ac:dyDescent="0.25">
      <c r="A79" s="149">
        <f t="shared" si="6"/>
        <v>61</v>
      </c>
      <c r="B79" s="151">
        <f t="shared" si="5"/>
        <v>0</v>
      </c>
      <c r="C79" s="151">
        <f t="shared" si="0"/>
        <v>0</v>
      </c>
      <c r="D79" s="151">
        <f t="shared" si="1"/>
        <v>0</v>
      </c>
      <c r="E79" s="151">
        <f t="shared" si="2"/>
        <v>0</v>
      </c>
      <c r="F79" s="151">
        <f t="shared" si="3"/>
        <v>0</v>
      </c>
      <c r="G79" s="131">
        <f t="shared" si="4"/>
        <v>0</v>
      </c>
    </row>
    <row r="80" spans="1:7" x14ac:dyDescent="0.25">
      <c r="A80" s="149">
        <f t="shared" si="6"/>
        <v>62</v>
      </c>
      <c r="B80" s="151">
        <f t="shared" si="5"/>
        <v>0</v>
      </c>
      <c r="C80" s="151">
        <f t="shared" si="0"/>
        <v>0</v>
      </c>
      <c r="D80" s="151">
        <f t="shared" si="1"/>
        <v>0</v>
      </c>
      <c r="E80" s="151">
        <f t="shared" si="2"/>
        <v>0</v>
      </c>
      <c r="F80" s="151">
        <f t="shared" si="3"/>
        <v>0</v>
      </c>
      <c r="G80" s="131">
        <f t="shared" si="4"/>
        <v>0</v>
      </c>
    </row>
    <row r="81" spans="1:7" x14ac:dyDescent="0.25">
      <c r="A81" s="149">
        <f t="shared" si="6"/>
        <v>63</v>
      </c>
      <c r="B81" s="151">
        <f t="shared" si="5"/>
        <v>0</v>
      </c>
      <c r="C81" s="151">
        <f t="shared" si="0"/>
        <v>0</v>
      </c>
      <c r="D81" s="151">
        <f t="shared" si="1"/>
        <v>0</v>
      </c>
      <c r="E81" s="151">
        <f t="shared" si="2"/>
        <v>0</v>
      </c>
      <c r="F81" s="151">
        <f t="shared" si="3"/>
        <v>0</v>
      </c>
      <c r="G81" s="131">
        <f t="shared" si="4"/>
        <v>0</v>
      </c>
    </row>
    <row r="82" spans="1:7" x14ac:dyDescent="0.25">
      <c r="A82" s="149">
        <f t="shared" si="6"/>
        <v>64</v>
      </c>
      <c r="B82" s="151">
        <f t="shared" si="5"/>
        <v>0</v>
      </c>
      <c r="C82" s="151">
        <f t="shared" si="0"/>
        <v>0</v>
      </c>
      <c r="D82" s="151">
        <f t="shared" si="1"/>
        <v>0</v>
      </c>
      <c r="E82" s="151">
        <f t="shared" si="2"/>
        <v>0</v>
      </c>
      <c r="F82" s="151">
        <f t="shared" si="3"/>
        <v>0</v>
      </c>
      <c r="G82" s="131">
        <f t="shared" si="4"/>
        <v>0</v>
      </c>
    </row>
    <row r="83" spans="1:7" x14ac:dyDescent="0.25">
      <c r="A83" s="149">
        <f t="shared" si="6"/>
        <v>65</v>
      </c>
      <c r="B83" s="151">
        <f t="shared" si="5"/>
        <v>0</v>
      </c>
      <c r="C83" s="151">
        <f t="shared" ref="C83:C146" si="7">IF(ISERROR(IPMT(C$6/12,A83,$C$8,-$B$19,0)),0,IPMT(C$6/12,A83,$C$8,-$B$19,0))</f>
        <v>0</v>
      </c>
      <c r="D83" s="151">
        <f t="shared" ref="D83:D146" si="8">IF(ISERROR(PPMT($C$6/12,$A83,$C$8,-$B$19,0)),0,PPMT($C$6/12,$A83,$C$8,-$B$19,0))</f>
        <v>0</v>
      </c>
      <c r="E83" s="151">
        <f t="shared" ref="E83:E146" si="9">+C83+D83</f>
        <v>0</v>
      </c>
      <c r="F83" s="151">
        <f t="shared" ref="F83:F146" si="10">+B83-D83</f>
        <v>0</v>
      </c>
      <c r="G83" s="131">
        <f t="shared" ref="G83:G146" si="11">E83/$C$10</f>
        <v>0</v>
      </c>
    </row>
    <row r="84" spans="1:7" x14ac:dyDescent="0.25">
      <c r="A84" s="149">
        <f t="shared" si="6"/>
        <v>66</v>
      </c>
      <c r="B84" s="151">
        <f t="shared" ref="B84:B147" si="12">+F83</f>
        <v>0</v>
      </c>
      <c r="C84" s="151">
        <f t="shared" si="7"/>
        <v>0</v>
      </c>
      <c r="D84" s="151">
        <f t="shared" si="8"/>
        <v>0</v>
      </c>
      <c r="E84" s="151">
        <f t="shared" si="9"/>
        <v>0</v>
      </c>
      <c r="F84" s="151">
        <f t="shared" si="10"/>
        <v>0</v>
      </c>
      <c r="G84" s="131">
        <f t="shared" si="11"/>
        <v>0</v>
      </c>
    </row>
    <row r="85" spans="1:7" x14ac:dyDescent="0.25">
      <c r="A85" s="149">
        <f t="shared" ref="A85:A148" si="13">A84+1</f>
        <v>67</v>
      </c>
      <c r="B85" s="151">
        <f t="shared" si="12"/>
        <v>0</v>
      </c>
      <c r="C85" s="151">
        <f t="shared" si="7"/>
        <v>0</v>
      </c>
      <c r="D85" s="151">
        <f t="shared" si="8"/>
        <v>0</v>
      </c>
      <c r="E85" s="151">
        <f t="shared" si="9"/>
        <v>0</v>
      </c>
      <c r="F85" s="151">
        <f t="shared" si="10"/>
        <v>0</v>
      </c>
      <c r="G85" s="131">
        <f t="shared" si="11"/>
        <v>0</v>
      </c>
    </row>
    <row r="86" spans="1:7" x14ac:dyDescent="0.25">
      <c r="A86" s="149">
        <f t="shared" si="13"/>
        <v>68</v>
      </c>
      <c r="B86" s="151">
        <f t="shared" si="12"/>
        <v>0</v>
      </c>
      <c r="C86" s="151">
        <f t="shared" si="7"/>
        <v>0</v>
      </c>
      <c r="D86" s="151">
        <f t="shared" si="8"/>
        <v>0</v>
      </c>
      <c r="E86" s="151">
        <f t="shared" si="9"/>
        <v>0</v>
      </c>
      <c r="F86" s="151">
        <f t="shared" si="10"/>
        <v>0</v>
      </c>
      <c r="G86" s="131">
        <f t="shared" si="11"/>
        <v>0</v>
      </c>
    </row>
    <row r="87" spans="1:7" x14ac:dyDescent="0.25">
      <c r="A87" s="149">
        <f t="shared" si="13"/>
        <v>69</v>
      </c>
      <c r="B87" s="151">
        <f t="shared" si="12"/>
        <v>0</v>
      </c>
      <c r="C87" s="151">
        <f t="shared" si="7"/>
        <v>0</v>
      </c>
      <c r="D87" s="151">
        <f t="shared" si="8"/>
        <v>0</v>
      </c>
      <c r="E87" s="151">
        <f t="shared" si="9"/>
        <v>0</v>
      </c>
      <c r="F87" s="151">
        <f t="shared" si="10"/>
        <v>0</v>
      </c>
      <c r="G87" s="131">
        <f t="shared" si="11"/>
        <v>0</v>
      </c>
    </row>
    <row r="88" spans="1:7" x14ac:dyDescent="0.25">
      <c r="A88" s="149">
        <f t="shared" si="13"/>
        <v>70</v>
      </c>
      <c r="B88" s="151">
        <f t="shared" si="12"/>
        <v>0</v>
      </c>
      <c r="C88" s="151">
        <f t="shared" si="7"/>
        <v>0</v>
      </c>
      <c r="D88" s="151">
        <f t="shared" si="8"/>
        <v>0</v>
      </c>
      <c r="E88" s="151">
        <f t="shared" si="9"/>
        <v>0</v>
      </c>
      <c r="F88" s="151">
        <f t="shared" si="10"/>
        <v>0</v>
      </c>
      <c r="G88" s="131">
        <f t="shared" si="11"/>
        <v>0</v>
      </c>
    </row>
    <row r="89" spans="1:7" x14ac:dyDescent="0.25">
      <c r="A89" s="149">
        <f t="shared" si="13"/>
        <v>71</v>
      </c>
      <c r="B89" s="151">
        <f t="shared" si="12"/>
        <v>0</v>
      </c>
      <c r="C89" s="151">
        <f t="shared" si="7"/>
        <v>0</v>
      </c>
      <c r="D89" s="151">
        <f t="shared" si="8"/>
        <v>0</v>
      </c>
      <c r="E89" s="151">
        <f t="shared" si="9"/>
        <v>0</v>
      </c>
      <c r="F89" s="151">
        <f t="shared" si="10"/>
        <v>0</v>
      </c>
      <c r="G89" s="131">
        <f t="shared" si="11"/>
        <v>0</v>
      </c>
    </row>
    <row r="90" spans="1:7" x14ac:dyDescent="0.25">
      <c r="A90" s="149">
        <f t="shared" si="13"/>
        <v>72</v>
      </c>
      <c r="B90" s="151">
        <f t="shared" si="12"/>
        <v>0</v>
      </c>
      <c r="C90" s="151">
        <f t="shared" si="7"/>
        <v>0</v>
      </c>
      <c r="D90" s="151">
        <f t="shared" si="8"/>
        <v>0</v>
      </c>
      <c r="E90" s="151">
        <f t="shared" si="9"/>
        <v>0</v>
      </c>
      <c r="F90" s="151">
        <f t="shared" si="10"/>
        <v>0</v>
      </c>
      <c r="G90" s="131">
        <f t="shared" si="11"/>
        <v>0</v>
      </c>
    </row>
    <row r="91" spans="1:7" x14ac:dyDescent="0.25">
      <c r="A91" s="149">
        <f t="shared" si="13"/>
        <v>73</v>
      </c>
      <c r="B91" s="151">
        <f t="shared" si="12"/>
        <v>0</v>
      </c>
      <c r="C91" s="151">
        <f t="shared" si="7"/>
        <v>0</v>
      </c>
      <c r="D91" s="151">
        <f t="shared" si="8"/>
        <v>0</v>
      </c>
      <c r="E91" s="151">
        <f t="shared" si="9"/>
        <v>0</v>
      </c>
      <c r="F91" s="151">
        <f t="shared" si="10"/>
        <v>0</v>
      </c>
      <c r="G91" s="131">
        <f t="shared" si="11"/>
        <v>0</v>
      </c>
    </row>
    <row r="92" spans="1:7" x14ac:dyDescent="0.25">
      <c r="A92" s="149">
        <f t="shared" si="13"/>
        <v>74</v>
      </c>
      <c r="B92" s="151">
        <f t="shared" si="12"/>
        <v>0</v>
      </c>
      <c r="C92" s="151">
        <f t="shared" si="7"/>
        <v>0</v>
      </c>
      <c r="D92" s="151">
        <f t="shared" si="8"/>
        <v>0</v>
      </c>
      <c r="E92" s="151">
        <f t="shared" si="9"/>
        <v>0</v>
      </c>
      <c r="F92" s="151">
        <f t="shared" si="10"/>
        <v>0</v>
      </c>
      <c r="G92" s="131">
        <f t="shared" si="11"/>
        <v>0</v>
      </c>
    </row>
    <row r="93" spans="1:7" x14ac:dyDescent="0.25">
      <c r="A93" s="149">
        <f t="shared" si="13"/>
        <v>75</v>
      </c>
      <c r="B93" s="151">
        <f t="shared" si="12"/>
        <v>0</v>
      </c>
      <c r="C93" s="151">
        <f t="shared" si="7"/>
        <v>0</v>
      </c>
      <c r="D93" s="151">
        <f t="shared" si="8"/>
        <v>0</v>
      </c>
      <c r="E93" s="151">
        <f t="shared" si="9"/>
        <v>0</v>
      </c>
      <c r="F93" s="151">
        <f t="shared" si="10"/>
        <v>0</v>
      </c>
      <c r="G93" s="131">
        <f t="shared" si="11"/>
        <v>0</v>
      </c>
    </row>
    <row r="94" spans="1:7" x14ac:dyDescent="0.25">
      <c r="A94" s="149">
        <f t="shared" si="13"/>
        <v>76</v>
      </c>
      <c r="B94" s="151">
        <f t="shared" si="12"/>
        <v>0</v>
      </c>
      <c r="C94" s="151">
        <f t="shared" si="7"/>
        <v>0</v>
      </c>
      <c r="D94" s="151">
        <f t="shared" si="8"/>
        <v>0</v>
      </c>
      <c r="E94" s="151">
        <f t="shared" si="9"/>
        <v>0</v>
      </c>
      <c r="F94" s="151">
        <f t="shared" si="10"/>
        <v>0</v>
      </c>
      <c r="G94" s="131">
        <f t="shared" si="11"/>
        <v>0</v>
      </c>
    </row>
    <row r="95" spans="1:7" x14ac:dyDescent="0.25">
      <c r="A95" s="149">
        <f t="shared" si="13"/>
        <v>77</v>
      </c>
      <c r="B95" s="151">
        <f t="shared" si="12"/>
        <v>0</v>
      </c>
      <c r="C95" s="151">
        <f t="shared" si="7"/>
        <v>0</v>
      </c>
      <c r="D95" s="151">
        <f t="shared" si="8"/>
        <v>0</v>
      </c>
      <c r="E95" s="151">
        <f t="shared" si="9"/>
        <v>0</v>
      </c>
      <c r="F95" s="151">
        <f t="shared" si="10"/>
        <v>0</v>
      </c>
      <c r="G95" s="131">
        <f t="shared" si="11"/>
        <v>0</v>
      </c>
    </row>
    <row r="96" spans="1:7" x14ac:dyDescent="0.25">
      <c r="A96" s="149">
        <f t="shared" si="13"/>
        <v>78</v>
      </c>
      <c r="B96" s="151">
        <f t="shared" si="12"/>
        <v>0</v>
      </c>
      <c r="C96" s="151">
        <f t="shared" si="7"/>
        <v>0</v>
      </c>
      <c r="D96" s="151">
        <f t="shared" si="8"/>
        <v>0</v>
      </c>
      <c r="E96" s="151">
        <f t="shared" si="9"/>
        <v>0</v>
      </c>
      <c r="F96" s="151">
        <f t="shared" si="10"/>
        <v>0</v>
      </c>
      <c r="G96" s="131">
        <f t="shared" si="11"/>
        <v>0</v>
      </c>
    </row>
    <row r="97" spans="1:7" x14ac:dyDescent="0.25">
      <c r="A97" s="149">
        <f t="shared" si="13"/>
        <v>79</v>
      </c>
      <c r="B97" s="151">
        <f t="shared" si="12"/>
        <v>0</v>
      </c>
      <c r="C97" s="151">
        <f t="shared" si="7"/>
        <v>0</v>
      </c>
      <c r="D97" s="151">
        <f t="shared" si="8"/>
        <v>0</v>
      </c>
      <c r="E97" s="151">
        <f t="shared" si="9"/>
        <v>0</v>
      </c>
      <c r="F97" s="151">
        <f t="shared" si="10"/>
        <v>0</v>
      </c>
      <c r="G97" s="131">
        <f t="shared" si="11"/>
        <v>0</v>
      </c>
    </row>
    <row r="98" spans="1:7" x14ac:dyDescent="0.25">
      <c r="A98" s="149">
        <f t="shared" si="13"/>
        <v>80</v>
      </c>
      <c r="B98" s="151">
        <f t="shared" si="12"/>
        <v>0</v>
      </c>
      <c r="C98" s="151">
        <f t="shared" si="7"/>
        <v>0</v>
      </c>
      <c r="D98" s="151">
        <f t="shared" si="8"/>
        <v>0</v>
      </c>
      <c r="E98" s="151">
        <f t="shared" si="9"/>
        <v>0</v>
      </c>
      <c r="F98" s="151">
        <f t="shared" si="10"/>
        <v>0</v>
      </c>
      <c r="G98" s="131">
        <f t="shared" si="11"/>
        <v>0</v>
      </c>
    </row>
    <row r="99" spans="1:7" x14ac:dyDescent="0.25">
      <c r="A99" s="149">
        <f t="shared" si="13"/>
        <v>81</v>
      </c>
      <c r="B99" s="151">
        <f t="shared" si="12"/>
        <v>0</v>
      </c>
      <c r="C99" s="151">
        <f t="shared" si="7"/>
        <v>0</v>
      </c>
      <c r="D99" s="151">
        <f t="shared" si="8"/>
        <v>0</v>
      </c>
      <c r="E99" s="151">
        <f t="shared" si="9"/>
        <v>0</v>
      </c>
      <c r="F99" s="151">
        <f t="shared" si="10"/>
        <v>0</v>
      </c>
      <c r="G99" s="131">
        <f t="shared" si="11"/>
        <v>0</v>
      </c>
    </row>
    <row r="100" spans="1:7" x14ac:dyDescent="0.25">
      <c r="A100" s="149">
        <f t="shared" si="13"/>
        <v>82</v>
      </c>
      <c r="B100" s="151">
        <f t="shared" si="12"/>
        <v>0</v>
      </c>
      <c r="C100" s="151">
        <f t="shared" si="7"/>
        <v>0</v>
      </c>
      <c r="D100" s="151">
        <f t="shared" si="8"/>
        <v>0</v>
      </c>
      <c r="E100" s="151">
        <f t="shared" si="9"/>
        <v>0</v>
      </c>
      <c r="F100" s="151">
        <f t="shared" si="10"/>
        <v>0</v>
      </c>
      <c r="G100" s="131">
        <f t="shared" si="11"/>
        <v>0</v>
      </c>
    </row>
    <row r="101" spans="1:7" x14ac:dyDescent="0.25">
      <c r="A101" s="149">
        <f t="shared" si="13"/>
        <v>83</v>
      </c>
      <c r="B101" s="151">
        <f t="shared" si="12"/>
        <v>0</v>
      </c>
      <c r="C101" s="151">
        <f t="shared" si="7"/>
        <v>0</v>
      </c>
      <c r="D101" s="151">
        <f t="shared" si="8"/>
        <v>0</v>
      </c>
      <c r="E101" s="151">
        <f t="shared" si="9"/>
        <v>0</v>
      </c>
      <c r="F101" s="151">
        <f t="shared" si="10"/>
        <v>0</v>
      </c>
      <c r="G101" s="131">
        <f t="shared" si="11"/>
        <v>0</v>
      </c>
    </row>
    <row r="102" spans="1:7" x14ac:dyDescent="0.25">
      <c r="A102" s="149">
        <f t="shared" si="13"/>
        <v>84</v>
      </c>
      <c r="B102" s="151">
        <f t="shared" si="12"/>
        <v>0</v>
      </c>
      <c r="C102" s="151">
        <f t="shared" si="7"/>
        <v>0</v>
      </c>
      <c r="D102" s="151">
        <f t="shared" si="8"/>
        <v>0</v>
      </c>
      <c r="E102" s="151">
        <f t="shared" si="9"/>
        <v>0</v>
      </c>
      <c r="F102" s="151">
        <f t="shared" si="10"/>
        <v>0</v>
      </c>
      <c r="G102" s="131">
        <f t="shared" si="11"/>
        <v>0</v>
      </c>
    </row>
    <row r="103" spans="1:7" x14ac:dyDescent="0.25">
      <c r="A103" s="149">
        <f t="shared" si="13"/>
        <v>85</v>
      </c>
      <c r="B103" s="151">
        <f t="shared" si="12"/>
        <v>0</v>
      </c>
      <c r="C103" s="151">
        <f t="shared" si="7"/>
        <v>0</v>
      </c>
      <c r="D103" s="151">
        <f t="shared" si="8"/>
        <v>0</v>
      </c>
      <c r="E103" s="151">
        <f t="shared" si="9"/>
        <v>0</v>
      </c>
      <c r="F103" s="151">
        <f t="shared" si="10"/>
        <v>0</v>
      </c>
      <c r="G103" s="131">
        <f t="shared" si="11"/>
        <v>0</v>
      </c>
    </row>
    <row r="104" spans="1:7" x14ac:dyDescent="0.25">
      <c r="A104" s="149">
        <f t="shared" si="13"/>
        <v>86</v>
      </c>
      <c r="B104" s="151">
        <f t="shared" si="12"/>
        <v>0</v>
      </c>
      <c r="C104" s="151">
        <f t="shared" si="7"/>
        <v>0</v>
      </c>
      <c r="D104" s="151">
        <f t="shared" si="8"/>
        <v>0</v>
      </c>
      <c r="E104" s="151">
        <f t="shared" si="9"/>
        <v>0</v>
      </c>
      <c r="F104" s="151">
        <f t="shared" si="10"/>
        <v>0</v>
      </c>
      <c r="G104" s="131">
        <f t="shared" si="11"/>
        <v>0</v>
      </c>
    </row>
    <row r="105" spans="1:7" x14ac:dyDescent="0.25">
      <c r="A105" s="149">
        <f t="shared" si="13"/>
        <v>87</v>
      </c>
      <c r="B105" s="151">
        <f t="shared" si="12"/>
        <v>0</v>
      </c>
      <c r="C105" s="151">
        <f t="shared" si="7"/>
        <v>0</v>
      </c>
      <c r="D105" s="151">
        <f t="shared" si="8"/>
        <v>0</v>
      </c>
      <c r="E105" s="151">
        <f t="shared" si="9"/>
        <v>0</v>
      </c>
      <c r="F105" s="151">
        <f t="shared" si="10"/>
        <v>0</v>
      </c>
      <c r="G105" s="131">
        <f t="shared" si="11"/>
        <v>0</v>
      </c>
    </row>
    <row r="106" spans="1:7" x14ac:dyDescent="0.25">
      <c r="A106" s="149">
        <f t="shared" si="13"/>
        <v>88</v>
      </c>
      <c r="B106" s="151">
        <f t="shared" si="12"/>
        <v>0</v>
      </c>
      <c r="C106" s="151">
        <f t="shared" si="7"/>
        <v>0</v>
      </c>
      <c r="D106" s="151">
        <f t="shared" si="8"/>
        <v>0</v>
      </c>
      <c r="E106" s="151">
        <f t="shared" si="9"/>
        <v>0</v>
      </c>
      <c r="F106" s="151">
        <f t="shared" si="10"/>
        <v>0</v>
      </c>
      <c r="G106" s="131">
        <f t="shared" si="11"/>
        <v>0</v>
      </c>
    </row>
    <row r="107" spans="1:7" x14ac:dyDescent="0.25">
      <c r="A107" s="149">
        <f t="shared" si="13"/>
        <v>89</v>
      </c>
      <c r="B107" s="151">
        <f t="shared" si="12"/>
        <v>0</v>
      </c>
      <c r="C107" s="151">
        <f t="shared" si="7"/>
        <v>0</v>
      </c>
      <c r="D107" s="151">
        <f t="shared" si="8"/>
        <v>0</v>
      </c>
      <c r="E107" s="151">
        <f t="shared" si="9"/>
        <v>0</v>
      </c>
      <c r="F107" s="151">
        <f t="shared" si="10"/>
        <v>0</v>
      </c>
      <c r="G107" s="131">
        <f t="shared" si="11"/>
        <v>0</v>
      </c>
    </row>
    <row r="108" spans="1:7" x14ac:dyDescent="0.25">
      <c r="A108" s="149">
        <f t="shared" si="13"/>
        <v>90</v>
      </c>
      <c r="B108" s="151">
        <f t="shared" si="12"/>
        <v>0</v>
      </c>
      <c r="C108" s="151">
        <f t="shared" si="7"/>
        <v>0</v>
      </c>
      <c r="D108" s="151">
        <f t="shared" si="8"/>
        <v>0</v>
      </c>
      <c r="E108" s="151">
        <f t="shared" si="9"/>
        <v>0</v>
      </c>
      <c r="F108" s="151">
        <f t="shared" si="10"/>
        <v>0</v>
      </c>
      <c r="G108" s="131">
        <f t="shared" si="11"/>
        <v>0</v>
      </c>
    </row>
    <row r="109" spans="1:7" x14ac:dyDescent="0.25">
      <c r="A109" s="149">
        <f t="shared" si="13"/>
        <v>91</v>
      </c>
      <c r="B109" s="151">
        <f t="shared" si="12"/>
        <v>0</v>
      </c>
      <c r="C109" s="151">
        <f t="shared" si="7"/>
        <v>0</v>
      </c>
      <c r="D109" s="151">
        <f t="shared" si="8"/>
        <v>0</v>
      </c>
      <c r="E109" s="151">
        <f t="shared" si="9"/>
        <v>0</v>
      </c>
      <c r="F109" s="151">
        <f t="shared" si="10"/>
        <v>0</v>
      </c>
      <c r="G109" s="131">
        <f t="shared" si="11"/>
        <v>0</v>
      </c>
    </row>
    <row r="110" spans="1:7" x14ac:dyDescent="0.25">
      <c r="A110" s="149">
        <f t="shared" si="13"/>
        <v>92</v>
      </c>
      <c r="B110" s="151">
        <f t="shared" si="12"/>
        <v>0</v>
      </c>
      <c r="C110" s="151">
        <f t="shared" si="7"/>
        <v>0</v>
      </c>
      <c r="D110" s="151">
        <f t="shared" si="8"/>
        <v>0</v>
      </c>
      <c r="E110" s="151">
        <f t="shared" si="9"/>
        <v>0</v>
      </c>
      <c r="F110" s="151">
        <f t="shared" si="10"/>
        <v>0</v>
      </c>
      <c r="G110" s="131">
        <f t="shared" si="11"/>
        <v>0</v>
      </c>
    </row>
    <row r="111" spans="1:7" x14ac:dyDescent="0.25">
      <c r="A111" s="149">
        <f t="shared" si="13"/>
        <v>93</v>
      </c>
      <c r="B111" s="151">
        <f t="shared" si="12"/>
        <v>0</v>
      </c>
      <c r="C111" s="151">
        <f t="shared" si="7"/>
        <v>0</v>
      </c>
      <c r="D111" s="151">
        <f t="shared" si="8"/>
        <v>0</v>
      </c>
      <c r="E111" s="151">
        <f t="shared" si="9"/>
        <v>0</v>
      </c>
      <c r="F111" s="151">
        <f t="shared" si="10"/>
        <v>0</v>
      </c>
      <c r="G111" s="131">
        <f t="shared" si="11"/>
        <v>0</v>
      </c>
    </row>
    <row r="112" spans="1:7" x14ac:dyDescent="0.25">
      <c r="A112" s="149">
        <f t="shared" si="13"/>
        <v>94</v>
      </c>
      <c r="B112" s="151">
        <f t="shared" si="12"/>
        <v>0</v>
      </c>
      <c r="C112" s="151">
        <f t="shared" si="7"/>
        <v>0</v>
      </c>
      <c r="D112" s="151">
        <f t="shared" si="8"/>
        <v>0</v>
      </c>
      <c r="E112" s="151">
        <f t="shared" si="9"/>
        <v>0</v>
      </c>
      <c r="F112" s="151">
        <f t="shared" si="10"/>
        <v>0</v>
      </c>
      <c r="G112" s="131">
        <f t="shared" si="11"/>
        <v>0</v>
      </c>
    </row>
    <row r="113" spans="1:7" x14ac:dyDescent="0.25">
      <c r="A113" s="149">
        <f t="shared" si="13"/>
        <v>95</v>
      </c>
      <c r="B113" s="151">
        <f t="shared" si="12"/>
        <v>0</v>
      </c>
      <c r="C113" s="151">
        <f t="shared" si="7"/>
        <v>0</v>
      </c>
      <c r="D113" s="151">
        <f t="shared" si="8"/>
        <v>0</v>
      </c>
      <c r="E113" s="151">
        <f t="shared" si="9"/>
        <v>0</v>
      </c>
      <c r="F113" s="151">
        <f t="shared" si="10"/>
        <v>0</v>
      </c>
      <c r="G113" s="131">
        <f t="shared" si="11"/>
        <v>0</v>
      </c>
    </row>
    <row r="114" spans="1:7" x14ac:dyDescent="0.25">
      <c r="A114" s="149">
        <f t="shared" si="13"/>
        <v>96</v>
      </c>
      <c r="B114" s="151">
        <f t="shared" si="12"/>
        <v>0</v>
      </c>
      <c r="C114" s="151">
        <f t="shared" si="7"/>
        <v>0</v>
      </c>
      <c r="D114" s="151">
        <f t="shared" si="8"/>
        <v>0</v>
      </c>
      <c r="E114" s="151">
        <f t="shared" si="9"/>
        <v>0</v>
      </c>
      <c r="F114" s="151">
        <f t="shared" si="10"/>
        <v>0</v>
      </c>
      <c r="G114" s="131">
        <f t="shared" si="11"/>
        <v>0</v>
      </c>
    </row>
    <row r="115" spans="1:7" x14ac:dyDescent="0.25">
      <c r="A115" s="149">
        <f t="shared" si="13"/>
        <v>97</v>
      </c>
      <c r="B115" s="151">
        <f t="shared" si="12"/>
        <v>0</v>
      </c>
      <c r="C115" s="151">
        <f t="shared" si="7"/>
        <v>0</v>
      </c>
      <c r="D115" s="151">
        <f t="shared" si="8"/>
        <v>0</v>
      </c>
      <c r="E115" s="151">
        <f t="shared" si="9"/>
        <v>0</v>
      </c>
      <c r="F115" s="151">
        <f t="shared" si="10"/>
        <v>0</v>
      </c>
      <c r="G115" s="131">
        <f t="shared" si="11"/>
        <v>0</v>
      </c>
    </row>
    <row r="116" spans="1:7" x14ac:dyDescent="0.25">
      <c r="A116" s="149">
        <f t="shared" si="13"/>
        <v>98</v>
      </c>
      <c r="B116" s="151">
        <f t="shared" si="12"/>
        <v>0</v>
      </c>
      <c r="C116" s="151">
        <f t="shared" si="7"/>
        <v>0</v>
      </c>
      <c r="D116" s="151">
        <f t="shared" si="8"/>
        <v>0</v>
      </c>
      <c r="E116" s="151">
        <f t="shared" si="9"/>
        <v>0</v>
      </c>
      <c r="F116" s="151">
        <f t="shared" si="10"/>
        <v>0</v>
      </c>
      <c r="G116" s="131">
        <f t="shared" si="11"/>
        <v>0</v>
      </c>
    </row>
    <row r="117" spans="1:7" x14ac:dyDescent="0.25">
      <c r="A117" s="149">
        <f t="shared" si="13"/>
        <v>99</v>
      </c>
      <c r="B117" s="151">
        <f t="shared" si="12"/>
        <v>0</v>
      </c>
      <c r="C117" s="151">
        <f t="shared" si="7"/>
        <v>0</v>
      </c>
      <c r="D117" s="151">
        <f t="shared" si="8"/>
        <v>0</v>
      </c>
      <c r="E117" s="151">
        <f t="shared" si="9"/>
        <v>0</v>
      </c>
      <c r="F117" s="151">
        <f t="shared" si="10"/>
        <v>0</v>
      </c>
      <c r="G117" s="131">
        <f t="shared" si="11"/>
        <v>0</v>
      </c>
    </row>
    <row r="118" spans="1:7" x14ac:dyDescent="0.25">
      <c r="A118" s="149">
        <f t="shared" si="13"/>
        <v>100</v>
      </c>
      <c r="B118" s="151">
        <f t="shared" si="12"/>
        <v>0</v>
      </c>
      <c r="C118" s="151">
        <f t="shared" si="7"/>
        <v>0</v>
      </c>
      <c r="D118" s="151">
        <f t="shared" si="8"/>
        <v>0</v>
      </c>
      <c r="E118" s="151">
        <f t="shared" si="9"/>
        <v>0</v>
      </c>
      <c r="F118" s="151">
        <f t="shared" si="10"/>
        <v>0</v>
      </c>
      <c r="G118" s="131">
        <f t="shared" si="11"/>
        <v>0</v>
      </c>
    </row>
    <row r="119" spans="1:7" x14ac:dyDescent="0.25">
      <c r="A119" s="149">
        <f t="shared" si="13"/>
        <v>101</v>
      </c>
      <c r="B119" s="151">
        <f t="shared" si="12"/>
        <v>0</v>
      </c>
      <c r="C119" s="151">
        <f t="shared" si="7"/>
        <v>0</v>
      </c>
      <c r="D119" s="151">
        <f t="shared" si="8"/>
        <v>0</v>
      </c>
      <c r="E119" s="151">
        <f t="shared" si="9"/>
        <v>0</v>
      </c>
      <c r="F119" s="151">
        <f t="shared" si="10"/>
        <v>0</v>
      </c>
      <c r="G119" s="131">
        <f t="shared" si="11"/>
        <v>0</v>
      </c>
    </row>
    <row r="120" spans="1:7" x14ac:dyDescent="0.25">
      <c r="A120" s="149">
        <f t="shared" si="13"/>
        <v>102</v>
      </c>
      <c r="B120" s="151">
        <f t="shared" si="12"/>
        <v>0</v>
      </c>
      <c r="C120" s="151">
        <f t="shared" si="7"/>
        <v>0</v>
      </c>
      <c r="D120" s="151">
        <f t="shared" si="8"/>
        <v>0</v>
      </c>
      <c r="E120" s="151">
        <f t="shared" si="9"/>
        <v>0</v>
      </c>
      <c r="F120" s="151">
        <f t="shared" si="10"/>
        <v>0</v>
      </c>
      <c r="G120" s="131">
        <f t="shared" si="11"/>
        <v>0</v>
      </c>
    </row>
    <row r="121" spans="1:7" x14ac:dyDescent="0.25">
      <c r="A121" s="149">
        <f t="shared" si="13"/>
        <v>103</v>
      </c>
      <c r="B121" s="151">
        <f t="shared" si="12"/>
        <v>0</v>
      </c>
      <c r="C121" s="151">
        <f t="shared" si="7"/>
        <v>0</v>
      </c>
      <c r="D121" s="151">
        <f t="shared" si="8"/>
        <v>0</v>
      </c>
      <c r="E121" s="151">
        <f t="shared" si="9"/>
        <v>0</v>
      </c>
      <c r="F121" s="151">
        <f t="shared" si="10"/>
        <v>0</v>
      </c>
      <c r="G121" s="131">
        <f t="shared" si="11"/>
        <v>0</v>
      </c>
    </row>
    <row r="122" spans="1:7" x14ac:dyDescent="0.25">
      <c r="A122" s="149">
        <f t="shared" si="13"/>
        <v>104</v>
      </c>
      <c r="B122" s="151">
        <f t="shared" si="12"/>
        <v>0</v>
      </c>
      <c r="C122" s="151">
        <f t="shared" si="7"/>
        <v>0</v>
      </c>
      <c r="D122" s="151">
        <f t="shared" si="8"/>
        <v>0</v>
      </c>
      <c r="E122" s="151">
        <f t="shared" si="9"/>
        <v>0</v>
      </c>
      <c r="F122" s="151">
        <f t="shared" si="10"/>
        <v>0</v>
      </c>
      <c r="G122" s="131">
        <f t="shared" si="11"/>
        <v>0</v>
      </c>
    </row>
    <row r="123" spans="1:7" x14ac:dyDescent="0.25">
      <c r="A123" s="149">
        <f t="shared" si="13"/>
        <v>105</v>
      </c>
      <c r="B123" s="151">
        <f t="shared" si="12"/>
        <v>0</v>
      </c>
      <c r="C123" s="151">
        <f t="shared" si="7"/>
        <v>0</v>
      </c>
      <c r="D123" s="151">
        <f t="shared" si="8"/>
        <v>0</v>
      </c>
      <c r="E123" s="151">
        <f t="shared" si="9"/>
        <v>0</v>
      </c>
      <c r="F123" s="151">
        <f t="shared" si="10"/>
        <v>0</v>
      </c>
      <c r="G123" s="131">
        <f t="shared" si="11"/>
        <v>0</v>
      </c>
    </row>
    <row r="124" spans="1:7" x14ac:dyDescent="0.25">
      <c r="A124" s="149">
        <f t="shared" si="13"/>
        <v>106</v>
      </c>
      <c r="B124" s="151">
        <f t="shared" si="12"/>
        <v>0</v>
      </c>
      <c r="C124" s="151">
        <f t="shared" si="7"/>
        <v>0</v>
      </c>
      <c r="D124" s="151">
        <f t="shared" si="8"/>
        <v>0</v>
      </c>
      <c r="E124" s="151">
        <f t="shared" si="9"/>
        <v>0</v>
      </c>
      <c r="F124" s="151">
        <f t="shared" si="10"/>
        <v>0</v>
      </c>
      <c r="G124" s="131">
        <f t="shared" si="11"/>
        <v>0</v>
      </c>
    </row>
    <row r="125" spans="1:7" x14ac:dyDescent="0.25">
      <c r="A125" s="149">
        <f t="shared" si="13"/>
        <v>107</v>
      </c>
      <c r="B125" s="151">
        <f t="shared" si="12"/>
        <v>0</v>
      </c>
      <c r="C125" s="151">
        <f t="shared" si="7"/>
        <v>0</v>
      </c>
      <c r="D125" s="151">
        <f t="shared" si="8"/>
        <v>0</v>
      </c>
      <c r="E125" s="151">
        <f t="shared" si="9"/>
        <v>0</v>
      </c>
      <c r="F125" s="151">
        <f t="shared" si="10"/>
        <v>0</v>
      </c>
      <c r="G125" s="131">
        <f t="shared" si="11"/>
        <v>0</v>
      </c>
    </row>
    <row r="126" spans="1:7" x14ac:dyDescent="0.25">
      <c r="A126" s="149">
        <f t="shared" si="13"/>
        <v>108</v>
      </c>
      <c r="B126" s="151">
        <f t="shared" si="12"/>
        <v>0</v>
      </c>
      <c r="C126" s="151">
        <f t="shared" si="7"/>
        <v>0</v>
      </c>
      <c r="D126" s="151">
        <f t="shared" si="8"/>
        <v>0</v>
      </c>
      <c r="E126" s="151">
        <f t="shared" si="9"/>
        <v>0</v>
      </c>
      <c r="F126" s="151">
        <f t="shared" si="10"/>
        <v>0</v>
      </c>
      <c r="G126" s="131">
        <f t="shared" si="11"/>
        <v>0</v>
      </c>
    </row>
    <row r="127" spans="1:7" x14ac:dyDescent="0.25">
      <c r="A127" s="149">
        <f t="shared" si="13"/>
        <v>109</v>
      </c>
      <c r="B127" s="151">
        <f t="shared" si="12"/>
        <v>0</v>
      </c>
      <c r="C127" s="151">
        <f t="shared" si="7"/>
        <v>0</v>
      </c>
      <c r="D127" s="151">
        <f t="shared" si="8"/>
        <v>0</v>
      </c>
      <c r="E127" s="151">
        <f t="shared" si="9"/>
        <v>0</v>
      </c>
      <c r="F127" s="151">
        <f t="shared" si="10"/>
        <v>0</v>
      </c>
      <c r="G127" s="131">
        <f t="shared" si="11"/>
        <v>0</v>
      </c>
    </row>
    <row r="128" spans="1:7" x14ac:dyDescent="0.25">
      <c r="A128" s="149">
        <f t="shared" si="13"/>
        <v>110</v>
      </c>
      <c r="B128" s="151">
        <f t="shared" si="12"/>
        <v>0</v>
      </c>
      <c r="C128" s="151">
        <f t="shared" si="7"/>
        <v>0</v>
      </c>
      <c r="D128" s="151">
        <f t="shared" si="8"/>
        <v>0</v>
      </c>
      <c r="E128" s="151">
        <f t="shared" si="9"/>
        <v>0</v>
      </c>
      <c r="F128" s="151">
        <f t="shared" si="10"/>
        <v>0</v>
      </c>
      <c r="G128" s="131">
        <f t="shared" si="11"/>
        <v>0</v>
      </c>
    </row>
    <row r="129" spans="1:7" x14ac:dyDescent="0.25">
      <c r="A129" s="149">
        <f t="shared" si="13"/>
        <v>111</v>
      </c>
      <c r="B129" s="151">
        <f t="shared" si="12"/>
        <v>0</v>
      </c>
      <c r="C129" s="151">
        <f t="shared" si="7"/>
        <v>0</v>
      </c>
      <c r="D129" s="151">
        <f t="shared" si="8"/>
        <v>0</v>
      </c>
      <c r="E129" s="151">
        <f t="shared" si="9"/>
        <v>0</v>
      </c>
      <c r="F129" s="151">
        <f t="shared" si="10"/>
        <v>0</v>
      </c>
      <c r="G129" s="131">
        <f t="shared" si="11"/>
        <v>0</v>
      </c>
    </row>
    <row r="130" spans="1:7" x14ac:dyDescent="0.25">
      <c r="A130" s="149">
        <f t="shared" si="13"/>
        <v>112</v>
      </c>
      <c r="B130" s="151">
        <f t="shared" si="12"/>
        <v>0</v>
      </c>
      <c r="C130" s="151">
        <f t="shared" si="7"/>
        <v>0</v>
      </c>
      <c r="D130" s="151">
        <f t="shared" si="8"/>
        <v>0</v>
      </c>
      <c r="E130" s="151">
        <f t="shared" si="9"/>
        <v>0</v>
      </c>
      <c r="F130" s="151">
        <f t="shared" si="10"/>
        <v>0</v>
      </c>
      <c r="G130" s="131">
        <f t="shared" si="11"/>
        <v>0</v>
      </c>
    </row>
    <row r="131" spans="1:7" x14ac:dyDescent="0.25">
      <c r="A131" s="149">
        <f t="shared" si="13"/>
        <v>113</v>
      </c>
      <c r="B131" s="151">
        <f t="shared" si="12"/>
        <v>0</v>
      </c>
      <c r="C131" s="151">
        <f t="shared" si="7"/>
        <v>0</v>
      </c>
      <c r="D131" s="151">
        <f t="shared" si="8"/>
        <v>0</v>
      </c>
      <c r="E131" s="151">
        <f t="shared" si="9"/>
        <v>0</v>
      </c>
      <c r="F131" s="151">
        <f t="shared" si="10"/>
        <v>0</v>
      </c>
      <c r="G131" s="131">
        <f t="shared" si="11"/>
        <v>0</v>
      </c>
    </row>
    <row r="132" spans="1:7" x14ac:dyDescent="0.25">
      <c r="A132" s="149">
        <f t="shared" si="13"/>
        <v>114</v>
      </c>
      <c r="B132" s="151">
        <f t="shared" si="12"/>
        <v>0</v>
      </c>
      <c r="C132" s="151">
        <f t="shared" si="7"/>
        <v>0</v>
      </c>
      <c r="D132" s="151">
        <f t="shared" si="8"/>
        <v>0</v>
      </c>
      <c r="E132" s="151">
        <f t="shared" si="9"/>
        <v>0</v>
      </c>
      <c r="F132" s="151">
        <f t="shared" si="10"/>
        <v>0</v>
      </c>
      <c r="G132" s="131">
        <f t="shared" si="11"/>
        <v>0</v>
      </c>
    </row>
    <row r="133" spans="1:7" x14ac:dyDescent="0.25">
      <c r="A133" s="149">
        <f t="shared" si="13"/>
        <v>115</v>
      </c>
      <c r="B133" s="151">
        <f t="shared" si="12"/>
        <v>0</v>
      </c>
      <c r="C133" s="151">
        <f t="shared" si="7"/>
        <v>0</v>
      </c>
      <c r="D133" s="151">
        <f t="shared" si="8"/>
        <v>0</v>
      </c>
      <c r="E133" s="151">
        <f t="shared" si="9"/>
        <v>0</v>
      </c>
      <c r="F133" s="151">
        <f t="shared" si="10"/>
        <v>0</v>
      </c>
      <c r="G133" s="131">
        <f t="shared" si="11"/>
        <v>0</v>
      </c>
    </row>
    <row r="134" spans="1:7" x14ac:dyDescent="0.25">
      <c r="A134" s="149">
        <f t="shared" si="13"/>
        <v>116</v>
      </c>
      <c r="B134" s="151">
        <f t="shared" si="12"/>
        <v>0</v>
      </c>
      <c r="C134" s="151">
        <f t="shared" si="7"/>
        <v>0</v>
      </c>
      <c r="D134" s="151">
        <f t="shared" si="8"/>
        <v>0</v>
      </c>
      <c r="E134" s="151">
        <f t="shared" si="9"/>
        <v>0</v>
      </c>
      <c r="F134" s="151">
        <f t="shared" si="10"/>
        <v>0</v>
      </c>
      <c r="G134" s="131">
        <f t="shared" si="11"/>
        <v>0</v>
      </c>
    </row>
    <row r="135" spans="1:7" x14ac:dyDescent="0.25">
      <c r="A135" s="149">
        <f t="shared" si="13"/>
        <v>117</v>
      </c>
      <c r="B135" s="151">
        <f t="shared" si="12"/>
        <v>0</v>
      </c>
      <c r="C135" s="151">
        <f t="shared" si="7"/>
        <v>0</v>
      </c>
      <c r="D135" s="151">
        <f t="shared" si="8"/>
        <v>0</v>
      </c>
      <c r="E135" s="151">
        <f t="shared" si="9"/>
        <v>0</v>
      </c>
      <c r="F135" s="151">
        <f t="shared" si="10"/>
        <v>0</v>
      </c>
      <c r="G135" s="131">
        <f t="shared" si="11"/>
        <v>0</v>
      </c>
    </row>
    <row r="136" spans="1:7" x14ac:dyDescent="0.25">
      <c r="A136" s="149">
        <f t="shared" si="13"/>
        <v>118</v>
      </c>
      <c r="B136" s="151">
        <f t="shared" si="12"/>
        <v>0</v>
      </c>
      <c r="C136" s="151">
        <f t="shared" si="7"/>
        <v>0</v>
      </c>
      <c r="D136" s="151">
        <f t="shared" si="8"/>
        <v>0</v>
      </c>
      <c r="E136" s="151">
        <f t="shared" si="9"/>
        <v>0</v>
      </c>
      <c r="F136" s="151">
        <f t="shared" si="10"/>
        <v>0</v>
      </c>
      <c r="G136" s="131">
        <f t="shared" si="11"/>
        <v>0</v>
      </c>
    </row>
    <row r="137" spans="1:7" x14ac:dyDescent="0.25">
      <c r="A137" s="149">
        <f t="shared" si="13"/>
        <v>119</v>
      </c>
      <c r="B137" s="151">
        <f t="shared" si="12"/>
        <v>0</v>
      </c>
      <c r="C137" s="151">
        <f t="shared" si="7"/>
        <v>0</v>
      </c>
      <c r="D137" s="151">
        <f t="shared" si="8"/>
        <v>0</v>
      </c>
      <c r="E137" s="151">
        <f t="shared" si="9"/>
        <v>0</v>
      </c>
      <c r="F137" s="151">
        <f t="shared" si="10"/>
        <v>0</v>
      </c>
      <c r="G137" s="131">
        <f t="shared" si="11"/>
        <v>0</v>
      </c>
    </row>
    <row r="138" spans="1:7" x14ac:dyDescent="0.25">
      <c r="A138" s="149">
        <f t="shared" si="13"/>
        <v>120</v>
      </c>
      <c r="B138" s="151">
        <f t="shared" si="12"/>
        <v>0</v>
      </c>
      <c r="C138" s="151">
        <f t="shared" si="7"/>
        <v>0</v>
      </c>
      <c r="D138" s="151">
        <f t="shared" si="8"/>
        <v>0</v>
      </c>
      <c r="E138" s="151">
        <f t="shared" si="9"/>
        <v>0</v>
      </c>
      <c r="F138" s="151">
        <f t="shared" si="10"/>
        <v>0</v>
      </c>
      <c r="G138" s="131">
        <f t="shared" si="11"/>
        <v>0</v>
      </c>
    </row>
    <row r="139" spans="1:7" x14ac:dyDescent="0.25">
      <c r="A139" s="149">
        <f t="shared" si="13"/>
        <v>121</v>
      </c>
      <c r="B139" s="151">
        <f t="shared" si="12"/>
        <v>0</v>
      </c>
      <c r="C139" s="151">
        <f t="shared" si="7"/>
        <v>0</v>
      </c>
      <c r="D139" s="151">
        <f t="shared" si="8"/>
        <v>0</v>
      </c>
      <c r="E139" s="151">
        <f t="shared" si="9"/>
        <v>0</v>
      </c>
      <c r="F139" s="151">
        <f t="shared" si="10"/>
        <v>0</v>
      </c>
      <c r="G139" s="131">
        <f t="shared" si="11"/>
        <v>0</v>
      </c>
    </row>
    <row r="140" spans="1:7" x14ac:dyDescent="0.25">
      <c r="A140" s="149">
        <f t="shared" si="13"/>
        <v>122</v>
      </c>
      <c r="B140" s="151">
        <f t="shared" si="12"/>
        <v>0</v>
      </c>
      <c r="C140" s="151">
        <f t="shared" si="7"/>
        <v>0</v>
      </c>
      <c r="D140" s="151">
        <f t="shared" si="8"/>
        <v>0</v>
      </c>
      <c r="E140" s="151">
        <f t="shared" si="9"/>
        <v>0</v>
      </c>
      <c r="F140" s="151">
        <f t="shared" si="10"/>
        <v>0</v>
      </c>
      <c r="G140" s="131">
        <f t="shared" si="11"/>
        <v>0</v>
      </c>
    </row>
    <row r="141" spans="1:7" x14ac:dyDescent="0.25">
      <c r="A141" s="149">
        <f t="shared" si="13"/>
        <v>123</v>
      </c>
      <c r="B141" s="151">
        <f t="shared" si="12"/>
        <v>0</v>
      </c>
      <c r="C141" s="151">
        <f t="shared" si="7"/>
        <v>0</v>
      </c>
      <c r="D141" s="151">
        <f t="shared" si="8"/>
        <v>0</v>
      </c>
      <c r="E141" s="151">
        <f t="shared" si="9"/>
        <v>0</v>
      </c>
      <c r="F141" s="151">
        <f t="shared" si="10"/>
        <v>0</v>
      </c>
      <c r="G141" s="131">
        <f t="shared" si="11"/>
        <v>0</v>
      </c>
    </row>
    <row r="142" spans="1:7" x14ac:dyDescent="0.25">
      <c r="A142" s="149">
        <f t="shared" si="13"/>
        <v>124</v>
      </c>
      <c r="B142" s="151">
        <f t="shared" si="12"/>
        <v>0</v>
      </c>
      <c r="C142" s="151">
        <f t="shared" si="7"/>
        <v>0</v>
      </c>
      <c r="D142" s="151">
        <f t="shared" si="8"/>
        <v>0</v>
      </c>
      <c r="E142" s="151">
        <f t="shared" si="9"/>
        <v>0</v>
      </c>
      <c r="F142" s="151">
        <f t="shared" si="10"/>
        <v>0</v>
      </c>
      <c r="G142" s="131">
        <f t="shared" si="11"/>
        <v>0</v>
      </c>
    </row>
    <row r="143" spans="1:7" x14ac:dyDescent="0.25">
      <c r="A143" s="149">
        <f t="shared" si="13"/>
        <v>125</v>
      </c>
      <c r="B143" s="151">
        <f t="shared" si="12"/>
        <v>0</v>
      </c>
      <c r="C143" s="151">
        <f t="shared" si="7"/>
        <v>0</v>
      </c>
      <c r="D143" s="151">
        <f t="shared" si="8"/>
        <v>0</v>
      </c>
      <c r="E143" s="151">
        <f t="shared" si="9"/>
        <v>0</v>
      </c>
      <c r="F143" s="151">
        <f t="shared" si="10"/>
        <v>0</v>
      </c>
      <c r="G143" s="131">
        <f t="shared" si="11"/>
        <v>0</v>
      </c>
    </row>
    <row r="144" spans="1:7" x14ac:dyDescent="0.25">
      <c r="A144" s="149">
        <f t="shared" si="13"/>
        <v>126</v>
      </c>
      <c r="B144" s="151">
        <f t="shared" si="12"/>
        <v>0</v>
      </c>
      <c r="C144" s="151">
        <f t="shared" si="7"/>
        <v>0</v>
      </c>
      <c r="D144" s="151">
        <f t="shared" si="8"/>
        <v>0</v>
      </c>
      <c r="E144" s="151">
        <f t="shared" si="9"/>
        <v>0</v>
      </c>
      <c r="F144" s="151">
        <f t="shared" si="10"/>
        <v>0</v>
      </c>
      <c r="G144" s="131">
        <f t="shared" si="11"/>
        <v>0</v>
      </c>
    </row>
    <row r="145" spans="1:7" x14ac:dyDescent="0.25">
      <c r="A145" s="149">
        <f t="shared" si="13"/>
        <v>127</v>
      </c>
      <c r="B145" s="151">
        <f t="shared" si="12"/>
        <v>0</v>
      </c>
      <c r="C145" s="151">
        <f t="shared" si="7"/>
        <v>0</v>
      </c>
      <c r="D145" s="151">
        <f t="shared" si="8"/>
        <v>0</v>
      </c>
      <c r="E145" s="151">
        <f t="shared" si="9"/>
        <v>0</v>
      </c>
      <c r="F145" s="151">
        <f t="shared" si="10"/>
        <v>0</v>
      </c>
      <c r="G145" s="131">
        <f t="shared" si="11"/>
        <v>0</v>
      </c>
    </row>
    <row r="146" spans="1:7" x14ac:dyDescent="0.25">
      <c r="A146" s="149">
        <f t="shared" si="13"/>
        <v>128</v>
      </c>
      <c r="B146" s="151">
        <f t="shared" si="12"/>
        <v>0</v>
      </c>
      <c r="C146" s="151">
        <f t="shared" si="7"/>
        <v>0</v>
      </c>
      <c r="D146" s="151">
        <f t="shared" si="8"/>
        <v>0</v>
      </c>
      <c r="E146" s="151">
        <f t="shared" si="9"/>
        <v>0</v>
      </c>
      <c r="F146" s="151">
        <f t="shared" si="10"/>
        <v>0</v>
      </c>
      <c r="G146" s="131">
        <f t="shared" si="11"/>
        <v>0</v>
      </c>
    </row>
    <row r="147" spans="1:7" x14ac:dyDescent="0.25">
      <c r="A147" s="149">
        <f t="shared" si="13"/>
        <v>129</v>
      </c>
      <c r="B147" s="151">
        <f t="shared" si="12"/>
        <v>0</v>
      </c>
      <c r="C147" s="151">
        <f t="shared" ref="C147:C150" si="14">IF(ISERROR(IPMT(C$6/12,A147,$C$8,-$B$19,0)),0,IPMT(C$6/12,A147,$C$8,-$B$19,0))</f>
        <v>0</v>
      </c>
      <c r="D147" s="151">
        <f t="shared" ref="D147:D150" si="15">IF(ISERROR(PPMT($C$6/12,$A147,$C$8,-$B$19,0)),0,PPMT($C$6/12,$A147,$C$8,-$B$19,0))</f>
        <v>0</v>
      </c>
      <c r="E147" s="151">
        <f t="shared" ref="E147:E150" si="16">+C147+D147</f>
        <v>0</v>
      </c>
      <c r="F147" s="151">
        <f t="shared" ref="F147:F150" si="17">+B147-D147</f>
        <v>0</v>
      </c>
      <c r="G147" s="131">
        <f t="shared" ref="G147:G150" si="18">E147/$C$10</f>
        <v>0</v>
      </c>
    </row>
    <row r="148" spans="1:7" x14ac:dyDescent="0.25">
      <c r="A148" s="149">
        <f t="shared" si="13"/>
        <v>130</v>
      </c>
      <c r="B148" s="151">
        <f t="shared" ref="B148:B150" si="19">+F147</f>
        <v>0</v>
      </c>
      <c r="C148" s="151">
        <f t="shared" si="14"/>
        <v>0</v>
      </c>
      <c r="D148" s="151">
        <f t="shared" si="15"/>
        <v>0</v>
      </c>
      <c r="E148" s="151">
        <f t="shared" si="16"/>
        <v>0</v>
      </c>
      <c r="F148" s="151">
        <f t="shared" si="17"/>
        <v>0</v>
      </c>
      <c r="G148" s="131">
        <f t="shared" si="18"/>
        <v>0</v>
      </c>
    </row>
    <row r="149" spans="1:7" x14ac:dyDescent="0.25">
      <c r="A149" s="149">
        <f t="shared" ref="A149:A150" si="20">A148+1</f>
        <v>131</v>
      </c>
      <c r="B149" s="151">
        <f t="shared" si="19"/>
        <v>0</v>
      </c>
      <c r="C149" s="151">
        <f t="shared" si="14"/>
        <v>0</v>
      </c>
      <c r="D149" s="151">
        <f t="shared" si="15"/>
        <v>0</v>
      </c>
      <c r="E149" s="151">
        <f t="shared" si="16"/>
        <v>0</v>
      </c>
      <c r="F149" s="151">
        <f t="shared" si="17"/>
        <v>0</v>
      </c>
      <c r="G149" s="131">
        <f t="shared" si="18"/>
        <v>0</v>
      </c>
    </row>
    <row r="150" spans="1:7" x14ac:dyDescent="0.25">
      <c r="A150" s="149">
        <f t="shared" si="20"/>
        <v>132</v>
      </c>
      <c r="B150" s="151">
        <f t="shared" si="19"/>
        <v>0</v>
      </c>
      <c r="C150" s="151">
        <f t="shared" si="14"/>
        <v>0</v>
      </c>
      <c r="D150" s="151">
        <f t="shared" si="15"/>
        <v>0</v>
      </c>
      <c r="E150" s="151">
        <f t="shared" si="16"/>
        <v>0</v>
      </c>
      <c r="F150" s="151">
        <f t="shared" si="17"/>
        <v>0</v>
      </c>
      <c r="G150" s="131">
        <f t="shared" si="18"/>
        <v>0</v>
      </c>
    </row>
  </sheetData>
  <pageMargins left="0.5" right="0.5" top="0.5" bottom="0.5" header="0.5" footer="0.5"/>
  <pageSetup scale="9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5"/>
  <dimension ref="A1:K61"/>
  <sheetViews>
    <sheetView workbookViewId="0">
      <pane xSplit="5" ySplit="1" topLeftCell="F39" activePane="bottomRight" state="frozenSplit"/>
      <selection pane="topRight"/>
      <selection pane="bottomLeft"/>
      <selection pane="bottomRight" activeCell="J28" sqref="J28"/>
    </sheetView>
  </sheetViews>
  <sheetFormatPr defaultRowHeight="14.4" x14ac:dyDescent="0.3"/>
  <cols>
    <col min="1" max="4" width="3" style="50" customWidth="1"/>
    <col min="5" max="5" width="24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114</v>
      </c>
      <c r="D4" s="43"/>
      <c r="E4" s="43"/>
      <c r="F4" s="44"/>
      <c r="G4" s="45"/>
      <c r="H4" s="44"/>
      <c r="I4" s="45"/>
      <c r="J4" s="44"/>
    </row>
    <row r="5" spans="1:10" x14ac:dyDescent="0.3">
      <c r="A5" s="43"/>
      <c r="B5" s="43"/>
      <c r="C5" s="43"/>
      <c r="D5" s="43" t="s">
        <v>64</v>
      </c>
      <c r="E5" s="43"/>
      <c r="F5" s="44">
        <v>0</v>
      </c>
      <c r="G5" s="45"/>
      <c r="H5" s="44">
        <v>245486</v>
      </c>
      <c r="I5" s="45"/>
      <c r="J5" s="44">
        <v>358795</v>
      </c>
    </row>
    <row r="6" spans="1:10" x14ac:dyDescent="0.3">
      <c r="A6" s="43"/>
      <c r="B6" s="43"/>
      <c r="C6" s="43"/>
      <c r="D6" s="43" t="s">
        <v>115</v>
      </c>
      <c r="E6" s="43"/>
      <c r="F6" s="44">
        <v>103252</v>
      </c>
      <c r="G6" s="45"/>
      <c r="H6" s="44">
        <v>0</v>
      </c>
      <c r="I6" s="45"/>
      <c r="J6" s="44">
        <v>0</v>
      </c>
    </row>
    <row r="7" spans="1:10" ht="15" thickBot="1" x14ac:dyDescent="0.35">
      <c r="A7" s="43"/>
      <c r="B7" s="43"/>
      <c r="C7" s="43"/>
      <c r="D7" s="43" t="s">
        <v>116</v>
      </c>
      <c r="E7" s="43"/>
      <c r="F7" s="46">
        <v>0</v>
      </c>
      <c r="G7" s="45"/>
      <c r="H7" s="46">
        <v>94109</v>
      </c>
      <c r="I7" s="45"/>
      <c r="J7" s="46">
        <v>66928</v>
      </c>
    </row>
    <row r="8" spans="1:10" x14ac:dyDescent="0.3">
      <c r="A8" s="43"/>
      <c r="B8" s="43"/>
      <c r="C8" s="43" t="s">
        <v>117</v>
      </c>
      <c r="D8" s="43"/>
      <c r="E8" s="43"/>
      <c r="F8" s="44">
        <f>ROUND(SUM(F4:F7),5)</f>
        <v>103252</v>
      </c>
      <c r="G8" s="45"/>
      <c r="H8" s="44">
        <f>ROUND(SUM(H4:H7),5)</f>
        <v>339595</v>
      </c>
      <c r="I8" s="45"/>
      <c r="J8" s="44">
        <f>ROUND(SUM(J4:J7),5)</f>
        <v>425723</v>
      </c>
    </row>
    <row r="9" spans="1:10" ht="30" customHeight="1" x14ac:dyDescent="0.3">
      <c r="A9" s="43"/>
      <c r="B9" s="43"/>
      <c r="C9" s="43" t="s">
        <v>118</v>
      </c>
      <c r="D9" s="43"/>
      <c r="E9" s="43"/>
      <c r="F9" s="44"/>
      <c r="G9" s="45"/>
      <c r="H9" s="44"/>
      <c r="I9" s="45"/>
      <c r="J9" s="44"/>
    </row>
    <row r="10" spans="1:10" ht="15" thickBot="1" x14ac:dyDescent="0.35">
      <c r="A10" s="43"/>
      <c r="B10" s="43"/>
      <c r="C10" s="43"/>
      <c r="D10" s="43" t="s">
        <v>118</v>
      </c>
      <c r="E10" s="43"/>
      <c r="F10" s="46">
        <v>-7271</v>
      </c>
      <c r="G10" s="45"/>
      <c r="H10" s="46">
        <v>-4942</v>
      </c>
      <c r="I10" s="45"/>
      <c r="J10" s="46">
        <v>13672</v>
      </c>
    </row>
    <row r="11" spans="1:10" x14ac:dyDescent="0.3">
      <c r="A11" s="43"/>
      <c r="B11" s="43"/>
      <c r="C11" s="43" t="s">
        <v>119</v>
      </c>
      <c r="D11" s="43"/>
      <c r="E11" s="43"/>
      <c r="F11" s="44">
        <f>ROUND(SUM(F9:F10),5)</f>
        <v>-7271</v>
      </c>
      <c r="G11" s="45"/>
      <c r="H11" s="44">
        <f>ROUND(SUM(H9:H10),5)</f>
        <v>-4942</v>
      </c>
      <c r="I11" s="45"/>
      <c r="J11" s="44">
        <f>ROUND(SUM(J9:J10),5)</f>
        <v>13672</v>
      </c>
    </row>
    <row r="12" spans="1:10" ht="30" customHeight="1" x14ac:dyDescent="0.3">
      <c r="A12" s="43"/>
      <c r="B12" s="43"/>
      <c r="C12" s="43" t="s">
        <v>120</v>
      </c>
      <c r="D12" s="43"/>
      <c r="E12" s="43"/>
      <c r="F12" s="44"/>
      <c r="G12" s="45"/>
      <c r="H12" s="44"/>
      <c r="I12" s="45"/>
      <c r="J12" s="44"/>
    </row>
    <row r="13" spans="1:10" x14ac:dyDescent="0.3">
      <c r="A13" s="43"/>
      <c r="B13" s="43"/>
      <c r="C13" s="43"/>
      <c r="D13" s="43" t="s">
        <v>121</v>
      </c>
      <c r="E13" s="43"/>
      <c r="F13" s="44">
        <v>14471</v>
      </c>
      <c r="G13" s="45"/>
      <c r="H13" s="44">
        <v>0</v>
      </c>
      <c r="I13" s="45"/>
      <c r="J13" s="44">
        <v>0</v>
      </c>
    </row>
    <row r="14" spans="1:10" x14ac:dyDescent="0.3">
      <c r="A14" s="43"/>
      <c r="B14" s="43"/>
      <c r="C14" s="43"/>
      <c r="D14" s="43" t="s">
        <v>122</v>
      </c>
      <c r="E14" s="43"/>
      <c r="F14" s="44">
        <v>6876</v>
      </c>
      <c r="G14" s="45"/>
      <c r="H14" s="44">
        <v>5976</v>
      </c>
      <c r="I14" s="45"/>
      <c r="J14" s="44">
        <v>6179</v>
      </c>
    </row>
    <row r="15" spans="1:10" ht="15" thickBot="1" x14ac:dyDescent="0.35">
      <c r="A15" s="43"/>
      <c r="B15" s="43"/>
      <c r="C15" s="43"/>
      <c r="D15" s="43" t="s">
        <v>123</v>
      </c>
      <c r="E15" s="43"/>
      <c r="F15" s="44">
        <v>64347</v>
      </c>
      <c r="G15" s="45"/>
      <c r="H15" s="44">
        <v>0</v>
      </c>
      <c r="I15" s="45"/>
      <c r="J15" s="44">
        <v>0</v>
      </c>
    </row>
    <row r="16" spans="1:10" ht="15" thickBot="1" x14ac:dyDescent="0.35">
      <c r="A16" s="43"/>
      <c r="B16" s="43"/>
      <c r="C16" s="43" t="s">
        <v>124</v>
      </c>
      <c r="D16" s="43"/>
      <c r="E16" s="43"/>
      <c r="F16" s="47">
        <f>ROUND(SUM(F12:F15),5)</f>
        <v>85694</v>
      </c>
      <c r="G16" s="45"/>
      <c r="H16" s="47">
        <f>ROUND(SUM(H12:H15),5)</f>
        <v>5976</v>
      </c>
      <c r="I16" s="45"/>
      <c r="J16" s="47">
        <f>ROUND(SUM(J12:J15),5)</f>
        <v>6179</v>
      </c>
    </row>
    <row r="17" spans="1:11" ht="30" customHeight="1" x14ac:dyDescent="0.3">
      <c r="A17" s="43"/>
      <c r="B17" s="43" t="s">
        <v>125</v>
      </c>
      <c r="C17" s="43"/>
      <c r="D17" s="43"/>
      <c r="E17" s="43"/>
      <c r="F17" s="44">
        <f>ROUND(F3+F8+F11+F16,5)</f>
        <v>181675</v>
      </c>
      <c r="G17" s="45"/>
      <c r="H17" s="44">
        <f>ROUND(H3+H8+H11+H16,5)</f>
        <v>340629</v>
      </c>
      <c r="I17" s="45"/>
      <c r="J17" s="44">
        <f>ROUND(J3+J8+J11+J16,5)</f>
        <v>445574</v>
      </c>
    </row>
    <row r="18" spans="1:11" ht="30" customHeight="1" x14ac:dyDescent="0.3">
      <c r="A18" s="43"/>
      <c r="B18" s="43" t="s">
        <v>126</v>
      </c>
      <c r="C18" s="43"/>
      <c r="D18" s="43"/>
      <c r="E18" s="43"/>
      <c r="F18" s="44"/>
      <c r="G18" s="45"/>
      <c r="H18" s="44"/>
      <c r="I18" s="45"/>
      <c r="J18" s="44"/>
    </row>
    <row r="19" spans="1:11" x14ac:dyDescent="0.3">
      <c r="A19" s="43"/>
      <c r="B19" s="43"/>
      <c r="C19" s="43" t="s">
        <v>127</v>
      </c>
      <c r="D19" s="43"/>
      <c r="E19" s="43"/>
      <c r="F19" s="44">
        <v>818768</v>
      </c>
      <c r="G19" s="45"/>
      <c r="H19" s="44">
        <v>818768</v>
      </c>
      <c r="I19" s="45"/>
      <c r="J19" s="44">
        <v>857148</v>
      </c>
    </row>
    <row r="20" spans="1:11" x14ac:dyDescent="0.3">
      <c r="A20" s="43"/>
      <c r="B20" s="43"/>
      <c r="C20" s="43" t="s">
        <v>128</v>
      </c>
      <c r="D20" s="43"/>
      <c r="E20" s="43"/>
      <c r="F20" s="44">
        <v>1251010</v>
      </c>
      <c r="G20" s="45"/>
      <c r="H20" s="44">
        <v>1251010</v>
      </c>
      <c r="I20" s="45"/>
      <c r="J20" s="44">
        <v>1251010</v>
      </c>
    </row>
    <row r="21" spans="1:11" x14ac:dyDescent="0.3">
      <c r="A21" s="43"/>
      <c r="B21" s="43"/>
      <c r="C21" s="43" t="s">
        <v>129</v>
      </c>
      <c r="D21" s="43"/>
      <c r="E21" s="43"/>
      <c r="F21" s="44">
        <v>419582</v>
      </c>
      <c r="G21" s="45"/>
      <c r="H21" s="44">
        <v>419582</v>
      </c>
      <c r="I21" s="45"/>
      <c r="J21" s="44">
        <v>419582</v>
      </c>
    </row>
    <row r="22" spans="1:11" x14ac:dyDescent="0.3">
      <c r="A22" s="43"/>
      <c r="B22" s="43"/>
      <c r="C22" s="43" t="s">
        <v>130</v>
      </c>
      <c r="D22" s="43"/>
      <c r="E22" s="43"/>
      <c r="F22" s="44">
        <v>67866</v>
      </c>
      <c r="G22" s="45"/>
      <c r="H22" s="44">
        <v>67866</v>
      </c>
      <c r="I22" s="45"/>
      <c r="J22" s="44">
        <v>67866</v>
      </c>
    </row>
    <row r="23" spans="1:11" x14ac:dyDescent="0.3">
      <c r="A23" s="43"/>
      <c r="B23" s="43"/>
      <c r="C23" s="43" t="s">
        <v>131</v>
      </c>
      <c r="D23" s="43"/>
      <c r="E23" s="43"/>
      <c r="F23" s="44">
        <v>6945</v>
      </c>
      <c r="G23" s="45"/>
      <c r="H23" s="44">
        <v>6945</v>
      </c>
      <c r="I23" s="45"/>
      <c r="J23" s="44">
        <v>6945</v>
      </c>
    </row>
    <row r="24" spans="1:11" x14ac:dyDescent="0.3">
      <c r="A24" s="43"/>
      <c r="B24" s="43"/>
      <c r="C24" s="43" t="s">
        <v>132</v>
      </c>
      <c r="D24" s="43"/>
      <c r="E24" s="43"/>
      <c r="F24" s="44">
        <v>4711</v>
      </c>
      <c r="G24" s="45"/>
      <c r="H24" s="44">
        <v>4711</v>
      </c>
      <c r="I24" s="45"/>
      <c r="J24" s="44">
        <v>4711</v>
      </c>
    </row>
    <row r="25" spans="1:11" x14ac:dyDescent="0.3">
      <c r="A25" s="43"/>
      <c r="B25" s="43"/>
      <c r="C25" s="43" t="s">
        <v>133</v>
      </c>
      <c r="D25" s="43"/>
      <c r="E25" s="43"/>
      <c r="F25" s="44">
        <v>853026</v>
      </c>
      <c r="G25" s="45"/>
      <c r="H25" s="44">
        <v>921186</v>
      </c>
      <c r="I25" s="45"/>
      <c r="J25" s="44">
        <v>921186</v>
      </c>
    </row>
    <row r="26" spans="1:11" x14ac:dyDescent="0.3">
      <c r="A26" s="43"/>
      <c r="B26" s="43"/>
      <c r="C26" s="43" t="s">
        <v>134</v>
      </c>
      <c r="D26" s="43"/>
      <c r="E26" s="43"/>
      <c r="F26" s="44">
        <v>232315</v>
      </c>
      <c r="G26" s="45"/>
      <c r="H26" s="44">
        <v>232315</v>
      </c>
      <c r="I26" s="45"/>
      <c r="J26" s="44">
        <v>244315</v>
      </c>
    </row>
    <row r="27" spans="1:11" ht="15" thickBot="1" x14ac:dyDescent="0.35">
      <c r="A27" s="43"/>
      <c r="B27" s="43"/>
      <c r="C27" s="43" t="s">
        <v>135</v>
      </c>
      <c r="D27" s="43"/>
      <c r="E27" s="43"/>
      <c r="F27" s="46">
        <v>-506407</v>
      </c>
      <c r="G27" s="45"/>
      <c r="H27" s="46">
        <v>-858080</v>
      </c>
      <c r="I27" s="45"/>
      <c r="J27" s="46">
        <v>-956120</v>
      </c>
    </row>
    <row r="28" spans="1:11" x14ac:dyDescent="0.3">
      <c r="A28" s="43"/>
      <c r="B28" s="43" t="s">
        <v>136</v>
      </c>
      <c r="C28" s="43"/>
      <c r="D28" s="43"/>
      <c r="E28" s="43"/>
      <c r="F28" s="44">
        <f>ROUND(SUM(F18:F27),5)</f>
        <v>3147816</v>
      </c>
      <c r="G28" s="45"/>
      <c r="H28" s="44">
        <f>ROUND(SUM(H18:H27),5)</f>
        <v>2864303</v>
      </c>
      <c r="I28" s="45"/>
      <c r="J28" s="44">
        <f>ROUND(SUM(J18:J27),5)</f>
        <v>2816643</v>
      </c>
      <c r="K28" s="153"/>
    </row>
    <row r="29" spans="1:11" ht="30" customHeight="1" x14ac:dyDescent="0.3">
      <c r="A29" s="43"/>
      <c r="B29" s="43" t="s">
        <v>137</v>
      </c>
      <c r="C29" s="43"/>
      <c r="D29" s="43"/>
      <c r="E29" s="43"/>
      <c r="F29" s="44"/>
      <c r="G29" s="45"/>
      <c r="H29" s="44"/>
      <c r="I29" s="45"/>
      <c r="J29" s="44"/>
    </row>
    <row r="30" spans="1:11" x14ac:dyDescent="0.3">
      <c r="A30" s="43"/>
      <c r="B30" s="43"/>
      <c r="C30" s="43" t="s">
        <v>138</v>
      </c>
      <c r="D30" s="43"/>
      <c r="E30" s="43"/>
      <c r="F30" s="44">
        <v>1950</v>
      </c>
      <c r="G30" s="45"/>
      <c r="H30" s="44">
        <v>19697</v>
      </c>
      <c r="I30" s="45"/>
      <c r="J30" s="44">
        <v>19697</v>
      </c>
    </row>
    <row r="31" spans="1:11" x14ac:dyDescent="0.3">
      <c r="A31" s="43"/>
      <c r="B31" s="43"/>
      <c r="C31" s="43" t="s">
        <v>139</v>
      </c>
      <c r="D31" s="43"/>
      <c r="E31" s="43"/>
      <c r="F31" s="44">
        <v>-975</v>
      </c>
      <c r="G31" s="45"/>
      <c r="H31" s="44">
        <v>-5499</v>
      </c>
      <c r="I31" s="45"/>
      <c r="J31" s="44">
        <v>-10024</v>
      </c>
    </row>
    <row r="32" spans="1:11" ht="15" thickBot="1" x14ac:dyDescent="0.35">
      <c r="A32" s="43"/>
      <c r="B32" s="43"/>
      <c r="C32" s="43" t="s">
        <v>140</v>
      </c>
      <c r="D32" s="43"/>
      <c r="E32" s="43"/>
      <c r="F32" s="44">
        <v>0</v>
      </c>
      <c r="G32" s="45"/>
      <c r="H32" s="44">
        <v>-79009</v>
      </c>
      <c r="I32" s="45"/>
      <c r="J32" s="44">
        <v>-79009</v>
      </c>
    </row>
    <row r="33" spans="1:10" ht="15" thickBot="1" x14ac:dyDescent="0.35">
      <c r="A33" s="43"/>
      <c r="B33" s="43" t="s">
        <v>141</v>
      </c>
      <c r="C33" s="43"/>
      <c r="D33" s="43"/>
      <c r="E33" s="43"/>
      <c r="F33" s="48">
        <f>ROUND(SUM(F29:F32),5)</f>
        <v>975</v>
      </c>
      <c r="G33" s="45"/>
      <c r="H33" s="48">
        <f>ROUND(SUM(H29:H32),5)</f>
        <v>-64811</v>
      </c>
      <c r="I33" s="45"/>
      <c r="J33" s="48">
        <f>ROUND(SUM(J29:J32),5)</f>
        <v>-69336</v>
      </c>
    </row>
    <row r="34" spans="1:10" s="50" customFormat="1" ht="30" customHeight="1" thickBot="1" x14ac:dyDescent="0.25">
      <c r="A34" s="43" t="s">
        <v>142</v>
      </c>
      <c r="B34" s="43"/>
      <c r="C34" s="43"/>
      <c r="D34" s="43"/>
      <c r="E34" s="43"/>
      <c r="F34" s="49">
        <f>ROUND(F2+F17+F28+F33,5)</f>
        <v>3330466</v>
      </c>
      <c r="G34" s="43"/>
      <c r="H34" s="49">
        <f>ROUND(H2+H17+H28+H33,5)</f>
        <v>3140121</v>
      </c>
      <c r="I34" s="43"/>
      <c r="J34" s="49">
        <f>ROUND(J2+J17+J28+J33,5)</f>
        <v>3192881</v>
      </c>
    </row>
    <row r="35" spans="1:10" ht="31.5" customHeight="1" thickTop="1" x14ac:dyDescent="0.3">
      <c r="A35" s="43" t="s">
        <v>143</v>
      </c>
      <c r="B35" s="43"/>
      <c r="C35" s="43"/>
      <c r="D35" s="43"/>
      <c r="E35" s="43"/>
      <c r="F35" s="44"/>
      <c r="G35" s="45"/>
      <c r="H35" s="44"/>
      <c r="I35" s="45"/>
      <c r="J35" s="44"/>
    </row>
    <row r="36" spans="1:10" x14ac:dyDescent="0.3">
      <c r="A36" s="43"/>
      <c r="B36" s="43" t="s">
        <v>144</v>
      </c>
      <c r="C36" s="43"/>
      <c r="D36" s="43"/>
      <c r="E36" s="43"/>
      <c r="F36" s="44"/>
      <c r="G36" s="45"/>
      <c r="H36" s="44"/>
      <c r="I36" s="45"/>
      <c r="J36" s="44"/>
    </row>
    <row r="37" spans="1:10" x14ac:dyDescent="0.3">
      <c r="A37" s="43"/>
      <c r="B37" s="43"/>
      <c r="C37" s="43" t="s">
        <v>145</v>
      </c>
      <c r="D37" s="43"/>
      <c r="E37" s="43"/>
      <c r="F37" s="44"/>
      <c r="G37" s="45"/>
      <c r="H37" s="44"/>
      <c r="I37" s="45"/>
      <c r="J37" s="44"/>
    </row>
    <row r="38" spans="1:10" x14ac:dyDescent="0.3">
      <c r="A38" s="43"/>
      <c r="B38" s="43"/>
      <c r="C38" s="43"/>
      <c r="D38" s="43" t="s">
        <v>146</v>
      </c>
      <c r="E38" s="43"/>
      <c r="F38" s="44"/>
      <c r="G38" s="45"/>
      <c r="H38" s="44"/>
      <c r="I38" s="45"/>
      <c r="J38" s="44"/>
    </row>
    <row r="39" spans="1:10" ht="15" thickBot="1" x14ac:dyDescent="0.35">
      <c r="A39" s="43"/>
      <c r="B39" s="43"/>
      <c r="C39" s="43"/>
      <c r="D39" s="43"/>
      <c r="E39" s="43" t="s">
        <v>146</v>
      </c>
      <c r="F39" s="46">
        <v>22620</v>
      </c>
      <c r="G39" s="45"/>
      <c r="H39" s="46">
        <v>49186</v>
      </c>
      <c r="I39" s="45"/>
      <c r="J39" s="46">
        <v>20611</v>
      </c>
    </row>
    <row r="40" spans="1:10" x14ac:dyDescent="0.3">
      <c r="A40" s="43"/>
      <c r="B40" s="43"/>
      <c r="C40" s="43"/>
      <c r="D40" s="43" t="s">
        <v>147</v>
      </c>
      <c r="E40" s="43"/>
      <c r="F40" s="44">
        <f>ROUND(SUM(F38:F39),5)</f>
        <v>22620</v>
      </c>
      <c r="G40" s="45"/>
      <c r="H40" s="44">
        <f>ROUND(SUM(H38:H39),5)</f>
        <v>49186</v>
      </c>
      <c r="I40" s="45"/>
      <c r="J40" s="44">
        <f>ROUND(SUM(J38:J39),5)</f>
        <v>20611</v>
      </c>
    </row>
    <row r="41" spans="1:10" ht="30" customHeight="1" x14ac:dyDescent="0.3">
      <c r="A41" s="43"/>
      <c r="B41" s="43"/>
      <c r="C41" s="43"/>
      <c r="D41" s="43" t="s">
        <v>148</v>
      </c>
      <c r="E41" s="43"/>
      <c r="F41" s="44"/>
      <c r="G41" s="45"/>
      <c r="H41" s="44"/>
      <c r="I41" s="45"/>
      <c r="J41" s="44"/>
    </row>
    <row r="42" spans="1:10" x14ac:dyDescent="0.3">
      <c r="A42" s="43"/>
      <c r="B42" s="43"/>
      <c r="C42" s="43"/>
      <c r="D42" s="43"/>
      <c r="E42" s="43" t="s">
        <v>149</v>
      </c>
      <c r="F42" s="44">
        <v>57641</v>
      </c>
      <c r="G42" s="45"/>
      <c r="H42" s="44">
        <v>0</v>
      </c>
      <c r="I42" s="45"/>
      <c r="J42" s="44">
        <v>0</v>
      </c>
    </row>
    <row r="43" spans="1:10" x14ac:dyDescent="0.3">
      <c r="A43" s="43"/>
      <c r="B43" s="43"/>
      <c r="C43" s="43"/>
      <c r="D43" s="43"/>
      <c r="E43" s="43" t="s">
        <v>150</v>
      </c>
      <c r="F43" s="44">
        <v>64332</v>
      </c>
      <c r="G43" s="45"/>
      <c r="H43" s="44">
        <v>69956</v>
      </c>
      <c r="I43" s="45"/>
      <c r="J43" s="44">
        <v>63425</v>
      </c>
    </row>
    <row r="44" spans="1:10" ht="15" thickBot="1" x14ac:dyDescent="0.35">
      <c r="A44" s="43"/>
      <c r="B44" s="43"/>
      <c r="C44" s="43"/>
      <c r="D44" s="43"/>
      <c r="E44" s="43" t="s">
        <v>151</v>
      </c>
      <c r="F44" s="44">
        <v>35343</v>
      </c>
      <c r="G44" s="45"/>
      <c r="H44" s="44">
        <v>41127</v>
      </c>
      <c r="I44" s="45"/>
      <c r="J44" s="44">
        <v>38661</v>
      </c>
    </row>
    <row r="45" spans="1:10" ht="15" thickBot="1" x14ac:dyDescent="0.35">
      <c r="A45" s="43"/>
      <c r="B45" s="43"/>
      <c r="C45" s="43"/>
      <c r="D45" s="43" t="s">
        <v>152</v>
      </c>
      <c r="E45" s="43"/>
      <c r="F45" s="47">
        <f>ROUND(SUM(F41:F44),5)</f>
        <v>157316</v>
      </c>
      <c r="G45" s="45"/>
      <c r="H45" s="47">
        <f>ROUND(SUM(H41:H44),5)</f>
        <v>111083</v>
      </c>
      <c r="I45" s="45"/>
      <c r="J45" s="47">
        <f>ROUND(SUM(J41:J44),5)</f>
        <v>102086</v>
      </c>
    </row>
    <row r="46" spans="1:10" ht="30" customHeight="1" x14ac:dyDescent="0.3">
      <c r="A46" s="43"/>
      <c r="B46" s="43"/>
      <c r="C46" s="43" t="s">
        <v>153</v>
      </c>
      <c r="D46" s="43"/>
      <c r="E46" s="43"/>
      <c r="F46" s="44">
        <f>ROUND(F37+F40+F45,5)</f>
        <v>179936</v>
      </c>
      <c r="G46" s="45"/>
      <c r="H46" s="44">
        <f>ROUND(H37+H40+H45,5)</f>
        <v>160269</v>
      </c>
      <c r="I46" s="45"/>
      <c r="J46" s="44">
        <f>ROUND(J37+J40+J45,5)</f>
        <v>122697</v>
      </c>
    </row>
    <row r="47" spans="1:10" ht="30" customHeight="1" x14ac:dyDescent="0.3">
      <c r="A47" s="43"/>
      <c r="B47" s="43"/>
      <c r="C47" s="43" t="s">
        <v>154</v>
      </c>
      <c r="D47" s="43"/>
      <c r="E47" s="43"/>
      <c r="F47" s="44"/>
      <c r="G47" s="45"/>
      <c r="H47" s="44"/>
      <c r="I47" s="45"/>
      <c r="J47" s="44"/>
    </row>
    <row r="48" spans="1:10" x14ac:dyDescent="0.3">
      <c r="A48" s="43"/>
      <c r="B48" s="43"/>
      <c r="C48" s="43"/>
      <c r="D48" s="43" t="s">
        <v>155</v>
      </c>
      <c r="E48" s="43"/>
      <c r="F48" s="44">
        <v>2860837</v>
      </c>
      <c r="G48" s="45"/>
      <c r="H48" s="44">
        <v>0</v>
      </c>
      <c r="I48" s="45"/>
      <c r="J48" s="44">
        <v>0</v>
      </c>
    </row>
    <row r="49" spans="1:10" ht="15" thickBot="1" x14ac:dyDescent="0.35">
      <c r="A49" s="43"/>
      <c r="B49" s="43"/>
      <c r="C49" s="43"/>
      <c r="D49" s="43" t="s">
        <v>156</v>
      </c>
      <c r="E49" s="43"/>
      <c r="F49" s="44">
        <v>0</v>
      </c>
      <c r="G49" s="45"/>
      <c r="H49" s="44">
        <v>2906409</v>
      </c>
      <c r="I49" s="45"/>
      <c r="J49" s="51">
        <v>2801086</v>
      </c>
    </row>
    <row r="50" spans="1:10" ht="15" thickBot="1" x14ac:dyDescent="0.35">
      <c r="A50" s="43"/>
      <c r="B50" s="43"/>
      <c r="C50" s="43" t="s">
        <v>157</v>
      </c>
      <c r="D50" s="43"/>
      <c r="E50" s="43"/>
      <c r="F50" s="47">
        <f>ROUND(SUM(F47:F49),5)</f>
        <v>2860837</v>
      </c>
      <c r="G50" s="45"/>
      <c r="H50" s="47">
        <f>ROUND(SUM(H47:H49),5)</f>
        <v>2906409</v>
      </c>
      <c r="I50" s="45"/>
      <c r="J50" s="47">
        <f>ROUND(SUM(J47:J49),5)</f>
        <v>2801086</v>
      </c>
    </row>
    <row r="51" spans="1:10" ht="30" customHeight="1" x14ac:dyDescent="0.3">
      <c r="A51" s="43"/>
      <c r="B51" s="43" t="s">
        <v>158</v>
      </c>
      <c r="C51" s="43"/>
      <c r="D51" s="43"/>
      <c r="E51" s="43"/>
      <c r="F51" s="44">
        <f>ROUND(F36+F46+F50,5)</f>
        <v>3040773</v>
      </c>
      <c r="G51" s="45"/>
      <c r="H51" s="44">
        <f>ROUND(H36+H46+H50,5)</f>
        <v>3066678</v>
      </c>
      <c r="I51" s="45"/>
      <c r="J51" s="44">
        <f>ROUND(J36+J46+J50,5)</f>
        <v>2923783</v>
      </c>
    </row>
    <row r="52" spans="1:10" ht="30" customHeight="1" x14ac:dyDescent="0.3">
      <c r="A52" s="43"/>
      <c r="B52" s="43" t="s">
        <v>159</v>
      </c>
      <c r="C52" s="43"/>
      <c r="D52" s="43"/>
      <c r="E52" s="43"/>
      <c r="F52" s="44"/>
      <c r="G52" s="45"/>
      <c r="H52" s="44"/>
      <c r="I52" s="45"/>
      <c r="J52" s="44"/>
    </row>
    <row r="53" spans="1:10" x14ac:dyDescent="0.3">
      <c r="A53" s="43"/>
      <c r="B53" s="43"/>
      <c r="C53" s="43" t="s">
        <v>160</v>
      </c>
      <c r="D53" s="43"/>
      <c r="E53" s="43"/>
      <c r="F53" s="44">
        <v>14005</v>
      </c>
      <c r="G53" s="45"/>
      <c r="H53" s="44">
        <v>-208909</v>
      </c>
      <c r="I53" s="45"/>
      <c r="J53" s="44">
        <v>-208909</v>
      </c>
    </row>
    <row r="54" spans="1:10" x14ac:dyDescent="0.3">
      <c r="A54" s="43"/>
      <c r="B54" s="43"/>
      <c r="C54" s="43" t="s">
        <v>161</v>
      </c>
      <c r="D54" s="43"/>
      <c r="E54" s="43"/>
      <c r="F54" s="44">
        <v>0</v>
      </c>
      <c r="G54" s="45"/>
      <c r="H54" s="44">
        <v>0</v>
      </c>
      <c r="I54" s="45"/>
      <c r="J54" s="44">
        <v>-67500</v>
      </c>
    </row>
    <row r="55" spans="1:10" x14ac:dyDescent="0.3">
      <c r="A55" s="43"/>
      <c r="B55" s="43"/>
      <c r="C55" s="43" t="s">
        <v>162</v>
      </c>
      <c r="D55" s="43"/>
      <c r="E55" s="43"/>
      <c r="F55" s="44">
        <v>356657</v>
      </c>
      <c r="G55" s="45"/>
      <c r="H55" s="44">
        <v>282352</v>
      </c>
      <c r="I55" s="45"/>
      <c r="J55" s="44">
        <v>282352</v>
      </c>
    </row>
    <row r="56" spans="1:10" x14ac:dyDescent="0.3">
      <c r="A56" s="43"/>
      <c r="B56" s="43"/>
      <c r="C56" s="43" t="s">
        <v>163</v>
      </c>
      <c r="D56" s="43"/>
      <c r="E56" s="43"/>
      <c r="F56" s="44">
        <v>0</v>
      </c>
      <c r="G56" s="45"/>
      <c r="H56" s="44">
        <v>0</v>
      </c>
      <c r="I56" s="45"/>
      <c r="J56" s="44">
        <v>-22500</v>
      </c>
    </row>
    <row r="57" spans="1:10" x14ac:dyDescent="0.3">
      <c r="A57" s="43"/>
      <c r="B57" s="43"/>
      <c r="C57" s="43" t="s">
        <v>164</v>
      </c>
      <c r="D57" s="43"/>
      <c r="E57" s="43"/>
      <c r="F57" s="44">
        <v>-40484</v>
      </c>
      <c r="G57" s="45"/>
      <c r="H57" s="44">
        <v>160251</v>
      </c>
      <c r="I57" s="45"/>
      <c r="J57" s="44">
        <v>0</v>
      </c>
    </row>
    <row r="58" spans="1:10" ht="15" thickBot="1" x14ac:dyDescent="0.35">
      <c r="A58" s="43"/>
      <c r="B58" s="43"/>
      <c r="C58" s="43" t="s">
        <v>165</v>
      </c>
      <c r="D58" s="43"/>
      <c r="E58" s="43"/>
      <c r="F58" s="44">
        <v>-40484</v>
      </c>
      <c r="G58" s="45"/>
      <c r="H58" s="44">
        <v>-160251</v>
      </c>
      <c r="I58" s="45"/>
      <c r="J58" s="44">
        <v>285656</v>
      </c>
    </row>
    <row r="59" spans="1:10" ht="15" thickBot="1" x14ac:dyDescent="0.35">
      <c r="A59" s="43"/>
      <c r="B59" s="43" t="s">
        <v>166</v>
      </c>
      <c r="C59" s="43"/>
      <c r="D59" s="43"/>
      <c r="E59" s="43"/>
      <c r="F59" s="48">
        <f>ROUND(SUM(F52:F58),5)</f>
        <v>289694</v>
      </c>
      <c r="G59" s="45"/>
      <c r="H59" s="48">
        <f>ROUND(SUM(H52:H58),5)</f>
        <v>73443</v>
      </c>
      <c r="I59" s="45"/>
      <c r="J59" s="48">
        <f>ROUND(SUM(J52:J58),5)</f>
        <v>269099</v>
      </c>
    </row>
    <row r="60" spans="1:10" s="50" customFormat="1" ht="30" customHeight="1" thickBot="1" x14ac:dyDescent="0.25">
      <c r="A60" s="43" t="s">
        <v>167</v>
      </c>
      <c r="B60" s="43"/>
      <c r="C60" s="43"/>
      <c r="D60" s="43"/>
      <c r="E60" s="43"/>
      <c r="F60" s="49">
        <f>ROUND(F35+F51+F59,5)</f>
        <v>3330467</v>
      </c>
      <c r="G60" s="43"/>
      <c r="H60" s="49">
        <f>ROUND(H35+H51+H59,5)</f>
        <v>3140121</v>
      </c>
      <c r="I60" s="43"/>
      <c r="J60" s="49">
        <f>ROUND(J35+J51+J59,5)</f>
        <v>3192882</v>
      </c>
    </row>
    <row r="61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11:01 AM
&amp;"Arial,Bold"&amp;8 02/17/14
&amp;"Arial,Bold"&amp;8 Accrual Basis&amp;C&amp;"Arial,Bold"&amp;12 Auburn Pointe, LLC
&amp;"Arial,Bold"&amp;14 3 Year Comparative Balance Sheet
&amp;"Arial,Bold"&amp;10 As of December 31,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433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4338" r:id="rId4" name="HEADER"/>
      </mc:Fallback>
    </mc:AlternateContent>
    <mc:AlternateContent xmlns:mc="http://schemas.openxmlformats.org/markup-compatibility/2006">
      <mc:Choice Requires="x14">
        <control shapeId="1433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4337" r:id="rId6" name="FILTER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9"/>
  <dimension ref="A1:N130"/>
  <sheetViews>
    <sheetView workbookViewId="0">
      <pane xSplit="7" ySplit="1" topLeftCell="H97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0.44140625" style="50" customWidth="1"/>
    <col min="8" max="8" width="11.3320312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10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52"/>
      <c r="I2" s="45"/>
      <c r="J2" s="52"/>
      <c r="K2" s="45"/>
      <c r="L2" s="52"/>
      <c r="M2" s="45"/>
      <c r="N2" s="52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52"/>
      <c r="I3" s="45"/>
      <c r="J3" s="52"/>
      <c r="K3" s="45"/>
      <c r="L3" s="52"/>
      <c r="M3" s="45"/>
      <c r="N3" s="52"/>
    </row>
    <row r="4" spans="1:14" x14ac:dyDescent="0.3">
      <c r="A4" s="43"/>
      <c r="B4" s="43"/>
      <c r="C4" s="43"/>
      <c r="D4" s="43"/>
      <c r="E4" s="43" t="s">
        <v>174</v>
      </c>
      <c r="F4" s="43"/>
      <c r="G4" s="43"/>
      <c r="H4" s="52">
        <v>373486.34</v>
      </c>
      <c r="I4" s="45"/>
      <c r="J4" s="52">
        <v>438651.45</v>
      </c>
      <c r="K4" s="45"/>
      <c r="L4" s="52">
        <v>463017</v>
      </c>
      <c r="M4" s="45"/>
      <c r="N4" s="52">
        <f t="shared" ref="N4:N11" si="0">ROUND(SUM(H4:L4),5)</f>
        <v>1275154.79</v>
      </c>
    </row>
    <row r="5" spans="1:14" x14ac:dyDescent="0.3">
      <c r="A5" s="43"/>
      <c r="B5" s="43"/>
      <c r="C5" s="43"/>
      <c r="D5" s="43"/>
      <c r="E5" s="43" t="s">
        <v>175</v>
      </c>
      <c r="F5" s="43"/>
      <c r="G5" s="43"/>
      <c r="H5" s="52">
        <v>37190.94</v>
      </c>
      <c r="I5" s="45"/>
      <c r="J5" s="52">
        <v>45934.46</v>
      </c>
      <c r="K5" s="45"/>
      <c r="L5" s="52">
        <v>67139.179999999993</v>
      </c>
      <c r="M5" s="45"/>
      <c r="N5" s="52">
        <f t="shared" si="0"/>
        <v>150264.57999999999</v>
      </c>
    </row>
    <row r="6" spans="1:14" x14ac:dyDescent="0.3">
      <c r="A6" s="43"/>
      <c r="B6" s="43"/>
      <c r="C6" s="43"/>
      <c r="D6" s="43"/>
      <c r="E6" s="43" t="s">
        <v>176</v>
      </c>
      <c r="F6" s="43"/>
      <c r="G6" s="43"/>
      <c r="H6" s="52">
        <v>65103.86</v>
      </c>
      <c r="I6" s="45"/>
      <c r="J6" s="52">
        <v>118966.75</v>
      </c>
      <c r="K6" s="45"/>
      <c r="L6" s="52">
        <v>145319.79</v>
      </c>
      <c r="M6" s="45"/>
      <c r="N6" s="52">
        <f t="shared" si="0"/>
        <v>329390.40000000002</v>
      </c>
    </row>
    <row r="7" spans="1:14" x14ac:dyDescent="0.3">
      <c r="A7" s="43"/>
      <c r="B7" s="43"/>
      <c r="C7" s="43"/>
      <c r="D7" s="43"/>
      <c r="E7" s="43" t="s">
        <v>177</v>
      </c>
      <c r="F7" s="43"/>
      <c r="G7" s="43"/>
      <c r="H7" s="52">
        <v>2952.55</v>
      </c>
      <c r="I7" s="45"/>
      <c r="J7" s="52">
        <v>8663.92</v>
      </c>
      <c r="K7" s="45"/>
      <c r="L7" s="52">
        <v>7282.43</v>
      </c>
      <c r="M7" s="45"/>
      <c r="N7" s="52">
        <f t="shared" si="0"/>
        <v>18898.900000000001</v>
      </c>
    </row>
    <row r="8" spans="1:14" x14ac:dyDescent="0.3">
      <c r="A8" s="43"/>
      <c r="B8" s="43"/>
      <c r="C8" s="43"/>
      <c r="D8" s="43"/>
      <c r="E8" s="43" t="s">
        <v>178</v>
      </c>
      <c r="F8" s="43"/>
      <c r="G8" s="43"/>
      <c r="H8" s="52">
        <v>0</v>
      </c>
      <c r="I8" s="45"/>
      <c r="J8" s="52">
        <v>140</v>
      </c>
      <c r="K8" s="45"/>
      <c r="L8" s="52">
        <v>358.52</v>
      </c>
      <c r="M8" s="45"/>
      <c r="N8" s="52">
        <f t="shared" si="0"/>
        <v>498.52</v>
      </c>
    </row>
    <row r="9" spans="1:14" ht="15" thickBot="1" x14ac:dyDescent="0.35">
      <c r="A9" s="43"/>
      <c r="B9" s="43"/>
      <c r="C9" s="43"/>
      <c r="D9" s="43"/>
      <c r="E9" s="43" t="s">
        <v>179</v>
      </c>
      <c r="F9" s="43"/>
      <c r="G9" s="43"/>
      <c r="H9" s="52">
        <v>5600</v>
      </c>
      <c r="I9" s="45"/>
      <c r="J9" s="52">
        <v>0</v>
      </c>
      <c r="K9" s="45"/>
      <c r="L9" s="52">
        <v>0</v>
      </c>
      <c r="M9" s="45"/>
      <c r="N9" s="52">
        <f t="shared" si="0"/>
        <v>5600</v>
      </c>
    </row>
    <row r="10" spans="1:14" ht="15" thickBot="1" x14ac:dyDescent="0.35">
      <c r="A10" s="43"/>
      <c r="B10" s="43"/>
      <c r="C10" s="43"/>
      <c r="D10" s="43" t="s">
        <v>180</v>
      </c>
      <c r="E10" s="43"/>
      <c r="F10" s="43"/>
      <c r="G10" s="43"/>
      <c r="H10" s="53">
        <f>ROUND(SUM(H3:H9),5)</f>
        <v>484333.69</v>
      </c>
      <c r="I10" s="45"/>
      <c r="J10" s="53">
        <f>ROUND(SUM(J3:J9),5)</f>
        <v>612356.57999999996</v>
      </c>
      <c r="K10" s="45"/>
      <c r="L10" s="53">
        <f>ROUND(SUM(L3:L9),5)</f>
        <v>683116.92</v>
      </c>
      <c r="M10" s="45"/>
      <c r="N10" s="53">
        <f t="shared" si="0"/>
        <v>1779807.19</v>
      </c>
    </row>
    <row r="11" spans="1:14" ht="30" customHeight="1" x14ac:dyDescent="0.3">
      <c r="A11" s="43"/>
      <c r="B11" s="43"/>
      <c r="C11" s="43" t="s">
        <v>181</v>
      </c>
      <c r="D11" s="43"/>
      <c r="E11" s="43"/>
      <c r="F11" s="43"/>
      <c r="G11" s="43"/>
      <c r="H11" s="52">
        <f>H10</f>
        <v>484333.69</v>
      </c>
      <c r="I11" s="45"/>
      <c r="J11" s="52">
        <f>J10</f>
        <v>612356.57999999996</v>
      </c>
      <c r="K11" s="45"/>
      <c r="L11" s="52">
        <f>L10</f>
        <v>683116.92</v>
      </c>
      <c r="M11" s="45"/>
      <c r="N11" s="52">
        <f t="shared" si="0"/>
        <v>1779807.19</v>
      </c>
    </row>
    <row r="12" spans="1:14" ht="30" customHeight="1" x14ac:dyDescent="0.3">
      <c r="A12" s="43"/>
      <c r="B12" s="43"/>
      <c r="C12" s="43"/>
      <c r="D12" s="43" t="s">
        <v>182</v>
      </c>
      <c r="E12" s="43"/>
      <c r="F12" s="43"/>
      <c r="G12" s="43"/>
      <c r="H12" s="52"/>
      <c r="I12" s="45"/>
      <c r="J12" s="52"/>
      <c r="K12" s="45"/>
      <c r="L12" s="52"/>
      <c r="M12" s="45"/>
      <c r="N12" s="52"/>
    </row>
    <row r="13" spans="1:14" x14ac:dyDescent="0.3">
      <c r="A13" s="43"/>
      <c r="B13" s="43"/>
      <c r="C13" s="43"/>
      <c r="D13" s="43"/>
      <c r="E13" s="43" t="s">
        <v>183</v>
      </c>
      <c r="F13" s="43"/>
      <c r="G13" s="43"/>
      <c r="H13" s="52"/>
      <c r="I13" s="45"/>
      <c r="J13" s="52"/>
      <c r="K13" s="45"/>
      <c r="L13" s="52"/>
      <c r="M13" s="45"/>
      <c r="N13" s="52"/>
    </row>
    <row r="14" spans="1:14" x14ac:dyDescent="0.3">
      <c r="A14" s="43"/>
      <c r="B14" s="43"/>
      <c r="C14" s="43"/>
      <c r="D14" s="43"/>
      <c r="E14" s="43"/>
      <c r="F14" s="43" t="s">
        <v>184</v>
      </c>
      <c r="G14" s="43"/>
      <c r="H14" s="52">
        <v>0</v>
      </c>
      <c r="I14" s="45"/>
      <c r="J14" s="52">
        <v>0.7</v>
      </c>
      <c r="K14" s="45"/>
      <c r="L14" s="52">
        <v>-0.05</v>
      </c>
      <c r="M14" s="45"/>
      <c r="N14" s="52">
        <f>ROUND(SUM(H14:L14),5)</f>
        <v>0.65</v>
      </c>
    </row>
    <row r="15" spans="1:14" x14ac:dyDescent="0.3">
      <c r="A15" s="43"/>
      <c r="B15" s="43"/>
      <c r="C15" s="43"/>
      <c r="D15" s="43"/>
      <c r="E15" s="43"/>
      <c r="F15" s="43" t="s">
        <v>185</v>
      </c>
      <c r="G15" s="43"/>
      <c r="H15" s="52">
        <v>0</v>
      </c>
      <c r="I15" s="45"/>
      <c r="J15" s="52">
        <v>22.56</v>
      </c>
      <c r="K15" s="45"/>
      <c r="L15" s="52">
        <v>141.65</v>
      </c>
      <c r="M15" s="45"/>
      <c r="N15" s="52">
        <f>ROUND(SUM(H15:L15),5)</f>
        <v>164.21</v>
      </c>
    </row>
    <row r="16" spans="1:14" x14ac:dyDescent="0.3">
      <c r="A16" s="43"/>
      <c r="B16" s="43"/>
      <c r="C16" s="43"/>
      <c r="D16" s="43"/>
      <c r="E16" s="43"/>
      <c r="F16" s="43" t="s">
        <v>186</v>
      </c>
      <c r="G16" s="43"/>
      <c r="H16" s="52"/>
      <c r="I16" s="45"/>
      <c r="J16" s="52"/>
      <c r="K16" s="45"/>
      <c r="L16" s="52"/>
      <c r="M16" s="45"/>
      <c r="N16" s="52"/>
    </row>
    <row r="17" spans="1:14" x14ac:dyDescent="0.3">
      <c r="A17" s="43"/>
      <c r="B17" s="43"/>
      <c r="C17" s="43"/>
      <c r="D17" s="43"/>
      <c r="E17" s="43"/>
      <c r="F17" s="43"/>
      <c r="G17" s="43" t="s">
        <v>187</v>
      </c>
      <c r="H17" s="52">
        <v>20263.2</v>
      </c>
      <c r="I17" s="45"/>
      <c r="J17" s="52">
        <v>10360.35</v>
      </c>
      <c r="K17" s="45"/>
      <c r="L17" s="52">
        <v>0</v>
      </c>
      <c r="M17" s="45"/>
      <c r="N17" s="52">
        <f t="shared" ref="N17:N24" si="1">ROUND(SUM(H17:L17),5)</f>
        <v>30623.55</v>
      </c>
    </row>
    <row r="18" spans="1:14" ht="15" thickBot="1" x14ac:dyDescent="0.35">
      <c r="A18" s="43"/>
      <c r="B18" s="43"/>
      <c r="C18" s="43"/>
      <c r="D18" s="43"/>
      <c r="E18" s="43"/>
      <c r="F18" s="43"/>
      <c r="G18" s="43" t="s">
        <v>188</v>
      </c>
      <c r="H18" s="54">
        <v>0</v>
      </c>
      <c r="I18" s="45"/>
      <c r="J18" s="54">
        <v>24077.17</v>
      </c>
      <c r="K18" s="45"/>
      <c r="L18" s="54">
        <v>32117.73</v>
      </c>
      <c r="M18" s="45"/>
      <c r="N18" s="54">
        <f t="shared" si="1"/>
        <v>56194.9</v>
      </c>
    </row>
    <row r="19" spans="1:14" x14ac:dyDescent="0.3">
      <c r="A19" s="43"/>
      <c r="B19" s="43"/>
      <c r="C19" s="43"/>
      <c r="D19" s="43"/>
      <c r="E19" s="43"/>
      <c r="F19" s="43" t="s">
        <v>189</v>
      </c>
      <c r="G19" s="43"/>
      <c r="H19" s="52">
        <f>ROUND(SUM(H16:H18),5)</f>
        <v>20263.2</v>
      </c>
      <c r="I19" s="45"/>
      <c r="J19" s="52">
        <f>ROUND(SUM(J16:J18),5)</f>
        <v>34437.519999999997</v>
      </c>
      <c r="K19" s="45"/>
      <c r="L19" s="52">
        <f>ROUND(SUM(L16:L18),5)</f>
        <v>32117.73</v>
      </c>
      <c r="M19" s="45"/>
      <c r="N19" s="52">
        <f t="shared" si="1"/>
        <v>86818.45</v>
      </c>
    </row>
    <row r="20" spans="1:14" ht="30" customHeight="1" x14ac:dyDescent="0.3">
      <c r="A20" s="43"/>
      <c r="B20" s="43"/>
      <c r="C20" s="43"/>
      <c r="D20" s="43"/>
      <c r="E20" s="43"/>
      <c r="F20" s="43" t="s">
        <v>190</v>
      </c>
      <c r="G20" s="43"/>
      <c r="H20" s="52">
        <v>24216.68</v>
      </c>
      <c r="I20" s="45"/>
      <c r="J20" s="52">
        <v>30732</v>
      </c>
      <c r="K20" s="45"/>
      <c r="L20" s="52">
        <v>34029.769999999997</v>
      </c>
      <c r="M20" s="45"/>
      <c r="N20" s="52">
        <f t="shared" si="1"/>
        <v>88978.45</v>
      </c>
    </row>
    <row r="21" spans="1:14" x14ac:dyDescent="0.3">
      <c r="A21" s="43"/>
      <c r="B21" s="43"/>
      <c r="C21" s="43"/>
      <c r="D21" s="43"/>
      <c r="E21" s="43"/>
      <c r="F21" s="43" t="s">
        <v>191</v>
      </c>
      <c r="G21" s="43"/>
      <c r="H21" s="52">
        <v>61.15</v>
      </c>
      <c r="I21" s="45"/>
      <c r="J21" s="52">
        <v>69.25</v>
      </c>
      <c r="K21" s="45"/>
      <c r="L21" s="52">
        <v>175.63</v>
      </c>
      <c r="M21" s="45"/>
      <c r="N21" s="52">
        <f t="shared" si="1"/>
        <v>306.02999999999997</v>
      </c>
    </row>
    <row r="22" spans="1:14" x14ac:dyDescent="0.3">
      <c r="A22" s="43"/>
      <c r="B22" s="43"/>
      <c r="C22" s="43"/>
      <c r="D22" s="43"/>
      <c r="E22" s="43"/>
      <c r="F22" s="43" t="s">
        <v>192</v>
      </c>
      <c r="G22" s="43"/>
      <c r="H22" s="52">
        <v>125.52</v>
      </c>
      <c r="I22" s="45"/>
      <c r="J22" s="52">
        <v>73.400000000000006</v>
      </c>
      <c r="K22" s="45"/>
      <c r="L22" s="52">
        <v>60.45</v>
      </c>
      <c r="M22" s="45"/>
      <c r="N22" s="52">
        <f t="shared" si="1"/>
        <v>259.37</v>
      </c>
    </row>
    <row r="23" spans="1:14" x14ac:dyDescent="0.3">
      <c r="A23" s="43"/>
      <c r="B23" s="43"/>
      <c r="C23" s="43"/>
      <c r="D23" s="43"/>
      <c r="E23" s="43"/>
      <c r="F23" s="43" t="s">
        <v>193</v>
      </c>
      <c r="G23" s="43"/>
      <c r="H23" s="52">
        <v>384.05</v>
      </c>
      <c r="I23" s="45"/>
      <c r="J23" s="52">
        <v>18.989999999999998</v>
      </c>
      <c r="K23" s="45"/>
      <c r="L23" s="52">
        <v>0</v>
      </c>
      <c r="M23" s="45"/>
      <c r="N23" s="52">
        <f t="shared" si="1"/>
        <v>403.04</v>
      </c>
    </row>
    <row r="24" spans="1:14" x14ac:dyDescent="0.3">
      <c r="A24" s="43"/>
      <c r="B24" s="43"/>
      <c r="C24" s="43"/>
      <c r="D24" s="43"/>
      <c r="E24" s="43"/>
      <c r="F24" s="43" t="s">
        <v>194</v>
      </c>
      <c r="G24" s="43"/>
      <c r="H24" s="52">
        <v>10</v>
      </c>
      <c r="I24" s="45"/>
      <c r="J24" s="52">
        <v>0</v>
      </c>
      <c r="K24" s="45"/>
      <c r="L24" s="52">
        <v>0</v>
      </c>
      <c r="M24" s="45"/>
      <c r="N24" s="52">
        <f t="shared" si="1"/>
        <v>10</v>
      </c>
    </row>
    <row r="25" spans="1:14" x14ac:dyDescent="0.3">
      <c r="A25" s="43"/>
      <c r="B25" s="43"/>
      <c r="C25" s="43"/>
      <c r="D25" s="43"/>
      <c r="E25" s="43"/>
      <c r="F25" s="43" t="s">
        <v>195</v>
      </c>
      <c r="G25" s="43"/>
      <c r="H25" s="52"/>
      <c r="I25" s="45"/>
      <c r="J25" s="52"/>
      <c r="K25" s="45"/>
      <c r="L25" s="52"/>
      <c r="M25" s="45"/>
      <c r="N25" s="52"/>
    </row>
    <row r="26" spans="1:14" x14ac:dyDescent="0.3">
      <c r="A26" s="43"/>
      <c r="B26" s="43"/>
      <c r="C26" s="43"/>
      <c r="D26" s="43"/>
      <c r="E26" s="43"/>
      <c r="F26" s="43"/>
      <c r="G26" s="43" t="s">
        <v>196</v>
      </c>
      <c r="H26" s="52">
        <v>0</v>
      </c>
      <c r="I26" s="45"/>
      <c r="J26" s="52">
        <v>0</v>
      </c>
      <c r="K26" s="45"/>
      <c r="L26" s="52">
        <v>3200</v>
      </c>
      <c r="M26" s="45"/>
      <c r="N26" s="52">
        <f t="shared" ref="N26:N32" si="2">ROUND(SUM(H26:L26),5)</f>
        <v>3200</v>
      </c>
    </row>
    <row r="27" spans="1:14" x14ac:dyDescent="0.3">
      <c r="A27" s="43"/>
      <c r="B27" s="43"/>
      <c r="C27" s="43"/>
      <c r="D27" s="43"/>
      <c r="E27" s="43"/>
      <c r="F27" s="43"/>
      <c r="G27" s="43" t="s">
        <v>197</v>
      </c>
      <c r="H27" s="52">
        <v>1100</v>
      </c>
      <c r="I27" s="45"/>
      <c r="J27" s="52">
        <v>1135</v>
      </c>
      <c r="K27" s="45"/>
      <c r="L27" s="52">
        <v>2170</v>
      </c>
      <c r="M27" s="45"/>
      <c r="N27" s="52">
        <f t="shared" si="2"/>
        <v>4405</v>
      </c>
    </row>
    <row r="28" spans="1:14" x14ac:dyDescent="0.3">
      <c r="A28" s="43"/>
      <c r="B28" s="43"/>
      <c r="C28" s="43"/>
      <c r="D28" s="43"/>
      <c r="E28" s="43"/>
      <c r="F28" s="43"/>
      <c r="G28" s="43" t="s">
        <v>198</v>
      </c>
      <c r="H28" s="52">
        <v>450</v>
      </c>
      <c r="I28" s="45"/>
      <c r="J28" s="52">
        <v>1925</v>
      </c>
      <c r="K28" s="45"/>
      <c r="L28" s="52">
        <v>0</v>
      </c>
      <c r="M28" s="45"/>
      <c r="N28" s="52">
        <f t="shared" si="2"/>
        <v>2375</v>
      </c>
    </row>
    <row r="29" spans="1:14" ht="15" thickBot="1" x14ac:dyDescent="0.35">
      <c r="A29" s="43"/>
      <c r="B29" s="43"/>
      <c r="C29" s="43"/>
      <c r="D29" s="43"/>
      <c r="E29" s="43"/>
      <c r="F29" s="43"/>
      <c r="G29" s="43" t="s">
        <v>199</v>
      </c>
      <c r="H29" s="54">
        <v>220.68</v>
      </c>
      <c r="I29" s="45"/>
      <c r="J29" s="54">
        <v>185</v>
      </c>
      <c r="K29" s="45"/>
      <c r="L29" s="54">
        <v>185.05</v>
      </c>
      <c r="M29" s="45"/>
      <c r="N29" s="54">
        <f t="shared" si="2"/>
        <v>590.73</v>
      </c>
    </row>
    <row r="30" spans="1:14" x14ac:dyDescent="0.3">
      <c r="A30" s="43"/>
      <c r="B30" s="43"/>
      <c r="C30" s="43"/>
      <c r="D30" s="43"/>
      <c r="E30" s="43"/>
      <c r="F30" s="43" t="s">
        <v>200</v>
      </c>
      <c r="G30" s="43"/>
      <c r="H30" s="52">
        <f>ROUND(SUM(H25:H29),5)</f>
        <v>1770.68</v>
      </c>
      <c r="I30" s="45"/>
      <c r="J30" s="52">
        <f>ROUND(SUM(J25:J29),5)</f>
        <v>3245</v>
      </c>
      <c r="K30" s="45"/>
      <c r="L30" s="52">
        <f>ROUND(SUM(L25:L29),5)</f>
        <v>5555.05</v>
      </c>
      <c r="M30" s="45"/>
      <c r="N30" s="52">
        <f t="shared" si="2"/>
        <v>10570.73</v>
      </c>
    </row>
    <row r="31" spans="1:14" ht="30" customHeight="1" thickBot="1" x14ac:dyDescent="0.35">
      <c r="A31" s="43"/>
      <c r="B31" s="43"/>
      <c r="C31" s="43"/>
      <c r="D31" s="43"/>
      <c r="E31" s="43"/>
      <c r="F31" s="43" t="s">
        <v>201</v>
      </c>
      <c r="G31" s="43"/>
      <c r="H31" s="54">
        <v>0</v>
      </c>
      <c r="I31" s="45"/>
      <c r="J31" s="54">
        <v>18.54</v>
      </c>
      <c r="K31" s="45"/>
      <c r="L31" s="54">
        <v>0</v>
      </c>
      <c r="M31" s="45"/>
      <c r="N31" s="54">
        <f t="shared" si="2"/>
        <v>18.54</v>
      </c>
    </row>
    <row r="32" spans="1:14" x14ac:dyDescent="0.3">
      <c r="A32" s="43"/>
      <c r="B32" s="43"/>
      <c r="C32" s="43"/>
      <c r="D32" s="43"/>
      <c r="E32" s="43" t="s">
        <v>202</v>
      </c>
      <c r="F32" s="43"/>
      <c r="G32" s="43"/>
      <c r="H32" s="52">
        <f>ROUND(SUM(H13:H15)+SUM(H19:H24)+SUM(H30:H31),5)</f>
        <v>46831.28</v>
      </c>
      <c r="I32" s="45"/>
      <c r="J32" s="52">
        <f>ROUND(SUM(J13:J15)+SUM(J19:J24)+SUM(J30:J31),5)</f>
        <v>68617.960000000006</v>
      </c>
      <c r="K32" s="45"/>
      <c r="L32" s="52">
        <f>ROUND(SUM(L13:L15)+SUM(L19:L24)+SUM(L30:L31),5)</f>
        <v>72080.23</v>
      </c>
      <c r="M32" s="45"/>
      <c r="N32" s="52">
        <f t="shared" si="2"/>
        <v>187529.47</v>
      </c>
    </row>
    <row r="33" spans="1:14" ht="30" customHeight="1" x14ac:dyDescent="0.3">
      <c r="A33" s="43"/>
      <c r="B33" s="43"/>
      <c r="C33" s="43"/>
      <c r="D33" s="43"/>
      <c r="E33" s="43" t="s">
        <v>203</v>
      </c>
      <c r="F33" s="43"/>
      <c r="G33" s="43"/>
      <c r="H33" s="52"/>
      <c r="I33" s="45"/>
      <c r="J33" s="52"/>
      <c r="K33" s="45"/>
      <c r="L33" s="52"/>
      <c r="M33" s="45"/>
      <c r="N33" s="52"/>
    </row>
    <row r="34" spans="1:14" x14ac:dyDescent="0.3">
      <c r="A34" s="43"/>
      <c r="B34" s="43"/>
      <c r="C34" s="43"/>
      <c r="D34" s="43"/>
      <c r="E34" s="43"/>
      <c r="F34" s="43" t="s">
        <v>204</v>
      </c>
      <c r="G34" s="43"/>
      <c r="H34" s="52">
        <v>739.35</v>
      </c>
      <c r="I34" s="45"/>
      <c r="J34" s="52">
        <v>722.13</v>
      </c>
      <c r="K34" s="45"/>
      <c r="L34" s="52">
        <v>771.22</v>
      </c>
      <c r="M34" s="45"/>
      <c r="N34" s="52">
        <f>ROUND(SUM(H34:L34),5)</f>
        <v>2232.6999999999998</v>
      </c>
    </row>
    <row r="35" spans="1:14" x14ac:dyDescent="0.3">
      <c r="A35" s="43"/>
      <c r="B35" s="43"/>
      <c r="C35" s="43"/>
      <c r="D35" s="43"/>
      <c r="E35" s="43"/>
      <c r="F35" s="43" t="s">
        <v>205</v>
      </c>
      <c r="G35" s="43"/>
      <c r="H35" s="52"/>
      <c r="I35" s="45"/>
      <c r="J35" s="52"/>
      <c r="K35" s="45"/>
      <c r="L35" s="52"/>
      <c r="M35" s="45"/>
      <c r="N35" s="52"/>
    </row>
    <row r="36" spans="1:14" x14ac:dyDescent="0.3">
      <c r="A36" s="43"/>
      <c r="B36" s="43"/>
      <c r="C36" s="43"/>
      <c r="D36" s="43"/>
      <c r="E36" s="43"/>
      <c r="F36" s="43"/>
      <c r="G36" s="43" t="s">
        <v>206</v>
      </c>
      <c r="H36" s="52">
        <v>0</v>
      </c>
      <c r="I36" s="45"/>
      <c r="J36" s="52">
        <v>0</v>
      </c>
      <c r="K36" s="45"/>
      <c r="L36" s="52">
        <v>68.77</v>
      </c>
      <c r="M36" s="45"/>
      <c r="N36" s="52">
        <f t="shared" ref="N36:N43" si="3">ROUND(SUM(H36:L36),5)</f>
        <v>68.77</v>
      </c>
    </row>
    <row r="37" spans="1:14" x14ac:dyDescent="0.3">
      <c r="A37" s="43"/>
      <c r="B37" s="43"/>
      <c r="C37" s="43"/>
      <c r="D37" s="43"/>
      <c r="E37" s="43"/>
      <c r="F37" s="43"/>
      <c r="G37" s="43" t="s">
        <v>207</v>
      </c>
      <c r="H37" s="52">
        <v>0</v>
      </c>
      <c r="I37" s="45"/>
      <c r="J37" s="52">
        <v>0</v>
      </c>
      <c r="K37" s="45"/>
      <c r="L37" s="52">
        <v>272.48</v>
      </c>
      <c r="M37" s="45"/>
      <c r="N37" s="52">
        <f t="shared" si="3"/>
        <v>272.48</v>
      </c>
    </row>
    <row r="38" spans="1:14" x14ac:dyDescent="0.3">
      <c r="A38" s="43"/>
      <c r="B38" s="43"/>
      <c r="C38" s="43"/>
      <c r="D38" s="43"/>
      <c r="E38" s="43"/>
      <c r="F38" s="43"/>
      <c r="G38" s="43" t="s">
        <v>208</v>
      </c>
      <c r="H38" s="52">
        <v>2691.15</v>
      </c>
      <c r="I38" s="45"/>
      <c r="J38" s="52">
        <v>2955.24</v>
      </c>
      <c r="K38" s="45"/>
      <c r="L38" s="52">
        <v>3309.59</v>
      </c>
      <c r="M38" s="45"/>
      <c r="N38" s="52">
        <f t="shared" si="3"/>
        <v>8955.98</v>
      </c>
    </row>
    <row r="39" spans="1:14" ht="15" thickBot="1" x14ac:dyDescent="0.35">
      <c r="A39" s="43"/>
      <c r="B39" s="43"/>
      <c r="C39" s="43"/>
      <c r="D39" s="43"/>
      <c r="E39" s="43"/>
      <c r="F39" s="43"/>
      <c r="G39" s="43" t="s">
        <v>209</v>
      </c>
      <c r="H39" s="54">
        <v>844.4</v>
      </c>
      <c r="I39" s="45"/>
      <c r="J39" s="54">
        <v>933.02</v>
      </c>
      <c r="K39" s="45"/>
      <c r="L39" s="54">
        <v>933.8</v>
      </c>
      <c r="M39" s="45"/>
      <c r="N39" s="54">
        <f t="shared" si="3"/>
        <v>2711.22</v>
      </c>
    </row>
    <row r="40" spans="1:14" x14ac:dyDescent="0.3">
      <c r="A40" s="43"/>
      <c r="B40" s="43"/>
      <c r="C40" s="43"/>
      <c r="D40" s="43"/>
      <c r="E40" s="43"/>
      <c r="F40" s="43" t="s">
        <v>210</v>
      </c>
      <c r="G40" s="43"/>
      <c r="H40" s="52">
        <f>ROUND(SUM(H35:H39),5)</f>
        <v>3535.55</v>
      </c>
      <c r="I40" s="45"/>
      <c r="J40" s="52">
        <f>ROUND(SUM(J35:J39),5)</f>
        <v>3888.26</v>
      </c>
      <c r="K40" s="45"/>
      <c r="L40" s="52">
        <f>ROUND(SUM(L35:L39),5)</f>
        <v>4584.6400000000003</v>
      </c>
      <c r="M40" s="45"/>
      <c r="N40" s="52">
        <f t="shared" si="3"/>
        <v>12008.45</v>
      </c>
    </row>
    <row r="41" spans="1:14" ht="30" customHeight="1" x14ac:dyDescent="0.3">
      <c r="A41" s="43"/>
      <c r="B41" s="43"/>
      <c r="C41" s="43"/>
      <c r="D41" s="43"/>
      <c r="E41" s="43"/>
      <c r="F41" s="43" t="s">
        <v>211</v>
      </c>
      <c r="G41" s="43"/>
      <c r="H41" s="52">
        <v>5577.21</v>
      </c>
      <c r="I41" s="45"/>
      <c r="J41" s="52">
        <v>5981.09</v>
      </c>
      <c r="K41" s="45"/>
      <c r="L41" s="52">
        <v>5987.6</v>
      </c>
      <c r="M41" s="45"/>
      <c r="N41" s="52">
        <f t="shared" si="3"/>
        <v>17545.900000000001</v>
      </c>
    </row>
    <row r="42" spans="1:14" ht="15" thickBot="1" x14ac:dyDescent="0.35">
      <c r="A42" s="43"/>
      <c r="B42" s="43"/>
      <c r="C42" s="43"/>
      <c r="D42" s="43"/>
      <c r="E42" s="43"/>
      <c r="F42" s="43" t="s">
        <v>212</v>
      </c>
      <c r="G42" s="43"/>
      <c r="H42" s="54">
        <v>-6130.6</v>
      </c>
      <c r="I42" s="45"/>
      <c r="J42" s="54">
        <v>-5611.54</v>
      </c>
      <c r="K42" s="45"/>
      <c r="L42" s="54">
        <v>-5565.72</v>
      </c>
      <c r="M42" s="45"/>
      <c r="N42" s="54">
        <f t="shared" si="3"/>
        <v>-17307.86</v>
      </c>
    </row>
    <row r="43" spans="1:14" x14ac:dyDescent="0.3">
      <c r="A43" s="43"/>
      <c r="B43" s="43"/>
      <c r="C43" s="43"/>
      <c r="D43" s="43"/>
      <c r="E43" s="43" t="s">
        <v>213</v>
      </c>
      <c r="F43" s="43"/>
      <c r="G43" s="43"/>
      <c r="H43" s="52">
        <f>ROUND(SUM(H33:H34)+SUM(H40:H42),5)</f>
        <v>3721.51</v>
      </c>
      <c r="I43" s="45"/>
      <c r="J43" s="52">
        <f>ROUND(SUM(J33:J34)+SUM(J40:J42),5)</f>
        <v>4979.9399999999996</v>
      </c>
      <c r="K43" s="45"/>
      <c r="L43" s="52">
        <f>ROUND(SUM(L33:L34)+SUM(L40:L42),5)</f>
        <v>5777.74</v>
      </c>
      <c r="M43" s="45"/>
      <c r="N43" s="52">
        <f t="shared" si="3"/>
        <v>14479.19</v>
      </c>
    </row>
    <row r="44" spans="1:14" ht="30" customHeight="1" x14ac:dyDescent="0.3">
      <c r="A44" s="43"/>
      <c r="B44" s="43"/>
      <c r="C44" s="43"/>
      <c r="D44" s="43"/>
      <c r="E44" s="43" t="s">
        <v>214</v>
      </c>
      <c r="F44" s="43"/>
      <c r="G44" s="43"/>
      <c r="H44" s="52"/>
      <c r="I44" s="45"/>
      <c r="J44" s="52"/>
      <c r="K44" s="45"/>
      <c r="L44" s="52"/>
      <c r="M44" s="45"/>
      <c r="N44" s="52"/>
    </row>
    <row r="45" spans="1:14" x14ac:dyDescent="0.3">
      <c r="A45" s="43"/>
      <c r="B45" s="43"/>
      <c r="C45" s="43"/>
      <c r="D45" s="43"/>
      <c r="E45" s="43"/>
      <c r="F45" s="43" t="s">
        <v>215</v>
      </c>
      <c r="G45" s="43"/>
      <c r="H45" s="52"/>
      <c r="I45" s="45"/>
      <c r="J45" s="52"/>
      <c r="K45" s="45"/>
      <c r="L45" s="52"/>
      <c r="M45" s="45"/>
      <c r="N45" s="52"/>
    </row>
    <row r="46" spans="1:14" x14ac:dyDescent="0.3">
      <c r="A46" s="43"/>
      <c r="B46" s="43"/>
      <c r="C46" s="43"/>
      <c r="D46" s="43"/>
      <c r="E46" s="43"/>
      <c r="F46" s="43"/>
      <c r="G46" s="43" t="s">
        <v>216</v>
      </c>
      <c r="H46" s="52">
        <v>1344</v>
      </c>
      <c r="I46" s="45"/>
      <c r="J46" s="52">
        <v>686.75</v>
      </c>
      <c r="K46" s="45"/>
      <c r="L46" s="52">
        <v>297.5</v>
      </c>
      <c r="M46" s="45"/>
      <c r="N46" s="52">
        <f t="shared" ref="N46:N53" si="4">ROUND(SUM(H46:L46),5)</f>
        <v>2328.25</v>
      </c>
    </row>
    <row r="47" spans="1:14" x14ac:dyDescent="0.3">
      <c r="A47" s="43"/>
      <c r="B47" s="43"/>
      <c r="C47" s="43"/>
      <c r="D47" s="43"/>
      <c r="E47" s="43"/>
      <c r="F47" s="43"/>
      <c r="G47" s="43" t="s">
        <v>217</v>
      </c>
      <c r="H47" s="52">
        <v>982.5</v>
      </c>
      <c r="I47" s="45"/>
      <c r="J47" s="52">
        <v>25</v>
      </c>
      <c r="K47" s="45"/>
      <c r="L47" s="52">
        <v>2534.77</v>
      </c>
      <c r="M47" s="45"/>
      <c r="N47" s="52">
        <f t="shared" si="4"/>
        <v>3542.27</v>
      </c>
    </row>
    <row r="48" spans="1:14" x14ac:dyDescent="0.3">
      <c r="A48" s="43"/>
      <c r="B48" s="43"/>
      <c r="C48" s="43"/>
      <c r="D48" s="43"/>
      <c r="E48" s="43"/>
      <c r="F48" s="43"/>
      <c r="G48" s="43" t="s">
        <v>218</v>
      </c>
      <c r="H48" s="52">
        <v>0</v>
      </c>
      <c r="I48" s="45"/>
      <c r="J48" s="52">
        <v>56.25</v>
      </c>
      <c r="K48" s="45"/>
      <c r="L48" s="52">
        <v>0</v>
      </c>
      <c r="M48" s="45"/>
      <c r="N48" s="52">
        <f t="shared" si="4"/>
        <v>56.25</v>
      </c>
    </row>
    <row r="49" spans="1:14" x14ac:dyDescent="0.3">
      <c r="A49" s="43"/>
      <c r="B49" s="43"/>
      <c r="C49" s="43"/>
      <c r="D49" s="43"/>
      <c r="E49" s="43"/>
      <c r="F49" s="43"/>
      <c r="G49" s="43" t="s">
        <v>219</v>
      </c>
      <c r="H49" s="52">
        <v>2172.5</v>
      </c>
      <c r="I49" s="45"/>
      <c r="J49" s="52">
        <v>2675</v>
      </c>
      <c r="K49" s="45"/>
      <c r="L49" s="52">
        <v>730.01</v>
      </c>
      <c r="M49" s="45"/>
      <c r="N49" s="52">
        <f t="shared" si="4"/>
        <v>5577.51</v>
      </c>
    </row>
    <row r="50" spans="1:14" x14ac:dyDescent="0.3">
      <c r="A50" s="43"/>
      <c r="B50" s="43"/>
      <c r="C50" s="43"/>
      <c r="D50" s="43"/>
      <c r="E50" s="43"/>
      <c r="F50" s="43"/>
      <c r="G50" s="43" t="s">
        <v>220</v>
      </c>
      <c r="H50" s="52">
        <v>0</v>
      </c>
      <c r="I50" s="45"/>
      <c r="J50" s="52">
        <v>188.75</v>
      </c>
      <c r="K50" s="45"/>
      <c r="L50" s="52">
        <v>281.25</v>
      </c>
      <c r="M50" s="45"/>
      <c r="N50" s="52">
        <f t="shared" si="4"/>
        <v>470</v>
      </c>
    </row>
    <row r="51" spans="1:14" x14ac:dyDescent="0.3">
      <c r="A51" s="43"/>
      <c r="B51" s="43"/>
      <c r="C51" s="43"/>
      <c r="D51" s="43"/>
      <c r="E51" s="43"/>
      <c r="F51" s="43"/>
      <c r="G51" s="43" t="s">
        <v>221</v>
      </c>
      <c r="H51" s="52">
        <v>0</v>
      </c>
      <c r="I51" s="45"/>
      <c r="J51" s="52">
        <v>35</v>
      </c>
      <c r="K51" s="45"/>
      <c r="L51" s="52">
        <v>0</v>
      </c>
      <c r="M51" s="45"/>
      <c r="N51" s="52">
        <f t="shared" si="4"/>
        <v>35</v>
      </c>
    </row>
    <row r="52" spans="1:14" ht="15" thickBot="1" x14ac:dyDescent="0.35">
      <c r="A52" s="43"/>
      <c r="B52" s="43"/>
      <c r="C52" s="43"/>
      <c r="D52" s="43"/>
      <c r="E52" s="43"/>
      <c r="F52" s="43"/>
      <c r="G52" s="43" t="s">
        <v>222</v>
      </c>
      <c r="H52" s="54">
        <v>0</v>
      </c>
      <c r="I52" s="45"/>
      <c r="J52" s="54">
        <v>999.07</v>
      </c>
      <c r="K52" s="45"/>
      <c r="L52" s="54">
        <v>0</v>
      </c>
      <c r="M52" s="45"/>
      <c r="N52" s="54">
        <f t="shared" si="4"/>
        <v>999.07</v>
      </c>
    </row>
    <row r="53" spans="1:14" x14ac:dyDescent="0.3">
      <c r="A53" s="43"/>
      <c r="B53" s="43"/>
      <c r="C53" s="43"/>
      <c r="D53" s="43"/>
      <c r="E53" s="43"/>
      <c r="F53" s="43" t="s">
        <v>223</v>
      </c>
      <c r="G53" s="43"/>
      <c r="H53" s="52">
        <f>ROUND(SUM(H45:H52),5)</f>
        <v>4499</v>
      </c>
      <c r="I53" s="45"/>
      <c r="J53" s="52">
        <f>ROUND(SUM(J45:J52),5)</f>
        <v>4665.82</v>
      </c>
      <c r="K53" s="45"/>
      <c r="L53" s="52">
        <f>ROUND(SUM(L45:L52),5)</f>
        <v>3843.53</v>
      </c>
      <c r="M53" s="45"/>
      <c r="N53" s="52">
        <f t="shared" si="4"/>
        <v>13008.35</v>
      </c>
    </row>
    <row r="54" spans="1:14" ht="30" customHeight="1" x14ac:dyDescent="0.3">
      <c r="A54" s="43"/>
      <c r="B54" s="43"/>
      <c r="C54" s="43"/>
      <c r="D54" s="43"/>
      <c r="E54" s="43"/>
      <c r="F54" s="43" t="s">
        <v>224</v>
      </c>
      <c r="G54" s="43"/>
      <c r="H54" s="52"/>
      <c r="I54" s="45"/>
      <c r="J54" s="52"/>
      <c r="K54" s="45"/>
      <c r="L54" s="52"/>
      <c r="M54" s="45"/>
      <c r="N54" s="52"/>
    </row>
    <row r="55" spans="1:14" x14ac:dyDescent="0.3">
      <c r="A55" s="43"/>
      <c r="B55" s="43"/>
      <c r="C55" s="43"/>
      <c r="D55" s="43"/>
      <c r="E55" s="43"/>
      <c r="F55" s="43"/>
      <c r="G55" s="43" t="s">
        <v>225</v>
      </c>
      <c r="H55" s="52">
        <v>100</v>
      </c>
      <c r="I55" s="45"/>
      <c r="J55" s="52">
        <v>155.69</v>
      </c>
      <c r="K55" s="45"/>
      <c r="L55" s="52">
        <v>148.75</v>
      </c>
      <c r="M55" s="45"/>
      <c r="N55" s="52">
        <f>ROUND(SUM(H55:L55),5)</f>
        <v>404.44</v>
      </c>
    </row>
    <row r="56" spans="1:14" ht="15" thickBot="1" x14ac:dyDescent="0.35">
      <c r="A56" s="43"/>
      <c r="B56" s="43"/>
      <c r="C56" s="43"/>
      <c r="D56" s="43"/>
      <c r="E56" s="43"/>
      <c r="F56" s="43"/>
      <c r="G56" s="43" t="s">
        <v>226</v>
      </c>
      <c r="H56" s="54">
        <v>361.76</v>
      </c>
      <c r="I56" s="45"/>
      <c r="J56" s="54">
        <v>836.41</v>
      </c>
      <c r="K56" s="45"/>
      <c r="L56" s="54">
        <v>466</v>
      </c>
      <c r="M56" s="45"/>
      <c r="N56" s="54">
        <f>ROUND(SUM(H56:L56),5)</f>
        <v>1664.17</v>
      </c>
    </row>
    <row r="57" spans="1:14" x14ac:dyDescent="0.3">
      <c r="A57" s="43"/>
      <c r="B57" s="43"/>
      <c r="C57" s="43"/>
      <c r="D57" s="43"/>
      <c r="E57" s="43"/>
      <c r="F57" s="43" t="s">
        <v>227</v>
      </c>
      <c r="G57" s="43"/>
      <c r="H57" s="52">
        <f>ROUND(SUM(H54:H56),5)</f>
        <v>461.76</v>
      </c>
      <c r="I57" s="45"/>
      <c r="J57" s="52">
        <f>ROUND(SUM(J54:J56),5)</f>
        <v>992.1</v>
      </c>
      <c r="K57" s="45"/>
      <c r="L57" s="52">
        <f>ROUND(SUM(L54:L56),5)</f>
        <v>614.75</v>
      </c>
      <c r="M57" s="45"/>
      <c r="N57" s="52">
        <f>ROUND(SUM(H57:L57),5)</f>
        <v>2068.61</v>
      </c>
    </row>
    <row r="58" spans="1:14" ht="30" customHeight="1" x14ac:dyDescent="0.3">
      <c r="A58" s="43"/>
      <c r="B58" s="43"/>
      <c r="C58" s="43"/>
      <c r="D58" s="43"/>
      <c r="E58" s="43"/>
      <c r="F58" s="43" t="s">
        <v>228</v>
      </c>
      <c r="G58" s="43"/>
      <c r="H58" s="52"/>
      <c r="I58" s="45"/>
      <c r="J58" s="52"/>
      <c r="K58" s="45"/>
      <c r="L58" s="52"/>
      <c r="M58" s="45"/>
      <c r="N58" s="52"/>
    </row>
    <row r="59" spans="1:14" x14ac:dyDescent="0.3">
      <c r="A59" s="43"/>
      <c r="B59" s="43"/>
      <c r="C59" s="43"/>
      <c r="D59" s="43"/>
      <c r="E59" s="43"/>
      <c r="F59" s="43"/>
      <c r="G59" s="43" t="s">
        <v>229</v>
      </c>
      <c r="H59" s="52">
        <v>1004.8</v>
      </c>
      <c r="I59" s="45"/>
      <c r="J59" s="52">
        <v>1024</v>
      </c>
      <c r="K59" s="45"/>
      <c r="L59" s="52">
        <v>1200</v>
      </c>
      <c r="M59" s="45"/>
      <c r="N59" s="52">
        <f>ROUND(SUM(H59:L59),5)</f>
        <v>3228.8</v>
      </c>
    </row>
    <row r="60" spans="1:14" x14ac:dyDescent="0.3">
      <c r="A60" s="43"/>
      <c r="B60" s="43"/>
      <c r="C60" s="43"/>
      <c r="D60" s="43"/>
      <c r="E60" s="43"/>
      <c r="F60" s="43"/>
      <c r="G60" s="43" t="s">
        <v>230</v>
      </c>
      <c r="H60" s="52">
        <v>1650</v>
      </c>
      <c r="I60" s="45"/>
      <c r="J60" s="52">
        <v>1763</v>
      </c>
      <c r="K60" s="45"/>
      <c r="L60" s="52">
        <v>1921.25</v>
      </c>
      <c r="M60" s="45"/>
      <c r="N60" s="52">
        <f>ROUND(SUM(H60:L60),5)</f>
        <v>5334.25</v>
      </c>
    </row>
    <row r="61" spans="1:14" ht="15" thickBot="1" x14ac:dyDescent="0.35">
      <c r="A61" s="43"/>
      <c r="B61" s="43"/>
      <c r="C61" s="43"/>
      <c r="D61" s="43"/>
      <c r="E61" s="43"/>
      <c r="F61" s="43"/>
      <c r="G61" s="43" t="s">
        <v>231</v>
      </c>
      <c r="H61" s="54">
        <v>0</v>
      </c>
      <c r="I61" s="45"/>
      <c r="J61" s="54">
        <v>0</v>
      </c>
      <c r="K61" s="45"/>
      <c r="L61" s="54">
        <v>252.16</v>
      </c>
      <c r="M61" s="45"/>
      <c r="N61" s="54">
        <f>ROUND(SUM(H61:L61),5)</f>
        <v>252.16</v>
      </c>
    </row>
    <row r="62" spans="1:14" x14ac:dyDescent="0.3">
      <c r="A62" s="43"/>
      <c r="B62" s="43"/>
      <c r="C62" s="43"/>
      <c r="D62" s="43"/>
      <c r="E62" s="43"/>
      <c r="F62" s="43" t="s">
        <v>232</v>
      </c>
      <c r="G62" s="43"/>
      <c r="H62" s="52">
        <f>ROUND(SUM(H58:H61),5)</f>
        <v>2654.8</v>
      </c>
      <c r="I62" s="45"/>
      <c r="J62" s="52">
        <f>ROUND(SUM(J58:J61),5)</f>
        <v>2787</v>
      </c>
      <c r="K62" s="45"/>
      <c r="L62" s="52">
        <f>ROUND(SUM(L58:L61),5)</f>
        <v>3373.41</v>
      </c>
      <c r="M62" s="45"/>
      <c r="N62" s="52">
        <f>ROUND(SUM(H62:L62),5)</f>
        <v>8815.2099999999991</v>
      </c>
    </row>
    <row r="63" spans="1:14" ht="30" customHeight="1" x14ac:dyDescent="0.3">
      <c r="A63" s="43"/>
      <c r="B63" s="43"/>
      <c r="C63" s="43"/>
      <c r="D63" s="43"/>
      <c r="E63" s="43"/>
      <c r="F63" s="43" t="s">
        <v>233</v>
      </c>
      <c r="G63" s="43"/>
      <c r="H63" s="52"/>
      <c r="I63" s="45"/>
      <c r="J63" s="52"/>
      <c r="K63" s="45"/>
      <c r="L63" s="52"/>
      <c r="M63" s="45"/>
      <c r="N63" s="52"/>
    </row>
    <row r="64" spans="1:14" x14ac:dyDescent="0.3">
      <c r="A64" s="43"/>
      <c r="B64" s="43"/>
      <c r="C64" s="43"/>
      <c r="D64" s="43"/>
      <c r="E64" s="43"/>
      <c r="F64" s="43"/>
      <c r="G64" s="43" t="s">
        <v>234</v>
      </c>
      <c r="H64" s="52">
        <v>68.75</v>
      </c>
      <c r="I64" s="45"/>
      <c r="J64" s="52">
        <v>0</v>
      </c>
      <c r="K64" s="45"/>
      <c r="L64" s="52">
        <v>0</v>
      </c>
      <c r="M64" s="45"/>
      <c r="N64" s="52">
        <f>ROUND(SUM(H64:L64),5)</f>
        <v>68.75</v>
      </c>
    </row>
    <row r="65" spans="1:14" x14ac:dyDescent="0.3">
      <c r="A65" s="43"/>
      <c r="B65" s="43"/>
      <c r="C65" s="43"/>
      <c r="D65" s="43"/>
      <c r="E65" s="43"/>
      <c r="F65" s="43"/>
      <c r="G65" s="43" t="s">
        <v>235</v>
      </c>
      <c r="H65" s="52">
        <v>0</v>
      </c>
      <c r="I65" s="45"/>
      <c r="J65" s="52">
        <v>0</v>
      </c>
      <c r="K65" s="45"/>
      <c r="L65" s="52">
        <v>175.63</v>
      </c>
      <c r="M65" s="45"/>
      <c r="N65" s="52">
        <f>ROUND(SUM(H65:L65),5)</f>
        <v>175.63</v>
      </c>
    </row>
    <row r="66" spans="1:14" ht="15" thickBot="1" x14ac:dyDescent="0.35">
      <c r="A66" s="43"/>
      <c r="B66" s="43"/>
      <c r="C66" s="43"/>
      <c r="D66" s="43"/>
      <c r="E66" s="43"/>
      <c r="F66" s="43"/>
      <c r="G66" s="43" t="s">
        <v>236</v>
      </c>
      <c r="H66" s="54">
        <v>2810</v>
      </c>
      <c r="I66" s="45"/>
      <c r="J66" s="54">
        <v>125</v>
      </c>
      <c r="K66" s="45"/>
      <c r="L66" s="54">
        <v>2022.5</v>
      </c>
      <c r="M66" s="45"/>
      <c r="N66" s="54">
        <f>ROUND(SUM(H66:L66),5)</f>
        <v>4957.5</v>
      </c>
    </row>
    <row r="67" spans="1:14" x14ac:dyDescent="0.3">
      <c r="A67" s="43"/>
      <c r="B67" s="43"/>
      <c r="C67" s="43"/>
      <c r="D67" s="43"/>
      <c r="E67" s="43"/>
      <c r="F67" s="43" t="s">
        <v>237</v>
      </c>
      <c r="G67" s="43"/>
      <c r="H67" s="52">
        <f>ROUND(SUM(H63:H66),5)</f>
        <v>2878.75</v>
      </c>
      <c r="I67" s="45"/>
      <c r="J67" s="52">
        <f>ROUND(SUM(J63:J66),5)</f>
        <v>125</v>
      </c>
      <c r="K67" s="45"/>
      <c r="L67" s="52">
        <f>ROUND(SUM(L63:L66),5)</f>
        <v>2198.13</v>
      </c>
      <c r="M67" s="45"/>
      <c r="N67" s="52">
        <f>ROUND(SUM(H67:L67),5)</f>
        <v>5201.88</v>
      </c>
    </row>
    <row r="68" spans="1:14" ht="30" customHeight="1" x14ac:dyDescent="0.3">
      <c r="A68" s="43"/>
      <c r="B68" s="43"/>
      <c r="C68" s="43"/>
      <c r="D68" s="43"/>
      <c r="E68" s="43"/>
      <c r="F68" s="43" t="s">
        <v>238</v>
      </c>
      <c r="G68" s="43"/>
      <c r="H68" s="52"/>
      <c r="I68" s="45"/>
      <c r="J68" s="52"/>
      <c r="K68" s="45"/>
      <c r="L68" s="52"/>
      <c r="M68" s="45"/>
      <c r="N68" s="52"/>
    </row>
    <row r="69" spans="1:14" x14ac:dyDescent="0.3">
      <c r="A69" s="43"/>
      <c r="B69" s="43"/>
      <c r="C69" s="43"/>
      <c r="D69" s="43"/>
      <c r="E69" s="43"/>
      <c r="F69" s="43"/>
      <c r="G69" s="43" t="s">
        <v>239</v>
      </c>
      <c r="H69" s="52">
        <v>0</v>
      </c>
      <c r="I69" s="45"/>
      <c r="J69" s="52">
        <v>31.25</v>
      </c>
      <c r="K69" s="45"/>
      <c r="L69" s="52">
        <v>0</v>
      </c>
      <c r="M69" s="45"/>
      <c r="N69" s="52">
        <f>ROUND(SUM(H69:L69),5)</f>
        <v>31.25</v>
      </c>
    </row>
    <row r="70" spans="1:14" ht="15" thickBot="1" x14ac:dyDescent="0.35">
      <c r="A70" s="43"/>
      <c r="B70" s="43"/>
      <c r="C70" s="43"/>
      <c r="D70" s="43"/>
      <c r="E70" s="43"/>
      <c r="F70" s="43"/>
      <c r="G70" s="43" t="s">
        <v>240</v>
      </c>
      <c r="H70" s="54">
        <v>0</v>
      </c>
      <c r="I70" s="45"/>
      <c r="J70" s="54">
        <v>29715</v>
      </c>
      <c r="K70" s="45"/>
      <c r="L70" s="54">
        <v>0</v>
      </c>
      <c r="M70" s="45"/>
      <c r="N70" s="54">
        <f>ROUND(SUM(H70:L70),5)</f>
        <v>29715</v>
      </c>
    </row>
    <row r="71" spans="1:14" x14ac:dyDescent="0.3">
      <c r="A71" s="43"/>
      <c r="B71" s="43"/>
      <c r="C71" s="43"/>
      <c r="D71" s="43"/>
      <c r="E71" s="43"/>
      <c r="F71" s="43" t="s">
        <v>241</v>
      </c>
      <c r="G71" s="43"/>
      <c r="H71" s="52">
        <f>ROUND(SUM(H68:H70),5)</f>
        <v>0</v>
      </c>
      <c r="I71" s="45"/>
      <c r="J71" s="52">
        <f>ROUND(SUM(J68:J70),5)</f>
        <v>29746.25</v>
      </c>
      <c r="K71" s="45"/>
      <c r="L71" s="52">
        <f>ROUND(SUM(L68:L70),5)</f>
        <v>0</v>
      </c>
      <c r="M71" s="45"/>
      <c r="N71" s="52">
        <f>ROUND(SUM(H71:L71),5)</f>
        <v>29746.25</v>
      </c>
    </row>
    <row r="72" spans="1:14" ht="30" customHeight="1" x14ac:dyDescent="0.3">
      <c r="A72" s="43"/>
      <c r="B72" s="43"/>
      <c r="C72" s="43"/>
      <c r="D72" s="43"/>
      <c r="E72" s="43"/>
      <c r="F72" s="43" t="s">
        <v>242</v>
      </c>
      <c r="G72" s="43"/>
      <c r="H72" s="52"/>
      <c r="I72" s="45"/>
      <c r="J72" s="52"/>
      <c r="K72" s="45"/>
      <c r="L72" s="52"/>
      <c r="M72" s="45"/>
      <c r="N72" s="52"/>
    </row>
    <row r="73" spans="1:14" ht="15" thickBot="1" x14ac:dyDescent="0.35">
      <c r="A73" s="43"/>
      <c r="B73" s="43"/>
      <c r="C73" s="43"/>
      <c r="D73" s="43"/>
      <c r="E73" s="43"/>
      <c r="F73" s="43"/>
      <c r="G73" s="43" t="s">
        <v>243</v>
      </c>
      <c r="H73" s="54">
        <v>1856.25</v>
      </c>
      <c r="I73" s="45"/>
      <c r="J73" s="54">
        <v>2045.75</v>
      </c>
      <c r="K73" s="45"/>
      <c r="L73" s="54">
        <v>3950</v>
      </c>
      <c r="M73" s="45"/>
      <c r="N73" s="54">
        <f>ROUND(SUM(H73:L73),5)</f>
        <v>7852</v>
      </c>
    </row>
    <row r="74" spans="1:14" x14ac:dyDescent="0.3">
      <c r="A74" s="43"/>
      <c r="B74" s="43"/>
      <c r="C74" s="43"/>
      <c r="D74" s="43"/>
      <c r="E74" s="43"/>
      <c r="F74" s="43" t="s">
        <v>244</v>
      </c>
      <c r="G74" s="43"/>
      <c r="H74" s="52">
        <f>ROUND(SUM(H72:H73),5)</f>
        <v>1856.25</v>
      </c>
      <c r="I74" s="45"/>
      <c r="J74" s="52">
        <f>ROUND(SUM(J72:J73),5)</f>
        <v>2045.75</v>
      </c>
      <c r="K74" s="45"/>
      <c r="L74" s="52">
        <f>ROUND(SUM(L72:L73),5)</f>
        <v>3950</v>
      </c>
      <c r="M74" s="45"/>
      <c r="N74" s="52">
        <f>ROUND(SUM(H74:L74),5)</f>
        <v>7852</v>
      </c>
    </row>
    <row r="75" spans="1:14" ht="30" customHeight="1" x14ac:dyDescent="0.3">
      <c r="A75" s="43"/>
      <c r="B75" s="43"/>
      <c r="C75" s="43"/>
      <c r="D75" s="43"/>
      <c r="E75" s="43"/>
      <c r="F75" s="43" t="s">
        <v>245</v>
      </c>
      <c r="G75" s="43"/>
      <c r="H75" s="52">
        <v>3884.46</v>
      </c>
      <c r="I75" s="45"/>
      <c r="J75" s="52">
        <v>2760</v>
      </c>
      <c r="K75" s="45"/>
      <c r="L75" s="52">
        <v>2925.6</v>
      </c>
      <c r="M75" s="45"/>
      <c r="N75" s="52">
        <f>ROUND(SUM(H75:L75),5)</f>
        <v>9570.06</v>
      </c>
    </row>
    <row r="76" spans="1:14" x14ac:dyDescent="0.3">
      <c r="A76" s="43"/>
      <c r="B76" s="43"/>
      <c r="C76" s="43"/>
      <c r="D76" s="43"/>
      <c r="E76" s="43"/>
      <c r="F76" s="43" t="s">
        <v>246</v>
      </c>
      <c r="G76" s="43"/>
      <c r="H76" s="52"/>
      <c r="I76" s="45"/>
      <c r="J76" s="52"/>
      <c r="K76" s="45"/>
      <c r="L76" s="52"/>
      <c r="M76" s="45"/>
      <c r="N76" s="52"/>
    </row>
    <row r="77" spans="1:14" x14ac:dyDescent="0.3">
      <c r="A77" s="43"/>
      <c r="B77" s="43"/>
      <c r="C77" s="43"/>
      <c r="D77" s="43"/>
      <c r="E77" s="43"/>
      <c r="F77" s="43"/>
      <c r="G77" s="43" t="s">
        <v>247</v>
      </c>
      <c r="H77" s="52">
        <v>234.26</v>
      </c>
      <c r="I77" s="45"/>
      <c r="J77" s="52">
        <v>287.06</v>
      </c>
      <c r="K77" s="45"/>
      <c r="L77" s="52">
        <v>259.02</v>
      </c>
      <c r="M77" s="45"/>
      <c r="N77" s="52">
        <f>ROUND(SUM(H77:L77),5)</f>
        <v>780.34</v>
      </c>
    </row>
    <row r="78" spans="1:14" ht="15" thickBot="1" x14ac:dyDescent="0.35">
      <c r="A78" s="43"/>
      <c r="B78" s="43"/>
      <c r="C78" s="43"/>
      <c r="D78" s="43"/>
      <c r="E78" s="43"/>
      <c r="F78" s="43"/>
      <c r="G78" s="43" t="s">
        <v>248</v>
      </c>
      <c r="H78" s="54">
        <v>1242.8900000000001</v>
      </c>
      <c r="I78" s="45"/>
      <c r="J78" s="54">
        <v>2016.73</v>
      </c>
      <c r="K78" s="45"/>
      <c r="L78" s="54">
        <v>1331.8</v>
      </c>
      <c r="M78" s="45"/>
      <c r="N78" s="54">
        <f>ROUND(SUM(H78:L78),5)</f>
        <v>4591.42</v>
      </c>
    </row>
    <row r="79" spans="1:14" x14ac:dyDescent="0.3">
      <c r="A79" s="43"/>
      <c r="B79" s="43"/>
      <c r="C79" s="43"/>
      <c r="D79" s="43"/>
      <c r="E79" s="43"/>
      <c r="F79" s="43" t="s">
        <v>249</v>
      </c>
      <c r="G79" s="43"/>
      <c r="H79" s="52">
        <f>ROUND(SUM(H76:H78),5)</f>
        <v>1477.15</v>
      </c>
      <c r="I79" s="45"/>
      <c r="J79" s="52">
        <f>ROUND(SUM(J76:J78),5)</f>
        <v>2303.79</v>
      </c>
      <c r="K79" s="45"/>
      <c r="L79" s="52">
        <f>ROUND(SUM(L76:L78),5)</f>
        <v>1590.82</v>
      </c>
      <c r="M79" s="45"/>
      <c r="N79" s="52">
        <f>ROUND(SUM(H79:L79),5)</f>
        <v>5371.76</v>
      </c>
    </row>
    <row r="80" spans="1:14" ht="30" customHeight="1" x14ac:dyDescent="0.3">
      <c r="A80" s="43"/>
      <c r="B80" s="43"/>
      <c r="C80" s="43"/>
      <c r="D80" s="43"/>
      <c r="E80" s="43"/>
      <c r="F80" s="43" t="s">
        <v>250</v>
      </c>
      <c r="G80" s="43"/>
      <c r="H80" s="52"/>
      <c r="I80" s="45"/>
      <c r="J80" s="52"/>
      <c r="K80" s="45"/>
      <c r="L80" s="52"/>
      <c r="M80" s="45"/>
      <c r="N80" s="52"/>
    </row>
    <row r="81" spans="1:14" x14ac:dyDescent="0.3">
      <c r="A81" s="43"/>
      <c r="B81" s="43"/>
      <c r="C81" s="43"/>
      <c r="D81" s="43"/>
      <c r="E81" s="43"/>
      <c r="F81" s="43"/>
      <c r="G81" s="43" t="s">
        <v>251</v>
      </c>
      <c r="H81" s="52">
        <v>93.75</v>
      </c>
      <c r="I81" s="45"/>
      <c r="J81" s="52">
        <v>35</v>
      </c>
      <c r="K81" s="45"/>
      <c r="L81" s="52">
        <v>236.25</v>
      </c>
      <c r="M81" s="45"/>
      <c r="N81" s="52">
        <f>ROUND(SUM(H81:L81),5)</f>
        <v>365</v>
      </c>
    </row>
    <row r="82" spans="1:14" ht="15" thickBot="1" x14ac:dyDescent="0.35">
      <c r="A82" s="43"/>
      <c r="B82" s="43"/>
      <c r="C82" s="43"/>
      <c r="D82" s="43"/>
      <c r="E82" s="43"/>
      <c r="F82" s="43"/>
      <c r="G82" s="43" t="s">
        <v>252</v>
      </c>
      <c r="H82" s="54">
        <v>187.68</v>
      </c>
      <c r="I82" s="45"/>
      <c r="J82" s="54">
        <v>1009.71</v>
      </c>
      <c r="K82" s="45"/>
      <c r="L82" s="54">
        <v>2490.98</v>
      </c>
      <c r="M82" s="45"/>
      <c r="N82" s="54">
        <f>ROUND(SUM(H82:L82),5)</f>
        <v>3688.37</v>
      </c>
    </row>
    <row r="83" spans="1:14" x14ac:dyDescent="0.3">
      <c r="A83" s="43"/>
      <c r="B83" s="43"/>
      <c r="C83" s="43"/>
      <c r="D83" s="43"/>
      <c r="E83" s="43"/>
      <c r="F83" s="43" t="s">
        <v>253</v>
      </c>
      <c r="G83" s="43"/>
      <c r="H83" s="52">
        <f>ROUND(SUM(H80:H82),5)</f>
        <v>281.43</v>
      </c>
      <c r="I83" s="45"/>
      <c r="J83" s="52">
        <f>ROUND(SUM(J80:J82),5)</f>
        <v>1044.71</v>
      </c>
      <c r="K83" s="45"/>
      <c r="L83" s="52">
        <f>ROUND(SUM(L80:L82),5)</f>
        <v>2727.23</v>
      </c>
      <c r="M83" s="45"/>
      <c r="N83" s="52">
        <f>ROUND(SUM(H83:L83),5)</f>
        <v>4053.37</v>
      </c>
    </row>
    <row r="84" spans="1:14" ht="30" customHeight="1" x14ac:dyDescent="0.3">
      <c r="A84" s="43"/>
      <c r="B84" s="43"/>
      <c r="C84" s="43"/>
      <c r="D84" s="43"/>
      <c r="E84" s="43"/>
      <c r="F84" s="43" t="s">
        <v>254</v>
      </c>
      <c r="G84" s="43"/>
      <c r="H84" s="52"/>
      <c r="I84" s="45"/>
      <c r="J84" s="52"/>
      <c r="K84" s="45"/>
      <c r="L84" s="52"/>
      <c r="M84" s="45"/>
      <c r="N84" s="52"/>
    </row>
    <row r="85" spans="1:14" x14ac:dyDescent="0.3">
      <c r="A85" s="43"/>
      <c r="B85" s="43"/>
      <c r="C85" s="43"/>
      <c r="D85" s="43"/>
      <c r="E85" s="43"/>
      <c r="F85" s="43"/>
      <c r="G85" s="43" t="s">
        <v>255</v>
      </c>
      <c r="H85" s="52">
        <v>75</v>
      </c>
      <c r="I85" s="45"/>
      <c r="J85" s="52">
        <v>1555.7</v>
      </c>
      <c r="K85" s="45"/>
      <c r="L85" s="52">
        <v>393.75</v>
      </c>
      <c r="M85" s="45"/>
      <c r="N85" s="52">
        <f t="shared" ref="N85:N91" si="5">ROUND(SUM(H85:L85),5)</f>
        <v>2024.45</v>
      </c>
    </row>
    <row r="86" spans="1:14" x14ac:dyDescent="0.3">
      <c r="A86" s="43"/>
      <c r="B86" s="43"/>
      <c r="C86" s="43"/>
      <c r="D86" s="43"/>
      <c r="E86" s="43"/>
      <c r="F86" s="43"/>
      <c r="G86" s="43" t="s">
        <v>256</v>
      </c>
      <c r="H86" s="52">
        <v>106.83</v>
      </c>
      <c r="I86" s="45"/>
      <c r="J86" s="52">
        <v>310.73</v>
      </c>
      <c r="K86" s="45"/>
      <c r="L86" s="52">
        <v>169.98</v>
      </c>
      <c r="M86" s="45"/>
      <c r="N86" s="52">
        <f t="shared" si="5"/>
        <v>587.54</v>
      </c>
    </row>
    <row r="87" spans="1:14" x14ac:dyDescent="0.3">
      <c r="A87" s="43"/>
      <c r="B87" s="43"/>
      <c r="C87" s="43"/>
      <c r="D87" s="43"/>
      <c r="E87" s="43"/>
      <c r="F87" s="43"/>
      <c r="G87" s="43" t="s">
        <v>257</v>
      </c>
      <c r="H87" s="52">
        <v>258.25</v>
      </c>
      <c r="I87" s="45"/>
      <c r="J87" s="52">
        <v>433.83</v>
      </c>
      <c r="K87" s="45"/>
      <c r="L87" s="52">
        <v>521.04999999999995</v>
      </c>
      <c r="M87" s="45"/>
      <c r="N87" s="52">
        <f t="shared" si="5"/>
        <v>1213.1300000000001</v>
      </c>
    </row>
    <row r="88" spans="1:14" x14ac:dyDescent="0.3">
      <c r="A88" s="43"/>
      <c r="B88" s="43"/>
      <c r="C88" s="43"/>
      <c r="D88" s="43"/>
      <c r="E88" s="43"/>
      <c r="F88" s="43"/>
      <c r="G88" s="43" t="s">
        <v>258</v>
      </c>
      <c r="H88" s="52">
        <v>1074.92</v>
      </c>
      <c r="I88" s="45"/>
      <c r="J88" s="52">
        <v>1229.58</v>
      </c>
      <c r="K88" s="45"/>
      <c r="L88" s="52">
        <v>1175.95</v>
      </c>
      <c r="M88" s="45"/>
      <c r="N88" s="52">
        <f t="shared" si="5"/>
        <v>3480.45</v>
      </c>
    </row>
    <row r="89" spans="1:14" x14ac:dyDescent="0.3">
      <c r="A89" s="43"/>
      <c r="B89" s="43"/>
      <c r="C89" s="43"/>
      <c r="D89" s="43"/>
      <c r="E89" s="43"/>
      <c r="F89" s="43"/>
      <c r="G89" s="43" t="s">
        <v>259</v>
      </c>
      <c r="H89" s="52">
        <v>52.5</v>
      </c>
      <c r="I89" s="45"/>
      <c r="J89" s="52">
        <v>0</v>
      </c>
      <c r="K89" s="45"/>
      <c r="L89" s="52">
        <v>0</v>
      </c>
      <c r="M89" s="45"/>
      <c r="N89" s="52">
        <f t="shared" si="5"/>
        <v>52.5</v>
      </c>
    </row>
    <row r="90" spans="1:14" ht="15" thickBot="1" x14ac:dyDescent="0.35">
      <c r="A90" s="43"/>
      <c r="B90" s="43"/>
      <c r="C90" s="43"/>
      <c r="D90" s="43"/>
      <c r="E90" s="43"/>
      <c r="F90" s="43"/>
      <c r="G90" s="43" t="s">
        <v>260</v>
      </c>
      <c r="H90" s="54">
        <v>0</v>
      </c>
      <c r="I90" s="45"/>
      <c r="J90" s="54">
        <v>0</v>
      </c>
      <c r="K90" s="45"/>
      <c r="L90" s="54">
        <v>6.64</v>
      </c>
      <c r="M90" s="45"/>
      <c r="N90" s="54">
        <f t="shared" si="5"/>
        <v>6.64</v>
      </c>
    </row>
    <row r="91" spans="1:14" x14ac:dyDescent="0.3">
      <c r="A91" s="43"/>
      <c r="B91" s="43"/>
      <c r="C91" s="43"/>
      <c r="D91" s="43"/>
      <c r="E91" s="43"/>
      <c r="F91" s="43" t="s">
        <v>261</v>
      </c>
      <c r="G91" s="43"/>
      <c r="H91" s="52">
        <f>ROUND(SUM(H84:H90),5)</f>
        <v>1567.5</v>
      </c>
      <c r="I91" s="45"/>
      <c r="J91" s="52">
        <f>ROUND(SUM(J84:J90),5)</f>
        <v>3529.84</v>
      </c>
      <c r="K91" s="45"/>
      <c r="L91" s="52">
        <f>ROUND(SUM(L84:L90),5)</f>
        <v>2267.37</v>
      </c>
      <c r="M91" s="45"/>
      <c r="N91" s="52">
        <f t="shared" si="5"/>
        <v>7364.71</v>
      </c>
    </row>
    <row r="92" spans="1:14" ht="30" customHeight="1" x14ac:dyDescent="0.3">
      <c r="A92" s="43"/>
      <c r="B92" s="43"/>
      <c r="C92" s="43"/>
      <c r="D92" s="43"/>
      <c r="E92" s="43"/>
      <c r="F92" s="43" t="s">
        <v>262</v>
      </c>
      <c r="G92" s="43"/>
      <c r="H92" s="52"/>
      <c r="I92" s="45"/>
      <c r="J92" s="52"/>
      <c r="K92" s="45"/>
      <c r="L92" s="52"/>
      <c r="M92" s="45"/>
      <c r="N92" s="52"/>
    </row>
    <row r="93" spans="1:14" x14ac:dyDescent="0.3">
      <c r="A93" s="43"/>
      <c r="B93" s="43"/>
      <c r="C93" s="43"/>
      <c r="D93" s="43"/>
      <c r="E93" s="43"/>
      <c r="F93" s="43"/>
      <c r="G93" s="43" t="s">
        <v>263</v>
      </c>
      <c r="H93" s="52">
        <v>43.75</v>
      </c>
      <c r="I93" s="45"/>
      <c r="J93" s="52">
        <v>0</v>
      </c>
      <c r="K93" s="45"/>
      <c r="L93" s="52">
        <v>0</v>
      </c>
      <c r="M93" s="45"/>
      <c r="N93" s="52">
        <f>ROUND(SUM(H93:L93),5)</f>
        <v>43.75</v>
      </c>
    </row>
    <row r="94" spans="1:14" ht="15" thickBot="1" x14ac:dyDescent="0.35">
      <c r="A94" s="43"/>
      <c r="B94" s="43"/>
      <c r="C94" s="43"/>
      <c r="D94" s="43"/>
      <c r="E94" s="43"/>
      <c r="F94" s="43"/>
      <c r="G94" s="43" t="s">
        <v>264</v>
      </c>
      <c r="H94" s="54">
        <v>500</v>
      </c>
      <c r="I94" s="45"/>
      <c r="J94" s="54">
        <v>0</v>
      </c>
      <c r="K94" s="45"/>
      <c r="L94" s="54">
        <v>0</v>
      </c>
      <c r="M94" s="45"/>
      <c r="N94" s="54">
        <f>ROUND(SUM(H94:L94),5)</f>
        <v>500</v>
      </c>
    </row>
    <row r="95" spans="1:14" x14ac:dyDescent="0.3">
      <c r="A95" s="43"/>
      <c r="B95" s="43"/>
      <c r="C95" s="43"/>
      <c r="D95" s="43"/>
      <c r="E95" s="43"/>
      <c r="F95" s="43" t="s">
        <v>265</v>
      </c>
      <c r="G95" s="43"/>
      <c r="H95" s="52">
        <f>ROUND(SUM(H92:H94),5)</f>
        <v>543.75</v>
      </c>
      <c r="I95" s="45"/>
      <c r="J95" s="52">
        <f>ROUND(SUM(J92:J94),5)</f>
        <v>0</v>
      </c>
      <c r="K95" s="45"/>
      <c r="L95" s="52">
        <f>ROUND(SUM(L92:L94),5)</f>
        <v>0</v>
      </c>
      <c r="M95" s="45"/>
      <c r="N95" s="52">
        <f>ROUND(SUM(H95:L95),5)</f>
        <v>543.75</v>
      </c>
    </row>
    <row r="96" spans="1:14" ht="30" customHeight="1" x14ac:dyDescent="0.3">
      <c r="A96" s="43"/>
      <c r="B96" s="43"/>
      <c r="C96" s="43"/>
      <c r="D96" s="43"/>
      <c r="E96" s="43"/>
      <c r="F96" s="43" t="s">
        <v>266</v>
      </c>
      <c r="G96" s="43"/>
      <c r="H96" s="52"/>
      <c r="I96" s="45"/>
      <c r="J96" s="52"/>
      <c r="K96" s="45"/>
      <c r="L96" s="52"/>
      <c r="M96" s="45"/>
      <c r="N96" s="52"/>
    </row>
    <row r="97" spans="1:14" x14ac:dyDescent="0.3">
      <c r="A97" s="43"/>
      <c r="B97" s="43"/>
      <c r="C97" s="43"/>
      <c r="D97" s="43"/>
      <c r="E97" s="43"/>
      <c r="F97" s="43"/>
      <c r="G97" s="43" t="s">
        <v>267</v>
      </c>
      <c r="H97" s="52">
        <v>12.5</v>
      </c>
      <c r="I97" s="45"/>
      <c r="J97" s="52">
        <v>0</v>
      </c>
      <c r="K97" s="45"/>
      <c r="L97" s="52">
        <v>0</v>
      </c>
      <c r="M97" s="45"/>
      <c r="N97" s="52">
        <f>ROUND(SUM(H97:L97),5)</f>
        <v>12.5</v>
      </c>
    </row>
    <row r="98" spans="1:14" ht="15" thickBot="1" x14ac:dyDescent="0.35">
      <c r="A98" s="43"/>
      <c r="B98" s="43"/>
      <c r="C98" s="43"/>
      <c r="D98" s="43"/>
      <c r="E98" s="43"/>
      <c r="F98" s="43"/>
      <c r="G98" s="43" t="s">
        <v>268</v>
      </c>
      <c r="H98" s="52">
        <v>546.62</v>
      </c>
      <c r="I98" s="45"/>
      <c r="J98" s="52">
        <v>0</v>
      </c>
      <c r="K98" s="45"/>
      <c r="L98" s="52">
        <v>0</v>
      </c>
      <c r="M98" s="45"/>
      <c r="N98" s="52">
        <f>ROUND(SUM(H98:L98),5)</f>
        <v>546.62</v>
      </c>
    </row>
    <row r="99" spans="1:14" ht="15" thickBot="1" x14ac:dyDescent="0.35">
      <c r="A99" s="43"/>
      <c r="B99" s="43"/>
      <c r="C99" s="43"/>
      <c r="D99" s="43"/>
      <c r="E99" s="43"/>
      <c r="F99" s="43" t="s">
        <v>269</v>
      </c>
      <c r="G99" s="43"/>
      <c r="H99" s="53">
        <f>ROUND(SUM(H96:H98),5)</f>
        <v>559.12</v>
      </c>
      <c r="I99" s="45"/>
      <c r="J99" s="53">
        <f>ROUND(SUM(J96:J98),5)</f>
        <v>0</v>
      </c>
      <c r="K99" s="45"/>
      <c r="L99" s="53">
        <f>ROUND(SUM(L96:L98),5)</f>
        <v>0</v>
      </c>
      <c r="M99" s="45"/>
      <c r="N99" s="53">
        <f>ROUND(SUM(H99:L99),5)</f>
        <v>559.12</v>
      </c>
    </row>
    <row r="100" spans="1:14" ht="30" customHeight="1" x14ac:dyDescent="0.3">
      <c r="A100" s="43"/>
      <c r="B100" s="43"/>
      <c r="C100" s="43"/>
      <c r="D100" s="43"/>
      <c r="E100" s="43" t="s">
        <v>270</v>
      </c>
      <c r="F100" s="43"/>
      <c r="G100" s="43"/>
      <c r="H100" s="52">
        <f>ROUND(H44+H53+H57+H62+H67+H71+SUM(H74:H75)+H79+H83+H91+H95+H99,5)</f>
        <v>20663.97</v>
      </c>
      <c r="I100" s="45"/>
      <c r="J100" s="52">
        <f>ROUND(J44+J53+J57+J62+J67+J71+SUM(J74:J75)+J79+J83+J91+J95+J99,5)</f>
        <v>50000.26</v>
      </c>
      <c r="K100" s="45"/>
      <c r="L100" s="52">
        <f>ROUND(L44+L53+L57+L62+L67+L71+SUM(L74:L75)+L79+L83+L91+L95+L99,5)</f>
        <v>23490.84</v>
      </c>
      <c r="M100" s="45"/>
      <c r="N100" s="52">
        <f>ROUND(SUM(H100:L100),5)</f>
        <v>94155.07</v>
      </c>
    </row>
    <row r="101" spans="1:14" ht="30" customHeight="1" x14ac:dyDescent="0.3">
      <c r="A101" s="43"/>
      <c r="B101" s="43"/>
      <c r="C101" s="43"/>
      <c r="D101" s="43"/>
      <c r="E101" s="43" t="s">
        <v>271</v>
      </c>
      <c r="F101" s="43"/>
      <c r="G101" s="43"/>
      <c r="H101" s="52">
        <v>5385.12</v>
      </c>
      <c r="I101" s="45"/>
      <c r="J101" s="52">
        <v>8867.91</v>
      </c>
      <c r="K101" s="45"/>
      <c r="L101" s="52">
        <v>8035.22</v>
      </c>
      <c r="M101" s="45"/>
      <c r="N101" s="52">
        <f>ROUND(SUM(H101:L101),5)</f>
        <v>22288.25</v>
      </c>
    </row>
    <row r="102" spans="1:14" x14ac:dyDescent="0.3">
      <c r="A102" s="43"/>
      <c r="B102" s="43"/>
      <c r="C102" s="43"/>
      <c r="D102" s="43"/>
      <c r="E102" s="43" t="s">
        <v>272</v>
      </c>
      <c r="F102" s="43"/>
      <c r="G102" s="43"/>
      <c r="H102" s="52"/>
      <c r="I102" s="45"/>
      <c r="J102" s="52"/>
      <c r="K102" s="45"/>
      <c r="L102" s="52"/>
      <c r="M102" s="45"/>
      <c r="N102" s="52"/>
    </row>
    <row r="103" spans="1:14" x14ac:dyDescent="0.3">
      <c r="A103" s="43"/>
      <c r="B103" s="43"/>
      <c r="C103" s="43"/>
      <c r="D103" s="43"/>
      <c r="E103" s="43"/>
      <c r="F103" s="43" t="s">
        <v>273</v>
      </c>
      <c r="G103" s="43"/>
      <c r="H103" s="52">
        <v>0</v>
      </c>
      <c r="I103" s="45"/>
      <c r="J103" s="52">
        <v>0</v>
      </c>
      <c r="K103" s="45"/>
      <c r="L103" s="52">
        <v>-56083.9</v>
      </c>
      <c r="M103" s="45"/>
      <c r="N103" s="52">
        <f>ROUND(SUM(H103:L103),5)</f>
        <v>-56083.9</v>
      </c>
    </row>
    <row r="104" spans="1:14" x14ac:dyDescent="0.3">
      <c r="A104" s="43"/>
      <c r="B104" s="43"/>
      <c r="C104" s="43"/>
      <c r="D104" s="43"/>
      <c r="E104" s="43"/>
      <c r="F104" s="43" t="s">
        <v>274</v>
      </c>
      <c r="G104" s="43"/>
      <c r="H104" s="52">
        <v>0</v>
      </c>
      <c r="I104" s="45"/>
      <c r="J104" s="52">
        <v>0</v>
      </c>
      <c r="K104" s="45"/>
      <c r="L104" s="52">
        <v>-12702.65</v>
      </c>
      <c r="M104" s="45"/>
      <c r="N104" s="52">
        <f>ROUND(SUM(H104:L104),5)</f>
        <v>-12702.65</v>
      </c>
    </row>
    <row r="105" spans="1:14" x14ac:dyDescent="0.3">
      <c r="A105" s="43"/>
      <c r="B105" s="43"/>
      <c r="C105" s="43"/>
      <c r="D105" s="43"/>
      <c r="E105" s="43"/>
      <c r="F105" s="43" t="s">
        <v>275</v>
      </c>
      <c r="G105" s="43"/>
      <c r="H105" s="52">
        <v>100631.53</v>
      </c>
      <c r="I105" s="45"/>
      <c r="J105" s="52">
        <v>122644.63</v>
      </c>
      <c r="K105" s="45"/>
      <c r="L105" s="52">
        <v>126840.84</v>
      </c>
      <c r="M105" s="45"/>
      <c r="N105" s="52">
        <f>ROUND(SUM(H105:L105),5)</f>
        <v>350117</v>
      </c>
    </row>
    <row r="106" spans="1:14" ht="15" thickBot="1" x14ac:dyDescent="0.35">
      <c r="A106" s="43"/>
      <c r="B106" s="43"/>
      <c r="C106" s="43"/>
      <c r="D106" s="43"/>
      <c r="E106" s="43"/>
      <c r="F106" s="43" t="s">
        <v>276</v>
      </c>
      <c r="G106" s="43"/>
      <c r="H106" s="54">
        <v>50</v>
      </c>
      <c r="I106" s="45"/>
      <c r="J106" s="54">
        <v>50</v>
      </c>
      <c r="K106" s="45"/>
      <c r="L106" s="54">
        <v>50</v>
      </c>
      <c r="M106" s="45"/>
      <c r="N106" s="54">
        <f>ROUND(SUM(H106:L106),5)</f>
        <v>150</v>
      </c>
    </row>
    <row r="107" spans="1:14" x14ac:dyDescent="0.3">
      <c r="A107" s="43"/>
      <c r="B107" s="43"/>
      <c r="C107" s="43"/>
      <c r="D107" s="43"/>
      <c r="E107" s="43" t="s">
        <v>277</v>
      </c>
      <c r="F107" s="43"/>
      <c r="G107" s="43"/>
      <c r="H107" s="52">
        <f>ROUND(SUM(H102:H106),5)</f>
        <v>100681.53</v>
      </c>
      <c r="I107" s="45"/>
      <c r="J107" s="52">
        <f>ROUND(SUM(J102:J106),5)</f>
        <v>122694.63</v>
      </c>
      <c r="K107" s="45"/>
      <c r="L107" s="52">
        <f>ROUND(SUM(L102:L106),5)</f>
        <v>58104.29</v>
      </c>
      <c r="M107" s="45"/>
      <c r="N107" s="52">
        <f>ROUND(SUM(H107:L107),5)</f>
        <v>281480.45</v>
      </c>
    </row>
    <row r="108" spans="1:14" ht="30" customHeight="1" x14ac:dyDescent="0.3">
      <c r="A108" s="43"/>
      <c r="B108" s="43"/>
      <c r="C108" s="43"/>
      <c r="D108" s="43"/>
      <c r="E108" s="43" t="s">
        <v>278</v>
      </c>
      <c r="F108" s="43"/>
      <c r="G108" s="43"/>
      <c r="H108" s="52"/>
      <c r="I108" s="45"/>
      <c r="J108" s="52"/>
      <c r="K108" s="45"/>
      <c r="L108" s="52"/>
      <c r="M108" s="45"/>
      <c r="N108" s="52"/>
    </row>
    <row r="109" spans="1:14" x14ac:dyDescent="0.3">
      <c r="A109" s="43"/>
      <c r="B109" s="43"/>
      <c r="C109" s="43"/>
      <c r="D109" s="43"/>
      <c r="E109" s="43"/>
      <c r="F109" s="43" t="s">
        <v>279</v>
      </c>
      <c r="G109" s="43"/>
      <c r="H109" s="52">
        <v>0</v>
      </c>
      <c r="I109" s="45"/>
      <c r="J109" s="52">
        <v>0</v>
      </c>
      <c r="K109" s="45"/>
      <c r="L109" s="52">
        <v>17703.810000000001</v>
      </c>
      <c r="M109" s="45"/>
      <c r="N109" s="52">
        <f t="shared" ref="N109:N118" si="6">ROUND(SUM(H109:L109),5)</f>
        <v>17703.810000000001</v>
      </c>
    </row>
    <row r="110" spans="1:14" x14ac:dyDescent="0.3">
      <c r="A110" s="43"/>
      <c r="B110" s="43"/>
      <c r="C110" s="43"/>
      <c r="D110" s="43"/>
      <c r="E110" s="43"/>
      <c r="F110" s="43" t="s">
        <v>280</v>
      </c>
      <c r="G110" s="43"/>
      <c r="H110" s="52">
        <v>187158.74</v>
      </c>
      <c r="I110" s="45"/>
      <c r="J110" s="52">
        <v>1045.9100000000001</v>
      </c>
      <c r="K110" s="45"/>
      <c r="L110" s="52">
        <v>0</v>
      </c>
      <c r="M110" s="45"/>
      <c r="N110" s="52">
        <f t="shared" si="6"/>
        <v>188204.65</v>
      </c>
    </row>
    <row r="111" spans="1:14" x14ac:dyDescent="0.3">
      <c r="A111" s="43"/>
      <c r="B111" s="43"/>
      <c r="C111" s="43"/>
      <c r="D111" s="43"/>
      <c r="E111" s="43"/>
      <c r="F111" s="43" t="s">
        <v>281</v>
      </c>
      <c r="G111" s="43"/>
      <c r="H111" s="52">
        <v>0</v>
      </c>
      <c r="I111" s="45"/>
      <c r="J111" s="52">
        <v>134205.29</v>
      </c>
      <c r="K111" s="45"/>
      <c r="L111" s="52">
        <v>109752.39</v>
      </c>
      <c r="M111" s="45"/>
      <c r="N111" s="52">
        <f t="shared" si="6"/>
        <v>243957.68</v>
      </c>
    </row>
    <row r="112" spans="1:14" ht="15" thickBot="1" x14ac:dyDescent="0.35">
      <c r="A112" s="43"/>
      <c r="B112" s="43"/>
      <c r="C112" s="43"/>
      <c r="D112" s="43"/>
      <c r="E112" s="43"/>
      <c r="F112" s="43" t="s">
        <v>282</v>
      </c>
      <c r="G112" s="43"/>
      <c r="H112" s="54">
        <v>9888.2199999999993</v>
      </c>
      <c r="I112" s="45"/>
      <c r="J112" s="54">
        <v>0</v>
      </c>
      <c r="K112" s="45"/>
      <c r="L112" s="54">
        <v>0</v>
      </c>
      <c r="M112" s="45"/>
      <c r="N112" s="54">
        <f t="shared" si="6"/>
        <v>9888.2199999999993</v>
      </c>
    </row>
    <row r="113" spans="1:14" x14ac:dyDescent="0.3">
      <c r="A113" s="43"/>
      <c r="B113" s="43"/>
      <c r="C113" s="43"/>
      <c r="D113" s="43"/>
      <c r="E113" s="43" t="s">
        <v>283</v>
      </c>
      <c r="F113" s="43"/>
      <c r="G113" s="43"/>
      <c r="H113" s="52">
        <f>ROUND(SUM(H108:H112),5)</f>
        <v>197046.96</v>
      </c>
      <c r="I113" s="45"/>
      <c r="J113" s="52">
        <f>ROUND(SUM(J108:J112),5)</f>
        <v>135251.20000000001</v>
      </c>
      <c r="K113" s="45"/>
      <c r="L113" s="52">
        <f>ROUND(SUM(L108:L112),5)</f>
        <v>127456.2</v>
      </c>
      <c r="M113" s="45"/>
      <c r="N113" s="52">
        <f t="shared" si="6"/>
        <v>459754.36</v>
      </c>
    </row>
    <row r="114" spans="1:14" ht="30" customHeight="1" x14ac:dyDescent="0.3">
      <c r="A114" s="43"/>
      <c r="B114" s="43"/>
      <c r="C114" s="43"/>
      <c r="D114" s="43"/>
      <c r="E114" s="43" t="s">
        <v>284</v>
      </c>
      <c r="F114" s="43"/>
      <c r="G114" s="43"/>
      <c r="H114" s="52">
        <v>128018.61</v>
      </c>
      <c r="I114" s="45"/>
      <c r="J114" s="52">
        <v>430681.77</v>
      </c>
      <c r="K114" s="45"/>
      <c r="L114" s="52">
        <v>98040</v>
      </c>
      <c r="M114" s="45"/>
      <c r="N114" s="52">
        <f t="shared" si="6"/>
        <v>656740.38</v>
      </c>
    </row>
    <row r="115" spans="1:14" x14ac:dyDescent="0.3">
      <c r="A115" s="43"/>
      <c r="B115" s="43"/>
      <c r="C115" s="43"/>
      <c r="D115" s="43"/>
      <c r="E115" s="43" t="s">
        <v>285</v>
      </c>
      <c r="F115" s="43"/>
      <c r="G115" s="43"/>
      <c r="H115" s="52">
        <v>21418.6</v>
      </c>
      <c r="I115" s="45"/>
      <c r="J115" s="52">
        <v>4524.3599999999997</v>
      </c>
      <c r="K115" s="45"/>
      <c r="L115" s="52">
        <v>4524.3599999999997</v>
      </c>
      <c r="M115" s="45"/>
      <c r="N115" s="52">
        <f t="shared" si="6"/>
        <v>30467.32</v>
      </c>
    </row>
    <row r="116" spans="1:14" ht="15" thickBot="1" x14ac:dyDescent="0.35">
      <c r="A116" s="43"/>
      <c r="B116" s="43"/>
      <c r="C116" s="43"/>
      <c r="D116" s="43"/>
      <c r="E116" s="43" t="s">
        <v>286</v>
      </c>
      <c r="F116" s="43"/>
      <c r="G116" s="43"/>
      <c r="H116" s="52">
        <v>91.78</v>
      </c>
      <c r="I116" s="45"/>
      <c r="J116" s="52">
        <v>0</v>
      </c>
      <c r="K116" s="45"/>
      <c r="L116" s="52">
        <v>0</v>
      </c>
      <c r="M116" s="45"/>
      <c r="N116" s="52">
        <f t="shared" si="6"/>
        <v>91.78</v>
      </c>
    </row>
    <row r="117" spans="1:14" ht="15" thickBot="1" x14ac:dyDescent="0.35">
      <c r="A117" s="43"/>
      <c r="B117" s="43"/>
      <c r="C117" s="43"/>
      <c r="D117" s="43" t="s">
        <v>287</v>
      </c>
      <c r="E117" s="43"/>
      <c r="F117" s="43"/>
      <c r="G117" s="43"/>
      <c r="H117" s="53">
        <f>ROUND(H12+H32+H43+SUM(H100:H101)+H107+SUM(H113:H116),5)</f>
        <v>523859.36</v>
      </c>
      <c r="I117" s="45"/>
      <c r="J117" s="53">
        <f>ROUND(J12+J32+J43+SUM(J100:J101)+J107+SUM(J113:J116),5)</f>
        <v>825618.03</v>
      </c>
      <c r="K117" s="45"/>
      <c r="L117" s="53">
        <f>ROUND(L12+L32+L43+SUM(L100:L101)+L107+SUM(L113:L116),5)</f>
        <v>397508.88</v>
      </c>
      <c r="M117" s="45"/>
      <c r="N117" s="53">
        <f t="shared" si="6"/>
        <v>1746986.27</v>
      </c>
    </row>
    <row r="118" spans="1:14" ht="30" customHeight="1" x14ac:dyDescent="0.3">
      <c r="A118" s="43"/>
      <c r="B118" s="43" t="s">
        <v>288</v>
      </c>
      <c r="C118" s="43"/>
      <c r="D118" s="43"/>
      <c r="E118" s="43"/>
      <c r="F118" s="43"/>
      <c r="G118" s="43"/>
      <c r="H118" s="52">
        <f>ROUND(H2+H11-H117,5)</f>
        <v>-39525.67</v>
      </c>
      <c r="I118" s="45"/>
      <c r="J118" s="52">
        <f>ROUND(J2+J11-J117,5)</f>
        <v>-213261.45</v>
      </c>
      <c r="K118" s="45"/>
      <c r="L118" s="52">
        <f>ROUND(L2+L11-L117,5)</f>
        <v>285608.03999999998</v>
      </c>
      <c r="M118" s="45"/>
      <c r="N118" s="52">
        <f t="shared" si="6"/>
        <v>32820.92</v>
      </c>
    </row>
    <row r="119" spans="1:14" ht="30" customHeight="1" x14ac:dyDescent="0.3">
      <c r="A119" s="43"/>
      <c r="B119" s="43" t="s">
        <v>289</v>
      </c>
      <c r="C119" s="43"/>
      <c r="D119" s="43"/>
      <c r="E119" s="43"/>
      <c r="F119" s="43"/>
      <c r="G119" s="43"/>
      <c r="H119" s="52"/>
      <c r="I119" s="45"/>
      <c r="J119" s="52"/>
      <c r="K119" s="45"/>
      <c r="L119" s="52"/>
      <c r="M119" s="45"/>
      <c r="N119" s="52"/>
    </row>
    <row r="120" spans="1:14" x14ac:dyDescent="0.3">
      <c r="A120" s="43"/>
      <c r="B120" s="43"/>
      <c r="C120" s="43" t="s">
        <v>290</v>
      </c>
      <c r="D120" s="43"/>
      <c r="E120" s="43"/>
      <c r="F120" s="43"/>
      <c r="G120" s="43"/>
      <c r="H120" s="52"/>
      <c r="I120" s="45"/>
      <c r="J120" s="52"/>
      <c r="K120" s="45"/>
      <c r="L120" s="52"/>
      <c r="M120" s="45"/>
      <c r="N120" s="52"/>
    </row>
    <row r="121" spans="1:14" x14ac:dyDescent="0.3">
      <c r="A121" s="43"/>
      <c r="B121" s="43"/>
      <c r="C121" s="43"/>
      <c r="D121" s="43" t="s">
        <v>291</v>
      </c>
      <c r="E121" s="43"/>
      <c r="F121" s="43"/>
      <c r="G121" s="43"/>
      <c r="H121" s="52">
        <v>0</v>
      </c>
      <c r="I121" s="45"/>
      <c r="J121" s="52">
        <v>218.84</v>
      </c>
      <c r="K121" s="45"/>
      <c r="L121" s="52">
        <v>48.15</v>
      </c>
      <c r="M121" s="45"/>
      <c r="N121" s="52">
        <f>ROUND(SUM(H121:L121),5)</f>
        <v>266.99</v>
      </c>
    </row>
    <row r="122" spans="1:14" ht="15" thickBot="1" x14ac:dyDescent="0.35">
      <c r="A122" s="43"/>
      <c r="B122" s="43"/>
      <c r="C122" s="43"/>
      <c r="D122" s="43" t="s">
        <v>290</v>
      </c>
      <c r="E122" s="43"/>
      <c r="F122" s="43"/>
      <c r="G122" s="43"/>
      <c r="H122" s="54">
        <v>0</v>
      </c>
      <c r="I122" s="45"/>
      <c r="J122" s="54">
        <v>52791.8</v>
      </c>
      <c r="K122" s="45"/>
      <c r="L122" s="54">
        <v>0</v>
      </c>
      <c r="M122" s="45"/>
      <c r="N122" s="54">
        <f>ROUND(SUM(H122:L122),5)</f>
        <v>52791.8</v>
      </c>
    </row>
    <row r="123" spans="1:14" x14ac:dyDescent="0.3">
      <c r="A123" s="43"/>
      <c r="B123" s="43"/>
      <c r="C123" s="43" t="s">
        <v>292</v>
      </c>
      <c r="D123" s="43"/>
      <c r="E123" s="43"/>
      <c r="F123" s="43"/>
      <c r="G123" s="43"/>
      <c r="H123" s="52">
        <f>ROUND(SUM(H120:H122),5)</f>
        <v>0</v>
      </c>
      <c r="I123" s="45"/>
      <c r="J123" s="52">
        <f>ROUND(SUM(J120:J122),5)</f>
        <v>53010.64</v>
      </c>
      <c r="K123" s="45"/>
      <c r="L123" s="52">
        <f>ROUND(SUM(L120:L122),5)</f>
        <v>48.15</v>
      </c>
      <c r="M123" s="45"/>
      <c r="N123" s="52">
        <f>ROUND(SUM(H123:L123),5)</f>
        <v>53058.79</v>
      </c>
    </row>
    <row r="124" spans="1:14" ht="30" customHeight="1" x14ac:dyDescent="0.3">
      <c r="A124" s="43"/>
      <c r="B124" s="43"/>
      <c r="C124" s="43" t="s">
        <v>293</v>
      </c>
      <c r="D124" s="43"/>
      <c r="E124" s="43"/>
      <c r="F124" s="43"/>
      <c r="G124" s="43"/>
      <c r="H124" s="52"/>
      <c r="I124" s="45"/>
      <c r="J124" s="52"/>
      <c r="K124" s="45"/>
      <c r="L124" s="52"/>
      <c r="M124" s="45"/>
      <c r="N124" s="52"/>
    </row>
    <row r="125" spans="1:14" ht="15" thickBot="1" x14ac:dyDescent="0.35">
      <c r="A125" s="43"/>
      <c r="B125" s="43"/>
      <c r="C125" s="43"/>
      <c r="D125" s="43" t="s">
        <v>294</v>
      </c>
      <c r="E125" s="43"/>
      <c r="F125" s="43"/>
      <c r="G125" s="43"/>
      <c r="H125" s="52">
        <v>958.54</v>
      </c>
      <c r="I125" s="45"/>
      <c r="J125" s="52">
        <v>0</v>
      </c>
      <c r="K125" s="45"/>
      <c r="L125" s="52">
        <v>0</v>
      </c>
      <c r="M125" s="45"/>
      <c r="N125" s="52">
        <f>ROUND(SUM(H125:L125),5)</f>
        <v>958.54</v>
      </c>
    </row>
    <row r="126" spans="1:14" ht="15" thickBot="1" x14ac:dyDescent="0.35">
      <c r="A126" s="43"/>
      <c r="B126" s="43"/>
      <c r="C126" s="43" t="s">
        <v>295</v>
      </c>
      <c r="D126" s="43"/>
      <c r="E126" s="43"/>
      <c r="F126" s="43"/>
      <c r="G126" s="43"/>
      <c r="H126" s="55">
        <f>ROUND(SUM(H124:H125),5)</f>
        <v>958.54</v>
      </c>
      <c r="I126" s="45"/>
      <c r="J126" s="55">
        <f>ROUND(SUM(J124:J125),5)</f>
        <v>0</v>
      </c>
      <c r="K126" s="45"/>
      <c r="L126" s="55">
        <f>ROUND(SUM(L124:L125),5)</f>
        <v>0</v>
      </c>
      <c r="M126" s="45"/>
      <c r="N126" s="55">
        <f>ROUND(SUM(H126:L126),5)</f>
        <v>958.54</v>
      </c>
    </row>
    <row r="127" spans="1:14" ht="30" customHeight="1" thickBot="1" x14ac:dyDescent="0.35">
      <c r="A127" s="43"/>
      <c r="B127" s="43" t="s">
        <v>296</v>
      </c>
      <c r="C127" s="43"/>
      <c r="D127" s="43"/>
      <c r="E127" s="43"/>
      <c r="F127" s="43"/>
      <c r="G127" s="43"/>
      <c r="H127" s="55">
        <f>ROUND(H119+H123-H126,5)</f>
        <v>-958.54</v>
      </c>
      <c r="I127" s="45"/>
      <c r="J127" s="55">
        <f>ROUND(J119+J123-J126,5)</f>
        <v>53010.64</v>
      </c>
      <c r="K127" s="45"/>
      <c r="L127" s="55">
        <f>ROUND(L119+L123-L126,5)</f>
        <v>48.15</v>
      </c>
      <c r="M127" s="45"/>
      <c r="N127" s="55">
        <f>ROUND(SUM(H127:L127),5)</f>
        <v>52100.25</v>
      </c>
    </row>
    <row r="128" spans="1:14" s="50" customFormat="1" ht="30" customHeight="1" thickBot="1" x14ac:dyDescent="0.25">
      <c r="A128" s="43" t="s">
        <v>165</v>
      </c>
      <c r="B128" s="43"/>
      <c r="C128" s="43"/>
      <c r="D128" s="43"/>
      <c r="E128" s="43"/>
      <c r="F128" s="43"/>
      <c r="G128" s="43"/>
      <c r="H128" s="56">
        <f>ROUND(H118+H127,5)</f>
        <v>-40484.21</v>
      </c>
      <c r="I128" s="43"/>
      <c r="J128" s="56">
        <f>ROUND(J118+J127,5)</f>
        <v>-160250.81</v>
      </c>
      <c r="K128" s="43"/>
      <c r="L128" s="56">
        <f>ROUND(L118+L127,5)</f>
        <v>285656.19</v>
      </c>
      <c r="M128" s="43"/>
      <c r="N128" s="56">
        <f>ROUND(SUM(H128:L128),5)</f>
        <v>84921.17</v>
      </c>
    </row>
    <row r="129" spans="7:14" ht="15" thickTop="1" x14ac:dyDescent="0.3"/>
    <row r="130" spans="7:14" x14ac:dyDescent="0.3">
      <c r="G130" s="50" t="s">
        <v>987</v>
      </c>
      <c r="H130" s="66">
        <f>H117-H19-H103-H113-H114-H115-H116</f>
        <v>157020.20999999996</v>
      </c>
      <c r="J130" s="66">
        <f>J117-J19-J103-J113-J114-J115-J116</f>
        <v>220723.18000000005</v>
      </c>
      <c r="L130" s="66">
        <f>L117-L19-L103-L113-L114-L115-L116</f>
        <v>191454.49000000005</v>
      </c>
      <c r="N130" s="66">
        <f>(N117-N19-N103-N113-N114-N115-N116)/3</f>
        <v>189732.62666666662</v>
      </c>
    </row>
  </sheetData>
  <pageMargins left="0.7" right="0.7" top="0.75" bottom="0.75" header="0.25" footer="0.3"/>
  <pageSetup orientation="portrait" r:id="rId1"/>
  <headerFooter>
    <oddHeader>&amp;L&amp;"Arial,Bold"&amp;8 8:09 AM
&amp;"Arial,Bold"&amp;8 02/18/14
&amp;"Arial,Bold"&amp;8 Accrual Basis&amp;C&amp;"Arial,Bold"&amp;12 Auburn Pointe, LLC
&amp;"Arial,Bold"&amp;14 3 Year Detail Comparative Statement of Income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5362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5362" r:id="rId4" name="HEADER"/>
      </mc:Fallback>
    </mc:AlternateContent>
    <mc:AlternateContent xmlns:mc="http://schemas.openxmlformats.org/markup-compatibility/2006">
      <mc:Choice Requires="x14">
        <control shapeId="15361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5361" r:id="rId6" name="FILTER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6"/>
  <dimension ref="A1:J58"/>
  <sheetViews>
    <sheetView workbookViewId="0">
      <pane xSplit="5" ySplit="1" topLeftCell="F30" activePane="bottomRight" state="frozenSplit"/>
      <selection pane="topRight"/>
      <selection pane="bottomLeft"/>
      <selection pane="bottomRight" activeCell="J29" sqref="J29"/>
    </sheetView>
  </sheetViews>
  <sheetFormatPr defaultRowHeight="14.4" x14ac:dyDescent="0.3"/>
  <cols>
    <col min="1" max="4" width="3" style="50" customWidth="1"/>
    <col min="5" max="5" width="23.66406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114</v>
      </c>
      <c r="D4" s="43"/>
      <c r="E4" s="43"/>
      <c r="F4" s="44"/>
      <c r="G4" s="45"/>
      <c r="H4" s="44"/>
      <c r="I4" s="45"/>
      <c r="J4" s="44"/>
    </row>
    <row r="5" spans="1:10" ht="15" thickBot="1" x14ac:dyDescent="0.35">
      <c r="A5" s="43"/>
      <c r="B5" s="43"/>
      <c r="C5" s="43"/>
      <c r="D5" s="43" t="s">
        <v>297</v>
      </c>
      <c r="E5" s="43"/>
      <c r="F5" s="46">
        <v>47740</v>
      </c>
      <c r="G5" s="45"/>
      <c r="H5" s="46">
        <v>90022</v>
      </c>
      <c r="I5" s="45"/>
      <c r="J5" s="46">
        <v>158145</v>
      </c>
    </row>
    <row r="6" spans="1:10" x14ac:dyDescent="0.3">
      <c r="A6" s="43"/>
      <c r="B6" s="43"/>
      <c r="C6" s="43" t="s">
        <v>117</v>
      </c>
      <c r="D6" s="43"/>
      <c r="E6" s="43"/>
      <c r="F6" s="44">
        <f>ROUND(SUM(F4:F5),5)</f>
        <v>47740</v>
      </c>
      <c r="G6" s="45"/>
      <c r="H6" s="44">
        <f>ROUND(SUM(H4:H5),5)</f>
        <v>90022</v>
      </c>
      <c r="I6" s="45"/>
      <c r="J6" s="44">
        <f>ROUND(SUM(J4:J5),5)</f>
        <v>158145</v>
      </c>
    </row>
    <row r="7" spans="1:10" ht="30" customHeight="1" x14ac:dyDescent="0.3">
      <c r="A7" s="43"/>
      <c r="B7" s="43"/>
      <c r="C7" s="43" t="s">
        <v>118</v>
      </c>
      <c r="D7" s="43"/>
      <c r="E7" s="43"/>
      <c r="F7" s="44"/>
      <c r="G7" s="45"/>
      <c r="H7" s="44"/>
      <c r="I7" s="45"/>
      <c r="J7" s="44"/>
    </row>
    <row r="8" spans="1:10" ht="15" thickBot="1" x14ac:dyDescent="0.35">
      <c r="A8" s="43"/>
      <c r="B8" s="43"/>
      <c r="C8" s="43"/>
      <c r="D8" s="43" t="s">
        <v>118</v>
      </c>
      <c r="E8" s="43"/>
      <c r="F8" s="46">
        <v>-5933</v>
      </c>
      <c r="G8" s="45"/>
      <c r="H8" s="46">
        <v>-14204</v>
      </c>
      <c r="I8" s="45"/>
      <c r="J8" s="46">
        <v>-3</v>
      </c>
    </row>
    <row r="9" spans="1:10" x14ac:dyDescent="0.3">
      <c r="A9" s="43"/>
      <c r="B9" s="43"/>
      <c r="C9" s="43" t="s">
        <v>119</v>
      </c>
      <c r="D9" s="43"/>
      <c r="E9" s="43"/>
      <c r="F9" s="44">
        <f>ROUND(SUM(F7:F8),5)</f>
        <v>-5933</v>
      </c>
      <c r="G9" s="45"/>
      <c r="H9" s="44">
        <f>ROUND(SUM(H7:H8),5)</f>
        <v>-14204</v>
      </c>
      <c r="I9" s="45"/>
      <c r="J9" s="44">
        <f>ROUND(SUM(J7:J8),5)</f>
        <v>-3</v>
      </c>
    </row>
    <row r="10" spans="1:10" ht="30" customHeight="1" x14ac:dyDescent="0.3">
      <c r="A10" s="43"/>
      <c r="B10" s="43"/>
      <c r="C10" s="43" t="s">
        <v>120</v>
      </c>
      <c r="D10" s="43"/>
      <c r="E10" s="43"/>
      <c r="F10" s="44"/>
      <c r="G10" s="45"/>
      <c r="H10" s="44"/>
      <c r="I10" s="45"/>
      <c r="J10" s="44"/>
    </row>
    <row r="11" spans="1:10" x14ac:dyDescent="0.3">
      <c r="A11" s="43"/>
      <c r="B11" s="43"/>
      <c r="C11" s="43"/>
      <c r="D11" s="43" t="s">
        <v>298</v>
      </c>
      <c r="E11" s="43"/>
      <c r="F11" s="44"/>
      <c r="G11" s="45"/>
      <c r="H11" s="44"/>
      <c r="I11" s="45"/>
      <c r="J11" s="44">
        <v>-12637</v>
      </c>
    </row>
    <row r="12" spans="1:10" ht="15" thickBot="1" x14ac:dyDescent="0.35">
      <c r="A12" s="43"/>
      <c r="B12" s="43"/>
      <c r="C12" s="43"/>
      <c r="D12" s="43" t="s">
        <v>122</v>
      </c>
      <c r="E12" s="43"/>
      <c r="F12" s="44">
        <v>4117</v>
      </c>
      <c r="G12" s="45"/>
      <c r="H12" s="44">
        <v>3803</v>
      </c>
      <c r="I12" s="45"/>
      <c r="J12" s="44">
        <v>3900</v>
      </c>
    </row>
    <row r="13" spans="1:10" ht="15" thickBot="1" x14ac:dyDescent="0.35">
      <c r="A13" s="43"/>
      <c r="B13" s="43"/>
      <c r="C13" s="43" t="s">
        <v>124</v>
      </c>
      <c r="D13" s="43"/>
      <c r="E13" s="43"/>
      <c r="F13" s="47">
        <f>ROUND(SUM(F10:F12),5)</f>
        <v>4117</v>
      </c>
      <c r="G13" s="45"/>
      <c r="H13" s="47">
        <f>ROUND(SUM(H10:H12),5)</f>
        <v>3803</v>
      </c>
      <c r="I13" s="45"/>
      <c r="J13" s="47">
        <f>ROUND(SUM(J10:J12),5)</f>
        <v>-8737</v>
      </c>
    </row>
    <row r="14" spans="1:10" ht="30" customHeight="1" x14ac:dyDescent="0.3">
      <c r="A14" s="43"/>
      <c r="B14" s="43" t="s">
        <v>125</v>
      </c>
      <c r="C14" s="43"/>
      <c r="D14" s="43"/>
      <c r="E14" s="43"/>
      <c r="F14" s="44">
        <f>ROUND(F3+F6+F9+F13,5)</f>
        <v>45924</v>
      </c>
      <c r="G14" s="45"/>
      <c r="H14" s="44">
        <f>ROUND(H3+H6+H9+H13,5)</f>
        <v>79621</v>
      </c>
      <c r="I14" s="45"/>
      <c r="J14" s="44">
        <f>ROUND(J3+J6+J9+J13,5)</f>
        <v>149405</v>
      </c>
    </row>
    <row r="15" spans="1:10" ht="30" customHeight="1" x14ac:dyDescent="0.3">
      <c r="A15" s="43"/>
      <c r="B15" s="43" t="s">
        <v>126</v>
      </c>
      <c r="C15" s="43"/>
      <c r="D15" s="43"/>
      <c r="E15" s="43"/>
      <c r="F15" s="44"/>
      <c r="G15" s="45"/>
      <c r="H15" s="44"/>
      <c r="I15" s="45"/>
      <c r="J15" s="44"/>
    </row>
    <row r="16" spans="1:10" x14ac:dyDescent="0.3">
      <c r="A16" s="43"/>
      <c r="B16" s="43"/>
      <c r="C16" s="43" t="s">
        <v>127</v>
      </c>
      <c r="D16" s="43"/>
      <c r="E16" s="43"/>
      <c r="F16" s="44">
        <v>118023</v>
      </c>
      <c r="G16" s="45"/>
      <c r="H16" s="44">
        <v>118023</v>
      </c>
      <c r="I16" s="45"/>
      <c r="J16" s="44">
        <v>118023</v>
      </c>
    </row>
    <row r="17" spans="1:10" x14ac:dyDescent="0.3">
      <c r="A17" s="43"/>
      <c r="B17" s="43"/>
      <c r="C17" s="43" t="s">
        <v>129</v>
      </c>
      <c r="D17" s="43"/>
      <c r="E17" s="43"/>
      <c r="F17" s="44">
        <v>126761</v>
      </c>
      <c r="G17" s="45"/>
      <c r="H17" s="44">
        <v>126761</v>
      </c>
      <c r="I17" s="45"/>
      <c r="J17" s="44">
        <v>126761</v>
      </c>
    </row>
    <row r="18" spans="1:10" x14ac:dyDescent="0.3">
      <c r="A18" s="43"/>
      <c r="B18" s="43"/>
      <c r="C18" s="43" t="s">
        <v>128</v>
      </c>
      <c r="D18" s="43"/>
      <c r="E18" s="43"/>
      <c r="F18" s="44"/>
      <c r="G18" s="45"/>
      <c r="H18" s="44"/>
      <c r="I18" s="45"/>
      <c r="J18" s="44"/>
    </row>
    <row r="19" spans="1:10" x14ac:dyDescent="0.3">
      <c r="A19" s="43"/>
      <c r="B19" s="43"/>
      <c r="C19" s="43"/>
      <c r="D19" s="43" t="s">
        <v>299</v>
      </c>
      <c r="E19" s="43"/>
      <c r="F19" s="44">
        <v>23542</v>
      </c>
      <c r="G19" s="45"/>
      <c r="H19" s="44">
        <v>23542</v>
      </c>
      <c r="I19" s="45"/>
      <c r="J19" s="44">
        <v>23542</v>
      </c>
    </row>
    <row r="20" spans="1:10" ht="15" thickBot="1" x14ac:dyDescent="0.35">
      <c r="A20" s="43"/>
      <c r="B20" s="43"/>
      <c r="C20" s="43"/>
      <c r="D20" s="43" t="s">
        <v>300</v>
      </c>
      <c r="E20" s="43"/>
      <c r="F20" s="46">
        <v>396651</v>
      </c>
      <c r="G20" s="45"/>
      <c r="H20" s="46">
        <v>396651</v>
      </c>
      <c r="I20" s="45"/>
      <c r="J20" s="46">
        <v>396651</v>
      </c>
    </row>
    <row r="21" spans="1:10" x14ac:dyDescent="0.3">
      <c r="A21" s="43"/>
      <c r="B21" s="43"/>
      <c r="C21" s="43" t="s">
        <v>301</v>
      </c>
      <c r="D21" s="43"/>
      <c r="E21" s="43"/>
      <c r="F21" s="44">
        <f>ROUND(SUM(F18:F20),5)</f>
        <v>420193</v>
      </c>
      <c r="G21" s="45"/>
      <c r="H21" s="44">
        <f>ROUND(SUM(H18:H20),5)</f>
        <v>420193</v>
      </c>
      <c r="I21" s="45"/>
      <c r="J21" s="44">
        <f>ROUND(SUM(J18:J20),5)</f>
        <v>420193</v>
      </c>
    </row>
    <row r="22" spans="1:10" ht="30" customHeight="1" x14ac:dyDescent="0.3">
      <c r="A22" s="43"/>
      <c r="B22" s="43"/>
      <c r="C22" s="43" t="s">
        <v>133</v>
      </c>
      <c r="D22" s="43"/>
      <c r="E22" s="43"/>
      <c r="F22" s="44"/>
      <c r="G22" s="45"/>
      <c r="H22" s="44"/>
      <c r="I22" s="45"/>
      <c r="J22" s="44"/>
    </row>
    <row r="23" spans="1:10" x14ac:dyDescent="0.3">
      <c r="A23" s="43"/>
      <c r="B23" s="43"/>
      <c r="C23" s="43"/>
      <c r="D23" s="43" t="s">
        <v>302</v>
      </c>
      <c r="E23" s="43"/>
      <c r="F23" s="44">
        <v>33424</v>
      </c>
      <c r="G23" s="45"/>
      <c r="H23" s="44">
        <v>33424</v>
      </c>
      <c r="I23" s="45"/>
      <c r="J23" s="44">
        <v>33424</v>
      </c>
    </row>
    <row r="24" spans="1:10" x14ac:dyDescent="0.3">
      <c r="A24" s="43"/>
      <c r="B24" s="43"/>
      <c r="C24" s="43"/>
      <c r="D24" s="43" t="s">
        <v>303</v>
      </c>
      <c r="E24" s="43"/>
      <c r="F24" s="44">
        <v>125625</v>
      </c>
      <c r="G24" s="45"/>
      <c r="H24" s="44">
        <v>125625</v>
      </c>
      <c r="I24" s="45"/>
      <c r="J24" s="44">
        <v>125625</v>
      </c>
    </row>
    <row r="25" spans="1:10" ht="15" thickBot="1" x14ac:dyDescent="0.35">
      <c r="A25" s="43"/>
      <c r="B25" s="43"/>
      <c r="C25" s="43"/>
      <c r="D25" s="43" t="s">
        <v>304</v>
      </c>
      <c r="E25" s="43"/>
      <c r="F25" s="46">
        <v>117591</v>
      </c>
      <c r="G25" s="45"/>
      <c r="H25" s="46">
        <v>117591</v>
      </c>
      <c r="I25" s="45"/>
      <c r="J25" s="46">
        <v>117591</v>
      </c>
    </row>
    <row r="26" spans="1:10" x14ac:dyDescent="0.3">
      <c r="A26" s="43"/>
      <c r="B26" s="43"/>
      <c r="C26" s="43" t="s">
        <v>305</v>
      </c>
      <c r="D26" s="43"/>
      <c r="E26" s="43"/>
      <c r="F26" s="44">
        <f>ROUND(SUM(F22:F25),5)</f>
        <v>276640</v>
      </c>
      <c r="G26" s="45"/>
      <c r="H26" s="44">
        <f>ROUND(SUM(H22:H25),5)</f>
        <v>276640</v>
      </c>
      <c r="I26" s="45"/>
      <c r="J26" s="44">
        <f>ROUND(SUM(J22:J25),5)</f>
        <v>276640</v>
      </c>
    </row>
    <row r="27" spans="1:10" ht="30" customHeight="1" x14ac:dyDescent="0.3">
      <c r="A27" s="43"/>
      <c r="B27" s="43"/>
      <c r="C27" s="43" t="s">
        <v>306</v>
      </c>
      <c r="D27" s="43"/>
      <c r="E27" s="43"/>
      <c r="F27" s="44">
        <v>11515</v>
      </c>
      <c r="G27" s="45"/>
      <c r="H27" s="44">
        <v>11515</v>
      </c>
      <c r="I27" s="45"/>
      <c r="J27" s="44">
        <v>11515</v>
      </c>
    </row>
    <row r="28" spans="1:10" ht="15" thickBot="1" x14ac:dyDescent="0.35">
      <c r="A28" s="43"/>
      <c r="B28" s="43"/>
      <c r="C28" s="43" t="s">
        <v>135</v>
      </c>
      <c r="D28" s="43"/>
      <c r="E28" s="43"/>
      <c r="F28" s="46">
        <v>-287393</v>
      </c>
      <c r="G28" s="45"/>
      <c r="H28" s="46">
        <v>-310114</v>
      </c>
      <c r="I28" s="45"/>
      <c r="J28" s="46">
        <v>-332914</v>
      </c>
    </row>
    <row r="29" spans="1:10" x14ac:dyDescent="0.3">
      <c r="A29" s="43"/>
      <c r="B29" s="43" t="s">
        <v>136</v>
      </c>
      <c r="C29" s="43"/>
      <c r="D29" s="43"/>
      <c r="E29" s="43"/>
      <c r="F29" s="44">
        <f>ROUND(SUM(F15:F17)+F21+SUM(F26:F28),5)</f>
        <v>665739</v>
      </c>
      <c r="G29" s="45"/>
      <c r="H29" s="44">
        <f>ROUND(SUM(H15:H17)+H21+SUM(H26:H28),5)</f>
        <v>643018</v>
      </c>
      <c r="I29" s="45"/>
      <c r="J29" s="44">
        <f>ROUND(SUM(J15:J17)+J21+SUM(J26:J28),5)</f>
        <v>620218</v>
      </c>
    </row>
    <row r="30" spans="1:10" ht="30" customHeight="1" x14ac:dyDescent="0.3">
      <c r="A30" s="43"/>
      <c r="B30" s="43" t="s">
        <v>137</v>
      </c>
      <c r="C30" s="43"/>
      <c r="D30" s="43"/>
      <c r="E30" s="43"/>
      <c r="F30" s="44"/>
      <c r="G30" s="45"/>
      <c r="H30" s="44"/>
      <c r="I30" s="45"/>
      <c r="J30" s="44"/>
    </row>
    <row r="31" spans="1:10" x14ac:dyDescent="0.3">
      <c r="A31" s="43"/>
      <c r="B31" s="43"/>
      <c r="C31" s="43" t="s">
        <v>307</v>
      </c>
      <c r="D31" s="43"/>
      <c r="E31" s="43"/>
      <c r="F31" s="44">
        <v>10610</v>
      </c>
      <c r="G31" s="45"/>
      <c r="H31" s="44">
        <v>24028</v>
      </c>
      <c r="I31" s="45"/>
      <c r="J31" s="44">
        <v>29053</v>
      </c>
    </row>
    <row r="32" spans="1:10" x14ac:dyDescent="0.3">
      <c r="A32" s="43"/>
      <c r="B32" s="43"/>
      <c r="C32" s="43" t="s">
        <v>138</v>
      </c>
      <c r="D32" s="43"/>
      <c r="E32" s="43"/>
      <c r="F32" s="44">
        <v>37849</v>
      </c>
      <c r="G32" s="45"/>
      <c r="H32" s="44">
        <v>37849</v>
      </c>
      <c r="I32" s="45"/>
      <c r="J32" s="44">
        <v>37849</v>
      </c>
    </row>
    <row r="33" spans="1:10" ht="15" thickBot="1" x14ac:dyDescent="0.35">
      <c r="A33" s="43"/>
      <c r="B33" s="43"/>
      <c r="C33" s="43" t="s">
        <v>308</v>
      </c>
      <c r="D33" s="43"/>
      <c r="E33" s="43"/>
      <c r="F33" s="44">
        <v>-15981</v>
      </c>
      <c r="G33" s="45"/>
      <c r="H33" s="44">
        <v>-18504</v>
      </c>
      <c r="I33" s="45"/>
      <c r="J33" s="44">
        <v>-21027</v>
      </c>
    </row>
    <row r="34" spans="1:10" ht="15" thickBot="1" x14ac:dyDescent="0.35">
      <c r="A34" s="43"/>
      <c r="B34" s="43" t="s">
        <v>141</v>
      </c>
      <c r="C34" s="43"/>
      <c r="D34" s="43"/>
      <c r="E34" s="43"/>
      <c r="F34" s="48">
        <f>ROUND(SUM(F30:F33),5)</f>
        <v>32478</v>
      </c>
      <c r="G34" s="45"/>
      <c r="H34" s="48">
        <f>ROUND(SUM(H30:H33),5)</f>
        <v>43373</v>
      </c>
      <c r="I34" s="45"/>
      <c r="J34" s="48">
        <f>ROUND(SUM(J30:J33),5)</f>
        <v>45875</v>
      </c>
    </row>
    <row r="35" spans="1:10" s="50" customFormat="1" ht="30" customHeight="1" thickBot="1" x14ac:dyDescent="0.25">
      <c r="A35" s="43" t="s">
        <v>142</v>
      </c>
      <c r="B35" s="43"/>
      <c r="C35" s="43"/>
      <c r="D35" s="43"/>
      <c r="E35" s="43"/>
      <c r="F35" s="49">
        <f>ROUND(F2+F14+F29+F34,5)</f>
        <v>744141</v>
      </c>
      <c r="G35" s="43"/>
      <c r="H35" s="49">
        <f>ROUND(H2+H14+H29+H34,5)</f>
        <v>766012</v>
      </c>
      <c r="I35" s="43"/>
      <c r="J35" s="49">
        <f>ROUND(J2+J14+J29+J34,5)</f>
        <v>815498</v>
      </c>
    </row>
    <row r="36" spans="1:10" ht="31.5" customHeight="1" thickTop="1" x14ac:dyDescent="0.3">
      <c r="A36" s="43" t="s">
        <v>143</v>
      </c>
      <c r="B36" s="43"/>
      <c r="C36" s="43"/>
      <c r="D36" s="43"/>
      <c r="E36" s="43"/>
      <c r="F36" s="44"/>
      <c r="G36" s="45"/>
      <c r="H36" s="44"/>
      <c r="I36" s="45"/>
      <c r="J36" s="44"/>
    </row>
    <row r="37" spans="1:10" x14ac:dyDescent="0.3">
      <c r="A37" s="43"/>
      <c r="B37" s="43" t="s">
        <v>144</v>
      </c>
      <c r="C37" s="43"/>
      <c r="D37" s="43"/>
      <c r="E37" s="43"/>
      <c r="F37" s="44"/>
      <c r="G37" s="45"/>
      <c r="H37" s="44"/>
      <c r="I37" s="45"/>
      <c r="J37" s="44"/>
    </row>
    <row r="38" spans="1:10" x14ac:dyDescent="0.3">
      <c r="A38" s="43"/>
      <c r="B38" s="43"/>
      <c r="C38" s="43" t="s">
        <v>145</v>
      </c>
      <c r="D38" s="43"/>
      <c r="E38" s="43"/>
      <c r="F38" s="44"/>
      <c r="G38" s="45"/>
      <c r="H38" s="44"/>
      <c r="I38" s="45"/>
      <c r="J38" s="44"/>
    </row>
    <row r="39" spans="1:10" x14ac:dyDescent="0.3">
      <c r="A39" s="43"/>
      <c r="B39" s="43"/>
      <c r="C39" s="43"/>
      <c r="D39" s="43" t="s">
        <v>146</v>
      </c>
      <c r="E39" s="43"/>
      <c r="F39" s="44"/>
      <c r="G39" s="45"/>
      <c r="H39" s="44"/>
      <c r="I39" s="45"/>
      <c r="J39" s="44"/>
    </row>
    <row r="40" spans="1:10" ht="15" thickBot="1" x14ac:dyDescent="0.35">
      <c r="A40" s="43"/>
      <c r="B40" s="43"/>
      <c r="C40" s="43"/>
      <c r="D40" s="43"/>
      <c r="E40" s="43" t="s">
        <v>146</v>
      </c>
      <c r="F40" s="46">
        <v>15180</v>
      </c>
      <c r="G40" s="45"/>
      <c r="H40" s="46">
        <v>17585</v>
      </c>
      <c r="I40" s="45"/>
      <c r="J40" s="46">
        <v>16248</v>
      </c>
    </row>
    <row r="41" spans="1:10" x14ac:dyDescent="0.3">
      <c r="A41" s="43"/>
      <c r="B41" s="43"/>
      <c r="C41" s="43"/>
      <c r="D41" s="43" t="s">
        <v>147</v>
      </c>
      <c r="E41" s="43"/>
      <c r="F41" s="44">
        <f>ROUND(SUM(F39:F40),5)</f>
        <v>15180</v>
      </c>
      <c r="G41" s="45"/>
      <c r="H41" s="44">
        <f>ROUND(SUM(H39:H40),5)</f>
        <v>17585</v>
      </c>
      <c r="I41" s="45"/>
      <c r="J41" s="44">
        <f>ROUND(SUM(J39:J40),5)</f>
        <v>16248</v>
      </c>
    </row>
    <row r="42" spans="1:10" ht="30" customHeight="1" x14ac:dyDescent="0.3">
      <c r="A42" s="43"/>
      <c r="B42" s="43"/>
      <c r="C42" s="43"/>
      <c r="D42" s="43" t="s">
        <v>148</v>
      </c>
      <c r="E42" s="43"/>
      <c r="F42" s="44"/>
      <c r="G42" s="45"/>
      <c r="H42" s="44"/>
      <c r="I42" s="45"/>
      <c r="J42" s="44"/>
    </row>
    <row r="43" spans="1:10" x14ac:dyDescent="0.3">
      <c r="A43" s="43"/>
      <c r="B43" s="43"/>
      <c r="C43" s="43"/>
      <c r="D43" s="43"/>
      <c r="E43" s="43" t="s">
        <v>151</v>
      </c>
      <c r="F43" s="44">
        <v>18216</v>
      </c>
      <c r="G43" s="45"/>
      <c r="H43" s="44">
        <v>21738</v>
      </c>
      <c r="I43" s="45"/>
      <c r="J43" s="44">
        <v>18814</v>
      </c>
    </row>
    <row r="44" spans="1:10" ht="15" thickBot="1" x14ac:dyDescent="0.35">
      <c r="A44" s="43"/>
      <c r="B44" s="43"/>
      <c r="C44" s="43"/>
      <c r="D44" s="43"/>
      <c r="E44" s="43" t="s">
        <v>309</v>
      </c>
      <c r="F44" s="44">
        <v>27973</v>
      </c>
      <c r="G44" s="45"/>
      <c r="H44" s="44">
        <v>24282</v>
      </c>
      <c r="I44" s="45"/>
      <c r="J44" s="44">
        <v>23950</v>
      </c>
    </row>
    <row r="45" spans="1:10" ht="15" thickBot="1" x14ac:dyDescent="0.35">
      <c r="A45" s="43"/>
      <c r="B45" s="43"/>
      <c r="C45" s="43"/>
      <c r="D45" s="43" t="s">
        <v>152</v>
      </c>
      <c r="E45" s="43"/>
      <c r="F45" s="47">
        <f>ROUND(SUM(F42:F44),5)</f>
        <v>46189</v>
      </c>
      <c r="G45" s="45"/>
      <c r="H45" s="47">
        <f>ROUND(SUM(H42:H44),5)</f>
        <v>46020</v>
      </c>
      <c r="I45" s="45"/>
      <c r="J45" s="47">
        <f>ROUND(SUM(J42:J44),5)</f>
        <v>42764</v>
      </c>
    </row>
    <row r="46" spans="1:10" ht="30" customHeight="1" x14ac:dyDescent="0.3">
      <c r="A46" s="43"/>
      <c r="B46" s="43"/>
      <c r="C46" s="43" t="s">
        <v>153</v>
      </c>
      <c r="D46" s="43"/>
      <c r="E46" s="43"/>
      <c r="F46" s="44">
        <f>ROUND(F38+F41+F45,5)</f>
        <v>61369</v>
      </c>
      <c r="G46" s="45"/>
      <c r="H46" s="44">
        <f>ROUND(H38+H41+H45,5)</f>
        <v>63605</v>
      </c>
      <c r="I46" s="45"/>
      <c r="J46" s="44">
        <f>ROUND(J38+J41+J45,5)</f>
        <v>59012</v>
      </c>
    </row>
    <row r="47" spans="1:10" ht="30" customHeight="1" x14ac:dyDescent="0.3">
      <c r="A47" s="43"/>
      <c r="B47" s="43"/>
      <c r="C47" s="43" t="s">
        <v>154</v>
      </c>
      <c r="D47" s="43"/>
      <c r="E47" s="43"/>
      <c r="F47" s="44"/>
      <c r="G47" s="45"/>
      <c r="H47" s="44"/>
      <c r="I47" s="45"/>
      <c r="J47" s="44"/>
    </row>
    <row r="48" spans="1:10" ht="15" thickBot="1" x14ac:dyDescent="0.35">
      <c r="A48" s="43"/>
      <c r="B48" s="43"/>
      <c r="C48" s="43"/>
      <c r="D48" s="43" t="s">
        <v>310</v>
      </c>
      <c r="E48" s="43"/>
      <c r="F48" s="44">
        <v>784027</v>
      </c>
      <c r="G48" s="45"/>
      <c r="H48" s="44">
        <v>712631</v>
      </c>
      <c r="I48" s="45"/>
      <c r="J48" s="51">
        <v>637117</v>
      </c>
    </row>
    <row r="49" spans="1:10" ht="15" thickBot="1" x14ac:dyDescent="0.35">
      <c r="A49" s="43"/>
      <c r="B49" s="43"/>
      <c r="C49" s="43" t="s">
        <v>157</v>
      </c>
      <c r="D49" s="43"/>
      <c r="E49" s="43"/>
      <c r="F49" s="47">
        <f>ROUND(SUM(F47:F48),5)</f>
        <v>784027</v>
      </c>
      <c r="G49" s="45"/>
      <c r="H49" s="47">
        <f>ROUND(SUM(H47:H48),5)</f>
        <v>712631</v>
      </c>
      <c r="I49" s="45"/>
      <c r="J49" s="47">
        <f>ROUND(SUM(J47:J48),5)</f>
        <v>637117</v>
      </c>
    </row>
    <row r="50" spans="1:10" ht="30" customHeight="1" x14ac:dyDescent="0.3">
      <c r="A50" s="43"/>
      <c r="B50" s="43" t="s">
        <v>158</v>
      </c>
      <c r="C50" s="43"/>
      <c r="D50" s="43"/>
      <c r="E50" s="43"/>
      <c r="F50" s="44">
        <f>ROUND(F37+F46+F49,5)</f>
        <v>845396</v>
      </c>
      <c r="G50" s="45"/>
      <c r="H50" s="44">
        <f>ROUND(H37+H46+H49,5)</f>
        <v>776236</v>
      </c>
      <c r="I50" s="45"/>
      <c r="J50" s="44">
        <f>ROUND(J37+J46+J49,5)</f>
        <v>696129</v>
      </c>
    </row>
    <row r="51" spans="1:10" ht="30" customHeight="1" x14ac:dyDescent="0.3">
      <c r="A51" s="43"/>
      <c r="B51" s="43" t="s">
        <v>159</v>
      </c>
      <c r="C51" s="43"/>
      <c r="D51" s="43"/>
      <c r="E51" s="43"/>
      <c r="F51" s="44"/>
      <c r="G51" s="45"/>
      <c r="H51" s="44"/>
      <c r="I51" s="45"/>
      <c r="J51" s="44"/>
    </row>
    <row r="52" spans="1:10" x14ac:dyDescent="0.3">
      <c r="A52" s="43"/>
      <c r="B52" s="43"/>
      <c r="C52" s="43" t="s">
        <v>311</v>
      </c>
      <c r="D52" s="43"/>
      <c r="E52" s="43"/>
      <c r="F52" s="44">
        <v>-172944</v>
      </c>
      <c r="G52" s="45"/>
      <c r="H52" s="44">
        <v>-10226</v>
      </c>
      <c r="I52" s="45"/>
      <c r="J52" s="44">
        <v>-10226</v>
      </c>
    </row>
    <row r="53" spans="1:10" x14ac:dyDescent="0.3">
      <c r="A53" s="43"/>
      <c r="B53" s="43"/>
      <c r="C53" s="43" t="s">
        <v>312</v>
      </c>
      <c r="D53" s="43"/>
      <c r="E53" s="43"/>
      <c r="F53" s="44">
        <v>-48000</v>
      </c>
      <c r="G53" s="45"/>
      <c r="H53" s="44"/>
      <c r="I53" s="45"/>
      <c r="J53" s="44"/>
    </row>
    <row r="54" spans="1:10" x14ac:dyDescent="0.3">
      <c r="A54" s="43"/>
      <c r="B54" s="43"/>
      <c r="C54" s="43" t="s">
        <v>164</v>
      </c>
      <c r="D54" s="43"/>
      <c r="E54" s="43"/>
      <c r="F54" s="44"/>
      <c r="G54" s="45"/>
      <c r="H54" s="44">
        <v>-116031</v>
      </c>
      <c r="I54" s="45"/>
      <c r="J54" s="44"/>
    </row>
    <row r="55" spans="1:10" ht="15" thickBot="1" x14ac:dyDescent="0.35">
      <c r="A55" s="43"/>
      <c r="B55" s="43"/>
      <c r="C55" s="43" t="s">
        <v>165</v>
      </c>
      <c r="D55" s="43"/>
      <c r="E55" s="43"/>
      <c r="F55" s="44">
        <v>119687</v>
      </c>
      <c r="G55" s="45"/>
      <c r="H55" s="44">
        <v>116031</v>
      </c>
      <c r="I55" s="45"/>
      <c r="J55" s="44">
        <v>129591</v>
      </c>
    </row>
    <row r="56" spans="1:10" ht="15" thickBot="1" x14ac:dyDescent="0.35">
      <c r="A56" s="43"/>
      <c r="B56" s="43" t="s">
        <v>166</v>
      </c>
      <c r="C56" s="43"/>
      <c r="D56" s="43"/>
      <c r="E56" s="43"/>
      <c r="F56" s="48">
        <f>ROUND(SUM(F51:F55),5)</f>
        <v>-101257</v>
      </c>
      <c r="G56" s="45"/>
      <c r="H56" s="48">
        <f>ROUND(SUM(H51:H55),5)</f>
        <v>-10226</v>
      </c>
      <c r="I56" s="45"/>
      <c r="J56" s="48">
        <f>ROUND(SUM(J51:J55),5)</f>
        <v>119365</v>
      </c>
    </row>
    <row r="57" spans="1:10" s="50" customFormat="1" ht="30" customHeight="1" thickBot="1" x14ac:dyDescent="0.25">
      <c r="A57" s="43" t="s">
        <v>167</v>
      </c>
      <c r="B57" s="43"/>
      <c r="C57" s="43"/>
      <c r="D57" s="43"/>
      <c r="E57" s="43"/>
      <c r="F57" s="49">
        <f>ROUND(F36+F50+F56,5)</f>
        <v>744139</v>
      </c>
      <c r="G57" s="43"/>
      <c r="H57" s="49">
        <f>ROUND(H36+H50+H56,5)</f>
        <v>766010</v>
      </c>
      <c r="I57" s="43"/>
      <c r="J57" s="49">
        <f>ROUND(J36+J50+J56,5)</f>
        <v>815494</v>
      </c>
    </row>
    <row r="58" spans="1:10" ht="15" thickTop="1" x14ac:dyDescent="0.3"/>
  </sheetData>
  <pageMargins left="0.7" right="0.7" top="0.75" bottom="0.75" header="0.25" footer="0.3"/>
  <pageSetup orientation="portrait" r:id="rId1"/>
  <headerFooter>
    <oddHeader>&amp;L&amp;"Arial,Bold"&amp;8 Accrual Basis&amp;C&amp;"Arial,Bold"&amp;12 BelPointe, LLC
&amp;"Arial,Bold"&amp;14 Comparative Balance Sheet
&amp;"Arial,Bold"&amp;10 As of December 31, 2012 and 2011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638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6386" r:id="rId4" name="HEADER"/>
      </mc:Fallback>
    </mc:AlternateContent>
    <mc:AlternateContent xmlns:mc="http://schemas.openxmlformats.org/markup-compatibility/2006">
      <mc:Choice Requires="x14">
        <control shapeId="1638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6385" r:id="rId6" name="FILTER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47"/>
  <dimension ref="A1:N118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2.109375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8.664062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52"/>
      <c r="I2" s="45"/>
      <c r="J2" s="52"/>
      <c r="K2" s="45"/>
      <c r="L2" s="52"/>
      <c r="M2" s="45"/>
      <c r="N2" s="52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52"/>
      <c r="I3" s="45"/>
      <c r="J3" s="52"/>
      <c r="K3" s="45"/>
      <c r="L3" s="52"/>
      <c r="M3" s="45"/>
      <c r="N3" s="52"/>
    </row>
    <row r="4" spans="1:14" x14ac:dyDescent="0.3">
      <c r="A4" s="43"/>
      <c r="B4" s="43"/>
      <c r="C4" s="43"/>
      <c r="D4" s="43"/>
      <c r="E4" s="43" t="s">
        <v>313</v>
      </c>
      <c r="F4" s="43"/>
      <c r="G4" s="43"/>
      <c r="H4" s="52">
        <v>0</v>
      </c>
      <c r="I4" s="45"/>
      <c r="J4" s="52">
        <v>500</v>
      </c>
      <c r="K4" s="45"/>
      <c r="L4" s="52">
        <v>0</v>
      </c>
      <c r="M4" s="45"/>
      <c r="N4" s="52">
        <f t="shared" ref="N4:N13" si="0">ROUND(SUM(H4:L4),5)</f>
        <v>500</v>
      </c>
    </row>
    <row r="5" spans="1:14" x14ac:dyDescent="0.3">
      <c r="A5" s="43"/>
      <c r="B5" s="43"/>
      <c r="C5" s="43"/>
      <c r="D5" s="43"/>
      <c r="E5" s="43" t="s">
        <v>174</v>
      </c>
      <c r="F5" s="43"/>
      <c r="G5" s="43"/>
      <c r="H5" s="52">
        <v>192358.1</v>
      </c>
      <c r="I5" s="45"/>
      <c r="J5" s="52">
        <v>196468.99</v>
      </c>
      <c r="K5" s="45"/>
      <c r="L5" s="52">
        <v>198939.4</v>
      </c>
      <c r="M5" s="45"/>
      <c r="N5" s="52">
        <f t="shared" si="0"/>
        <v>587766.49</v>
      </c>
    </row>
    <row r="6" spans="1:14" x14ac:dyDescent="0.3">
      <c r="A6" s="43"/>
      <c r="B6" s="43"/>
      <c r="C6" s="43"/>
      <c r="D6" s="43"/>
      <c r="E6" s="43" t="s">
        <v>175</v>
      </c>
      <c r="F6" s="43"/>
      <c r="G6" s="43"/>
      <c r="H6" s="52">
        <v>27082.91</v>
      </c>
      <c r="I6" s="45"/>
      <c r="J6" s="52">
        <v>32446.57</v>
      </c>
      <c r="K6" s="45"/>
      <c r="L6" s="52">
        <v>32763.39</v>
      </c>
      <c r="M6" s="45"/>
      <c r="N6" s="52">
        <f t="shared" si="0"/>
        <v>92292.87</v>
      </c>
    </row>
    <row r="7" spans="1:14" x14ac:dyDescent="0.3">
      <c r="A7" s="43"/>
      <c r="B7" s="43"/>
      <c r="C7" s="43"/>
      <c r="D7" s="43"/>
      <c r="E7" s="43" t="s">
        <v>176</v>
      </c>
      <c r="F7" s="43"/>
      <c r="G7" s="43"/>
      <c r="H7" s="52">
        <v>49864.01</v>
      </c>
      <c r="I7" s="45"/>
      <c r="J7" s="52">
        <v>56793.2</v>
      </c>
      <c r="K7" s="45"/>
      <c r="L7" s="52">
        <v>54318.69</v>
      </c>
      <c r="M7" s="45"/>
      <c r="N7" s="52">
        <f t="shared" si="0"/>
        <v>160975.9</v>
      </c>
    </row>
    <row r="8" spans="1:14" x14ac:dyDescent="0.3">
      <c r="A8" s="43"/>
      <c r="B8" s="43"/>
      <c r="C8" s="43"/>
      <c r="D8" s="43"/>
      <c r="E8" s="43" t="s">
        <v>177</v>
      </c>
      <c r="F8" s="43"/>
      <c r="G8" s="43"/>
      <c r="H8" s="52">
        <v>3352.09</v>
      </c>
      <c r="I8" s="45"/>
      <c r="J8" s="52">
        <v>6563.6</v>
      </c>
      <c r="K8" s="45"/>
      <c r="L8" s="52">
        <v>5326.33</v>
      </c>
      <c r="M8" s="45"/>
      <c r="N8" s="52">
        <f t="shared" si="0"/>
        <v>15242.02</v>
      </c>
    </row>
    <row r="9" spans="1:14" x14ac:dyDescent="0.3">
      <c r="A9" s="43"/>
      <c r="B9" s="43"/>
      <c r="C9" s="43"/>
      <c r="D9" s="43"/>
      <c r="E9" s="43" t="s">
        <v>314</v>
      </c>
      <c r="F9" s="43"/>
      <c r="G9" s="43"/>
      <c r="H9" s="52">
        <v>0</v>
      </c>
      <c r="I9" s="45"/>
      <c r="J9" s="52">
        <v>0</v>
      </c>
      <c r="K9" s="45"/>
      <c r="L9" s="52">
        <v>81.599999999999994</v>
      </c>
      <c r="M9" s="45"/>
      <c r="N9" s="52">
        <f t="shared" si="0"/>
        <v>81.599999999999994</v>
      </c>
    </row>
    <row r="10" spans="1:14" x14ac:dyDescent="0.3">
      <c r="A10" s="43"/>
      <c r="B10" s="43"/>
      <c r="C10" s="43"/>
      <c r="D10" s="43"/>
      <c r="E10" s="43" t="s">
        <v>315</v>
      </c>
      <c r="F10" s="43"/>
      <c r="G10" s="43"/>
      <c r="H10" s="52">
        <v>21545.52</v>
      </c>
      <c r="I10" s="45"/>
      <c r="J10" s="52">
        <v>636.54999999999995</v>
      </c>
      <c r="K10" s="45"/>
      <c r="L10" s="52">
        <v>0</v>
      </c>
      <c r="M10" s="45"/>
      <c r="N10" s="52">
        <f t="shared" si="0"/>
        <v>22182.07</v>
      </c>
    </row>
    <row r="11" spans="1:14" ht="15" thickBot="1" x14ac:dyDescent="0.35">
      <c r="A11" s="43"/>
      <c r="B11" s="43"/>
      <c r="C11" s="43"/>
      <c r="D11" s="43"/>
      <c r="E11" s="43" t="s">
        <v>316</v>
      </c>
      <c r="F11" s="43"/>
      <c r="G11" s="43"/>
      <c r="H11" s="52">
        <v>394.02</v>
      </c>
      <c r="I11" s="45"/>
      <c r="J11" s="52">
        <v>390.17</v>
      </c>
      <c r="K11" s="45"/>
      <c r="L11" s="52">
        <v>382.1</v>
      </c>
      <c r="M11" s="45"/>
      <c r="N11" s="52">
        <f t="shared" si="0"/>
        <v>1166.29</v>
      </c>
    </row>
    <row r="12" spans="1:14" ht="15" thickBot="1" x14ac:dyDescent="0.35">
      <c r="A12" s="43"/>
      <c r="B12" s="43"/>
      <c r="C12" s="43"/>
      <c r="D12" s="43" t="s">
        <v>180</v>
      </c>
      <c r="E12" s="43"/>
      <c r="F12" s="43"/>
      <c r="G12" s="43"/>
      <c r="H12" s="53">
        <f>ROUND(SUM(H3:H11),5)</f>
        <v>294596.65000000002</v>
      </c>
      <c r="I12" s="45"/>
      <c r="J12" s="53">
        <f>ROUND(SUM(J3:J11),5)</f>
        <v>293799.08</v>
      </c>
      <c r="K12" s="45"/>
      <c r="L12" s="53">
        <f>ROUND(SUM(L3:L11),5)</f>
        <v>291811.51</v>
      </c>
      <c r="M12" s="45"/>
      <c r="N12" s="53">
        <f t="shared" si="0"/>
        <v>880207.24</v>
      </c>
    </row>
    <row r="13" spans="1:14" ht="30" customHeight="1" x14ac:dyDescent="0.3">
      <c r="A13" s="43"/>
      <c r="B13" s="43"/>
      <c r="C13" s="43" t="s">
        <v>181</v>
      </c>
      <c r="D13" s="43"/>
      <c r="E13" s="43"/>
      <c r="F13" s="43"/>
      <c r="G13" s="43"/>
      <c r="H13" s="52">
        <f>H12</f>
        <v>294596.65000000002</v>
      </c>
      <c r="I13" s="45"/>
      <c r="J13" s="52">
        <f>J12</f>
        <v>293799.08</v>
      </c>
      <c r="K13" s="45"/>
      <c r="L13" s="52">
        <f>L12</f>
        <v>291811.51</v>
      </c>
      <c r="M13" s="45"/>
      <c r="N13" s="52">
        <f t="shared" si="0"/>
        <v>880207.24</v>
      </c>
    </row>
    <row r="14" spans="1:14" ht="30" customHeight="1" x14ac:dyDescent="0.3">
      <c r="A14" s="43"/>
      <c r="B14" s="43"/>
      <c r="C14" s="43"/>
      <c r="D14" s="43" t="s">
        <v>182</v>
      </c>
      <c r="E14" s="43"/>
      <c r="F14" s="43"/>
      <c r="G14" s="43"/>
      <c r="H14" s="52"/>
      <c r="I14" s="45"/>
      <c r="J14" s="52"/>
      <c r="K14" s="45"/>
      <c r="L14" s="52"/>
      <c r="M14" s="45"/>
      <c r="N14" s="52"/>
    </row>
    <row r="15" spans="1:14" x14ac:dyDescent="0.3">
      <c r="A15" s="43"/>
      <c r="B15" s="43"/>
      <c r="C15" s="43"/>
      <c r="D15" s="43"/>
      <c r="E15" s="43" t="s">
        <v>183</v>
      </c>
      <c r="F15" s="43"/>
      <c r="G15" s="43"/>
      <c r="H15" s="52"/>
      <c r="I15" s="45"/>
      <c r="J15" s="52"/>
      <c r="K15" s="45"/>
      <c r="L15" s="52"/>
      <c r="M15" s="45"/>
      <c r="N15" s="52"/>
    </row>
    <row r="16" spans="1:14" x14ac:dyDescent="0.3">
      <c r="A16" s="43"/>
      <c r="B16" s="43"/>
      <c r="C16" s="43"/>
      <c r="D16" s="43"/>
      <c r="E16" s="43"/>
      <c r="F16" s="43" t="s">
        <v>186</v>
      </c>
      <c r="G16" s="43"/>
      <c r="H16" s="52"/>
      <c r="I16" s="45"/>
      <c r="J16" s="52"/>
      <c r="K16" s="45"/>
      <c r="L16" s="52"/>
      <c r="M16" s="45"/>
      <c r="N16" s="52"/>
    </row>
    <row r="17" spans="1:14" x14ac:dyDescent="0.3">
      <c r="A17" s="43"/>
      <c r="B17" s="43"/>
      <c r="C17" s="43"/>
      <c r="D17" s="43"/>
      <c r="E17" s="43"/>
      <c r="F17" s="43"/>
      <c r="G17" s="43" t="s">
        <v>317</v>
      </c>
      <c r="H17" s="52">
        <v>4788</v>
      </c>
      <c r="I17" s="45"/>
      <c r="J17" s="52">
        <v>8702.7900000000009</v>
      </c>
      <c r="K17" s="45"/>
      <c r="L17" s="52">
        <v>0</v>
      </c>
      <c r="M17" s="45"/>
      <c r="N17" s="52">
        <f t="shared" ref="N17:N24" si="1">ROUND(SUM(H17:L17),5)</f>
        <v>13490.79</v>
      </c>
    </row>
    <row r="18" spans="1:14" ht="15" thickBot="1" x14ac:dyDescent="0.35">
      <c r="A18" s="43"/>
      <c r="B18" s="43"/>
      <c r="C18" s="43"/>
      <c r="D18" s="43"/>
      <c r="E18" s="43"/>
      <c r="F18" s="43"/>
      <c r="G18" s="43" t="s">
        <v>318</v>
      </c>
      <c r="H18" s="54">
        <v>0</v>
      </c>
      <c r="I18" s="45"/>
      <c r="J18" s="54">
        <v>11368.23</v>
      </c>
      <c r="K18" s="45"/>
      <c r="L18" s="54">
        <v>8151.36</v>
      </c>
      <c r="M18" s="45"/>
      <c r="N18" s="54">
        <f t="shared" si="1"/>
        <v>19519.59</v>
      </c>
    </row>
    <row r="19" spans="1:14" x14ac:dyDescent="0.3">
      <c r="A19" s="43"/>
      <c r="B19" s="43"/>
      <c r="C19" s="43"/>
      <c r="D19" s="43"/>
      <c r="E19" s="43"/>
      <c r="F19" s="43" t="s">
        <v>189</v>
      </c>
      <c r="G19" s="43"/>
      <c r="H19" s="52">
        <f>ROUND(SUM(H16:H18),5)</f>
        <v>4788</v>
      </c>
      <c r="I19" s="45"/>
      <c r="J19" s="52">
        <f>ROUND(SUM(J16:J18),5)</f>
        <v>20071.02</v>
      </c>
      <c r="K19" s="45"/>
      <c r="L19" s="52">
        <f>ROUND(SUM(L16:L18),5)</f>
        <v>8151.36</v>
      </c>
      <c r="M19" s="45"/>
      <c r="N19" s="52">
        <f t="shared" si="1"/>
        <v>33010.379999999997</v>
      </c>
    </row>
    <row r="20" spans="1:14" ht="30" customHeight="1" x14ac:dyDescent="0.3">
      <c r="A20" s="43"/>
      <c r="B20" s="43"/>
      <c r="C20" s="43"/>
      <c r="D20" s="43"/>
      <c r="E20" s="43"/>
      <c r="F20" s="43" t="s">
        <v>190</v>
      </c>
      <c r="G20" s="43"/>
      <c r="H20" s="52">
        <v>14729.83</v>
      </c>
      <c r="I20" s="45"/>
      <c r="J20" s="52">
        <v>14633.13</v>
      </c>
      <c r="K20" s="45"/>
      <c r="L20" s="52">
        <v>14590.58</v>
      </c>
      <c r="M20" s="45"/>
      <c r="N20" s="52">
        <f t="shared" si="1"/>
        <v>43953.54</v>
      </c>
    </row>
    <row r="21" spans="1:14" x14ac:dyDescent="0.3">
      <c r="A21" s="43"/>
      <c r="B21" s="43"/>
      <c r="C21" s="43"/>
      <c r="D21" s="43"/>
      <c r="E21" s="43"/>
      <c r="F21" s="43" t="s">
        <v>191</v>
      </c>
      <c r="G21" s="43"/>
      <c r="H21" s="52">
        <v>38.549999999999997</v>
      </c>
      <c r="I21" s="45"/>
      <c r="J21" s="52">
        <v>17.350000000000001</v>
      </c>
      <c r="K21" s="45"/>
      <c r="L21" s="52">
        <v>247.82</v>
      </c>
      <c r="M21" s="45"/>
      <c r="N21" s="52">
        <f t="shared" si="1"/>
        <v>303.72000000000003</v>
      </c>
    </row>
    <row r="22" spans="1:14" x14ac:dyDescent="0.3">
      <c r="A22" s="43"/>
      <c r="B22" s="43"/>
      <c r="C22" s="43"/>
      <c r="D22" s="43"/>
      <c r="E22" s="43"/>
      <c r="F22" s="43" t="s">
        <v>192</v>
      </c>
      <c r="G22" s="43"/>
      <c r="H22" s="52">
        <v>65.22</v>
      </c>
      <c r="I22" s="45"/>
      <c r="J22" s="52">
        <v>42.75</v>
      </c>
      <c r="K22" s="45"/>
      <c r="L22" s="52">
        <v>38.18</v>
      </c>
      <c r="M22" s="45"/>
      <c r="N22" s="52">
        <f t="shared" si="1"/>
        <v>146.15</v>
      </c>
    </row>
    <row r="23" spans="1:14" x14ac:dyDescent="0.3">
      <c r="A23" s="43"/>
      <c r="B23" s="43"/>
      <c r="C23" s="43"/>
      <c r="D23" s="43"/>
      <c r="E23" s="43"/>
      <c r="F23" s="43" t="s">
        <v>193</v>
      </c>
      <c r="G23" s="43"/>
      <c r="H23" s="52">
        <v>176.68</v>
      </c>
      <c r="I23" s="45"/>
      <c r="J23" s="52">
        <v>177.12</v>
      </c>
      <c r="K23" s="45"/>
      <c r="L23" s="52">
        <v>23.37</v>
      </c>
      <c r="M23" s="45"/>
      <c r="N23" s="52">
        <f t="shared" si="1"/>
        <v>377.17</v>
      </c>
    </row>
    <row r="24" spans="1:14" x14ac:dyDescent="0.3">
      <c r="A24" s="43"/>
      <c r="B24" s="43"/>
      <c r="C24" s="43"/>
      <c r="D24" s="43"/>
      <c r="E24" s="43"/>
      <c r="F24" s="43" t="s">
        <v>319</v>
      </c>
      <c r="G24" s="43"/>
      <c r="H24" s="52">
        <v>5</v>
      </c>
      <c r="I24" s="45"/>
      <c r="J24" s="52">
        <v>0</v>
      </c>
      <c r="K24" s="45"/>
      <c r="L24" s="52">
        <v>0</v>
      </c>
      <c r="M24" s="45"/>
      <c r="N24" s="52">
        <f t="shared" si="1"/>
        <v>5</v>
      </c>
    </row>
    <row r="25" spans="1:14" x14ac:dyDescent="0.3">
      <c r="A25" s="43"/>
      <c r="B25" s="43"/>
      <c r="C25" s="43"/>
      <c r="D25" s="43"/>
      <c r="E25" s="43"/>
      <c r="F25" s="43" t="s">
        <v>195</v>
      </c>
      <c r="G25" s="43"/>
      <c r="H25" s="52"/>
      <c r="I25" s="45"/>
      <c r="J25" s="52"/>
      <c r="K25" s="45"/>
      <c r="L25" s="52"/>
      <c r="M25" s="45"/>
      <c r="N25" s="52"/>
    </row>
    <row r="26" spans="1:14" x14ac:dyDescent="0.3">
      <c r="A26" s="43"/>
      <c r="B26" s="43"/>
      <c r="C26" s="43"/>
      <c r="D26" s="43"/>
      <c r="E26" s="43"/>
      <c r="F26" s="43"/>
      <c r="G26" s="43" t="s">
        <v>197</v>
      </c>
      <c r="H26" s="52">
        <v>1080</v>
      </c>
      <c r="I26" s="45"/>
      <c r="J26" s="52">
        <v>800</v>
      </c>
      <c r="K26" s="45"/>
      <c r="L26" s="52">
        <v>825</v>
      </c>
      <c r="M26" s="45"/>
      <c r="N26" s="52">
        <f t="shared" ref="N26:N32" si="2">ROUND(SUM(H26:L26),5)</f>
        <v>2705</v>
      </c>
    </row>
    <row r="27" spans="1:14" x14ac:dyDescent="0.3">
      <c r="A27" s="43"/>
      <c r="B27" s="43"/>
      <c r="C27" s="43"/>
      <c r="D27" s="43"/>
      <c r="E27" s="43"/>
      <c r="F27" s="43"/>
      <c r="G27" s="43" t="s">
        <v>198</v>
      </c>
      <c r="H27" s="52">
        <v>450</v>
      </c>
      <c r="I27" s="45"/>
      <c r="J27" s="52">
        <v>0</v>
      </c>
      <c r="K27" s="45"/>
      <c r="L27" s="52">
        <v>0</v>
      </c>
      <c r="M27" s="45"/>
      <c r="N27" s="52">
        <f t="shared" si="2"/>
        <v>450</v>
      </c>
    </row>
    <row r="28" spans="1:14" ht="15" thickBot="1" x14ac:dyDescent="0.35">
      <c r="A28" s="43"/>
      <c r="B28" s="43"/>
      <c r="C28" s="43"/>
      <c r="D28" s="43"/>
      <c r="E28" s="43"/>
      <c r="F28" s="43"/>
      <c r="G28" s="43" t="s">
        <v>199</v>
      </c>
      <c r="H28" s="54">
        <v>220.68</v>
      </c>
      <c r="I28" s="45"/>
      <c r="J28" s="54">
        <v>185</v>
      </c>
      <c r="K28" s="45"/>
      <c r="L28" s="54">
        <v>168.8</v>
      </c>
      <c r="M28" s="45"/>
      <c r="N28" s="54">
        <f t="shared" si="2"/>
        <v>574.48</v>
      </c>
    </row>
    <row r="29" spans="1:14" x14ac:dyDescent="0.3">
      <c r="A29" s="43"/>
      <c r="B29" s="43"/>
      <c r="C29" s="43"/>
      <c r="D29" s="43"/>
      <c r="E29" s="43"/>
      <c r="F29" s="43" t="s">
        <v>200</v>
      </c>
      <c r="G29" s="43"/>
      <c r="H29" s="52">
        <f>ROUND(SUM(H25:H28),5)</f>
        <v>1750.68</v>
      </c>
      <c r="I29" s="45"/>
      <c r="J29" s="52">
        <f>ROUND(SUM(J25:J28),5)</f>
        <v>985</v>
      </c>
      <c r="K29" s="45"/>
      <c r="L29" s="52">
        <f>ROUND(SUM(L25:L28),5)</f>
        <v>993.8</v>
      </c>
      <c r="M29" s="45"/>
      <c r="N29" s="52">
        <f t="shared" si="2"/>
        <v>3729.48</v>
      </c>
    </row>
    <row r="30" spans="1:14" ht="30" customHeight="1" x14ac:dyDescent="0.3">
      <c r="A30" s="43"/>
      <c r="B30" s="43"/>
      <c r="C30" s="43"/>
      <c r="D30" s="43"/>
      <c r="E30" s="43"/>
      <c r="F30" s="43" t="s">
        <v>320</v>
      </c>
      <c r="G30" s="43"/>
      <c r="H30" s="52">
        <v>0</v>
      </c>
      <c r="I30" s="45"/>
      <c r="J30" s="52">
        <v>22.55</v>
      </c>
      <c r="K30" s="45"/>
      <c r="L30" s="52">
        <v>141.65</v>
      </c>
      <c r="M30" s="45"/>
      <c r="N30" s="52">
        <f t="shared" si="2"/>
        <v>164.2</v>
      </c>
    </row>
    <row r="31" spans="1:14" ht="15" thickBot="1" x14ac:dyDescent="0.35">
      <c r="A31" s="43"/>
      <c r="B31" s="43"/>
      <c r="C31" s="43"/>
      <c r="D31" s="43"/>
      <c r="E31" s="43"/>
      <c r="F31" s="43" t="s">
        <v>201</v>
      </c>
      <c r="G31" s="43"/>
      <c r="H31" s="54">
        <v>0</v>
      </c>
      <c r="I31" s="45"/>
      <c r="J31" s="54">
        <v>18.53</v>
      </c>
      <c r="K31" s="45"/>
      <c r="L31" s="54">
        <v>88.53</v>
      </c>
      <c r="M31" s="45"/>
      <c r="N31" s="54">
        <f t="shared" si="2"/>
        <v>107.06</v>
      </c>
    </row>
    <row r="32" spans="1:14" x14ac:dyDescent="0.3">
      <c r="A32" s="43"/>
      <c r="B32" s="43"/>
      <c r="C32" s="43"/>
      <c r="D32" s="43"/>
      <c r="E32" s="43" t="s">
        <v>202</v>
      </c>
      <c r="F32" s="43"/>
      <c r="G32" s="43"/>
      <c r="H32" s="52">
        <f>ROUND(H15+SUM(H19:H24)+SUM(H29:H31),5)</f>
        <v>21553.96</v>
      </c>
      <c r="I32" s="45"/>
      <c r="J32" s="52">
        <f>ROUND(J15+SUM(J19:J24)+SUM(J29:J31),5)</f>
        <v>35967.449999999997</v>
      </c>
      <c r="K32" s="45"/>
      <c r="L32" s="52">
        <f>ROUND(L15+SUM(L19:L24)+SUM(L29:L31),5)</f>
        <v>24275.29</v>
      </c>
      <c r="M32" s="45"/>
      <c r="N32" s="52">
        <f t="shared" si="2"/>
        <v>81796.7</v>
      </c>
    </row>
    <row r="33" spans="1:14" ht="30" customHeight="1" x14ac:dyDescent="0.3">
      <c r="A33" s="43"/>
      <c r="B33" s="43"/>
      <c r="C33" s="43"/>
      <c r="D33" s="43"/>
      <c r="E33" s="43" t="s">
        <v>203</v>
      </c>
      <c r="F33" s="43"/>
      <c r="G33" s="43"/>
      <c r="H33" s="52"/>
      <c r="I33" s="45"/>
      <c r="J33" s="52"/>
      <c r="K33" s="45"/>
      <c r="L33" s="52"/>
      <c r="M33" s="45"/>
      <c r="N33" s="52"/>
    </row>
    <row r="34" spans="1:14" x14ac:dyDescent="0.3">
      <c r="A34" s="43"/>
      <c r="B34" s="43"/>
      <c r="C34" s="43"/>
      <c r="D34" s="43"/>
      <c r="E34" s="43"/>
      <c r="F34" s="43" t="s">
        <v>204</v>
      </c>
      <c r="G34" s="43"/>
      <c r="H34" s="52">
        <v>374.65</v>
      </c>
      <c r="I34" s="45"/>
      <c r="J34" s="52">
        <v>383.01</v>
      </c>
      <c r="K34" s="45"/>
      <c r="L34" s="52">
        <v>424.51</v>
      </c>
      <c r="M34" s="45"/>
      <c r="N34" s="52">
        <f>ROUND(SUM(H34:L34),5)</f>
        <v>1182.17</v>
      </c>
    </row>
    <row r="35" spans="1:14" x14ac:dyDescent="0.3">
      <c r="A35" s="43"/>
      <c r="B35" s="43"/>
      <c r="C35" s="43"/>
      <c r="D35" s="43"/>
      <c r="E35" s="43"/>
      <c r="F35" s="43" t="s">
        <v>205</v>
      </c>
      <c r="G35" s="43"/>
      <c r="H35" s="52"/>
      <c r="I35" s="45"/>
      <c r="J35" s="52"/>
      <c r="K35" s="45"/>
      <c r="L35" s="52"/>
      <c r="M35" s="45"/>
      <c r="N35" s="52"/>
    </row>
    <row r="36" spans="1:14" x14ac:dyDescent="0.3">
      <c r="A36" s="43"/>
      <c r="B36" s="43"/>
      <c r="C36" s="43"/>
      <c r="D36" s="43"/>
      <c r="E36" s="43"/>
      <c r="F36" s="43"/>
      <c r="G36" s="43" t="s">
        <v>321</v>
      </c>
      <c r="H36" s="52">
        <v>2220.7800000000002</v>
      </c>
      <c r="I36" s="45"/>
      <c r="J36" s="52">
        <v>2478.58</v>
      </c>
      <c r="K36" s="45"/>
      <c r="L36" s="52">
        <v>2585.5300000000002</v>
      </c>
      <c r="M36" s="45"/>
      <c r="N36" s="52">
        <f>ROUND(SUM(H36:L36),5)</f>
        <v>7284.89</v>
      </c>
    </row>
    <row r="37" spans="1:14" ht="15" thickBot="1" x14ac:dyDescent="0.35">
      <c r="A37" s="43"/>
      <c r="B37" s="43"/>
      <c r="C37" s="43"/>
      <c r="D37" s="43"/>
      <c r="E37" s="43"/>
      <c r="F37" s="43"/>
      <c r="G37" s="43" t="s">
        <v>322</v>
      </c>
      <c r="H37" s="54">
        <v>234.63</v>
      </c>
      <c r="I37" s="45"/>
      <c r="J37" s="54">
        <v>0</v>
      </c>
      <c r="K37" s="45"/>
      <c r="L37" s="54">
        <v>0</v>
      </c>
      <c r="M37" s="45"/>
      <c r="N37" s="54">
        <f>ROUND(SUM(H37:L37),5)</f>
        <v>234.63</v>
      </c>
    </row>
    <row r="38" spans="1:14" x14ac:dyDescent="0.3">
      <c r="A38" s="43"/>
      <c r="B38" s="43"/>
      <c r="C38" s="43"/>
      <c r="D38" s="43"/>
      <c r="E38" s="43"/>
      <c r="F38" s="43" t="s">
        <v>210</v>
      </c>
      <c r="G38" s="43"/>
      <c r="H38" s="52">
        <f>ROUND(SUM(H35:H37),5)</f>
        <v>2455.41</v>
      </c>
      <c r="I38" s="45"/>
      <c r="J38" s="52">
        <f>ROUND(SUM(J35:J37),5)</f>
        <v>2478.58</v>
      </c>
      <c r="K38" s="45"/>
      <c r="L38" s="52">
        <f>ROUND(SUM(L35:L37),5)</f>
        <v>2585.5300000000002</v>
      </c>
      <c r="M38" s="45"/>
      <c r="N38" s="52">
        <f>ROUND(SUM(H38:L38),5)</f>
        <v>7519.52</v>
      </c>
    </row>
    <row r="39" spans="1:14" ht="30" customHeight="1" x14ac:dyDescent="0.3">
      <c r="A39" s="43"/>
      <c r="B39" s="43"/>
      <c r="C39" s="43"/>
      <c r="D39" s="43"/>
      <c r="E39" s="43"/>
      <c r="F39" s="43" t="s">
        <v>323</v>
      </c>
      <c r="G39" s="43"/>
      <c r="H39" s="52"/>
      <c r="I39" s="45"/>
      <c r="J39" s="52"/>
      <c r="K39" s="45"/>
      <c r="L39" s="52"/>
      <c r="M39" s="45"/>
      <c r="N39" s="52"/>
    </row>
    <row r="40" spans="1:14" ht="15" thickBot="1" x14ac:dyDescent="0.35">
      <c r="A40" s="43"/>
      <c r="B40" s="43"/>
      <c r="C40" s="43"/>
      <c r="D40" s="43"/>
      <c r="E40" s="43"/>
      <c r="F40" s="43"/>
      <c r="G40" s="43" t="s">
        <v>324</v>
      </c>
      <c r="H40" s="54">
        <v>414.81</v>
      </c>
      <c r="I40" s="45"/>
      <c r="J40" s="54">
        <v>0</v>
      </c>
      <c r="K40" s="45"/>
      <c r="L40" s="54">
        <v>0</v>
      </c>
      <c r="M40" s="45"/>
      <c r="N40" s="54">
        <f>ROUND(SUM(H40:L40),5)</f>
        <v>414.81</v>
      </c>
    </row>
    <row r="41" spans="1:14" x14ac:dyDescent="0.3">
      <c r="A41" s="43"/>
      <c r="B41" s="43"/>
      <c r="C41" s="43"/>
      <c r="D41" s="43"/>
      <c r="E41" s="43"/>
      <c r="F41" s="43" t="s">
        <v>325</v>
      </c>
      <c r="G41" s="43"/>
      <c r="H41" s="52">
        <f>ROUND(SUM(H39:H40),5)</f>
        <v>414.81</v>
      </c>
      <c r="I41" s="45"/>
      <c r="J41" s="52">
        <f>ROUND(SUM(J39:J40),5)</f>
        <v>0</v>
      </c>
      <c r="K41" s="45"/>
      <c r="L41" s="52">
        <f>ROUND(SUM(L39:L40),5)</f>
        <v>0</v>
      </c>
      <c r="M41" s="45"/>
      <c r="N41" s="52">
        <f>ROUND(SUM(H41:L41),5)</f>
        <v>414.81</v>
      </c>
    </row>
    <row r="42" spans="1:14" ht="30" customHeight="1" x14ac:dyDescent="0.3">
      <c r="A42" s="43"/>
      <c r="B42" s="43"/>
      <c r="C42" s="43"/>
      <c r="D42" s="43"/>
      <c r="E42" s="43"/>
      <c r="F42" s="43" t="s">
        <v>211</v>
      </c>
      <c r="G42" s="43"/>
      <c r="H42" s="52"/>
      <c r="I42" s="45"/>
      <c r="J42" s="52"/>
      <c r="K42" s="45"/>
      <c r="L42" s="52"/>
      <c r="M42" s="45"/>
      <c r="N42" s="52"/>
    </row>
    <row r="43" spans="1:14" x14ac:dyDescent="0.3">
      <c r="A43" s="43"/>
      <c r="B43" s="43"/>
      <c r="C43" s="43"/>
      <c r="D43" s="43"/>
      <c r="E43" s="43"/>
      <c r="F43" s="43"/>
      <c r="G43" s="43" t="s">
        <v>326</v>
      </c>
      <c r="H43" s="52">
        <v>5912.09</v>
      </c>
      <c r="I43" s="45"/>
      <c r="J43" s="52">
        <v>5749.87</v>
      </c>
      <c r="K43" s="45"/>
      <c r="L43" s="52">
        <v>6054.5</v>
      </c>
      <c r="M43" s="45"/>
      <c r="N43" s="52">
        <f>ROUND(SUM(H43:L43),5)</f>
        <v>17716.46</v>
      </c>
    </row>
    <row r="44" spans="1:14" x14ac:dyDescent="0.3">
      <c r="A44" s="43"/>
      <c r="B44" s="43"/>
      <c r="C44" s="43"/>
      <c r="D44" s="43"/>
      <c r="E44" s="43"/>
      <c r="F44" s="43"/>
      <c r="G44" s="43" t="s">
        <v>327</v>
      </c>
      <c r="H44" s="52">
        <v>1670.97</v>
      </c>
      <c r="I44" s="45"/>
      <c r="J44" s="52">
        <v>1536.68</v>
      </c>
      <c r="K44" s="45"/>
      <c r="L44" s="52">
        <v>1858.49</v>
      </c>
      <c r="M44" s="45"/>
      <c r="N44" s="52">
        <f>ROUND(SUM(H44:L44),5)</f>
        <v>5066.1400000000003</v>
      </c>
    </row>
    <row r="45" spans="1:14" ht="15" thickBot="1" x14ac:dyDescent="0.35">
      <c r="A45" s="43"/>
      <c r="B45" s="43"/>
      <c r="C45" s="43"/>
      <c r="D45" s="43"/>
      <c r="E45" s="43"/>
      <c r="F45" s="43"/>
      <c r="G45" s="43" t="s">
        <v>328</v>
      </c>
      <c r="H45" s="52">
        <v>-6073.38</v>
      </c>
      <c r="I45" s="45"/>
      <c r="J45" s="52">
        <v>-5644.7</v>
      </c>
      <c r="K45" s="45"/>
      <c r="L45" s="52">
        <v>-5438.65</v>
      </c>
      <c r="M45" s="45"/>
      <c r="N45" s="52">
        <f>ROUND(SUM(H45:L45),5)</f>
        <v>-17156.73</v>
      </c>
    </row>
    <row r="46" spans="1:14" ht="15" thickBot="1" x14ac:dyDescent="0.35">
      <c r="A46" s="43"/>
      <c r="B46" s="43"/>
      <c r="C46" s="43"/>
      <c r="D46" s="43"/>
      <c r="E46" s="43"/>
      <c r="F46" s="43" t="s">
        <v>329</v>
      </c>
      <c r="G46" s="43"/>
      <c r="H46" s="53">
        <f>ROUND(SUM(H42:H45),5)</f>
        <v>1509.68</v>
      </c>
      <c r="I46" s="45"/>
      <c r="J46" s="53">
        <f>ROUND(SUM(J42:J45),5)</f>
        <v>1641.85</v>
      </c>
      <c r="K46" s="45"/>
      <c r="L46" s="53">
        <f>ROUND(SUM(L42:L45),5)</f>
        <v>2474.34</v>
      </c>
      <c r="M46" s="45"/>
      <c r="N46" s="53">
        <f>ROUND(SUM(H46:L46),5)</f>
        <v>5625.87</v>
      </c>
    </row>
    <row r="47" spans="1:14" ht="30" customHeight="1" x14ac:dyDescent="0.3">
      <c r="A47" s="43"/>
      <c r="B47" s="43"/>
      <c r="C47" s="43"/>
      <c r="D47" s="43"/>
      <c r="E47" s="43" t="s">
        <v>213</v>
      </c>
      <c r="F47" s="43"/>
      <c r="G47" s="43"/>
      <c r="H47" s="52">
        <f>ROUND(SUM(H33:H34)+H38+H41+H46,5)</f>
        <v>4754.55</v>
      </c>
      <c r="I47" s="45"/>
      <c r="J47" s="52">
        <f>ROUND(SUM(J33:J34)+J38+J41+J46,5)</f>
        <v>4503.4399999999996</v>
      </c>
      <c r="K47" s="45"/>
      <c r="L47" s="52">
        <f>ROUND(SUM(L33:L34)+L38+L41+L46,5)</f>
        <v>5484.38</v>
      </c>
      <c r="M47" s="45"/>
      <c r="N47" s="52">
        <f>ROUND(SUM(H47:L47),5)</f>
        <v>14742.37</v>
      </c>
    </row>
    <row r="48" spans="1:14" ht="30" customHeight="1" x14ac:dyDescent="0.3">
      <c r="A48" s="43"/>
      <c r="B48" s="43"/>
      <c r="C48" s="43"/>
      <c r="D48" s="43"/>
      <c r="E48" s="43" t="s">
        <v>214</v>
      </c>
      <c r="F48" s="43"/>
      <c r="G48" s="43"/>
      <c r="H48" s="52"/>
      <c r="I48" s="45"/>
      <c r="J48" s="52"/>
      <c r="K48" s="45"/>
      <c r="L48" s="52"/>
      <c r="M48" s="45"/>
      <c r="N48" s="52"/>
    </row>
    <row r="49" spans="1:14" x14ac:dyDescent="0.3">
      <c r="A49" s="43"/>
      <c r="B49" s="43"/>
      <c r="C49" s="43"/>
      <c r="D49" s="43"/>
      <c r="E49" s="43"/>
      <c r="F49" s="43" t="s">
        <v>215</v>
      </c>
      <c r="G49" s="43"/>
      <c r="H49" s="52"/>
      <c r="I49" s="45"/>
      <c r="J49" s="52"/>
      <c r="K49" s="45"/>
      <c r="L49" s="52"/>
      <c r="M49" s="45"/>
      <c r="N49" s="52"/>
    </row>
    <row r="50" spans="1:14" x14ac:dyDescent="0.3">
      <c r="A50" s="43"/>
      <c r="B50" s="43"/>
      <c r="C50" s="43"/>
      <c r="D50" s="43"/>
      <c r="E50" s="43"/>
      <c r="F50" s="43"/>
      <c r="G50" s="43" t="s">
        <v>216</v>
      </c>
      <c r="H50" s="52">
        <v>802.5</v>
      </c>
      <c r="I50" s="45"/>
      <c r="J50" s="52">
        <v>670</v>
      </c>
      <c r="K50" s="45"/>
      <c r="L50" s="52">
        <v>323.75</v>
      </c>
      <c r="M50" s="45"/>
      <c r="N50" s="52">
        <f t="shared" ref="N50:N56" si="3">ROUND(SUM(H50:L50),5)</f>
        <v>1796.25</v>
      </c>
    </row>
    <row r="51" spans="1:14" x14ac:dyDescent="0.3">
      <c r="A51" s="43"/>
      <c r="B51" s="43"/>
      <c r="C51" s="43"/>
      <c r="D51" s="43"/>
      <c r="E51" s="43"/>
      <c r="F51" s="43"/>
      <c r="G51" s="43" t="s">
        <v>217</v>
      </c>
      <c r="H51" s="52">
        <v>653.5</v>
      </c>
      <c r="I51" s="45"/>
      <c r="J51" s="52">
        <v>70.75</v>
      </c>
      <c r="K51" s="45"/>
      <c r="L51" s="52">
        <v>1019.21</v>
      </c>
      <c r="M51" s="45"/>
      <c r="N51" s="52">
        <f t="shared" si="3"/>
        <v>1743.46</v>
      </c>
    </row>
    <row r="52" spans="1:14" x14ac:dyDescent="0.3">
      <c r="A52" s="43"/>
      <c r="B52" s="43"/>
      <c r="C52" s="43"/>
      <c r="D52" s="43"/>
      <c r="E52" s="43"/>
      <c r="F52" s="43"/>
      <c r="G52" s="43" t="s">
        <v>218</v>
      </c>
      <c r="H52" s="52">
        <v>0</v>
      </c>
      <c r="I52" s="45"/>
      <c r="J52" s="52">
        <v>253</v>
      </c>
      <c r="K52" s="45"/>
      <c r="L52" s="52">
        <v>0</v>
      </c>
      <c r="M52" s="45"/>
      <c r="N52" s="52">
        <f t="shared" si="3"/>
        <v>253</v>
      </c>
    </row>
    <row r="53" spans="1:14" x14ac:dyDescent="0.3">
      <c r="A53" s="43"/>
      <c r="B53" s="43"/>
      <c r="C53" s="43"/>
      <c r="D53" s="43"/>
      <c r="E53" s="43"/>
      <c r="F53" s="43"/>
      <c r="G53" s="43" t="s">
        <v>219</v>
      </c>
      <c r="H53" s="52">
        <v>1800</v>
      </c>
      <c r="I53" s="45"/>
      <c r="J53" s="52">
        <v>2137</v>
      </c>
      <c r="K53" s="45"/>
      <c r="L53" s="52">
        <v>456.5</v>
      </c>
      <c r="M53" s="45"/>
      <c r="N53" s="52">
        <f t="shared" si="3"/>
        <v>4393.5</v>
      </c>
    </row>
    <row r="54" spans="1:14" x14ac:dyDescent="0.3">
      <c r="A54" s="43"/>
      <c r="B54" s="43"/>
      <c r="C54" s="43"/>
      <c r="D54" s="43"/>
      <c r="E54" s="43"/>
      <c r="F54" s="43"/>
      <c r="G54" s="43" t="s">
        <v>220</v>
      </c>
      <c r="H54" s="52">
        <v>0</v>
      </c>
      <c r="I54" s="45"/>
      <c r="J54" s="52">
        <v>78.25</v>
      </c>
      <c r="K54" s="45"/>
      <c r="L54" s="52">
        <v>275</v>
      </c>
      <c r="M54" s="45"/>
      <c r="N54" s="52">
        <f t="shared" si="3"/>
        <v>353.25</v>
      </c>
    </row>
    <row r="55" spans="1:14" ht="15" thickBot="1" x14ac:dyDescent="0.35">
      <c r="A55" s="43"/>
      <c r="B55" s="43"/>
      <c r="C55" s="43"/>
      <c r="D55" s="43"/>
      <c r="E55" s="43"/>
      <c r="F55" s="43"/>
      <c r="G55" s="43" t="s">
        <v>330</v>
      </c>
      <c r="H55" s="54">
        <v>0</v>
      </c>
      <c r="I55" s="45"/>
      <c r="J55" s="54">
        <v>177.04</v>
      </c>
      <c r="K55" s="45"/>
      <c r="L55" s="54">
        <v>0</v>
      </c>
      <c r="M55" s="45"/>
      <c r="N55" s="54">
        <f t="shared" si="3"/>
        <v>177.04</v>
      </c>
    </row>
    <row r="56" spans="1:14" x14ac:dyDescent="0.3">
      <c r="A56" s="43"/>
      <c r="B56" s="43"/>
      <c r="C56" s="43"/>
      <c r="D56" s="43"/>
      <c r="E56" s="43"/>
      <c r="F56" s="43" t="s">
        <v>223</v>
      </c>
      <c r="G56" s="43"/>
      <c r="H56" s="52">
        <f>ROUND(SUM(H49:H55),5)</f>
        <v>3256</v>
      </c>
      <c r="I56" s="45"/>
      <c r="J56" s="52">
        <f>ROUND(SUM(J49:J55),5)</f>
        <v>3386.04</v>
      </c>
      <c r="K56" s="45"/>
      <c r="L56" s="52">
        <f>ROUND(SUM(L49:L55),5)</f>
        <v>2074.46</v>
      </c>
      <c r="M56" s="45"/>
      <c r="N56" s="52">
        <f t="shared" si="3"/>
        <v>8716.5</v>
      </c>
    </row>
    <row r="57" spans="1:14" ht="30" customHeight="1" x14ac:dyDescent="0.3">
      <c r="A57" s="43"/>
      <c r="B57" s="43"/>
      <c r="C57" s="43"/>
      <c r="D57" s="43"/>
      <c r="E57" s="43"/>
      <c r="F57" s="43" t="s">
        <v>331</v>
      </c>
      <c r="G57" s="43"/>
      <c r="H57" s="52"/>
      <c r="I57" s="45"/>
      <c r="J57" s="52"/>
      <c r="K57" s="45"/>
      <c r="L57" s="52"/>
      <c r="M57" s="45"/>
      <c r="N57" s="52"/>
    </row>
    <row r="58" spans="1:14" x14ac:dyDescent="0.3">
      <c r="A58" s="43"/>
      <c r="B58" s="43"/>
      <c r="C58" s="43"/>
      <c r="D58" s="43"/>
      <c r="E58" s="43"/>
      <c r="F58" s="43"/>
      <c r="G58" s="43" t="s">
        <v>332</v>
      </c>
      <c r="H58" s="52">
        <v>0</v>
      </c>
      <c r="I58" s="45"/>
      <c r="J58" s="52">
        <v>0</v>
      </c>
      <c r="K58" s="45"/>
      <c r="L58" s="52">
        <v>498.25</v>
      </c>
      <c r="M58" s="45"/>
      <c r="N58" s="52">
        <f>ROUND(SUM(H58:L58),5)</f>
        <v>498.25</v>
      </c>
    </row>
    <row r="59" spans="1:14" x14ac:dyDescent="0.3">
      <c r="A59" s="43"/>
      <c r="B59" s="43"/>
      <c r="C59" s="43"/>
      <c r="D59" s="43"/>
      <c r="E59" s="43"/>
      <c r="F59" s="43"/>
      <c r="G59" s="43" t="s">
        <v>225</v>
      </c>
      <c r="H59" s="52">
        <v>37.5</v>
      </c>
      <c r="I59" s="45"/>
      <c r="J59" s="52">
        <v>37.5</v>
      </c>
      <c r="K59" s="45"/>
      <c r="L59" s="52">
        <v>8.75</v>
      </c>
      <c r="M59" s="45"/>
      <c r="N59" s="52">
        <f>ROUND(SUM(H59:L59),5)</f>
        <v>83.75</v>
      </c>
    </row>
    <row r="60" spans="1:14" x14ac:dyDescent="0.3">
      <c r="A60" s="43"/>
      <c r="B60" s="43"/>
      <c r="C60" s="43"/>
      <c r="D60" s="43"/>
      <c r="E60" s="43"/>
      <c r="F60" s="43"/>
      <c r="G60" s="43" t="s">
        <v>333</v>
      </c>
      <c r="H60" s="52">
        <v>16.850000000000001</v>
      </c>
      <c r="I60" s="45"/>
      <c r="J60" s="52">
        <v>0</v>
      </c>
      <c r="K60" s="45"/>
      <c r="L60" s="52">
        <v>0</v>
      </c>
      <c r="M60" s="45"/>
      <c r="N60" s="52">
        <f>ROUND(SUM(H60:L60),5)</f>
        <v>16.850000000000001</v>
      </c>
    </row>
    <row r="61" spans="1:14" ht="15" thickBot="1" x14ac:dyDescent="0.35">
      <c r="A61" s="43"/>
      <c r="B61" s="43"/>
      <c r="C61" s="43"/>
      <c r="D61" s="43"/>
      <c r="E61" s="43"/>
      <c r="F61" s="43"/>
      <c r="G61" s="43" t="s">
        <v>334</v>
      </c>
      <c r="H61" s="54">
        <v>117</v>
      </c>
      <c r="I61" s="45"/>
      <c r="J61" s="54">
        <v>347.15</v>
      </c>
      <c r="K61" s="45"/>
      <c r="L61" s="54">
        <v>177</v>
      </c>
      <c r="M61" s="45"/>
      <c r="N61" s="54">
        <f>ROUND(SUM(H61:L61),5)</f>
        <v>641.15</v>
      </c>
    </row>
    <row r="62" spans="1:14" x14ac:dyDescent="0.3">
      <c r="A62" s="43"/>
      <c r="B62" s="43"/>
      <c r="C62" s="43"/>
      <c r="D62" s="43"/>
      <c r="E62" s="43"/>
      <c r="F62" s="43" t="s">
        <v>335</v>
      </c>
      <c r="G62" s="43"/>
      <c r="H62" s="52">
        <f>ROUND(SUM(H57:H61),5)</f>
        <v>171.35</v>
      </c>
      <c r="I62" s="45"/>
      <c r="J62" s="52">
        <f>ROUND(SUM(J57:J61),5)</f>
        <v>384.65</v>
      </c>
      <c r="K62" s="45"/>
      <c r="L62" s="52">
        <f>ROUND(SUM(L57:L61),5)</f>
        <v>684</v>
      </c>
      <c r="M62" s="45"/>
      <c r="N62" s="52">
        <f>ROUND(SUM(H62:L62),5)</f>
        <v>1240</v>
      </c>
    </row>
    <row r="63" spans="1:14" ht="30" customHeight="1" x14ac:dyDescent="0.3">
      <c r="A63" s="43"/>
      <c r="B63" s="43"/>
      <c r="C63" s="43"/>
      <c r="D63" s="43"/>
      <c r="E63" s="43"/>
      <c r="F63" s="43" t="s">
        <v>228</v>
      </c>
      <c r="G63" s="43"/>
      <c r="H63" s="52"/>
      <c r="I63" s="45"/>
      <c r="J63" s="52"/>
      <c r="K63" s="45"/>
      <c r="L63" s="52"/>
      <c r="M63" s="45"/>
      <c r="N63" s="52"/>
    </row>
    <row r="64" spans="1:14" x14ac:dyDescent="0.3">
      <c r="A64" s="43"/>
      <c r="B64" s="43"/>
      <c r="C64" s="43"/>
      <c r="D64" s="43"/>
      <c r="E64" s="43"/>
      <c r="F64" s="43"/>
      <c r="G64" s="43" t="s">
        <v>229</v>
      </c>
      <c r="H64" s="52">
        <v>816.4</v>
      </c>
      <c r="I64" s="45"/>
      <c r="J64" s="52">
        <v>832</v>
      </c>
      <c r="K64" s="45"/>
      <c r="L64" s="52">
        <v>1020</v>
      </c>
      <c r="M64" s="45"/>
      <c r="N64" s="52">
        <f>ROUND(SUM(H64:L64),5)</f>
        <v>2668.4</v>
      </c>
    </row>
    <row r="65" spans="1:14" ht="15" thickBot="1" x14ac:dyDescent="0.35">
      <c r="A65" s="43"/>
      <c r="B65" s="43"/>
      <c r="C65" s="43"/>
      <c r="D65" s="43"/>
      <c r="E65" s="43"/>
      <c r="F65" s="43"/>
      <c r="G65" s="43" t="s">
        <v>336</v>
      </c>
      <c r="H65" s="54">
        <v>1625</v>
      </c>
      <c r="I65" s="45"/>
      <c r="J65" s="54">
        <v>1604.75</v>
      </c>
      <c r="K65" s="45"/>
      <c r="L65" s="54">
        <v>1977.5</v>
      </c>
      <c r="M65" s="45"/>
      <c r="N65" s="54">
        <f>ROUND(SUM(H65:L65),5)</f>
        <v>5207.25</v>
      </c>
    </row>
    <row r="66" spans="1:14" x14ac:dyDescent="0.3">
      <c r="A66" s="43"/>
      <c r="B66" s="43"/>
      <c r="C66" s="43"/>
      <c r="D66" s="43"/>
      <c r="E66" s="43"/>
      <c r="F66" s="43" t="s">
        <v>232</v>
      </c>
      <c r="G66" s="43"/>
      <c r="H66" s="52">
        <f>ROUND(SUM(H63:H65),5)</f>
        <v>2441.4</v>
      </c>
      <c r="I66" s="45"/>
      <c r="J66" s="52">
        <f>ROUND(SUM(J63:J65),5)</f>
        <v>2436.75</v>
      </c>
      <c r="K66" s="45"/>
      <c r="L66" s="52">
        <f>ROUND(SUM(L63:L65),5)</f>
        <v>2997.5</v>
      </c>
      <c r="M66" s="45"/>
      <c r="N66" s="52">
        <f>ROUND(SUM(H66:L66),5)</f>
        <v>7875.65</v>
      </c>
    </row>
    <row r="67" spans="1:14" ht="30" customHeight="1" x14ac:dyDescent="0.3">
      <c r="A67" s="43"/>
      <c r="B67" s="43"/>
      <c r="C67" s="43"/>
      <c r="D67" s="43"/>
      <c r="E67" s="43"/>
      <c r="F67" s="43" t="s">
        <v>233</v>
      </c>
      <c r="G67" s="43"/>
      <c r="H67" s="52"/>
      <c r="I67" s="45"/>
      <c r="J67" s="52"/>
      <c r="K67" s="45"/>
      <c r="L67" s="52"/>
      <c r="M67" s="45"/>
      <c r="N67" s="52"/>
    </row>
    <row r="68" spans="1:14" x14ac:dyDescent="0.3">
      <c r="A68" s="43"/>
      <c r="B68" s="43"/>
      <c r="C68" s="43"/>
      <c r="D68" s="43"/>
      <c r="E68" s="43"/>
      <c r="F68" s="43"/>
      <c r="G68" s="43" t="s">
        <v>236</v>
      </c>
      <c r="H68" s="52">
        <v>0</v>
      </c>
      <c r="I68" s="45"/>
      <c r="J68" s="52">
        <v>0</v>
      </c>
      <c r="K68" s="45"/>
      <c r="L68" s="52">
        <v>2126.25</v>
      </c>
      <c r="M68" s="45"/>
      <c r="N68" s="52">
        <f>ROUND(SUM(H68:L68),5)</f>
        <v>2126.25</v>
      </c>
    </row>
    <row r="69" spans="1:14" x14ac:dyDescent="0.3">
      <c r="A69" s="43"/>
      <c r="B69" s="43"/>
      <c r="C69" s="43"/>
      <c r="D69" s="43"/>
      <c r="E69" s="43"/>
      <c r="F69" s="43"/>
      <c r="G69" s="43" t="s">
        <v>234</v>
      </c>
      <c r="H69" s="52">
        <v>93.75</v>
      </c>
      <c r="I69" s="45"/>
      <c r="J69" s="52">
        <v>25</v>
      </c>
      <c r="K69" s="45"/>
      <c r="L69" s="52">
        <v>192.5</v>
      </c>
      <c r="M69" s="45"/>
      <c r="N69" s="52">
        <f>ROUND(SUM(H69:L69),5)</f>
        <v>311.25</v>
      </c>
    </row>
    <row r="70" spans="1:14" x14ac:dyDescent="0.3">
      <c r="A70" s="43"/>
      <c r="B70" s="43"/>
      <c r="C70" s="43"/>
      <c r="D70" s="43"/>
      <c r="E70" s="43"/>
      <c r="F70" s="43"/>
      <c r="G70" s="43" t="s">
        <v>235</v>
      </c>
      <c r="H70" s="52">
        <v>0</v>
      </c>
      <c r="I70" s="45"/>
      <c r="J70" s="52">
        <v>31.25</v>
      </c>
      <c r="K70" s="45"/>
      <c r="L70" s="52">
        <v>457.43</v>
      </c>
      <c r="M70" s="45"/>
      <c r="N70" s="52">
        <f>ROUND(SUM(H70:L70),5)</f>
        <v>488.68</v>
      </c>
    </row>
    <row r="71" spans="1:14" ht="15" thickBot="1" x14ac:dyDescent="0.35">
      <c r="A71" s="43"/>
      <c r="B71" s="43"/>
      <c r="C71" s="43"/>
      <c r="D71" s="43"/>
      <c r="E71" s="43"/>
      <c r="F71" s="43"/>
      <c r="G71" s="43" t="s">
        <v>236</v>
      </c>
      <c r="H71" s="54">
        <v>1290</v>
      </c>
      <c r="I71" s="45"/>
      <c r="J71" s="54">
        <v>410</v>
      </c>
      <c r="K71" s="45"/>
      <c r="L71" s="54">
        <v>0</v>
      </c>
      <c r="M71" s="45"/>
      <c r="N71" s="54">
        <f>ROUND(SUM(H71:L71),5)</f>
        <v>1700</v>
      </c>
    </row>
    <row r="72" spans="1:14" x14ac:dyDescent="0.3">
      <c r="A72" s="43"/>
      <c r="B72" s="43"/>
      <c r="C72" s="43"/>
      <c r="D72" s="43"/>
      <c r="E72" s="43"/>
      <c r="F72" s="43" t="s">
        <v>237</v>
      </c>
      <c r="G72" s="43"/>
      <c r="H72" s="52">
        <f>ROUND(SUM(H67:H71),5)</f>
        <v>1383.75</v>
      </c>
      <c r="I72" s="45"/>
      <c r="J72" s="52">
        <f>ROUND(SUM(J67:J71),5)</f>
        <v>466.25</v>
      </c>
      <c r="K72" s="45"/>
      <c r="L72" s="52">
        <f>ROUND(SUM(L67:L71),5)</f>
        <v>2776.18</v>
      </c>
      <c r="M72" s="45"/>
      <c r="N72" s="52">
        <f>ROUND(SUM(H72:L72),5)</f>
        <v>4626.18</v>
      </c>
    </row>
    <row r="73" spans="1:14" ht="30" customHeight="1" x14ac:dyDescent="0.3">
      <c r="A73" s="43"/>
      <c r="B73" s="43"/>
      <c r="C73" s="43"/>
      <c r="D73" s="43"/>
      <c r="E73" s="43"/>
      <c r="F73" s="43" t="s">
        <v>238</v>
      </c>
      <c r="G73" s="43"/>
      <c r="H73" s="52"/>
      <c r="I73" s="45"/>
      <c r="J73" s="52"/>
      <c r="K73" s="45"/>
      <c r="L73" s="52"/>
      <c r="M73" s="45"/>
      <c r="N73" s="52"/>
    </row>
    <row r="74" spans="1:14" x14ac:dyDescent="0.3">
      <c r="A74" s="43"/>
      <c r="B74" s="43"/>
      <c r="C74" s="43"/>
      <c r="D74" s="43"/>
      <c r="E74" s="43"/>
      <c r="F74" s="43"/>
      <c r="G74" s="43" t="s">
        <v>337</v>
      </c>
      <c r="H74" s="52">
        <v>350</v>
      </c>
      <c r="I74" s="45"/>
      <c r="J74" s="52">
        <v>0</v>
      </c>
      <c r="K74" s="45"/>
      <c r="L74" s="52">
        <v>0</v>
      </c>
      <c r="M74" s="45"/>
      <c r="N74" s="52">
        <f>ROUND(SUM(H74:L74),5)</f>
        <v>350</v>
      </c>
    </row>
    <row r="75" spans="1:14" ht="15" thickBot="1" x14ac:dyDescent="0.35">
      <c r="A75" s="43"/>
      <c r="B75" s="43"/>
      <c r="C75" s="43"/>
      <c r="D75" s="43"/>
      <c r="E75" s="43"/>
      <c r="F75" s="43"/>
      <c r="G75" s="43" t="s">
        <v>239</v>
      </c>
      <c r="H75" s="54">
        <v>118.14</v>
      </c>
      <c r="I75" s="45"/>
      <c r="J75" s="54">
        <v>0</v>
      </c>
      <c r="K75" s="45"/>
      <c r="L75" s="54">
        <v>0</v>
      </c>
      <c r="M75" s="45"/>
      <c r="N75" s="54">
        <f>ROUND(SUM(H75:L75),5)</f>
        <v>118.14</v>
      </c>
    </row>
    <row r="76" spans="1:14" x14ac:dyDescent="0.3">
      <c r="A76" s="43"/>
      <c r="B76" s="43"/>
      <c r="C76" s="43"/>
      <c r="D76" s="43"/>
      <c r="E76" s="43"/>
      <c r="F76" s="43" t="s">
        <v>241</v>
      </c>
      <c r="G76" s="43"/>
      <c r="H76" s="52">
        <f>ROUND(SUM(H73:H75),5)</f>
        <v>468.14</v>
      </c>
      <c r="I76" s="45"/>
      <c r="J76" s="52">
        <f>ROUND(SUM(J73:J75),5)</f>
        <v>0</v>
      </c>
      <c r="K76" s="45"/>
      <c r="L76" s="52">
        <f>ROUND(SUM(L73:L75),5)</f>
        <v>0</v>
      </c>
      <c r="M76" s="45"/>
      <c r="N76" s="52">
        <f>ROUND(SUM(H76:L76),5)</f>
        <v>468.14</v>
      </c>
    </row>
    <row r="77" spans="1:14" ht="30" customHeight="1" x14ac:dyDescent="0.3">
      <c r="A77" s="43"/>
      <c r="B77" s="43"/>
      <c r="C77" s="43"/>
      <c r="D77" s="43"/>
      <c r="E77" s="43"/>
      <c r="F77" s="43" t="s">
        <v>242</v>
      </c>
      <c r="G77" s="43"/>
      <c r="H77" s="52"/>
      <c r="I77" s="45"/>
      <c r="J77" s="52"/>
      <c r="K77" s="45"/>
      <c r="L77" s="52"/>
      <c r="M77" s="45"/>
      <c r="N77" s="52"/>
    </row>
    <row r="78" spans="1:14" x14ac:dyDescent="0.3">
      <c r="A78" s="43"/>
      <c r="B78" s="43"/>
      <c r="C78" s="43"/>
      <c r="D78" s="43"/>
      <c r="E78" s="43"/>
      <c r="F78" s="43"/>
      <c r="G78" s="43" t="s">
        <v>338</v>
      </c>
      <c r="H78" s="52">
        <v>1206.25</v>
      </c>
      <c r="I78" s="45"/>
      <c r="J78" s="52">
        <v>1525.25</v>
      </c>
      <c r="K78" s="45"/>
      <c r="L78" s="52">
        <v>2415</v>
      </c>
      <c r="M78" s="45"/>
      <c r="N78" s="52">
        <f>ROUND(SUM(H78:L78),5)</f>
        <v>5146.5</v>
      </c>
    </row>
    <row r="79" spans="1:14" ht="15" thickBot="1" x14ac:dyDescent="0.35">
      <c r="A79" s="43"/>
      <c r="B79" s="43"/>
      <c r="C79" s="43"/>
      <c r="D79" s="43"/>
      <c r="E79" s="43"/>
      <c r="F79" s="43"/>
      <c r="G79" s="43" t="s">
        <v>339</v>
      </c>
      <c r="H79" s="54">
        <v>0</v>
      </c>
      <c r="I79" s="45"/>
      <c r="J79" s="54">
        <v>0</v>
      </c>
      <c r="K79" s="45"/>
      <c r="L79" s="54">
        <v>0</v>
      </c>
      <c r="M79" s="45"/>
      <c r="N79" s="54">
        <f>ROUND(SUM(H79:L79),5)</f>
        <v>0</v>
      </c>
    </row>
    <row r="80" spans="1:14" x14ac:dyDescent="0.3">
      <c r="A80" s="43"/>
      <c r="B80" s="43"/>
      <c r="C80" s="43"/>
      <c r="D80" s="43"/>
      <c r="E80" s="43"/>
      <c r="F80" s="43" t="s">
        <v>244</v>
      </c>
      <c r="G80" s="43"/>
      <c r="H80" s="52">
        <f>ROUND(SUM(H77:H79),5)</f>
        <v>1206.25</v>
      </c>
      <c r="I80" s="45"/>
      <c r="J80" s="52">
        <f>ROUND(SUM(J77:J79),5)</f>
        <v>1525.25</v>
      </c>
      <c r="K80" s="45"/>
      <c r="L80" s="52">
        <f>ROUND(SUM(L77:L79),5)</f>
        <v>2415</v>
      </c>
      <c r="M80" s="45"/>
      <c r="N80" s="52">
        <f>ROUND(SUM(H80:L80),5)</f>
        <v>5146.5</v>
      </c>
    </row>
    <row r="81" spans="1:14" ht="30" customHeight="1" x14ac:dyDescent="0.3">
      <c r="A81" s="43"/>
      <c r="B81" s="43"/>
      <c r="C81" s="43"/>
      <c r="D81" s="43"/>
      <c r="E81" s="43"/>
      <c r="F81" s="43" t="s">
        <v>245</v>
      </c>
      <c r="G81" s="43"/>
      <c r="H81" s="52">
        <v>3830.4</v>
      </c>
      <c r="I81" s="45"/>
      <c r="J81" s="52">
        <v>3830.4</v>
      </c>
      <c r="K81" s="45"/>
      <c r="L81" s="52">
        <v>4060.2</v>
      </c>
      <c r="M81" s="45"/>
      <c r="N81" s="52">
        <f>ROUND(SUM(H81:L81),5)</f>
        <v>11721</v>
      </c>
    </row>
    <row r="82" spans="1:14" x14ac:dyDescent="0.3">
      <c r="A82" s="43"/>
      <c r="B82" s="43"/>
      <c r="C82" s="43"/>
      <c r="D82" s="43"/>
      <c r="E82" s="43"/>
      <c r="F82" s="43" t="s">
        <v>340</v>
      </c>
      <c r="G82" s="43"/>
      <c r="H82" s="52"/>
      <c r="I82" s="45"/>
      <c r="J82" s="52"/>
      <c r="K82" s="45"/>
      <c r="L82" s="52"/>
      <c r="M82" s="45"/>
      <c r="N82" s="52"/>
    </row>
    <row r="83" spans="1:14" x14ac:dyDescent="0.3">
      <c r="A83" s="43"/>
      <c r="B83" s="43"/>
      <c r="C83" s="43"/>
      <c r="D83" s="43"/>
      <c r="E83" s="43"/>
      <c r="F83" s="43"/>
      <c r="G83" s="43" t="s">
        <v>247</v>
      </c>
      <c r="H83" s="52">
        <v>46.49</v>
      </c>
      <c r="I83" s="45"/>
      <c r="J83" s="52">
        <v>110.51</v>
      </c>
      <c r="K83" s="45"/>
      <c r="L83" s="52">
        <v>87.47</v>
      </c>
      <c r="M83" s="45"/>
      <c r="N83" s="52">
        <f>ROUND(SUM(H83:L83),5)</f>
        <v>244.47</v>
      </c>
    </row>
    <row r="84" spans="1:14" ht="15" thickBot="1" x14ac:dyDescent="0.35">
      <c r="A84" s="43"/>
      <c r="B84" s="43"/>
      <c r="C84" s="43"/>
      <c r="D84" s="43"/>
      <c r="E84" s="43"/>
      <c r="F84" s="43"/>
      <c r="G84" s="43" t="s">
        <v>341</v>
      </c>
      <c r="H84" s="54">
        <v>531.14</v>
      </c>
      <c r="I84" s="45"/>
      <c r="J84" s="54">
        <v>484.7</v>
      </c>
      <c r="K84" s="45"/>
      <c r="L84" s="54">
        <v>1103.9100000000001</v>
      </c>
      <c r="M84" s="45"/>
      <c r="N84" s="54">
        <f>ROUND(SUM(H84:L84),5)</f>
        <v>2119.75</v>
      </c>
    </row>
    <row r="85" spans="1:14" x14ac:dyDescent="0.3">
      <c r="A85" s="43"/>
      <c r="B85" s="43"/>
      <c r="C85" s="43"/>
      <c r="D85" s="43"/>
      <c r="E85" s="43"/>
      <c r="F85" s="43" t="s">
        <v>342</v>
      </c>
      <c r="G85" s="43"/>
      <c r="H85" s="52">
        <f>ROUND(SUM(H82:H84),5)</f>
        <v>577.63</v>
      </c>
      <c r="I85" s="45"/>
      <c r="J85" s="52">
        <f>ROUND(SUM(J82:J84),5)</f>
        <v>595.21</v>
      </c>
      <c r="K85" s="45"/>
      <c r="L85" s="52">
        <f>ROUND(SUM(L82:L84),5)</f>
        <v>1191.3800000000001</v>
      </c>
      <c r="M85" s="45"/>
      <c r="N85" s="52">
        <f>ROUND(SUM(H85:L85),5)</f>
        <v>2364.2199999999998</v>
      </c>
    </row>
    <row r="86" spans="1:14" ht="30" customHeight="1" x14ac:dyDescent="0.3">
      <c r="A86" s="43"/>
      <c r="B86" s="43"/>
      <c r="C86" s="43"/>
      <c r="D86" s="43"/>
      <c r="E86" s="43"/>
      <c r="F86" s="43" t="s">
        <v>250</v>
      </c>
      <c r="G86" s="43"/>
      <c r="H86" s="52"/>
      <c r="I86" s="45"/>
      <c r="J86" s="52"/>
      <c r="K86" s="45"/>
      <c r="L86" s="52"/>
      <c r="M86" s="45"/>
      <c r="N86" s="52"/>
    </row>
    <row r="87" spans="1:14" x14ac:dyDescent="0.3">
      <c r="A87" s="43"/>
      <c r="B87" s="43"/>
      <c r="C87" s="43"/>
      <c r="D87" s="43"/>
      <c r="E87" s="43"/>
      <c r="F87" s="43"/>
      <c r="G87" s="43" t="s">
        <v>251</v>
      </c>
      <c r="H87" s="52">
        <v>143.75</v>
      </c>
      <c r="I87" s="45"/>
      <c r="J87" s="52">
        <v>122.5</v>
      </c>
      <c r="K87" s="45"/>
      <c r="L87" s="52">
        <v>245</v>
      </c>
      <c r="M87" s="45"/>
      <c r="N87" s="52">
        <f>ROUND(SUM(H87:L87),5)</f>
        <v>511.25</v>
      </c>
    </row>
    <row r="88" spans="1:14" x14ac:dyDescent="0.3">
      <c r="A88" s="43"/>
      <c r="B88" s="43"/>
      <c r="C88" s="43"/>
      <c r="D88" s="43"/>
      <c r="E88" s="43"/>
      <c r="F88" s="43"/>
      <c r="G88" s="43" t="s">
        <v>343</v>
      </c>
      <c r="H88" s="52">
        <v>257.2</v>
      </c>
      <c r="I88" s="45"/>
      <c r="J88" s="52">
        <v>0</v>
      </c>
      <c r="K88" s="45"/>
      <c r="L88" s="52">
        <v>20.49</v>
      </c>
      <c r="M88" s="45"/>
      <c r="N88" s="52">
        <f>ROUND(SUM(H88:L88),5)</f>
        <v>277.69</v>
      </c>
    </row>
    <row r="89" spans="1:14" ht="15" thickBot="1" x14ac:dyDescent="0.35">
      <c r="A89" s="43"/>
      <c r="B89" s="43"/>
      <c r="C89" s="43"/>
      <c r="D89" s="43"/>
      <c r="E89" s="43"/>
      <c r="F89" s="43"/>
      <c r="G89" s="43" t="s">
        <v>252</v>
      </c>
      <c r="H89" s="54">
        <v>0</v>
      </c>
      <c r="I89" s="45"/>
      <c r="J89" s="54">
        <v>1212.8699999999999</v>
      </c>
      <c r="K89" s="45"/>
      <c r="L89" s="54">
        <v>-2006.24</v>
      </c>
      <c r="M89" s="45"/>
      <c r="N89" s="54">
        <f>ROUND(SUM(H89:L89),5)</f>
        <v>-793.37</v>
      </c>
    </row>
    <row r="90" spans="1:14" x14ac:dyDescent="0.3">
      <c r="A90" s="43"/>
      <c r="B90" s="43"/>
      <c r="C90" s="43"/>
      <c r="D90" s="43"/>
      <c r="E90" s="43"/>
      <c r="F90" s="43" t="s">
        <v>253</v>
      </c>
      <c r="G90" s="43"/>
      <c r="H90" s="52">
        <f>ROUND(SUM(H86:H89),5)</f>
        <v>400.95</v>
      </c>
      <c r="I90" s="45"/>
      <c r="J90" s="52">
        <f>ROUND(SUM(J86:J89),5)</f>
        <v>1335.37</v>
      </c>
      <c r="K90" s="45"/>
      <c r="L90" s="52">
        <f>ROUND(SUM(L86:L89),5)</f>
        <v>-1740.75</v>
      </c>
      <c r="M90" s="45"/>
      <c r="N90" s="52">
        <f>ROUND(SUM(H90:L90),5)</f>
        <v>-4.43</v>
      </c>
    </row>
    <row r="91" spans="1:14" ht="30" customHeight="1" x14ac:dyDescent="0.3">
      <c r="A91" s="43"/>
      <c r="B91" s="43"/>
      <c r="C91" s="43"/>
      <c r="D91" s="43"/>
      <c r="E91" s="43"/>
      <c r="F91" s="43" t="s">
        <v>344</v>
      </c>
      <c r="G91" s="43"/>
      <c r="H91" s="52"/>
      <c r="I91" s="45"/>
      <c r="J91" s="52"/>
      <c r="K91" s="45"/>
      <c r="L91" s="52"/>
      <c r="M91" s="45"/>
      <c r="N91" s="52"/>
    </row>
    <row r="92" spans="1:14" ht="15" thickBot="1" x14ac:dyDescent="0.35">
      <c r="A92" s="43"/>
      <c r="B92" s="43"/>
      <c r="C92" s="43"/>
      <c r="D92" s="43"/>
      <c r="E92" s="43"/>
      <c r="F92" s="43"/>
      <c r="G92" s="43" t="s">
        <v>345</v>
      </c>
      <c r="H92" s="54">
        <v>0</v>
      </c>
      <c r="I92" s="45"/>
      <c r="J92" s="54">
        <v>0</v>
      </c>
      <c r="K92" s="45"/>
      <c r="L92" s="54">
        <v>8.75</v>
      </c>
      <c r="M92" s="45"/>
      <c r="N92" s="54">
        <f>ROUND(SUM(H92:L92),5)</f>
        <v>8.75</v>
      </c>
    </row>
    <row r="93" spans="1:14" x14ac:dyDescent="0.3">
      <c r="A93" s="43"/>
      <c r="B93" s="43"/>
      <c r="C93" s="43"/>
      <c r="D93" s="43"/>
      <c r="E93" s="43"/>
      <c r="F93" s="43" t="s">
        <v>346</v>
      </c>
      <c r="G93" s="43"/>
      <c r="H93" s="52">
        <f>ROUND(SUM(H91:H92),5)</f>
        <v>0</v>
      </c>
      <c r="I93" s="45"/>
      <c r="J93" s="52">
        <f>ROUND(SUM(J91:J92),5)</f>
        <v>0</v>
      </c>
      <c r="K93" s="45"/>
      <c r="L93" s="52">
        <f>ROUND(SUM(L91:L92),5)</f>
        <v>8.75</v>
      </c>
      <c r="M93" s="45"/>
      <c r="N93" s="52">
        <f>ROUND(SUM(H93:L93),5)</f>
        <v>8.75</v>
      </c>
    </row>
    <row r="94" spans="1:14" ht="30" customHeight="1" x14ac:dyDescent="0.3">
      <c r="A94" s="43"/>
      <c r="B94" s="43"/>
      <c r="C94" s="43"/>
      <c r="D94" s="43"/>
      <c r="E94" s="43"/>
      <c r="F94" s="43" t="s">
        <v>254</v>
      </c>
      <c r="G94" s="43"/>
      <c r="H94" s="52"/>
      <c r="I94" s="45"/>
      <c r="J94" s="52"/>
      <c r="K94" s="45"/>
      <c r="L94" s="52"/>
      <c r="M94" s="45"/>
      <c r="N94" s="52"/>
    </row>
    <row r="95" spans="1:14" x14ac:dyDescent="0.3">
      <c r="A95" s="43"/>
      <c r="B95" s="43"/>
      <c r="C95" s="43"/>
      <c r="D95" s="43"/>
      <c r="E95" s="43"/>
      <c r="F95" s="43"/>
      <c r="G95" s="43" t="s">
        <v>255</v>
      </c>
      <c r="H95" s="52">
        <v>318.75</v>
      </c>
      <c r="I95" s="45"/>
      <c r="J95" s="52">
        <v>113.3</v>
      </c>
      <c r="K95" s="45"/>
      <c r="L95" s="52">
        <v>157.5</v>
      </c>
      <c r="M95" s="45"/>
      <c r="N95" s="52">
        <f t="shared" ref="N95:N100" si="4">ROUND(SUM(H95:L95),5)</f>
        <v>589.54999999999995</v>
      </c>
    </row>
    <row r="96" spans="1:14" x14ac:dyDescent="0.3">
      <c r="A96" s="43"/>
      <c r="B96" s="43"/>
      <c r="C96" s="43"/>
      <c r="D96" s="43"/>
      <c r="E96" s="43"/>
      <c r="F96" s="43"/>
      <c r="G96" s="43" t="s">
        <v>256</v>
      </c>
      <c r="H96" s="52">
        <v>98.76</v>
      </c>
      <c r="I96" s="45"/>
      <c r="J96" s="52">
        <v>15.83</v>
      </c>
      <c r="K96" s="45"/>
      <c r="L96" s="52">
        <v>55.88</v>
      </c>
      <c r="M96" s="45"/>
      <c r="N96" s="52">
        <f t="shared" si="4"/>
        <v>170.47</v>
      </c>
    </row>
    <row r="97" spans="1:14" x14ac:dyDescent="0.3">
      <c r="A97" s="43"/>
      <c r="B97" s="43"/>
      <c r="C97" s="43"/>
      <c r="D97" s="43"/>
      <c r="E97" s="43"/>
      <c r="F97" s="43"/>
      <c r="G97" s="43" t="s">
        <v>257</v>
      </c>
      <c r="H97" s="52">
        <v>336.25</v>
      </c>
      <c r="I97" s="45"/>
      <c r="J97" s="52">
        <v>328.68</v>
      </c>
      <c r="K97" s="45"/>
      <c r="L97" s="52">
        <v>446.95</v>
      </c>
      <c r="M97" s="45"/>
      <c r="N97" s="52">
        <f t="shared" si="4"/>
        <v>1111.8800000000001</v>
      </c>
    </row>
    <row r="98" spans="1:14" x14ac:dyDescent="0.3">
      <c r="A98" s="43"/>
      <c r="B98" s="43"/>
      <c r="C98" s="43"/>
      <c r="D98" s="43"/>
      <c r="E98" s="43"/>
      <c r="F98" s="43"/>
      <c r="G98" s="43" t="s">
        <v>258</v>
      </c>
      <c r="H98" s="52">
        <v>626.73</v>
      </c>
      <c r="I98" s="45"/>
      <c r="J98" s="52">
        <v>487.1</v>
      </c>
      <c r="K98" s="45"/>
      <c r="L98" s="52">
        <v>455.44</v>
      </c>
      <c r="M98" s="45"/>
      <c r="N98" s="52">
        <f t="shared" si="4"/>
        <v>1569.27</v>
      </c>
    </row>
    <row r="99" spans="1:14" ht="15" thickBot="1" x14ac:dyDescent="0.35">
      <c r="A99" s="43"/>
      <c r="B99" s="43"/>
      <c r="C99" s="43"/>
      <c r="D99" s="43"/>
      <c r="E99" s="43"/>
      <c r="F99" s="43"/>
      <c r="G99" s="43" t="s">
        <v>259</v>
      </c>
      <c r="H99" s="54">
        <v>43.75</v>
      </c>
      <c r="I99" s="45"/>
      <c r="J99" s="54">
        <v>0</v>
      </c>
      <c r="K99" s="45"/>
      <c r="L99" s="54">
        <v>0</v>
      </c>
      <c r="M99" s="45"/>
      <c r="N99" s="54">
        <f t="shared" si="4"/>
        <v>43.75</v>
      </c>
    </row>
    <row r="100" spans="1:14" x14ac:dyDescent="0.3">
      <c r="A100" s="43"/>
      <c r="B100" s="43"/>
      <c r="C100" s="43"/>
      <c r="D100" s="43"/>
      <c r="E100" s="43"/>
      <c r="F100" s="43" t="s">
        <v>261</v>
      </c>
      <c r="G100" s="43"/>
      <c r="H100" s="52">
        <f>ROUND(SUM(H94:H99),5)</f>
        <v>1424.24</v>
      </c>
      <c r="I100" s="45"/>
      <c r="J100" s="52">
        <f>ROUND(SUM(J94:J99),5)</f>
        <v>944.91</v>
      </c>
      <c r="K100" s="45"/>
      <c r="L100" s="52">
        <f>ROUND(SUM(L94:L99),5)</f>
        <v>1115.77</v>
      </c>
      <c r="M100" s="45"/>
      <c r="N100" s="52">
        <f t="shared" si="4"/>
        <v>3484.92</v>
      </c>
    </row>
    <row r="101" spans="1:14" ht="30" customHeight="1" x14ac:dyDescent="0.3">
      <c r="A101" s="43"/>
      <c r="B101" s="43"/>
      <c r="C101" s="43"/>
      <c r="D101" s="43"/>
      <c r="E101" s="43"/>
      <c r="F101" s="43" t="s">
        <v>266</v>
      </c>
      <c r="G101" s="43"/>
      <c r="H101" s="52"/>
      <c r="I101" s="45"/>
      <c r="J101" s="52"/>
      <c r="K101" s="45"/>
      <c r="L101" s="52"/>
      <c r="M101" s="45"/>
      <c r="N101" s="52"/>
    </row>
    <row r="102" spans="1:14" x14ac:dyDescent="0.3">
      <c r="A102" s="43"/>
      <c r="B102" s="43"/>
      <c r="C102" s="43"/>
      <c r="D102" s="43"/>
      <c r="E102" s="43"/>
      <c r="F102" s="43"/>
      <c r="G102" s="43" t="s">
        <v>347</v>
      </c>
      <c r="H102" s="52">
        <v>431.25</v>
      </c>
      <c r="I102" s="45"/>
      <c r="J102" s="52">
        <v>497.25</v>
      </c>
      <c r="K102" s="45"/>
      <c r="L102" s="52">
        <v>377</v>
      </c>
      <c r="M102" s="45"/>
      <c r="N102" s="52">
        <f>ROUND(SUM(H102:L102),5)</f>
        <v>1305.5</v>
      </c>
    </row>
    <row r="103" spans="1:14" ht="15" thickBot="1" x14ac:dyDescent="0.35">
      <c r="A103" s="43"/>
      <c r="B103" s="43"/>
      <c r="C103" s="43"/>
      <c r="D103" s="43"/>
      <c r="E103" s="43"/>
      <c r="F103" s="43"/>
      <c r="G103" s="43" t="s">
        <v>268</v>
      </c>
      <c r="H103" s="52">
        <v>147.54</v>
      </c>
      <c r="I103" s="45"/>
      <c r="J103" s="52">
        <v>215.5</v>
      </c>
      <c r="K103" s="45"/>
      <c r="L103" s="52">
        <v>0</v>
      </c>
      <c r="M103" s="45"/>
      <c r="N103" s="52">
        <f>ROUND(SUM(H103:L103),5)</f>
        <v>363.04</v>
      </c>
    </row>
    <row r="104" spans="1:14" ht="15" thickBot="1" x14ac:dyDescent="0.35">
      <c r="A104" s="43"/>
      <c r="B104" s="43"/>
      <c r="C104" s="43"/>
      <c r="D104" s="43"/>
      <c r="E104" s="43"/>
      <c r="F104" s="43" t="s">
        <v>269</v>
      </c>
      <c r="G104" s="43"/>
      <c r="H104" s="53">
        <f>ROUND(SUM(H101:H103),5)</f>
        <v>578.79</v>
      </c>
      <c r="I104" s="45"/>
      <c r="J104" s="53">
        <f>ROUND(SUM(J101:J103),5)</f>
        <v>712.75</v>
      </c>
      <c r="K104" s="45"/>
      <c r="L104" s="53">
        <f>ROUND(SUM(L101:L103),5)</f>
        <v>377</v>
      </c>
      <c r="M104" s="45"/>
      <c r="N104" s="53">
        <f>ROUND(SUM(H104:L104),5)</f>
        <v>1668.54</v>
      </c>
    </row>
    <row r="105" spans="1:14" ht="30" customHeight="1" x14ac:dyDescent="0.3">
      <c r="A105" s="43"/>
      <c r="B105" s="43"/>
      <c r="C105" s="43"/>
      <c r="D105" s="43"/>
      <c r="E105" s="43" t="s">
        <v>270</v>
      </c>
      <c r="F105" s="43"/>
      <c r="G105" s="43"/>
      <c r="H105" s="52">
        <f>ROUND(H48+H56+H62+H66+H72+H76+SUM(H80:H81)+H85+H90+H93+H100+H104,5)</f>
        <v>15738.9</v>
      </c>
      <c r="I105" s="45"/>
      <c r="J105" s="52">
        <f>ROUND(J48+J56+J62+J66+J72+J76+SUM(J80:J81)+J85+J90+J93+J100+J104,5)</f>
        <v>15617.58</v>
      </c>
      <c r="K105" s="45"/>
      <c r="L105" s="52">
        <f>ROUND(L48+L56+L62+L66+L72+L76+SUM(L80:L81)+L85+L90+L93+L100+L104,5)</f>
        <v>15959.49</v>
      </c>
      <c r="M105" s="45"/>
      <c r="N105" s="52">
        <f>ROUND(SUM(H105:L105),5)</f>
        <v>47315.97</v>
      </c>
    </row>
    <row r="106" spans="1:14" ht="30" customHeight="1" x14ac:dyDescent="0.3">
      <c r="A106" s="43"/>
      <c r="B106" s="43"/>
      <c r="C106" s="43"/>
      <c r="D106" s="43"/>
      <c r="E106" s="43" t="s">
        <v>271</v>
      </c>
      <c r="F106" s="43"/>
      <c r="G106" s="43"/>
      <c r="H106" s="52">
        <v>5407.9</v>
      </c>
      <c r="I106" s="45"/>
      <c r="J106" s="52">
        <v>5384.52</v>
      </c>
      <c r="K106" s="45"/>
      <c r="L106" s="52">
        <v>5103.24</v>
      </c>
      <c r="M106" s="45"/>
      <c r="N106" s="52">
        <f>ROUND(SUM(H106:L106),5)</f>
        <v>15895.66</v>
      </c>
    </row>
    <row r="107" spans="1:14" x14ac:dyDescent="0.3">
      <c r="A107" s="43"/>
      <c r="B107" s="43"/>
      <c r="C107" s="43"/>
      <c r="D107" s="43"/>
      <c r="E107" s="43" t="s">
        <v>272</v>
      </c>
      <c r="F107" s="43"/>
      <c r="G107" s="43"/>
      <c r="H107" s="52"/>
      <c r="I107" s="45"/>
      <c r="J107" s="52"/>
      <c r="K107" s="45"/>
      <c r="L107" s="52"/>
      <c r="M107" s="45"/>
      <c r="N107" s="52"/>
    </row>
    <row r="108" spans="1:14" x14ac:dyDescent="0.3">
      <c r="A108" s="43"/>
      <c r="B108" s="43"/>
      <c r="C108" s="43"/>
      <c r="D108" s="43"/>
      <c r="E108" s="43"/>
      <c r="F108" s="43" t="s">
        <v>348</v>
      </c>
      <c r="G108" s="43"/>
      <c r="H108" s="52">
        <v>55946.559999999998</v>
      </c>
      <c r="I108" s="45"/>
      <c r="J108" s="52">
        <v>48563.98</v>
      </c>
      <c r="K108" s="45"/>
      <c r="L108" s="52">
        <v>47900.1</v>
      </c>
      <c r="M108" s="45"/>
      <c r="N108" s="52">
        <f t="shared" ref="N108:N116" si="5">ROUND(SUM(H108:L108),5)</f>
        <v>152410.64000000001</v>
      </c>
    </row>
    <row r="109" spans="1:14" ht="15" thickBot="1" x14ac:dyDescent="0.35">
      <c r="A109" s="43"/>
      <c r="B109" s="43"/>
      <c r="C109" s="43"/>
      <c r="D109" s="43"/>
      <c r="E109" s="43"/>
      <c r="F109" s="43" t="s">
        <v>349</v>
      </c>
      <c r="G109" s="43"/>
      <c r="H109" s="54">
        <v>50</v>
      </c>
      <c r="I109" s="45"/>
      <c r="J109" s="54">
        <v>50</v>
      </c>
      <c r="K109" s="45"/>
      <c r="L109" s="54">
        <v>50</v>
      </c>
      <c r="M109" s="45"/>
      <c r="N109" s="54">
        <f t="shared" si="5"/>
        <v>150</v>
      </c>
    </row>
    <row r="110" spans="1:14" x14ac:dyDescent="0.3">
      <c r="A110" s="43"/>
      <c r="B110" s="43"/>
      <c r="C110" s="43"/>
      <c r="D110" s="43"/>
      <c r="E110" s="43" t="s">
        <v>277</v>
      </c>
      <c r="F110" s="43"/>
      <c r="G110" s="43"/>
      <c r="H110" s="52">
        <f>ROUND(SUM(H107:H109),5)</f>
        <v>55996.56</v>
      </c>
      <c r="I110" s="45"/>
      <c r="J110" s="52">
        <f>ROUND(SUM(J107:J109),5)</f>
        <v>48613.98</v>
      </c>
      <c r="K110" s="45"/>
      <c r="L110" s="52">
        <f>ROUND(SUM(L107:L109),5)</f>
        <v>47950.1</v>
      </c>
      <c r="M110" s="45"/>
      <c r="N110" s="52">
        <f t="shared" si="5"/>
        <v>152560.64000000001</v>
      </c>
    </row>
    <row r="111" spans="1:14" ht="30" customHeight="1" x14ac:dyDescent="0.3">
      <c r="A111" s="43"/>
      <c r="B111" s="43"/>
      <c r="C111" s="43"/>
      <c r="D111" s="43"/>
      <c r="E111" s="43" t="s">
        <v>278</v>
      </c>
      <c r="F111" s="43"/>
      <c r="G111" s="43"/>
      <c r="H111" s="52">
        <v>46134.87</v>
      </c>
      <c r="I111" s="45"/>
      <c r="J111" s="52">
        <v>42436.5</v>
      </c>
      <c r="K111" s="45"/>
      <c r="L111" s="52">
        <v>38124.449999999997</v>
      </c>
      <c r="M111" s="45"/>
      <c r="N111" s="52">
        <f t="shared" si="5"/>
        <v>126695.82</v>
      </c>
    </row>
    <row r="112" spans="1:14" x14ac:dyDescent="0.3">
      <c r="A112" s="43"/>
      <c r="B112" s="43"/>
      <c r="C112" s="43"/>
      <c r="D112" s="43"/>
      <c r="E112" s="43" t="s">
        <v>350</v>
      </c>
      <c r="F112" s="43"/>
      <c r="G112" s="43"/>
      <c r="H112" s="52">
        <v>2523.2399999999998</v>
      </c>
      <c r="I112" s="45"/>
      <c r="J112" s="52">
        <v>2523.2399999999998</v>
      </c>
      <c r="K112" s="45"/>
      <c r="L112" s="52">
        <v>2523.2399999999998</v>
      </c>
      <c r="M112" s="45"/>
      <c r="N112" s="52">
        <f t="shared" si="5"/>
        <v>7569.72</v>
      </c>
    </row>
    <row r="113" spans="1:14" ht="15" thickBot="1" x14ac:dyDescent="0.35">
      <c r="A113" s="43"/>
      <c r="B113" s="43"/>
      <c r="C113" s="43"/>
      <c r="D113" s="43"/>
      <c r="E113" s="43" t="s">
        <v>284</v>
      </c>
      <c r="F113" s="43"/>
      <c r="G113" s="43"/>
      <c r="H113" s="52">
        <v>22800</v>
      </c>
      <c r="I113" s="45"/>
      <c r="J113" s="52">
        <v>22721</v>
      </c>
      <c r="K113" s="45"/>
      <c r="L113" s="52">
        <v>22800</v>
      </c>
      <c r="M113" s="45"/>
      <c r="N113" s="52">
        <f t="shared" si="5"/>
        <v>68321</v>
      </c>
    </row>
    <row r="114" spans="1:14" ht="15" thickBot="1" x14ac:dyDescent="0.35">
      <c r="A114" s="43"/>
      <c r="B114" s="43"/>
      <c r="C114" s="43"/>
      <c r="D114" s="43" t="s">
        <v>287</v>
      </c>
      <c r="E114" s="43"/>
      <c r="F114" s="43"/>
      <c r="G114" s="43"/>
      <c r="H114" s="55">
        <f>ROUND(H14+H32+H47+SUM(H105:H106)+SUM(H110:H113),5)</f>
        <v>174909.98</v>
      </c>
      <c r="I114" s="45"/>
      <c r="J114" s="55">
        <f>ROUND(J14+J32+J47+SUM(J105:J106)+SUM(J110:J113),5)</f>
        <v>177767.71</v>
      </c>
      <c r="K114" s="45"/>
      <c r="L114" s="55">
        <f>ROUND(L14+L32+L47+SUM(L105:L106)+SUM(L110:L113),5)</f>
        <v>162220.19</v>
      </c>
      <c r="M114" s="45"/>
      <c r="N114" s="55">
        <f t="shared" si="5"/>
        <v>514897.88</v>
      </c>
    </row>
    <row r="115" spans="1:14" ht="30" customHeight="1" thickBot="1" x14ac:dyDescent="0.35">
      <c r="A115" s="43"/>
      <c r="B115" s="43" t="s">
        <v>288</v>
      </c>
      <c r="C115" s="43"/>
      <c r="D115" s="43"/>
      <c r="E115" s="43"/>
      <c r="F115" s="43"/>
      <c r="G115" s="43"/>
      <c r="H115" s="55">
        <f>ROUND(H2+H13-H114,5)</f>
        <v>119686.67</v>
      </c>
      <c r="I115" s="45"/>
      <c r="J115" s="55">
        <f>ROUND(J2+J13-J114,5)</f>
        <v>116031.37</v>
      </c>
      <c r="K115" s="45"/>
      <c r="L115" s="55">
        <f>ROUND(L2+L13-L114,5)</f>
        <v>129591.32</v>
      </c>
      <c r="M115" s="45"/>
      <c r="N115" s="55">
        <f t="shared" si="5"/>
        <v>365309.36</v>
      </c>
    </row>
    <row r="116" spans="1:14" s="50" customFormat="1" ht="30" customHeight="1" thickBot="1" x14ac:dyDescent="0.25">
      <c r="A116" s="43" t="s">
        <v>165</v>
      </c>
      <c r="B116" s="43"/>
      <c r="C116" s="43"/>
      <c r="D116" s="43"/>
      <c r="E116" s="43"/>
      <c r="F116" s="43"/>
      <c r="G116" s="43"/>
      <c r="H116" s="56">
        <f>H115</f>
        <v>119686.67</v>
      </c>
      <c r="I116" s="43"/>
      <c r="J116" s="56">
        <f>J115</f>
        <v>116031.37</v>
      </c>
      <c r="K116" s="43"/>
      <c r="L116" s="56">
        <f>L115</f>
        <v>129591.32</v>
      </c>
      <c r="M116" s="43"/>
      <c r="N116" s="56">
        <f t="shared" si="5"/>
        <v>365309.36</v>
      </c>
    </row>
    <row r="117" spans="1:14" ht="15" thickTop="1" x14ac:dyDescent="0.3"/>
    <row r="118" spans="1:14" x14ac:dyDescent="0.3">
      <c r="E118" s="43"/>
      <c r="F118" s="43"/>
      <c r="G118" s="43" t="s">
        <v>987</v>
      </c>
      <c r="H118" s="52">
        <f>H114-H19-H111-H112-H113</f>
        <v>98663.87000000001</v>
      </c>
      <c r="I118" s="45"/>
      <c r="J118" s="52">
        <f>J114-J19-J111-J112-J113</f>
        <v>90015.95</v>
      </c>
      <c r="K118" s="45"/>
      <c r="L118" s="52">
        <f>L114-L19-L111-L112-L113</f>
        <v>90621.140000000014</v>
      </c>
      <c r="M118" s="45"/>
      <c r="N118" s="52">
        <f>(N114-N19-N111-N112-N113)/3</f>
        <v>93100.32</v>
      </c>
    </row>
  </sheetData>
  <pageMargins left="0.7" right="0.7" top="0.75" bottom="0.75" header="0.25" footer="0.3"/>
  <pageSetup orientation="portrait" r:id="rId1"/>
  <headerFooter>
    <oddHeader>&amp;L&amp;"Arial,Bold"&amp;8 02/17/14
&amp;"Arial,Bold"&amp;8 Accrual Basis&amp;C&amp;"Arial,Bold"&amp;12 BelPointe, LLC
&amp;"Arial,Bold"&amp;14 3 Year Comparative Detail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741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7410" r:id="rId4" name="HEADER"/>
      </mc:Fallback>
    </mc:AlternateContent>
    <mc:AlternateContent xmlns:mc="http://schemas.openxmlformats.org/markup-compatibility/2006">
      <mc:Choice Requires="x14">
        <control shapeId="1740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7409" r:id="rId6" name="FILT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0"/>
  <sheetViews>
    <sheetView showGridLines="0" workbookViewId="0">
      <selection activeCell="E19" sqref="E19"/>
    </sheetView>
  </sheetViews>
  <sheetFormatPr defaultColWidth="9.33203125" defaultRowHeight="13.8" x14ac:dyDescent="0.25"/>
  <cols>
    <col min="1" max="9" width="12.6640625" style="134" customWidth="1"/>
    <col min="10" max="16384" width="9.33203125" style="134"/>
  </cols>
  <sheetData>
    <row r="1" spans="1:11" ht="14.4" thickBot="1" x14ac:dyDescent="0.3">
      <c r="A1" s="132" t="s">
        <v>103</v>
      </c>
      <c r="B1" s="133"/>
      <c r="C1" s="133"/>
      <c r="D1" s="133"/>
      <c r="E1" s="133"/>
      <c r="F1" s="133"/>
      <c r="G1" s="133"/>
      <c r="H1" s="133"/>
    </row>
    <row r="2" spans="1:11" x14ac:dyDescent="0.25">
      <c r="A2" s="135" t="s">
        <v>26</v>
      </c>
    </row>
    <row r="3" spans="1:11" x14ac:dyDescent="0.25">
      <c r="A3" s="136"/>
      <c r="E3" s="137"/>
    </row>
    <row r="4" spans="1:11" ht="15" customHeight="1" x14ac:dyDescent="0.25">
      <c r="A4" s="134" t="s">
        <v>27</v>
      </c>
      <c r="C4" s="138">
        <f>Analysis!E12</f>
        <v>0</v>
      </c>
      <c r="D4" s="137"/>
    </row>
    <row r="5" spans="1:11" ht="15" customHeight="1" x14ac:dyDescent="0.25">
      <c r="A5" s="67"/>
      <c r="B5" s="67"/>
      <c r="C5" s="67"/>
      <c r="D5" s="139"/>
      <c r="E5" s="140"/>
      <c r="G5" s="141"/>
    </row>
    <row r="6" spans="1:11" ht="15" customHeight="1" x14ac:dyDescent="0.25">
      <c r="A6" s="134" t="s">
        <v>29</v>
      </c>
      <c r="C6" s="142"/>
      <c r="D6" s="139"/>
      <c r="E6" s="140"/>
      <c r="G6" s="80"/>
    </row>
    <row r="7" spans="1:11" ht="15" customHeight="1" x14ac:dyDescent="0.25">
      <c r="A7" s="136"/>
      <c r="D7" s="139"/>
      <c r="E7" s="140"/>
      <c r="G7" s="80"/>
    </row>
    <row r="8" spans="1:11" ht="15" customHeight="1" x14ac:dyDescent="0.25">
      <c r="A8" s="134" t="s">
        <v>30</v>
      </c>
      <c r="C8" s="143">
        <f>Analysis!C10*12</f>
        <v>60</v>
      </c>
      <c r="D8" s="139"/>
      <c r="F8" s="140"/>
      <c r="G8" s="67"/>
    </row>
    <row r="9" spans="1:11" ht="15" customHeight="1" x14ac:dyDescent="0.25">
      <c r="A9" s="136"/>
      <c r="D9" s="137"/>
      <c r="E9" s="140"/>
      <c r="G9" s="67"/>
    </row>
    <row r="10" spans="1:11" ht="15" customHeight="1" x14ac:dyDescent="0.25">
      <c r="A10" s="140" t="s">
        <v>28</v>
      </c>
      <c r="C10" s="143">
        <f>Analysis!C9</f>
        <v>79290</v>
      </c>
      <c r="D10" s="137"/>
      <c r="E10" s="140"/>
      <c r="G10" s="67"/>
      <c r="I10" s="144"/>
    </row>
    <row r="11" spans="1:11" ht="15" customHeight="1" x14ac:dyDescent="0.25">
      <c r="D11" s="137"/>
      <c r="E11" s="140"/>
      <c r="G11" s="67"/>
      <c r="K11" s="144"/>
    </row>
    <row r="12" spans="1:11" ht="15" customHeight="1" x14ac:dyDescent="0.25">
      <c r="A12" s="136"/>
      <c r="D12" s="137"/>
      <c r="F12" s="140"/>
    </row>
    <row r="13" spans="1:11" ht="15" customHeight="1" x14ac:dyDescent="0.25">
      <c r="B13" s="145" t="s">
        <v>31</v>
      </c>
      <c r="F13" s="145" t="s">
        <v>32</v>
      </c>
    </row>
    <row r="14" spans="1:11" ht="15" customHeight="1" x14ac:dyDescent="0.25">
      <c r="A14" s="145" t="s">
        <v>33</v>
      </c>
      <c r="B14" s="145" t="s">
        <v>34</v>
      </c>
      <c r="C14" s="146" t="s">
        <v>33</v>
      </c>
      <c r="D14" s="146"/>
      <c r="E14" s="147"/>
      <c r="F14" s="145" t="s">
        <v>34</v>
      </c>
    </row>
    <row r="15" spans="1:11" ht="15" customHeight="1" x14ac:dyDescent="0.25">
      <c r="A15" s="145"/>
      <c r="B15" s="145"/>
      <c r="C15" s="148" t="s">
        <v>35</v>
      </c>
      <c r="D15" s="148"/>
      <c r="E15" s="148"/>
      <c r="F15" s="145"/>
    </row>
    <row r="16" spans="1:11" ht="15" customHeight="1" x14ac:dyDescent="0.25">
      <c r="A16" s="145" t="s">
        <v>36</v>
      </c>
      <c r="B16" s="145" t="s">
        <v>37</v>
      </c>
      <c r="C16" s="145" t="s">
        <v>38</v>
      </c>
      <c r="D16" s="145" t="s">
        <v>34</v>
      </c>
      <c r="E16" s="145" t="s">
        <v>39</v>
      </c>
      <c r="F16" s="145" t="s">
        <v>37</v>
      </c>
      <c r="G16" s="145" t="s">
        <v>40</v>
      </c>
    </row>
    <row r="17" spans="1:13" ht="15" customHeight="1" x14ac:dyDescent="0.25">
      <c r="A17" s="148" t="s">
        <v>35</v>
      </c>
      <c r="B17" s="148" t="s">
        <v>35</v>
      </c>
      <c r="C17" s="148" t="s">
        <v>35</v>
      </c>
      <c r="D17" s="148" t="s">
        <v>35</v>
      </c>
      <c r="E17" s="148" t="s">
        <v>35</v>
      </c>
      <c r="F17" s="148" t="s">
        <v>35</v>
      </c>
      <c r="G17" s="148" t="s">
        <v>35</v>
      </c>
    </row>
    <row r="18" spans="1:13" ht="15" customHeight="1" x14ac:dyDescent="0.25">
      <c r="A18" s="148"/>
      <c r="B18" s="148"/>
      <c r="C18" s="148"/>
      <c r="D18" s="148"/>
      <c r="E18" s="148"/>
      <c r="F18" s="148"/>
    </row>
    <row r="19" spans="1:13" ht="15" customHeight="1" x14ac:dyDescent="0.25">
      <c r="A19" s="149">
        <v>1</v>
      </c>
      <c r="B19" s="150">
        <f>C4</f>
        <v>0</v>
      </c>
      <c r="C19" s="141">
        <f t="shared" ref="C19:C50" si="0">IF(ISERROR(IPMT(C$6/12,A19,$C$8,-$B$19,0)),0,IPMT(C$6/12,A19,$C$8,-$B$19,0))</f>
        <v>0</v>
      </c>
      <c r="D19" s="141">
        <f t="shared" ref="D19:D50" si="1">IF(ISERROR(PPMT($C$6/12,$A19,$C$8,-$B$19,0)),0,PPMT($C$6/12,$A19,$C$8,-$B$19,0))</f>
        <v>0</v>
      </c>
      <c r="E19" s="141">
        <f t="shared" ref="E19:E82" si="2">+C19+D19</f>
        <v>0</v>
      </c>
      <c r="F19" s="141">
        <f t="shared" ref="F19:F82" si="3">+B19-D19</f>
        <v>0</v>
      </c>
      <c r="G19" s="141">
        <f t="shared" ref="G19:G50" si="4">E19/$C$10</f>
        <v>0</v>
      </c>
    </row>
    <row r="20" spans="1:13" ht="15" customHeight="1" x14ac:dyDescent="0.25">
      <c r="A20" s="149">
        <f>A19+1</f>
        <v>2</v>
      </c>
      <c r="B20" s="151">
        <f t="shared" ref="B20:B83" si="5">+F19</f>
        <v>0</v>
      </c>
      <c r="C20" s="151">
        <f t="shared" si="0"/>
        <v>0</v>
      </c>
      <c r="D20" s="151">
        <f t="shared" si="1"/>
        <v>0</v>
      </c>
      <c r="E20" s="151">
        <f t="shared" si="2"/>
        <v>0</v>
      </c>
      <c r="F20" s="151">
        <f t="shared" si="3"/>
        <v>0</v>
      </c>
      <c r="G20" s="131">
        <f t="shared" si="4"/>
        <v>0</v>
      </c>
    </row>
    <row r="21" spans="1:13" ht="15" customHeight="1" x14ac:dyDescent="0.25">
      <c r="A21" s="149">
        <f t="shared" ref="A21:A84" si="6">A20+1</f>
        <v>3</v>
      </c>
      <c r="B21" s="151">
        <f t="shared" si="5"/>
        <v>0</v>
      </c>
      <c r="C21" s="151">
        <f t="shared" si="0"/>
        <v>0</v>
      </c>
      <c r="D21" s="151">
        <f t="shared" si="1"/>
        <v>0</v>
      </c>
      <c r="E21" s="151">
        <f t="shared" si="2"/>
        <v>0</v>
      </c>
      <c r="F21" s="151">
        <f t="shared" si="3"/>
        <v>0</v>
      </c>
      <c r="G21" s="131">
        <f t="shared" si="4"/>
        <v>0</v>
      </c>
    </row>
    <row r="22" spans="1:13" x14ac:dyDescent="0.25">
      <c r="A22" s="149">
        <f t="shared" si="6"/>
        <v>4</v>
      </c>
      <c r="B22" s="151">
        <f t="shared" si="5"/>
        <v>0</v>
      </c>
      <c r="C22" s="151">
        <f t="shared" si="0"/>
        <v>0</v>
      </c>
      <c r="D22" s="151">
        <f t="shared" si="1"/>
        <v>0</v>
      </c>
      <c r="E22" s="151">
        <f t="shared" si="2"/>
        <v>0</v>
      </c>
      <c r="F22" s="151">
        <f t="shared" si="3"/>
        <v>0</v>
      </c>
      <c r="G22" s="131">
        <f t="shared" si="4"/>
        <v>0</v>
      </c>
      <c r="M22" s="144"/>
    </row>
    <row r="23" spans="1:13" x14ac:dyDescent="0.25">
      <c r="A23" s="149">
        <f t="shared" si="6"/>
        <v>5</v>
      </c>
      <c r="B23" s="151">
        <f t="shared" si="5"/>
        <v>0</v>
      </c>
      <c r="C23" s="151">
        <f t="shared" si="0"/>
        <v>0</v>
      </c>
      <c r="D23" s="151">
        <f t="shared" si="1"/>
        <v>0</v>
      </c>
      <c r="E23" s="151">
        <f t="shared" si="2"/>
        <v>0</v>
      </c>
      <c r="F23" s="151">
        <f t="shared" si="3"/>
        <v>0</v>
      </c>
      <c r="G23" s="131">
        <f t="shared" si="4"/>
        <v>0</v>
      </c>
    </row>
    <row r="24" spans="1:13" x14ac:dyDescent="0.25">
      <c r="A24" s="149">
        <f t="shared" si="6"/>
        <v>6</v>
      </c>
      <c r="B24" s="151">
        <f t="shared" si="5"/>
        <v>0</v>
      </c>
      <c r="C24" s="151">
        <f t="shared" si="0"/>
        <v>0</v>
      </c>
      <c r="D24" s="151">
        <f t="shared" si="1"/>
        <v>0</v>
      </c>
      <c r="E24" s="151">
        <f t="shared" si="2"/>
        <v>0</v>
      </c>
      <c r="F24" s="151">
        <f t="shared" si="3"/>
        <v>0</v>
      </c>
      <c r="G24" s="131">
        <f t="shared" si="4"/>
        <v>0</v>
      </c>
    </row>
    <row r="25" spans="1:13" x14ac:dyDescent="0.25">
      <c r="A25" s="149">
        <f t="shared" si="6"/>
        <v>7</v>
      </c>
      <c r="B25" s="151">
        <f t="shared" si="5"/>
        <v>0</v>
      </c>
      <c r="C25" s="151">
        <f t="shared" si="0"/>
        <v>0</v>
      </c>
      <c r="D25" s="151">
        <f t="shared" si="1"/>
        <v>0</v>
      </c>
      <c r="E25" s="151">
        <f t="shared" si="2"/>
        <v>0</v>
      </c>
      <c r="F25" s="151">
        <f t="shared" si="3"/>
        <v>0</v>
      </c>
      <c r="G25" s="131">
        <f t="shared" si="4"/>
        <v>0</v>
      </c>
    </row>
    <row r="26" spans="1:13" x14ac:dyDescent="0.25">
      <c r="A26" s="149">
        <f t="shared" si="6"/>
        <v>8</v>
      </c>
      <c r="B26" s="151">
        <f t="shared" si="5"/>
        <v>0</v>
      </c>
      <c r="C26" s="151">
        <f t="shared" si="0"/>
        <v>0</v>
      </c>
      <c r="D26" s="151">
        <f t="shared" si="1"/>
        <v>0</v>
      </c>
      <c r="E26" s="151">
        <f t="shared" si="2"/>
        <v>0</v>
      </c>
      <c r="F26" s="151">
        <f t="shared" si="3"/>
        <v>0</v>
      </c>
      <c r="G26" s="131">
        <f t="shared" si="4"/>
        <v>0</v>
      </c>
    </row>
    <row r="27" spans="1:13" x14ac:dyDescent="0.25">
      <c r="A27" s="149">
        <f t="shared" si="6"/>
        <v>9</v>
      </c>
      <c r="B27" s="151">
        <f t="shared" si="5"/>
        <v>0</v>
      </c>
      <c r="C27" s="151">
        <f t="shared" si="0"/>
        <v>0</v>
      </c>
      <c r="D27" s="151">
        <f t="shared" si="1"/>
        <v>0</v>
      </c>
      <c r="E27" s="151">
        <f t="shared" si="2"/>
        <v>0</v>
      </c>
      <c r="F27" s="151">
        <f t="shared" si="3"/>
        <v>0</v>
      </c>
      <c r="G27" s="131">
        <f t="shared" si="4"/>
        <v>0</v>
      </c>
    </row>
    <row r="28" spans="1:13" x14ac:dyDescent="0.25">
      <c r="A28" s="149">
        <f t="shared" si="6"/>
        <v>10</v>
      </c>
      <c r="B28" s="151">
        <f t="shared" si="5"/>
        <v>0</v>
      </c>
      <c r="C28" s="151">
        <f t="shared" si="0"/>
        <v>0</v>
      </c>
      <c r="D28" s="151">
        <f t="shared" si="1"/>
        <v>0</v>
      </c>
      <c r="E28" s="151">
        <f t="shared" si="2"/>
        <v>0</v>
      </c>
      <c r="F28" s="151">
        <f t="shared" si="3"/>
        <v>0</v>
      </c>
      <c r="G28" s="131">
        <f t="shared" si="4"/>
        <v>0</v>
      </c>
    </row>
    <row r="29" spans="1:13" x14ac:dyDescent="0.25">
      <c r="A29" s="149">
        <f t="shared" si="6"/>
        <v>11</v>
      </c>
      <c r="B29" s="151">
        <f t="shared" si="5"/>
        <v>0</v>
      </c>
      <c r="C29" s="151">
        <f t="shared" si="0"/>
        <v>0</v>
      </c>
      <c r="D29" s="151">
        <f t="shared" si="1"/>
        <v>0</v>
      </c>
      <c r="E29" s="151">
        <f t="shared" si="2"/>
        <v>0</v>
      </c>
      <c r="F29" s="151">
        <f t="shared" si="3"/>
        <v>0</v>
      </c>
      <c r="G29" s="131">
        <f t="shared" si="4"/>
        <v>0</v>
      </c>
    </row>
    <row r="30" spans="1:13" x14ac:dyDescent="0.25">
      <c r="A30" s="149">
        <f t="shared" si="6"/>
        <v>12</v>
      </c>
      <c r="B30" s="151">
        <f t="shared" si="5"/>
        <v>0</v>
      </c>
      <c r="C30" s="151">
        <f t="shared" si="0"/>
        <v>0</v>
      </c>
      <c r="D30" s="151">
        <f t="shared" si="1"/>
        <v>0</v>
      </c>
      <c r="E30" s="151">
        <f t="shared" si="2"/>
        <v>0</v>
      </c>
      <c r="F30" s="151">
        <f t="shared" si="3"/>
        <v>0</v>
      </c>
      <c r="G30" s="131">
        <f t="shared" si="4"/>
        <v>0</v>
      </c>
    </row>
    <row r="31" spans="1:13" x14ac:dyDescent="0.25">
      <c r="A31" s="149">
        <f t="shared" si="6"/>
        <v>13</v>
      </c>
      <c r="B31" s="151">
        <f t="shared" si="5"/>
        <v>0</v>
      </c>
      <c r="C31" s="151">
        <f t="shared" si="0"/>
        <v>0</v>
      </c>
      <c r="D31" s="151">
        <f t="shared" si="1"/>
        <v>0</v>
      </c>
      <c r="E31" s="151">
        <f t="shared" si="2"/>
        <v>0</v>
      </c>
      <c r="F31" s="151">
        <f t="shared" si="3"/>
        <v>0</v>
      </c>
      <c r="G31" s="131">
        <f t="shared" si="4"/>
        <v>0</v>
      </c>
    </row>
    <row r="32" spans="1:13" x14ac:dyDescent="0.25">
      <c r="A32" s="149">
        <f t="shared" si="6"/>
        <v>14</v>
      </c>
      <c r="B32" s="151">
        <f t="shared" si="5"/>
        <v>0</v>
      </c>
      <c r="C32" s="151">
        <f t="shared" si="0"/>
        <v>0</v>
      </c>
      <c r="D32" s="151">
        <f t="shared" si="1"/>
        <v>0</v>
      </c>
      <c r="E32" s="151">
        <f t="shared" si="2"/>
        <v>0</v>
      </c>
      <c r="F32" s="151">
        <f t="shared" si="3"/>
        <v>0</v>
      </c>
      <c r="G32" s="131">
        <f t="shared" si="4"/>
        <v>0</v>
      </c>
    </row>
    <row r="33" spans="1:7" x14ac:dyDescent="0.25">
      <c r="A33" s="149">
        <f t="shared" si="6"/>
        <v>15</v>
      </c>
      <c r="B33" s="151">
        <f t="shared" si="5"/>
        <v>0</v>
      </c>
      <c r="C33" s="151">
        <f t="shared" si="0"/>
        <v>0</v>
      </c>
      <c r="D33" s="151">
        <f t="shared" si="1"/>
        <v>0</v>
      </c>
      <c r="E33" s="151">
        <f t="shared" si="2"/>
        <v>0</v>
      </c>
      <c r="F33" s="151">
        <f t="shared" si="3"/>
        <v>0</v>
      </c>
      <c r="G33" s="131">
        <f t="shared" si="4"/>
        <v>0</v>
      </c>
    </row>
    <row r="34" spans="1:7" x14ac:dyDescent="0.25">
      <c r="A34" s="149">
        <f t="shared" si="6"/>
        <v>16</v>
      </c>
      <c r="B34" s="151">
        <f t="shared" si="5"/>
        <v>0</v>
      </c>
      <c r="C34" s="151">
        <f t="shared" si="0"/>
        <v>0</v>
      </c>
      <c r="D34" s="151">
        <f t="shared" si="1"/>
        <v>0</v>
      </c>
      <c r="E34" s="151">
        <f t="shared" si="2"/>
        <v>0</v>
      </c>
      <c r="F34" s="151">
        <f t="shared" si="3"/>
        <v>0</v>
      </c>
      <c r="G34" s="131">
        <f t="shared" si="4"/>
        <v>0</v>
      </c>
    </row>
    <row r="35" spans="1:7" x14ac:dyDescent="0.25">
      <c r="A35" s="149">
        <f t="shared" si="6"/>
        <v>17</v>
      </c>
      <c r="B35" s="151">
        <f t="shared" si="5"/>
        <v>0</v>
      </c>
      <c r="C35" s="151">
        <f t="shared" si="0"/>
        <v>0</v>
      </c>
      <c r="D35" s="151">
        <f t="shared" si="1"/>
        <v>0</v>
      </c>
      <c r="E35" s="151">
        <f t="shared" si="2"/>
        <v>0</v>
      </c>
      <c r="F35" s="151">
        <f t="shared" si="3"/>
        <v>0</v>
      </c>
      <c r="G35" s="131">
        <f t="shared" si="4"/>
        <v>0</v>
      </c>
    </row>
    <row r="36" spans="1:7" x14ac:dyDescent="0.25">
      <c r="A36" s="149">
        <f t="shared" si="6"/>
        <v>18</v>
      </c>
      <c r="B36" s="151">
        <f t="shared" si="5"/>
        <v>0</v>
      </c>
      <c r="C36" s="151">
        <f t="shared" si="0"/>
        <v>0</v>
      </c>
      <c r="D36" s="151">
        <f t="shared" si="1"/>
        <v>0</v>
      </c>
      <c r="E36" s="151">
        <f t="shared" si="2"/>
        <v>0</v>
      </c>
      <c r="F36" s="151">
        <f t="shared" si="3"/>
        <v>0</v>
      </c>
      <c r="G36" s="131">
        <f t="shared" si="4"/>
        <v>0</v>
      </c>
    </row>
    <row r="37" spans="1:7" x14ac:dyDescent="0.25">
      <c r="A37" s="149">
        <f t="shared" si="6"/>
        <v>19</v>
      </c>
      <c r="B37" s="151">
        <f t="shared" si="5"/>
        <v>0</v>
      </c>
      <c r="C37" s="151">
        <f t="shared" si="0"/>
        <v>0</v>
      </c>
      <c r="D37" s="151">
        <f t="shared" si="1"/>
        <v>0</v>
      </c>
      <c r="E37" s="151">
        <f t="shared" si="2"/>
        <v>0</v>
      </c>
      <c r="F37" s="151">
        <f t="shared" si="3"/>
        <v>0</v>
      </c>
      <c r="G37" s="131">
        <f t="shared" si="4"/>
        <v>0</v>
      </c>
    </row>
    <row r="38" spans="1:7" x14ac:dyDescent="0.25">
      <c r="A38" s="149">
        <f t="shared" si="6"/>
        <v>20</v>
      </c>
      <c r="B38" s="151">
        <f t="shared" si="5"/>
        <v>0</v>
      </c>
      <c r="C38" s="151">
        <f t="shared" si="0"/>
        <v>0</v>
      </c>
      <c r="D38" s="151">
        <f t="shared" si="1"/>
        <v>0</v>
      </c>
      <c r="E38" s="151">
        <f t="shared" si="2"/>
        <v>0</v>
      </c>
      <c r="F38" s="151">
        <f t="shared" si="3"/>
        <v>0</v>
      </c>
      <c r="G38" s="131">
        <f t="shared" si="4"/>
        <v>0</v>
      </c>
    </row>
    <row r="39" spans="1:7" x14ac:dyDescent="0.25">
      <c r="A39" s="149">
        <f t="shared" si="6"/>
        <v>21</v>
      </c>
      <c r="B39" s="151">
        <f t="shared" si="5"/>
        <v>0</v>
      </c>
      <c r="C39" s="151">
        <f t="shared" si="0"/>
        <v>0</v>
      </c>
      <c r="D39" s="151">
        <f t="shared" si="1"/>
        <v>0</v>
      </c>
      <c r="E39" s="151">
        <f t="shared" si="2"/>
        <v>0</v>
      </c>
      <c r="F39" s="151">
        <f t="shared" si="3"/>
        <v>0</v>
      </c>
      <c r="G39" s="131">
        <f t="shared" si="4"/>
        <v>0</v>
      </c>
    </row>
    <row r="40" spans="1:7" x14ac:dyDescent="0.25">
      <c r="A40" s="149">
        <f t="shared" si="6"/>
        <v>22</v>
      </c>
      <c r="B40" s="151">
        <f t="shared" si="5"/>
        <v>0</v>
      </c>
      <c r="C40" s="151">
        <f t="shared" si="0"/>
        <v>0</v>
      </c>
      <c r="D40" s="151">
        <f t="shared" si="1"/>
        <v>0</v>
      </c>
      <c r="E40" s="151">
        <f t="shared" si="2"/>
        <v>0</v>
      </c>
      <c r="F40" s="151">
        <f t="shared" si="3"/>
        <v>0</v>
      </c>
      <c r="G40" s="131">
        <f t="shared" si="4"/>
        <v>0</v>
      </c>
    </row>
    <row r="41" spans="1:7" x14ac:dyDescent="0.25">
      <c r="A41" s="149">
        <f t="shared" si="6"/>
        <v>23</v>
      </c>
      <c r="B41" s="151">
        <f t="shared" si="5"/>
        <v>0</v>
      </c>
      <c r="C41" s="151">
        <f t="shared" si="0"/>
        <v>0</v>
      </c>
      <c r="D41" s="151">
        <f t="shared" si="1"/>
        <v>0</v>
      </c>
      <c r="E41" s="151">
        <f t="shared" si="2"/>
        <v>0</v>
      </c>
      <c r="F41" s="151">
        <f t="shared" si="3"/>
        <v>0</v>
      </c>
      <c r="G41" s="131">
        <f t="shared" si="4"/>
        <v>0</v>
      </c>
    </row>
    <row r="42" spans="1:7" x14ac:dyDescent="0.25">
      <c r="A42" s="149">
        <f t="shared" si="6"/>
        <v>24</v>
      </c>
      <c r="B42" s="151">
        <f t="shared" si="5"/>
        <v>0</v>
      </c>
      <c r="C42" s="151">
        <f t="shared" si="0"/>
        <v>0</v>
      </c>
      <c r="D42" s="151">
        <f t="shared" si="1"/>
        <v>0</v>
      </c>
      <c r="E42" s="151">
        <f t="shared" si="2"/>
        <v>0</v>
      </c>
      <c r="F42" s="151">
        <f t="shared" si="3"/>
        <v>0</v>
      </c>
      <c r="G42" s="131">
        <f t="shared" si="4"/>
        <v>0</v>
      </c>
    </row>
    <row r="43" spans="1:7" x14ac:dyDescent="0.25">
      <c r="A43" s="149">
        <f t="shared" si="6"/>
        <v>25</v>
      </c>
      <c r="B43" s="151">
        <f t="shared" si="5"/>
        <v>0</v>
      </c>
      <c r="C43" s="151">
        <f t="shared" si="0"/>
        <v>0</v>
      </c>
      <c r="D43" s="151">
        <f t="shared" si="1"/>
        <v>0</v>
      </c>
      <c r="E43" s="151">
        <f t="shared" si="2"/>
        <v>0</v>
      </c>
      <c r="F43" s="151">
        <f t="shared" si="3"/>
        <v>0</v>
      </c>
      <c r="G43" s="131">
        <f t="shared" si="4"/>
        <v>0</v>
      </c>
    </row>
    <row r="44" spans="1:7" x14ac:dyDescent="0.25">
      <c r="A44" s="149">
        <f t="shared" si="6"/>
        <v>26</v>
      </c>
      <c r="B44" s="151">
        <f t="shared" si="5"/>
        <v>0</v>
      </c>
      <c r="C44" s="151">
        <f t="shared" si="0"/>
        <v>0</v>
      </c>
      <c r="D44" s="151">
        <f t="shared" si="1"/>
        <v>0</v>
      </c>
      <c r="E44" s="151">
        <f t="shared" si="2"/>
        <v>0</v>
      </c>
      <c r="F44" s="151">
        <f t="shared" si="3"/>
        <v>0</v>
      </c>
      <c r="G44" s="131">
        <f t="shared" si="4"/>
        <v>0</v>
      </c>
    </row>
    <row r="45" spans="1:7" x14ac:dyDescent="0.25">
      <c r="A45" s="149">
        <f t="shared" si="6"/>
        <v>27</v>
      </c>
      <c r="B45" s="151">
        <f t="shared" si="5"/>
        <v>0</v>
      </c>
      <c r="C45" s="151">
        <f t="shared" si="0"/>
        <v>0</v>
      </c>
      <c r="D45" s="151">
        <f t="shared" si="1"/>
        <v>0</v>
      </c>
      <c r="E45" s="151">
        <f t="shared" si="2"/>
        <v>0</v>
      </c>
      <c r="F45" s="151">
        <f t="shared" si="3"/>
        <v>0</v>
      </c>
      <c r="G45" s="131">
        <f t="shared" si="4"/>
        <v>0</v>
      </c>
    </row>
    <row r="46" spans="1:7" x14ac:dyDescent="0.25">
      <c r="A46" s="149">
        <f t="shared" si="6"/>
        <v>28</v>
      </c>
      <c r="B46" s="151">
        <f t="shared" si="5"/>
        <v>0</v>
      </c>
      <c r="C46" s="151">
        <f t="shared" si="0"/>
        <v>0</v>
      </c>
      <c r="D46" s="151">
        <f t="shared" si="1"/>
        <v>0</v>
      </c>
      <c r="E46" s="151">
        <f t="shared" si="2"/>
        <v>0</v>
      </c>
      <c r="F46" s="151">
        <f t="shared" si="3"/>
        <v>0</v>
      </c>
      <c r="G46" s="131">
        <f t="shared" si="4"/>
        <v>0</v>
      </c>
    </row>
    <row r="47" spans="1:7" x14ac:dyDescent="0.25">
      <c r="A47" s="149">
        <f t="shared" si="6"/>
        <v>29</v>
      </c>
      <c r="B47" s="151">
        <f t="shared" si="5"/>
        <v>0</v>
      </c>
      <c r="C47" s="151">
        <f t="shared" si="0"/>
        <v>0</v>
      </c>
      <c r="D47" s="151">
        <f t="shared" si="1"/>
        <v>0</v>
      </c>
      <c r="E47" s="151">
        <f t="shared" si="2"/>
        <v>0</v>
      </c>
      <c r="F47" s="151">
        <f t="shared" si="3"/>
        <v>0</v>
      </c>
      <c r="G47" s="131">
        <f t="shared" si="4"/>
        <v>0</v>
      </c>
    </row>
    <row r="48" spans="1:7" x14ac:dyDescent="0.25">
      <c r="A48" s="149">
        <f t="shared" si="6"/>
        <v>30</v>
      </c>
      <c r="B48" s="151">
        <f t="shared" si="5"/>
        <v>0</v>
      </c>
      <c r="C48" s="151">
        <f t="shared" si="0"/>
        <v>0</v>
      </c>
      <c r="D48" s="151">
        <f t="shared" si="1"/>
        <v>0</v>
      </c>
      <c r="E48" s="151">
        <f t="shared" si="2"/>
        <v>0</v>
      </c>
      <c r="F48" s="151">
        <f t="shared" si="3"/>
        <v>0</v>
      </c>
      <c r="G48" s="131">
        <f t="shared" si="4"/>
        <v>0</v>
      </c>
    </row>
    <row r="49" spans="1:7" x14ac:dyDescent="0.25">
      <c r="A49" s="149">
        <f t="shared" si="6"/>
        <v>31</v>
      </c>
      <c r="B49" s="151">
        <f t="shared" si="5"/>
        <v>0</v>
      </c>
      <c r="C49" s="151">
        <f t="shared" si="0"/>
        <v>0</v>
      </c>
      <c r="D49" s="151">
        <f t="shared" si="1"/>
        <v>0</v>
      </c>
      <c r="E49" s="151">
        <f t="shared" si="2"/>
        <v>0</v>
      </c>
      <c r="F49" s="151">
        <f t="shared" si="3"/>
        <v>0</v>
      </c>
      <c r="G49" s="131">
        <f t="shared" si="4"/>
        <v>0</v>
      </c>
    </row>
    <row r="50" spans="1:7" x14ac:dyDescent="0.25">
      <c r="A50" s="149">
        <f t="shared" si="6"/>
        <v>32</v>
      </c>
      <c r="B50" s="151">
        <f t="shared" si="5"/>
        <v>0</v>
      </c>
      <c r="C50" s="151">
        <f t="shared" si="0"/>
        <v>0</v>
      </c>
      <c r="D50" s="151">
        <f t="shared" si="1"/>
        <v>0</v>
      </c>
      <c r="E50" s="151">
        <f t="shared" si="2"/>
        <v>0</v>
      </c>
      <c r="F50" s="151">
        <f t="shared" si="3"/>
        <v>0</v>
      </c>
      <c r="G50" s="131">
        <f t="shared" si="4"/>
        <v>0</v>
      </c>
    </row>
    <row r="51" spans="1:7" x14ac:dyDescent="0.25">
      <c r="A51" s="149">
        <f t="shared" si="6"/>
        <v>33</v>
      </c>
      <c r="B51" s="151">
        <f t="shared" si="5"/>
        <v>0</v>
      </c>
      <c r="C51" s="151">
        <f t="shared" ref="C51:C82" si="7">IF(ISERROR(IPMT(C$6/12,A51,$C$8,-$B$19,0)),0,IPMT(C$6/12,A51,$C$8,-$B$19,0))</f>
        <v>0</v>
      </c>
      <c r="D51" s="151">
        <f t="shared" ref="D51:D82" si="8">IF(ISERROR(PPMT($C$6/12,$A51,$C$8,-$B$19,0)),0,PPMT($C$6/12,$A51,$C$8,-$B$19,0))</f>
        <v>0</v>
      </c>
      <c r="E51" s="151">
        <f t="shared" si="2"/>
        <v>0</v>
      </c>
      <c r="F51" s="151">
        <f t="shared" si="3"/>
        <v>0</v>
      </c>
      <c r="G51" s="131">
        <f t="shared" ref="G51:G82" si="9">E51/$C$10</f>
        <v>0</v>
      </c>
    </row>
    <row r="52" spans="1:7" x14ac:dyDescent="0.25">
      <c r="A52" s="149">
        <f t="shared" si="6"/>
        <v>34</v>
      </c>
      <c r="B52" s="151">
        <f t="shared" si="5"/>
        <v>0</v>
      </c>
      <c r="C52" s="151">
        <f t="shared" si="7"/>
        <v>0</v>
      </c>
      <c r="D52" s="151">
        <f t="shared" si="8"/>
        <v>0</v>
      </c>
      <c r="E52" s="151">
        <f t="shared" si="2"/>
        <v>0</v>
      </c>
      <c r="F52" s="151">
        <f t="shared" si="3"/>
        <v>0</v>
      </c>
      <c r="G52" s="131">
        <f t="shared" si="9"/>
        <v>0</v>
      </c>
    </row>
    <row r="53" spans="1:7" x14ac:dyDescent="0.25">
      <c r="A53" s="149">
        <f t="shared" si="6"/>
        <v>35</v>
      </c>
      <c r="B53" s="151">
        <f t="shared" si="5"/>
        <v>0</v>
      </c>
      <c r="C53" s="151">
        <f t="shared" si="7"/>
        <v>0</v>
      </c>
      <c r="D53" s="151">
        <f t="shared" si="8"/>
        <v>0</v>
      </c>
      <c r="E53" s="151">
        <f t="shared" si="2"/>
        <v>0</v>
      </c>
      <c r="F53" s="151">
        <f t="shared" si="3"/>
        <v>0</v>
      </c>
      <c r="G53" s="131">
        <f t="shared" si="9"/>
        <v>0</v>
      </c>
    </row>
    <row r="54" spans="1:7" x14ac:dyDescent="0.25">
      <c r="A54" s="149">
        <f t="shared" si="6"/>
        <v>36</v>
      </c>
      <c r="B54" s="151">
        <f t="shared" si="5"/>
        <v>0</v>
      </c>
      <c r="C54" s="151">
        <f t="shared" si="7"/>
        <v>0</v>
      </c>
      <c r="D54" s="151">
        <f t="shared" si="8"/>
        <v>0</v>
      </c>
      <c r="E54" s="151">
        <f t="shared" si="2"/>
        <v>0</v>
      </c>
      <c r="F54" s="151">
        <f t="shared" si="3"/>
        <v>0</v>
      </c>
      <c r="G54" s="131">
        <f t="shared" si="9"/>
        <v>0</v>
      </c>
    </row>
    <row r="55" spans="1:7" x14ac:dyDescent="0.25">
      <c r="A55" s="149">
        <f t="shared" si="6"/>
        <v>37</v>
      </c>
      <c r="B55" s="151">
        <f t="shared" si="5"/>
        <v>0</v>
      </c>
      <c r="C55" s="151">
        <f t="shared" si="7"/>
        <v>0</v>
      </c>
      <c r="D55" s="151">
        <f t="shared" si="8"/>
        <v>0</v>
      </c>
      <c r="E55" s="151">
        <f t="shared" si="2"/>
        <v>0</v>
      </c>
      <c r="F55" s="151">
        <f t="shared" si="3"/>
        <v>0</v>
      </c>
      <c r="G55" s="131">
        <f t="shared" si="9"/>
        <v>0</v>
      </c>
    </row>
    <row r="56" spans="1:7" x14ac:dyDescent="0.25">
      <c r="A56" s="149">
        <f t="shared" si="6"/>
        <v>38</v>
      </c>
      <c r="B56" s="151">
        <f t="shared" si="5"/>
        <v>0</v>
      </c>
      <c r="C56" s="151">
        <f t="shared" si="7"/>
        <v>0</v>
      </c>
      <c r="D56" s="151">
        <f t="shared" si="8"/>
        <v>0</v>
      </c>
      <c r="E56" s="151">
        <f t="shared" si="2"/>
        <v>0</v>
      </c>
      <c r="F56" s="151">
        <f t="shared" si="3"/>
        <v>0</v>
      </c>
      <c r="G56" s="131">
        <f t="shared" si="9"/>
        <v>0</v>
      </c>
    </row>
    <row r="57" spans="1:7" x14ac:dyDescent="0.25">
      <c r="A57" s="149">
        <f t="shared" si="6"/>
        <v>39</v>
      </c>
      <c r="B57" s="151">
        <f t="shared" si="5"/>
        <v>0</v>
      </c>
      <c r="C57" s="151">
        <f t="shared" si="7"/>
        <v>0</v>
      </c>
      <c r="D57" s="151">
        <f t="shared" si="8"/>
        <v>0</v>
      </c>
      <c r="E57" s="151">
        <f t="shared" si="2"/>
        <v>0</v>
      </c>
      <c r="F57" s="151">
        <f t="shared" si="3"/>
        <v>0</v>
      </c>
      <c r="G57" s="131">
        <f t="shared" si="9"/>
        <v>0</v>
      </c>
    </row>
    <row r="58" spans="1:7" x14ac:dyDescent="0.25">
      <c r="A58" s="149">
        <f t="shared" si="6"/>
        <v>40</v>
      </c>
      <c r="B58" s="151">
        <f t="shared" si="5"/>
        <v>0</v>
      </c>
      <c r="C58" s="151">
        <f t="shared" si="7"/>
        <v>0</v>
      </c>
      <c r="D58" s="151">
        <f t="shared" si="8"/>
        <v>0</v>
      </c>
      <c r="E58" s="151">
        <f t="shared" si="2"/>
        <v>0</v>
      </c>
      <c r="F58" s="151">
        <f t="shared" si="3"/>
        <v>0</v>
      </c>
      <c r="G58" s="131">
        <f t="shared" si="9"/>
        <v>0</v>
      </c>
    </row>
    <row r="59" spans="1:7" x14ac:dyDescent="0.25">
      <c r="A59" s="149">
        <f t="shared" si="6"/>
        <v>41</v>
      </c>
      <c r="B59" s="151">
        <f t="shared" si="5"/>
        <v>0</v>
      </c>
      <c r="C59" s="151">
        <f t="shared" si="7"/>
        <v>0</v>
      </c>
      <c r="D59" s="151">
        <f t="shared" si="8"/>
        <v>0</v>
      </c>
      <c r="E59" s="151">
        <f t="shared" si="2"/>
        <v>0</v>
      </c>
      <c r="F59" s="151">
        <f t="shared" si="3"/>
        <v>0</v>
      </c>
      <c r="G59" s="131">
        <f t="shared" si="9"/>
        <v>0</v>
      </c>
    </row>
    <row r="60" spans="1:7" x14ac:dyDescent="0.25">
      <c r="A60" s="149">
        <f t="shared" si="6"/>
        <v>42</v>
      </c>
      <c r="B60" s="151">
        <f t="shared" si="5"/>
        <v>0</v>
      </c>
      <c r="C60" s="151">
        <f t="shared" si="7"/>
        <v>0</v>
      </c>
      <c r="D60" s="151">
        <f t="shared" si="8"/>
        <v>0</v>
      </c>
      <c r="E60" s="151">
        <f t="shared" si="2"/>
        <v>0</v>
      </c>
      <c r="F60" s="151">
        <f t="shared" si="3"/>
        <v>0</v>
      </c>
      <c r="G60" s="131">
        <f t="shared" si="9"/>
        <v>0</v>
      </c>
    </row>
    <row r="61" spans="1:7" x14ac:dyDescent="0.25">
      <c r="A61" s="149">
        <f t="shared" si="6"/>
        <v>43</v>
      </c>
      <c r="B61" s="151">
        <f t="shared" si="5"/>
        <v>0</v>
      </c>
      <c r="C61" s="151">
        <f t="shared" si="7"/>
        <v>0</v>
      </c>
      <c r="D61" s="151">
        <f t="shared" si="8"/>
        <v>0</v>
      </c>
      <c r="E61" s="151">
        <f t="shared" si="2"/>
        <v>0</v>
      </c>
      <c r="F61" s="151">
        <f t="shared" si="3"/>
        <v>0</v>
      </c>
      <c r="G61" s="131">
        <f t="shared" si="9"/>
        <v>0</v>
      </c>
    </row>
    <row r="62" spans="1:7" x14ac:dyDescent="0.25">
      <c r="A62" s="149">
        <f t="shared" si="6"/>
        <v>44</v>
      </c>
      <c r="B62" s="151">
        <f t="shared" si="5"/>
        <v>0</v>
      </c>
      <c r="C62" s="151">
        <f t="shared" si="7"/>
        <v>0</v>
      </c>
      <c r="D62" s="151">
        <f t="shared" si="8"/>
        <v>0</v>
      </c>
      <c r="E62" s="151">
        <f t="shared" si="2"/>
        <v>0</v>
      </c>
      <c r="F62" s="151">
        <f t="shared" si="3"/>
        <v>0</v>
      </c>
      <c r="G62" s="131">
        <f t="shared" si="9"/>
        <v>0</v>
      </c>
    </row>
    <row r="63" spans="1:7" x14ac:dyDescent="0.25">
      <c r="A63" s="149">
        <f t="shared" si="6"/>
        <v>45</v>
      </c>
      <c r="B63" s="151">
        <f t="shared" si="5"/>
        <v>0</v>
      </c>
      <c r="C63" s="151">
        <f t="shared" si="7"/>
        <v>0</v>
      </c>
      <c r="D63" s="151">
        <f t="shared" si="8"/>
        <v>0</v>
      </c>
      <c r="E63" s="151">
        <f t="shared" si="2"/>
        <v>0</v>
      </c>
      <c r="F63" s="151">
        <f t="shared" si="3"/>
        <v>0</v>
      </c>
      <c r="G63" s="131">
        <f t="shared" si="9"/>
        <v>0</v>
      </c>
    </row>
    <row r="64" spans="1:7" x14ac:dyDescent="0.25">
      <c r="A64" s="149">
        <f t="shared" si="6"/>
        <v>46</v>
      </c>
      <c r="B64" s="151">
        <f t="shared" si="5"/>
        <v>0</v>
      </c>
      <c r="C64" s="151">
        <f t="shared" si="7"/>
        <v>0</v>
      </c>
      <c r="D64" s="151">
        <f t="shared" si="8"/>
        <v>0</v>
      </c>
      <c r="E64" s="151">
        <f t="shared" si="2"/>
        <v>0</v>
      </c>
      <c r="F64" s="151">
        <f t="shared" si="3"/>
        <v>0</v>
      </c>
      <c r="G64" s="131">
        <f t="shared" si="9"/>
        <v>0</v>
      </c>
    </row>
    <row r="65" spans="1:7" x14ac:dyDescent="0.25">
      <c r="A65" s="149">
        <f t="shared" si="6"/>
        <v>47</v>
      </c>
      <c r="B65" s="151">
        <f t="shared" si="5"/>
        <v>0</v>
      </c>
      <c r="C65" s="151">
        <f t="shared" si="7"/>
        <v>0</v>
      </c>
      <c r="D65" s="151">
        <f t="shared" si="8"/>
        <v>0</v>
      </c>
      <c r="E65" s="151">
        <f t="shared" si="2"/>
        <v>0</v>
      </c>
      <c r="F65" s="151">
        <f t="shared" si="3"/>
        <v>0</v>
      </c>
      <c r="G65" s="131">
        <f t="shared" si="9"/>
        <v>0</v>
      </c>
    </row>
    <row r="66" spans="1:7" x14ac:dyDescent="0.25">
      <c r="A66" s="149">
        <f t="shared" si="6"/>
        <v>48</v>
      </c>
      <c r="B66" s="151">
        <f t="shared" si="5"/>
        <v>0</v>
      </c>
      <c r="C66" s="151">
        <f t="shared" si="7"/>
        <v>0</v>
      </c>
      <c r="D66" s="151">
        <f t="shared" si="8"/>
        <v>0</v>
      </c>
      <c r="E66" s="151">
        <f t="shared" si="2"/>
        <v>0</v>
      </c>
      <c r="F66" s="151">
        <f t="shared" si="3"/>
        <v>0</v>
      </c>
      <c r="G66" s="131">
        <f t="shared" si="9"/>
        <v>0</v>
      </c>
    </row>
    <row r="67" spans="1:7" x14ac:dyDescent="0.25">
      <c r="A67" s="149">
        <f t="shared" si="6"/>
        <v>49</v>
      </c>
      <c r="B67" s="151">
        <f t="shared" si="5"/>
        <v>0</v>
      </c>
      <c r="C67" s="151">
        <f t="shared" si="7"/>
        <v>0</v>
      </c>
      <c r="D67" s="151">
        <f t="shared" si="8"/>
        <v>0</v>
      </c>
      <c r="E67" s="151">
        <f t="shared" si="2"/>
        <v>0</v>
      </c>
      <c r="F67" s="151">
        <f t="shared" si="3"/>
        <v>0</v>
      </c>
      <c r="G67" s="131">
        <f t="shared" si="9"/>
        <v>0</v>
      </c>
    </row>
    <row r="68" spans="1:7" x14ac:dyDescent="0.25">
      <c r="A68" s="149">
        <f t="shared" si="6"/>
        <v>50</v>
      </c>
      <c r="B68" s="151">
        <f t="shared" si="5"/>
        <v>0</v>
      </c>
      <c r="C68" s="151">
        <f t="shared" si="7"/>
        <v>0</v>
      </c>
      <c r="D68" s="151">
        <f t="shared" si="8"/>
        <v>0</v>
      </c>
      <c r="E68" s="151">
        <f t="shared" si="2"/>
        <v>0</v>
      </c>
      <c r="F68" s="151">
        <f t="shared" si="3"/>
        <v>0</v>
      </c>
      <c r="G68" s="131">
        <f t="shared" si="9"/>
        <v>0</v>
      </c>
    </row>
    <row r="69" spans="1:7" x14ac:dyDescent="0.25">
      <c r="A69" s="149">
        <f t="shared" si="6"/>
        <v>51</v>
      </c>
      <c r="B69" s="151">
        <f t="shared" si="5"/>
        <v>0</v>
      </c>
      <c r="C69" s="151">
        <f t="shared" si="7"/>
        <v>0</v>
      </c>
      <c r="D69" s="151">
        <f t="shared" si="8"/>
        <v>0</v>
      </c>
      <c r="E69" s="151">
        <f t="shared" si="2"/>
        <v>0</v>
      </c>
      <c r="F69" s="151">
        <f t="shared" si="3"/>
        <v>0</v>
      </c>
      <c r="G69" s="131">
        <f t="shared" si="9"/>
        <v>0</v>
      </c>
    </row>
    <row r="70" spans="1:7" x14ac:dyDescent="0.25">
      <c r="A70" s="149">
        <f t="shared" si="6"/>
        <v>52</v>
      </c>
      <c r="B70" s="151">
        <f t="shared" si="5"/>
        <v>0</v>
      </c>
      <c r="C70" s="151">
        <f t="shared" si="7"/>
        <v>0</v>
      </c>
      <c r="D70" s="151">
        <f t="shared" si="8"/>
        <v>0</v>
      </c>
      <c r="E70" s="151">
        <f t="shared" si="2"/>
        <v>0</v>
      </c>
      <c r="F70" s="151">
        <f t="shared" si="3"/>
        <v>0</v>
      </c>
      <c r="G70" s="131">
        <f t="shared" si="9"/>
        <v>0</v>
      </c>
    </row>
    <row r="71" spans="1:7" x14ac:dyDescent="0.25">
      <c r="A71" s="149">
        <f t="shared" si="6"/>
        <v>53</v>
      </c>
      <c r="B71" s="151">
        <f t="shared" si="5"/>
        <v>0</v>
      </c>
      <c r="C71" s="151">
        <f t="shared" si="7"/>
        <v>0</v>
      </c>
      <c r="D71" s="151">
        <f t="shared" si="8"/>
        <v>0</v>
      </c>
      <c r="E71" s="151">
        <f t="shared" si="2"/>
        <v>0</v>
      </c>
      <c r="F71" s="151">
        <f t="shared" si="3"/>
        <v>0</v>
      </c>
      <c r="G71" s="131">
        <f t="shared" si="9"/>
        <v>0</v>
      </c>
    </row>
    <row r="72" spans="1:7" x14ac:dyDescent="0.25">
      <c r="A72" s="149">
        <f t="shared" si="6"/>
        <v>54</v>
      </c>
      <c r="B72" s="151">
        <f t="shared" si="5"/>
        <v>0</v>
      </c>
      <c r="C72" s="151">
        <f t="shared" si="7"/>
        <v>0</v>
      </c>
      <c r="D72" s="151">
        <f t="shared" si="8"/>
        <v>0</v>
      </c>
      <c r="E72" s="151">
        <f t="shared" si="2"/>
        <v>0</v>
      </c>
      <c r="F72" s="151">
        <f t="shared" si="3"/>
        <v>0</v>
      </c>
      <c r="G72" s="131">
        <f t="shared" si="9"/>
        <v>0</v>
      </c>
    </row>
    <row r="73" spans="1:7" x14ac:dyDescent="0.25">
      <c r="A73" s="149">
        <f t="shared" si="6"/>
        <v>55</v>
      </c>
      <c r="B73" s="151">
        <f t="shared" si="5"/>
        <v>0</v>
      </c>
      <c r="C73" s="151">
        <f t="shared" si="7"/>
        <v>0</v>
      </c>
      <c r="D73" s="151">
        <f t="shared" si="8"/>
        <v>0</v>
      </c>
      <c r="E73" s="151">
        <f t="shared" si="2"/>
        <v>0</v>
      </c>
      <c r="F73" s="151">
        <f t="shared" si="3"/>
        <v>0</v>
      </c>
      <c r="G73" s="131">
        <f t="shared" si="9"/>
        <v>0</v>
      </c>
    </row>
    <row r="74" spans="1:7" x14ac:dyDescent="0.25">
      <c r="A74" s="149">
        <f t="shared" si="6"/>
        <v>56</v>
      </c>
      <c r="B74" s="151">
        <f t="shared" si="5"/>
        <v>0</v>
      </c>
      <c r="C74" s="151">
        <f t="shared" si="7"/>
        <v>0</v>
      </c>
      <c r="D74" s="151">
        <f t="shared" si="8"/>
        <v>0</v>
      </c>
      <c r="E74" s="151">
        <f t="shared" si="2"/>
        <v>0</v>
      </c>
      <c r="F74" s="151">
        <f t="shared" si="3"/>
        <v>0</v>
      </c>
      <c r="G74" s="131">
        <f t="shared" si="9"/>
        <v>0</v>
      </c>
    </row>
    <row r="75" spans="1:7" x14ac:dyDescent="0.25">
      <c r="A75" s="149">
        <f t="shared" si="6"/>
        <v>57</v>
      </c>
      <c r="B75" s="151">
        <f t="shared" si="5"/>
        <v>0</v>
      </c>
      <c r="C75" s="151">
        <f t="shared" si="7"/>
        <v>0</v>
      </c>
      <c r="D75" s="151">
        <f t="shared" si="8"/>
        <v>0</v>
      </c>
      <c r="E75" s="151">
        <f t="shared" si="2"/>
        <v>0</v>
      </c>
      <c r="F75" s="151">
        <f t="shared" si="3"/>
        <v>0</v>
      </c>
      <c r="G75" s="131">
        <f t="shared" si="9"/>
        <v>0</v>
      </c>
    </row>
    <row r="76" spans="1:7" x14ac:dyDescent="0.25">
      <c r="A76" s="149">
        <f t="shared" si="6"/>
        <v>58</v>
      </c>
      <c r="B76" s="151">
        <f t="shared" si="5"/>
        <v>0</v>
      </c>
      <c r="C76" s="151">
        <f t="shared" si="7"/>
        <v>0</v>
      </c>
      <c r="D76" s="151">
        <f t="shared" si="8"/>
        <v>0</v>
      </c>
      <c r="E76" s="151">
        <f t="shared" si="2"/>
        <v>0</v>
      </c>
      <c r="F76" s="151">
        <f t="shared" si="3"/>
        <v>0</v>
      </c>
      <c r="G76" s="131">
        <f t="shared" si="9"/>
        <v>0</v>
      </c>
    </row>
    <row r="77" spans="1:7" x14ac:dyDescent="0.25">
      <c r="A77" s="149">
        <f t="shared" si="6"/>
        <v>59</v>
      </c>
      <c r="B77" s="151">
        <f t="shared" si="5"/>
        <v>0</v>
      </c>
      <c r="C77" s="151">
        <f t="shared" si="7"/>
        <v>0</v>
      </c>
      <c r="D77" s="151">
        <f t="shared" si="8"/>
        <v>0</v>
      </c>
      <c r="E77" s="151">
        <f t="shared" si="2"/>
        <v>0</v>
      </c>
      <c r="F77" s="151">
        <f t="shared" si="3"/>
        <v>0</v>
      </c>
      <c r="G77" s="131">
        <f t="shared" si="9"/>
        <v>0</v>
      </c>
    </row>
    <row r="78" spans="1:7" x14ac:dyDescent="0.25">
      <c r="A78" s="149">
        <f t="shared" si="6"/>
        <v>60</v>
      </c>
      <c r="B78" s="151">
        <f t="shared" si="5"/>
        <v>0</v>
      </c>
      <c r="C78" s="151">
        <f t="shared" si="7"/>
        <v>0</v>
      </c>
      <c r="D78" s="151">
        <f t="shared" si="8"/>
        <v>0</v>
      </c>
      <c r="E78" s="151">
        <f t="shared" si="2"/>
        <v>0</v>
      </c>
      <c r="F78" s="151">
        <f t="shared" si="3"/>
        <v>0</v>
      </c>
      <c r="G78" s="131">
        <f t="shared" si="9"/>
        <v>0</v>
      </c>
    </row>
    <row r="79" spans="1:7" x14ac:dyDescent="0.25">
      <c r="A79" s="149">
        <f t="shared" si="6"/>
        <v>61</v>
      </c>
      <c r="B79" s="151">
        <f t="shared" si="5"/>
        <v>0</v>
      </c>
      <c r="C79" s="151">
        <f t="shared" si="7"/>
        <v>0</v>
      </c>
      <c r="D79" s="151">
        <f t="shared" si="8"/>
        <v>0</v>
      </c>
      <c r="E79" s="151">
        <f t="shared" si="2"/>
        <v>0</v>
      </c>
      <c r="F79" s="151">
        <f t="shared" si="3"/>
        <v>0</v>
      </c>
      <c r="G79" s="131">
        <f t="shared" si="9"/>
        <v>0</v>
      </c>
    </row>
    <row r="80" spans="1:7" x14ac:dyDescent="0.25">
      <c r="A80" s="149">
        <f t="shared" si="6"/>
        <v>62</v>
      </c>
      <c r="B80" s="151">
        <f t="shared" si="5"/>
        <v>0</v>
      </c>
      <c r="C80" s="151">
        <f t="shared" si="7"/>
        <v>0</v>
      </c>
      <c r="D80" s="151">
        <f t="shared" si="8"/>
        <v>0</v>
      </c>
      <c r="E80" s="151">
        <f t="shared" si="2"/>
        <v>0</v>
      </c>
      <c r="F80" s="151">
        <f t="shared" si="3"/>
        <v>0</v>
      </c>
      <c r="G80" s="131">
        <f t="shared" si="9"/>
        <v>0</v>
      </c>
    </row>
    <row r="81" spans="1:7" x14ac:dyDescent="0.25">
      <c r="A81" s="149">
        <f t="shared" si="6"/>
        <v>63</v>
      </c>
      <c r="B81" s="151">
        <f t="shared" si="5"/>
        <v>0</v>
      </c>
      <c r="C81" s="151">
        <f t="shared" si="7"/>
        <v>0</v>
      </c>
      <c r="D81" s="151">
        <f t="shared" si="8"/>
        <v>0</v>
      </c>
      <c r="E81" s="151">
        <f t="shared" si="2"/>
        <v>0</v>
      </c>
      <c r="F81" s="151">
        <f t="shared" si="3"/>
        <v>0</v>
      </c>
      <c r="G81" s="131">
        <f t="shared" si="9"/>
        <v>0</v>
      </c>
    </row>
    <row r="82" spans="1:7" x14ac:dyDescent="0.25">
      <c r="A82" s="149">
        <f t="shared" si="6"/>
        <v>64</v>
      </c>
      <c r="B82" s="151">
        <f t="shared" si="5"/>
        <v>0</v>
      </c>
      <c r="C82" s="151">
        <f t="shared" si="7"/>
        <v>0</v>
      </c>
      <c r="D82" s="151">
        <f t="shared" si="8"/>
        <v>0</v>
      </c>
      <c r="E82" s="151">
        <f t="shared" si="2"/>
        <v>0</v>
      </c>
      <c r="F82" s="151">
        <f t="shared" si="3"/>
        <v>0</v>
      </c>
      <c r="G82" s="131">
        <f t="shared" si="9"/>
        <v>0</v>
      </c>
    </row>
    <row r="83" spans="1:7" x14ac:dyDescent="0.25">
      <c r="A83" s="149">
        <f t="shared" si="6"/>
        <v>65</v>
      </c>
      <c r="B83" s="151">
        <f t="shared" si="5"/>
        <v>0</v>
      </c>
      <c r="C83" s="151">
        <f t="shared" ref="C83:C114" si="10">IF(ISERROR(IPMT(C$6/12,A83,$C$8,-$B$19,0)),0,IPMT(C$6/12,A83,$C$8,-$B$19,0))</f>
        <v>0</v>
      </c>
      <c r="D83" s="151">
        <f t="shared" ref="D83:D114" si="11">IF(ISERROR(PPMT($C$6/12,$A83,$C$8,-$B$19,0)),0,PPMT($C$6/12,$A83,$C$8,-$B$19,0))</f>
        <v>0</v>
      </c>
      <c r="E83" s="151">
        <f t="shared" ref="E83:E138" si="12">+C83+D83</f>
        <v>0</v>
      </c>
      <c r="F83" s="151">
        <f t="shared" ref="F83:F138" si="13">+B83-D83</f>
        <v>0</v>
      </c>
      <c r="G83" s="131">
        <f t="shared" ref="G83:G114" si="14">E83/$C$10</f>
        <v>0</v>
      </c>
    </row>
    <row r="84" spans="1:7" x14ac:dyDescent="0.25">
      <c r="A84" s="149">
        <f t="shared" si="6"/>
        <v>66</v>
      </c>
      <c r="B84" s="151">
        <f t="shared" ref="B84:B138" si="15">+F83</f>
        <v>0</v>
      </c>
      <c r="C84" s="151">
        <f t="shared" si="10"/>
        <v>0</v>
      </c>
      <c r="D84" s="151">
        <f t="shared" si="11"/>
        <v>0</v>
      </c>
      <c r="E84" s="151">
        <f t="shared" si="12"/>
        <v>0</v>
      </c>
      <c r="F84" s="151">
        <f t="shared" si="13"/>
        <v>0</v>
      </c>
      <c r="G84" s="131">
        <f t="shared" si="14"/>
        <v>0</v>
      </c>
    </row>
    <row r="85" spans="1:7" x14ac:dyDescent="0.25">
      <c r="A85" s="149">
        <f t="shared" ref="A85:A148" si="16">A84+1</f>
        <v>67</v>
      </c>
      <c r="B85" s="151">
        <f t="shared" si="15"/>
        <v>0</v>
      </c>
      <c r="C85" s="151">
        <f t="shared" si="10"/>
        <v>0</v>
      </c>
      <c r="D85" s="151">
        <f t="shared" si="11"/>
        <v>0</v>
      </c>
      <c r="E85" s="151">
        <f t="shared" si="12"/>
        <v>0</v>
      </c>
      <c r="F85" s="151">
        <f t="shared" si="13"/>
        <v>0</v>
      </c>
      <c r="G85" s="131">
        <f t="shared" si="14"/>
        <v>0</v>
      </c>
    </row>
    <row r="86" spans="1:7" x14ac:dyDescent="0.25">
      <c r="A86" s="149">
        <f t="shared" si="16"/>
        <v>68</v>
      </c>
      <c r="B86" s="151">
        <f t="shared" si="15"/>
        <v>0</v>
      </c>
      <c r="C86" s="151">
        <f t="shared" si="10"/>
        <v>0</v>
      </c>
      <c r="D86" s="151">
        <f t="shared" si="11"/>
        <v>0</v>
      </c>
      <c r="E86" s="151">
        <f t="shared" si="12"/>
        <v>0</v>
      </c>
      <c r="F86" s="151">
        <f t="shared" si="13"/>
        <v>0</v>
      </c>
      <c r="G86" s="131">
        <f t="shared" si="14"/>
        <v>0</v>
      </c>
    </row>
    <row r="87" spans="1:7" x14ac:dyDescent="0.25">
      <c r="A87" s="149">
        <f t="shared" si="16"/>
        <v>69</v>
      </c>
      <c r="B87" s="151">
        <f t="shared" si="15"/>
        <v>0</v>
      </c>
      <c r="C87" s="151">
        <f t="shared" si="10"/>
        <v>0</v>
      </c>
      <c r="D87" s="151">
        <f t="shared" si="11"/>
        <v>0</v>
      </c>
      <c r="E87" s="151">
        <f t="shared" si="12"/>
        <v>0</v>
      </c>
      <c r="F87" s="151">
        <f t="shared" si="13"/>
        <v>0</v>
      </c>
      <c r="G87" s="131">
        <f t="shared" si="14"/>
        <v>0</v>
      </c>
    </row>
    <row r="88" spans="1:7" x14ac:dyDescent="0.25">
      <c r="A88" s="149">
        <f t="shared" si="16"/>
        <v>70</v>
      </c>
      <c r="B88" s="151">
        <f t="shared" si="15"/>
        <v>0</v>
      </c>
      <c r="C88" s="151">
        <f t="shared" si="10"/>
        <v>0</v>
      </c>
      <c r="D88" s="151">
        <f t="shared" si="11"/>
        <v>0</v>
      </c>
      <c r="E88" s="151">
        <f t="shared" si="12"/>
        <v>0</v>
      </c>
      <c r="F88" s="151">
        <f t="shared" si="13"/>
        <v>0</v>
      </c>
      <c r="G88" s="131">
        <f t="shared" si="14"/>
        <v>0</v>
      </c>
    </row>
    <row r="89" spans="1:7" x14ac:dyDescent="0.25">
      <c r="A89" s="149">
        <f t="shared" si="16"/>
        <v>71</v>
      </c>
      <c r="B89" s="151">
        <f t="shared" si="15"/>
        <v>0</v>
      </c>
      <c r="C89" s="151">
        <f t="shared" si="10"/>
        <v>0</v>
      </c>
      <c r="D89" s="151">
        <f t="shared" si="11"/>
        <v>0</v>
      </c>
      <c r="E89" s="151">
        <f t="shared" si="12"/>
        <v>0</v>
      </c>
      <c r="F89" s="151">
        <f t="shared" si="13"/>
        <v>0</v>
      </c>
      <c r="G89" s="131">
        <f t="shared" si="14"/>
        <v>0</v>
      </c>
    </row>
    <row r="90" spans="1:7" x14ac:dyDescent="0.25">
      <c r="A90" s="149">
        <f t="shared" si="16"/>
        <v>72</v>
      </c>
      <c r="B90" s="151">
        <f t="shared" si="15"/>
        <v>0</v>
      </c>
      <c r="C90" s="151">
        <f t="shared" si="10"/>
        <v>0</v>
      </c>
      <c r="D90" s="151">
        <f t="shared" si="11"/>
        <v>0</v>
      </c>
      <c r="E90" s="151">
        <f t="shared" si="12"/>
        <v>0</v>
      </c>
      <c r="F90" s="151">
        <f t="shared" si="13"/>
        <v>0</v>
      </c>
      <c r="G90" s="131">
        <f t="shared" si="14"/>
        <v>0</v>
      </c>
    </row>
    <row r="91" spans="1:7" x14ac:dyDescent="0.25">
      <c r="A91" s="149">
        <f t="shared" si="16"/>
        <v>73</v>
      </c>
      <c r="B91" s="151">
        <f t="shared" si="15"/>
        <v>0</v>
      </c>
      <c r="C91" s="151">
        <f t="shared" si="10"/>
        <v>0</v>
      </c>
      <c r="D91" s="151">
        <f t="shared" si="11"/>
        <v>0</v>
      </c>
      <c r="E91" s="151">
        <f t="shared" si="12"/>
        <v>0</v>
      </c>
      <c r="F91" s="151">
        <f t="shared" si="13"/>
        <v>0</v>
      </c>
      <c r="G91" s="131">
        <f t="shared" si="14"/>
        <v>0</v>
      </c>
    </row>
    <row r="92" spans="1:7" x14ac:dyDescent="0.25">
      <c r="A92" s="149">
        <f t="shared" si="16"/>
        <v>74</v>
      </c>
      <c r="B92" s="151">
        <f t="shared" si="15"/>
        <v>0</v>
      </c>
      <c r="C92" s="151">
        <f t="shared" si="10"/>
        <v>0</v>
      </c>
      <c r="D92" s="151">
        <f t="shared" si="11"/>
        <v>0</v>
      </c>
      <c r="E92" s="151">
        <f t="shared" si="12"/>
        <v>0</v>
      </c>
      <c r="F92" s="151">
        <f t="shared" si="13"/>
        <v>0</v>
      </c>
      <c r="G92" s="131">
        <f t="shared" si="14"/>
        <v>0</v>
      </c>
    </row>
    <row r="93" spans="1:7" x14ac:dyDescent="0.25">
      <c r="A93" s="149">
        <f t="shared" si="16"/>
        <v>75</v>
      </c>
      <c r="B93" s="151">
        <f t="shared" si="15"/>
        <v>0</v>
      </c>
      <c r="C93" s="151">
        <f t="shared" si="10"/>
        <v>0</v>
      </c>
      <c r="D93" s="151">
        <f t="shared" si="11"/>
        <v>0</v>
      </c>
      <c r="E93" s="151">
        <f t="shared" si="12"/>
        <v>0</v>
      </c>
      <c r="F93" s="151">
        <f t="shared" si="13"/>
        <v>0</v>
      </c>
      <c r="G93" s="131">
        <f t="shared" si="14"/>
        <v>0</v>
      </c>
    </row>
    <row r="94" spans="1:7" x14ac:dyDescent="0.25">
      <c r="A94" s="149">
        <f t="shared" si="16"/>
        <v>76</v>
      </c>
      <c r="B94" s="151">
        <f t="shared" si="15"/>
        <v>0</v>
      </c>
      <c r="C94" s="151">
        <f t="shared" si="10"/>
        <v>0</v>
      </c>
      <c r="D94" s="151">
        <f t="shared" si="11"/>
        <v>0</v>
      </c>
      <c r="E94" s="151">
        <f t="shared" si="12"/>
        <v>0</v>
      </c>
      <c r="F94" s="151">
        <f t="shared" si="13"/>
        <v>0</v>
      </c>
      <c r="G94" s="131">
        <f t="shared" si="14"/>
        <v>0</v>
      </c>
    </row>
    <row r="95" spans="1:7" x14ac:dyDescent="0.25">
      <c r="A95" s="149">
        <f t="shared" si="16"/>
        <v>77</v>
      </c>
      <c r="B95" s="151">
        <f t="shared" si="15"/>
        <v>0</v>
      </c>
      <c r="C95" s="151">
        <f t="shared" si="10"/>
        <v>0</v>
      </c>
      <c r="D95" s="151">
        <f t="shared" si="11"/>
        <v>0</v>
      </c>
      <c r="E95" s="151">
        <f t="shared" si="12"/>
        <v>0</v>
      </c>
      <c r="F95" s="151">
        <f t="shared" si="13"/>
        <v>0</v>
      </c>
      <c r="G95" s="131">
        <f t="shared" si="14"/>
        <v>0</v>
      </c>
    </row>
    <row r="96" spans="1:7" x14ac:dyDescent="0.25">
      <c r="A96" s="149">
        <f t="shared" si="16"/>
        <v>78</v>
      </c>
      <c r="B96" s="151">
        <f t="shared" si="15"/>
        <v>0</v>
      </c>
      <c r="C96" s="151">
        <f t="shared" si="10"/>
        <v>0</v>
      </c>
      <c r="D96" s="151">
        <f t="shared" si="11"/>
        <v>0</v>
      </c>
      <c r="E96" s="151">
        <f t="shared" si="12"/>
        <v>0</v>
      </c>
      <c r="F96" s="151">
        <f t="shared" si="13"/>
        <v>0</v>
      </c>
      <c r="G96" s="131">
        <f t="shared" si="14"/>
        <v>0</v>
      </c>
    </row>
    <row r="97" spans="1:7" x14ac:dyDescent="0.25">
      <c r="A97" s="149">
        <f t="shared" si="16"/>
        <v>79</v>
      </c>
      <c r="B97" s="151">
        <f t="shared" si="15"/>
        <v>0</v>
      </c>
      <c r="C97" s="151">
        <f t="shared" si="10"/>
        <v>0</v>
      </c>
      <c r="D97" s="151">
        <f t="shared" si="11"/>
        <v>0</v>
      </c>
      <c r="E97" s="151">
        <f t="shared" si="12"/>
        <v>0</v>
      </c>
      <c r="F97" s="151">
        <f t="shared" si="13"/>
        <v>0</v>
      </c>
      <c r="G97" s="131">
        <f t="shared" si="14"/>
        <v>0</v>
      </c>
    </row>
    <row r="98" spans="1:7" x14ac:dyDescent="0.25">
      <c r="A98" s="149">
        <f t="shared" si="16"/>
        <v>80</v>
      </c>
      <c r="B98" s="151">
        <f t="shared" si="15"/>
        <v>0</v>
      </c>
      <c r="C98" s="151">
        <f t="shared" si="10"/>
        <v>0</v>
      </c>
      <c r="D98" s="151">
        <f t="shared" si="11"/>
        <v>0</v>
      </c>
      <c r="E98" s="151">
        <f t="shared" si="12"/>
        <v>0</v>
      </c>
      <c r="F98" s="151">
        <f t="shared" si="13"/>
        <v>0</v>
      </c>
      <c r="G98" s="131">
        <f t="shared" si="14"/>
        <v>0</v>
      </c>
    </row>
    <row r="99" spans="1:7" x14ac:dyDescent="0.25">
      <c r="A99" s="149">
        <f t="shared" si="16"/>
        <v>81</v>
      </c>
      <c r="B99" s="151">
        <f t="shared" si="15"/>
        <v>0</v>
      </c>
      <c r="C99" s="151">
        <f t="shared" si="10"/>
        <v>0</v>
      </c>
      <c r="D99" s="151">
        <f t="shared" si="11"/>
        <v>0</v>
      </c>
      <c r="E99" s="151">
        <f t="shared" si="12"/>
        <v>0</v>
      </c>
      <c r="F99" s="151">
        <f t="shared" si="13"/>
        <v>0</v>
      </c>
      <c r="G99" s="131">
        <f t="shared" si="14"/>
        <v>0</v>
      </c>
    </row>
    <row r="100" spans="1:7" x14ac:dyDescent="0.25">
      <c r="A100" s="149">
        <f t="shared" si="16"/>
        <v>82</v>
      </c>
      <c r="B100" s="151">
        <f t="shared" si="15"/>
        <v>0</v>
      </c>
      <c r="C100" s="151">
        <f t="shared" si="10"/>
        <v>0</v>
      </c>
      <c r="D100" s="151">
        <f t="shared" si="11"/>
        <v>0</v>
      </c>
      <c r="E100" s="151">
        <f t="shared" si="12"/>
        <v>0</v>
      </c>
      <c r="F100" s="151">
        <f t="shared" si="13"/>
        <v>0</v>
      </c>
      <c r="G100" s="131">
        <f t="shared" si="14"/>
        <v>0</v>
      </c>
    </row>
    <row r="101" spans="1:7" x14ac:dyDescent="0.25">
      <c r="A101" s="149">
        <f t="shared" si="16"/>
        <v>83</v>
      </c>
      <c r="B101" s="151">
        <f t="shared" si="15"/>
        <v>0</v>
      </c>
      <c r="C101" s="151">
        <f t="shared" si="10"/>
        <v>0</v>
      </c>
      <c r="D101" s="151">
        <f t="shared" si="11"/>
        <v>0</v>
      </c>
      <c r="E101" s="151">
        <f t="shared" si="12"/>
        <v>0</v>
      </c>
      <c r="F101" s="151">
        <f t="shared" si="13"/>
        <v>0</v>
      </c>
      <c r="G101" s="131">
        <f t="shared" si="14"/>
        <v>0</v>
      </c>
    </row>
    <row r="102" spans="1:7" x14ac:dyDescent="0.25">
      <c r="A102" s="149">
        <f t="shared" si="16"/>
        <v>84</v>
      </c>
      <c r="B102" s="151">
        <f t="shared" si="15"/>
        <v>0</v>
      </c>
      <c r="C102" s="151">
        <f t="shared" si="10"/>
        <v>0</v>
      </c>
      <c r="D102" s="151">
        <f t="shared" si="11"/>
        <v>0</v>
      </c>
      <c r="E102" s="151">
        <f t="shared" si="12"/>
        <v>0</v>
      </c>
      <c r="F102" s="151">
        <f t="shared" si="13"/>
        <v>0</v>
      </c>
      <c r="G102" s="131">
        <f t="shared" si="14"/>
        <v>0</v>
      </c>
    </row>
    <row r="103" spans="1:7" x14ac:dyDescent="0.25">
      <c r="A103" s="149">
        <f t="shared" si="16"/>
        <v>85</v>
      </c>
      <c r="B103" s="151">
        <f t="shared" si="15"/>
        <v>0</v>
      </c>
      <c r="C103" s="151">
        <f t="shared" si="10"/>
        <v>0</v>
      </c>
      <c r="D103" s="151">
        <f t="shared" si="11"/>
        <v>0</v>
      </c>
      <c r="E103" s="151">
        <f t="shared" si="12"/>
        <v>0</v>
      </c>
      <c r="F103" s="151">
        <f t="shared" si="13"/>
        <v>0</v>
      </c>
      <c r="G103" s="131">
        <f t="shared" si="14"/>
        <v>0</v>
      </c>
    </row>
    <row r="104" spans="1:7" x14ac:dyDescent="0.25">
      <c r="A104" s="149">
        <f t="shared" si="16"/>
        <v>86</v>
      </c>
      <c r="B104" s="151">
        <f t="shared" si="15"/>
        <v>0</v>
      </c>
      <c r="C104" s="151">
        <f t="shared" si="10"/>
        <v>0</v>
      </c>
      <c r="D104" s="151">
        <f t="shared" si="11"/>
        <v>0</v>
      </c>
      <c r="E104" s="151">
        <f t="shared" si="12"/>
        <v>0</v>
      </c>
      <c r="F104" s="151">
        <f t="shared" si="13"/>
        <v>0</v>
      </c>
      <c r="G104" s="131">
        <f t="shared" si="14"/>
        <v>0</v>
      </c>
    </row>
    <row r="105" spans="1:7" x14ac:dyDescent="0.25">
      <c r="A105" s="149">
        <f t="shared" si="16"/>
        <v>87</v>
      </c>
      <c r="B105" s="151">
        <f t="shared" si="15"/>
        <v>0</v>
      </c>
      <c r="C105" s="151">
        <f t="shared" si="10"/>
        <v>0</v>
      </c>
      <c r="D105" s="151">
        <f t="shared" si="11"/>
        <v>0</v>
      </c>
      <c r="E105" s="151">
        <f t="shared" si="12"/>
        <v>0</v>
      </c>
      <c r="F105" s="151">
        <f t="shared" si="13"/>
        <v>0</v>
      </c>
      <c r="G105" s="131">
        <f t="shared" si="14"/>
        <v>0</v>
      </c>
    </row>
    <row r="106" spans="1:7" x14ac:dyDescent="0.25">
      <c r="A106" s="149">
        <f t="shared" si="16"/>
        <v>88</v>
      </c>
      <c r="B106" s="151">
        <f t="shared" si="15"/>
        <v>0</v>
      </c>
      <c r="C106" s="151">
        <f t="shared" si="10"/>
        <v>0</v>
      </c>
      <c r="D106" s="151">
        <f t="shared" si="11"/>
        <v>0</v>
      </c>
      <c r="E106" s="151">
        <f t="shared" si="12"/>
        <v>0</v>
      </c>
      <c r="F106" s="151">
        <f t="shared" si="13"/>
        <v>0</v>
      </c>
      <c r="G106" s="131">
        <f t="shared" si="14"/>
        <v>0</v>
      </c>
    </row>
    <row r="107" spans="1:7" x14ac:dyDescent="0.25">
      <c r="A107" s="149">
        <f t="shared" si="16"/>
        <v>89</v>
      </c>
      <c r="B107" s="151">
        <f t="shared" si="15"/>
        <v>0</v>
      </c>
      <c r="C107" s="151">
        <f t="shared" si="10"/>
        <v>0</v>
      </c>
      <c r="D107" s="151">
        <f t="shared" si="11"/>
        <v>0</v>
      </c>
      <c r="E107" s="151">
        <f t="shared" si="12"/>
        <v>0</v>
      </c>
      <c r="F107" s="151">
        <f t="shared" si="13"/>
        <v>0</v>
      </c>
      <c r="G107" s="131">
        <f t="shared" si="14"/>
        <v>0</v>
      </c>
    </row>
    <row r="108" spans="1:7" x14ac:dyDescent="0.25">
      <c r="A108" s="149">
        <f t="shared" si="16"/>
        <v>90</v>
      </c>
      <c r="B108" s="151">
        <f t="shared" si="15"/>
        <v>0</v>
      </c>
      <c r="C108" s="151">
        <f t="shared" si="10"/>
        <v>0</v>
      </c>
      <c r="D108" s="151">
        <f t="shared" si="11"/>
        <v>0</v>
      </c>
      <c r="E108" s="151">
        <f t="shared" si="12"/>
        <v>0</v>
      </c>
      <c r="F108" s="151">
        <f t="shared" si="13"/>
        <v>0</v>
      </c>
      <c r="G108" s="131">
        <f t="shared" si="14"/>
        <v>0</v>
      </c>
    </row>
    <row r="109" spans="1:7" x14ac:dyDescent="0.25">
      <c r="A109" s="149">
        <f t="shared" si="16"/>
        <v>91</v>
      </c>
      <c r="B109" s="151">
        <f t="shared" si="15"/>
        <v>0</v>
      </c>
      <c r="C109" s="151">
        <f t="shared" si="10"/>
        <v>0</v>
      </c>
      <c r="D109" s="151">
        <f t="shared" si="11"/>
        <v>0</v>
      </c>
      <c r="E109" s="151">
        <f t="shared" si="12"/>
        <v>0</v>
      </c>
      <c r="F109" s="151">
        <f t="shared" si="13"/>
        <v>0</v>
      </c>
      <c r="G109" s="131">
        <f t="shared" si="14"/>
        <v>0</v>
      </c>
    </row>
    <row r="110" spans="1:7" x14ac:dyDescent="0.25">
      <c r="A110" s="149">
        <f t="shared" si="16"/>
        <v>92</v>
      </c>
      <c r="B110" s="151">
        <f t="shared" si="15"/>
        <v>0</v>
      </c>
      <c r="C110" s="151">
        <f t="shared" si="10"/>
        <v>0</v>
      </c>
      <c r="D110" s="151">
        <f t="shared" si="11"/>
        <v>0</v>
      </c>
      <c r="E110" s="151">
        <f t="shared" si="12"/>
        <v>0</v>
      </c>
      <c r="F110" s="151">
        <f t="shared" si="13"/>
        <v>0</v>
      </c>
      <c r="G110" s="131">
        <f t="shared" si="14"/>
        <v>0</v>
      </c>
    </row>
    <row r="111" spans="1:7" x14ac:dyDescent="0.25">
      <c r="A111" s="149">
        <f t="shared" si="16"/>
        <v>93</v>
      </c>
      <c r="B111" s="151">
        <f t="shared" si="15"/>
        <v>0</v>
      </c>
      <c r="C111" s="151">
        <f t="shared" si="10"/>
        <v>0</v>
      </c>
      <c r="D111" s="151">
        <f t="shared" si="11"/>
        <v>0</v>
      </c>
      <c r="E111" s="151">
        <f t="shared" si="12"/>
        <v>0</v>
      </c>
      <c r="F111" s="151">
        <f t="shared" si="13"/>
        <v>0</v>
      </c>
      <c r="G111" s="131">
        <f t="shared" si="14"/>
        <v>0</v>
      </c>
    </row>
    <row r="112" spans="1:7" x14ac:dyDescent="0.25">
      <c r="A112" s="149">
        <f t="shared" si="16"/>
        <v>94</v>
      </c>
      <c r="B112" s="151">
        <f t="shared" si="15"/>
        <v>0</v>
      </c>
      <c r="C112" s="151">
        <f t="shared" si="10"/>
        <v>0</v>
      </c>
      <c r="D112" s="151">
        <f t="shared" si="11"/>
        <v>0</v>
      </c>
      <c r="E112" s="151">
        <f t="shared" si="12"/>
        <v>0</v>
      </c>
      <c r="F112" s="151">
        <f t="shared" si="13"/>
        <v>0</v>
      </c>
      <c r="G112" s="131">
        <f t="shared" si="14"/>
        <v>0</v>
      </c>
    </row>
    <row r="113" spans="1:7" x14ac:dyDescent="0.25">
      <c r="A113" s="149">
        <f t="shared" si="16"/>
        <v>95</v>
      </c>
      <c r="B113" s="151">
        <f t="shared" si="15"/>
        <v>0</v>
      </c>
      <c r="C113" s="151">
        <f t="shared" si="10"/>
        <v>0</v>
      </c>
      <c r="D113" s="151">
        <f t="shared" si="11"/>
        <v>0</v>
      </c>
      <c r="E113" s="151">
        <f t="shared" si="12"/>
        <v>0</v>
      </c>
      <c r="F113" s="151">
        <f t="shared" si="13"/>
        <v>0</v>
      </c>
      <c r="G113" s="131">
        <f t="shared" si="14"/>
        <v>0</v>
      </c>
    </row>
    <row r="114" spans="1:7" x14ac:dyDescent="0.25">
      <c r="A114" s="149">
        <f t="shared" si="16"/>
        <v>96</v>
      </c>
      <c r="B114" s="151">
        <f t="shared" si="15"/>
        <v>0</v>
      </c>
      <c r="C114" s="151">
        <f t="shared" si="10"/>
        <v>0</v>
      </c>
      <c r="D114" s="151">
        <f t="shared" si="11"/>
        <v>0</v>
      </c>
      <c r="E114" s="151">
        <f t="shared" si="12"/>
        <v>0</v>
      </c>
      <c r="F114" s="151">
        <f t="shared" si="13"/>
        <v>0</v>
      </c>
      <c r="G114" s="131">
        <f t="shared" si="14"/>
        <v>0</v>
      </c>
    </row>
    <row r="115" spans="1:7" x14ac:dyDescent="0.25">
      <c r="A115" s="149">
        <f t="shared" si="16"/>
        <v>97</v>
      </c>
      <c r="B115" s="151">
        <f t="shared" si="15"/>
        <v>0</v>
      </c>
      <c r="C115" s="151">
        <f t="shared" ref="C115:C150" si="17">IF(ISERROR(IPMT(C$6/12,A115,$C$8,-$B$19,0)),0,IPMT(C$6/12,A115,$C$8,-$B$19,0))</f>
        <v>0</v>
      </c>
      <c r="D115" s="151">
        <f t="shared" ref="D115:D150" si="18">IF(ISERROR(PPMT($C$6/12,$A115,$C$8,-$B$19,0)),0,PPMT($C$6/12,$A115,$C$8,-$B$19,0))</f>
        <v>0</v>
      </c>
      <c r="E115" s="151">
        <f t="shared" si="12"/>
        <v>0</v>
      </c>
      <c r="F115" s="151">
        <f t="shared" si="13"/>
        <v>0</v>
      </c>
      <c r="G115" s="131">
        <f t="shared" ref="G115:G150" si="19">E115/$C$10</f>
        <v>0</v>
      </c>
    </row>
    <row r="116" spans="1:7" x14ac:dyDescent="0.25">
      <c r="A116" s="149">
        <f t="shared" si="16"/>
        <v>98</v>
      </c>
      <c r="B116" s="151">
        <f t="shared" si="15"/>
        <v>0</v>
      </c>
      <c r="C116" s="151">
        <f t="shared" si="17"/>
        <v>0</v>
      </c>
      <c r="D116" s="151">
        <f t="shared" si="18"/>
        <v>0</v>
      </c>
      <c r="E116" s="151">
        <f t="shared" si="12"/>
        <v>0</v>
      </c>
      <c r="F116" s="151">
        <f t="shared" si="13"/>
        <v>0</v>
      </c>
      <c r="G116" s="131">
        <f t="shared" si="19"/>
        <v>0</v>
      </c>
    </row>
    <row r="117" spans="1:7" x14ac:dyDescent="0.25">
      <c r="A117" s="149">
        <f t="shared" si="16"/>
        <v>99</v>
      </c>
      <c r="B117" s="151">
        <f t="shared" si="15"/>
        <v>0</v>
      </c>
      <c r="C117" s="151">
        <f t="shared" si="17"/>
        <v>0</v>
      </c>
      <c r="D117" s="151">
        <f t="shared" si="18"/>
        <v>0</v>
      </c>
      <c r="E117" s="151">
        <f t="shared" si="12"/>
        <v>0</v>
      </c>
      <c r="F117" s="151">
        <f t="shared" si="13"/>
        <v>0</v>
      </c>
      <c r="G117" s="131">
        <f t="shared" si="19"/>
        <v>0</v>
      </c>
    </row>
    <row r="118" spans="1:7" x14ac:dyDescent="0.25">
      <c r="A118" s="149">
        <f t="shared" si="16"/>
        <v>100</v>
      </c>
      <c r="B118" s="151">
        <f t="shared" si="15"/>
        <v>0</v>
      </c>
      <c r="C118" s="151">
        <f t="shared" si="17"/>
        <v>0</v>
      </c>
      <c r="D118" s="151">
        <f t="shared" si="18"/>
        <v>0</v>
      </c>
      <c r="E118" s="151">
        <f t="shared" si="12"/>
        <v>0</v>
      </c>
      <c r="F118" s="151">
        <f t="shared" si="13"/>
        <v>0</v>
      </c>
      <c r="G118" s="131">
        <f t="shared" si="19"/>
        <v>0</v>
      </c>
    </row>
    <row r="119" spans="1:7" x14ac:dyDescent="0.25">
      <c r="A119" s="149">
        <f t="shared" si="16"/>
        <v>101</v>
      </c>
      <c r="B119" s="151">
        <f t="shared" si="15"/>
        <v>0</v>
      </c>
      <c r="C119" s="151">
        <f t="shared" si="17"/>
        <v>0</v>
      </c>
      <c r="D119" s="151">
        <f t="shared" si="18"/>
        <v>0</v>
      </c>
      <c r="E119" s="151">
        <f t="shared" si="12"/>
        <v>0</v>
      </c>
      <c r="F119" s="151">
        <f t="shared" si="13"/>
        <v>0</v>
      </c>
      <c r="G119" s="131">
        <f t="shared" si="19"/>
        <v>0</v>
      </c>
    </row>
    <row r="120" spans="1:7" x14ac:dyDescent="0.25">
      <c r="A120" s="149">
        <f t="shared" si="16"/>
        <v>102</v>
      </c>
      <c r="B120" s="151">
        <f t="shared" si="15"/>
        <v>0</v>
      </c>
      <c r="C120" s="151">
        <f t="shared" si="17"/>
        <v>0</v>
      </c>
      <c r="D120" s="151">
        <f t="shared" si="18"/>
        <v>0</v>
      </c>
      <c r="E120" s="151">
        <f t="shared" si="12"/>
        <v>0</v>
      </c>
      <c r="F120" s="151">
        <f t="shared" si="13"/>
        <v>0</v>
      </c>
      <c r="G120" s="131">
        <f t="shared" si="19"/>
        <v>0</v>
      </c>
    </row>
    <row r="121" spans="1:7" x14ac:dyDescent="0.25">
      <c r="A121" s="149">
        <f t="shared" si="16"/>
        <v>103</v>
      </c>
      <c r="B121" s="151">
        <f t="shared" si="15"/>
        <v>0</v>
      </c>
      <c r="C121" s="151">
        <f t="shared" si="17"/>
        <v>0</v>
      </c>
      <c r="D121" s="151">
        <f t="shared" si="18"/>
        <v>0</v>
      </c>
      <c r="E121" s="151">
        <f t="shared" si="12"/>
        <v>0</v>
      </c>
      <c r="F121" s="151">
        <f t="shared" si="13"/>
        <v>0</v>
      </c>
      <c r="G121" s="131">
        <f t="shared" si="19"/>
        <v>0</v>
      </c>
    </row>
    <row r="122" spans="1:7" x14ac:dyDescent="0.25">
      <c r="A122" s="149">
        <f t="shared" si="16"/>
        <v>104</v>
      </c>
      <c r="B122" s="151">
        <f t="shared" si="15"/>
        <v>0</v>
      </c>
      <c r="C122" s="151">
        <f t="shared" si="17"/>
        <v>0</v>
      </c>
      <c r="D122" s="151">
        <f t="shared" si="18"/>
        <v>0</v>
      </c>
      <c r="E122" s="151">
        <f t="shared" si="12"/>
        <v>0</v>
      </c>
      <c r="F122" s="151">
        <f t="shared" si="13"/>
        <v>0</v>
      </c>
      <c r="G122" s="131">
        <f t="shared" si="19"/>
        <v>0</v>
      </c>
    </row>
    <row r="123" spans="1:7" x14ac:dyDescent="0.25">
      <c r="A123" s="149">
        <f t="shared" si="16"/>
        <v>105</v>
      </c>
      <c r="B123" s="151">
        <f t="shared" si="15"/>
        <v>0</v>
      </c>
      <c r="C123" s="151">
        <f t="shared" si="17"/>
        <v>0</v>
      </c>
      <c r="D123" s="151">
        <f t="shared" si="18"/>
        <v>0</v>
      </c>
      <c r="E123" s="151">
        <f t="shared" si="12"/>
        <v>0</v>
      </c>
      <c r="F123" s="151">
        <f t="shared" si="13"/>
        <v>0</v>
      </c>
      <c r="G123" s="131">
        <f t="shared" si="19"/>
        <v>0</v>
      </c>
    </row>
    <row r="124" spans="1:7" x14ac:dyDescent="0.25">
      <c r="A124" s="149">
        <f t="shared" si="16"/>
        <v>106</v>
      </c>
      <c r="B124" s="151">
        <f t="shared" si="15"/>
        <v>0</v>
      </c>
      <c r="C124" s="151">
        <f t="shared" si="17"/>
        <v>0</v>
      </c>
      <c r="D124" s="151">
        <f t="shared" si="18"/>
        <v>0</v>
      </c>
      <c r="E124" s="151">
        <f t="shared" si="12"/>
        <v>0</v>
      </c>
      <c r="F124" s="151">
        <f t="shared" si="13"/>
        <v>0</v>
      </c>
      <c r="G124" s="131">
        <f t="shared" si="19"/>
        <v>0</v>
      </c>
    </row>
    <row r="125" spans="1:7" x14ac:dyDescent="0.25">
      <c r="A125" s="149">
        <f t="shared" si="16"/>
        <v>107</v>
      </c>
      <c r="B125" s="151">
        <f t="shared" si="15"/>
        <v>0</v>
      </c>
      <c r="C125" s="151">
        <f t="shared" si="17"/>
        <v>0</v>
      </c>
      <c r="D125" s="151">
        <f t="shared" si="18"/>
        <v>0</v>
      </c>
      <c r="E125" s="151">
        <f t="shared" si="12"/>
        <v>0</v>
      </c>
      <c r="F125" s="151">
        <f t="shared" si="13"/>
        <v>0</v>
      </c>
      <c r="G125" s="131">
        <f t="shared" si="19"/>
        <v>0</v>
      </c>
    </row>
    <row r="126" spans="1:7" x14ac:dyDescent="0.25">
      <c r="A126" s="149">
        <f t="shared" si="16"/>
        <v>108</v>
      </c>
      <c r="B126" s="151">
        <f t="shared" si="15"/>
        <v>0</v>
      </c>
      <c r="C126" s="151">
        <f t="shared" si="17"/>
        <v>0</v>
      </c>
      <c r="D126" s="151">
        <f t="shared" si="18"/>
        <v>0</v>
      </c>
      <c r="E126" s="151">
        <f t="shared" si="12"/>
        <v>0</v>
      </c>
      <c r="F126" s="151">
        <f t="shared" si="13"/>
        <v>0</v>
      </c>
      <c r="G126" s="131">
        <f t="shared" si="19"/>
        <v>0</v>
      </c>
    </row>
    <row r="127" spans="1:7" x14ac:dyDescent="0.25">
      <c r="A127" s="149">
        <f t="shared" si="16"/>
        <v>109</v>
      </c>
      <c r="B127" s="151">
        <f t="shared" si="15"/>
        <v>0</v>
      </c>
      <c r="C127" s="151">
        <f t="shared" si="17"/>
        <v>0</v>
      </c>
      <c r="D127" s="151">
        <f t="shared" si="18"/>
        <v>0</v>
      </c>
      <c r="E127" s="151">
        <f t="shared" si="12"/>
        <v>0</v>
      </c>
      <c r="F127" s="151">
        <f t="shared" si="13"/>
        <v>0</v>
      </c>
      <c r="G127" s="131">
        <f t="shared" si="19"/>
        <v>0</v>
      </c>
    </row>
    <row r="128" spans="1:7" x14ac:dyDescent="0.25">
      <c r="A128" s="149">
        <f t="shared" si="16"/>
        <v>110</v>
      </c>
      <c r="B128" s="151">
        <f t="shared" si="15"/>
        <v>0</v>
      </c>
      <c r="C128" s="151">
        <f t="shared" si="17"/>
        <v>0</v>
      </c>
      <c r="D128" s="151">
        <f t="shared" si="18"/>
        <v>0</v>
      </c>
      <c r="E128" s="151">
        <f t="shared" si="12"/>
        <v>0</v>
      </c>
      <c r="F128" s="151">
        <f t="shared" si="13"/>
        <v>0</v>
      </c>
      <c r="G128" s="131">
        <f t="shared" si="19"/>
        <v>0</v>
      </c>
    </row>
    <row r="129" spans="1:7" x14ac:dyDescent="0.25">
      <c r="A129" s="149">
        <f t="shared" si="16"/>
        <v>111</v>
      </c>
      <c r="B129" s="151">
        <f t="shared" si="15"/>
        <v>0</v>
      </c>
      <c r="C129" s="151">
        <f t="shared" si="17"/>
        <v>0</v>
      </c>
      <c r="D129" s="151">
        <f t="shared" si="18"/>
        <v>0</v>
      </c>
      <c r="E129" s="151">
        <f t="shared" si="12"/>
        <v>0</v>
      </c>
      <c r="F129" s="151">
        <f t="shared" si="13"/>
        <v>0</v>
      </c>
      <c r="G129" s="131">
        <f t="shared" si="19"/>
        <v>0</v>
      </c>
    </row>
    <row r="130" spans="1:7" x14ac:dyDescent="0.25">
      <c r="A130" s="149">
        <f t="shared" si="16"/>
        <v>112</v>
      </c>
      <c r="B130" s="151">
        <f t="shared" si="15"/>
        <v>0</v>
      </c>
      <c r="C130" s="151">
        <f t="shared" si="17"/>
        <v>0</v>
      </c>
      <c r="D130" s="151">
        <f t="shared" si="18"/>
        <v>0</v>
      </c>
      <c r="E130" s="151">
        <f t="shared" si="12"/>
        <v>0</v>
      </c>
      <c r="F130" s="151">
        <f t="shared" si="13"/>
        <v>0</v>
      </c>
      <c r="G130" s="131">
        <f t="shared" si="19"/>
        <v>0</v>
      </c>
    </row>
    <row r="131" spans="1:7" x14ac:dyDescent="0.25">
      <c r="A131" s="149">
        <f t="shared" si="16"/>
        <v>113</v>
      </c>
      <c r="B131" s="151">
        <f t="shared" si="15"/>
        <v>0</v>
      </c>
      <c r="C131" s="151">
        <f t="shared" si="17"/>
        <v>0</v>
      </c>
      <c r="D131" s="151">
        <f t="shared" si="18"/>
        <v>0</v>
      </c>
      <c r="E131" s="151">
        <f t="shared" si="12"/>
        <v>0</v>
      </c>
      <c r="F131" s="151">
        <f t="shared" si="13"/>
        <v>0</v>
      </c>
      <c r="G131" s="131">
        <f t="shared" si="19"/>
        <v>0</v>
      </c>
    </row>
    <row r="132" spans="1:7" x14ac:dyDescent="0.25">
      <c r="A132" s="149">
        <f t="shared" si="16"/>
        <v>114</v>
      </c>
      <c r="B132" s="151">
        <f t="shared" si="15"/>
        <v>0</v>
      </c>
      <c r="C132" s="151">
        <f t="shared" si="17"/>
        <v>0</v>
      </c>
      <c r="D132" s="151">
        <f t="shared" si="18"/>
        <v>0</v>
      </c>
      <c r="E132" s="151">
        <f t="shared" si="12"/>
        <v>0</v>
      </c>
      <c r="F132" s="151">
        <f t="shared" si="13"/>
        <v>0</v>
      </c>
      <c r="G132" s="131">
        <f t="shared" si="19"/>
        <v>0</v>
      </c>
    </row>
    <row r="133" spans="1:7" x14ac:dyDescent="0.25">
      <c r="A133" s="149">
        <f t="shared" si="16"/>
        <v>115</v>
      </c>
      <c r="B133" s="151">
        <f t="shared" si="15"/>
        <v>0</v>
      </c>
      <c r="C133" s="151">
        <f t="shared" si="17"/>
        <v>0</v>
      </c>
      <c r="D133" s="151">
        <f t="shared" si="18"/>
        <v>0</v>
      </c>
      <c r="E133" s="151">
        <f t="shared" si="12"/>
        <v>0</v>
      </c>
      <c r="F133" s="151">
        <f t="shared" si="13"/>
        <v>0</v>
      </c>
      <c r="G133" s="131">
        <f t="shared" si="19"/>
        <v>0</v>
      </c>
    </row>
    <row r="134" spans="1:7" x14ac:dyDescent="0.25">
      <c r="A134" s="149">
        <f t="shared" si="16"/>
        <v>116</v>
      </c>
      <c r="B134" s="151">
        <f t="shared" si="15"/>
        <v>0</v>
      </c>
      <c r="C134" s="151">
        <f t="shared" si="17"/>
        <v>0</v>
      </c>
      <c r="D134" s="151">
        <f t="shared" si="18"/>
        <v>0</v>
      </c>
      <c r="E134" s="151">
        <f t="shared" si="12"/>
        <v>0</v>
      </c>
      <c r="F134" s="151">
        <f t="shared" si="13"/>
        <v>0</v>
      </c>
      <c r="G134" s="131">
        <f t="shared" si="19"/>
        <v>0</v>
      </c>
    </row>
    <row r="135" spans="1:7" x14ac:dyDescent="0.25">
      <c r="A135" s="149">
        <f t="shared" si="16"/>
        <v>117</v>
      </c>
      <c r="B135" s="151">
        <f t="shared" si="15"/>
        <v>0</v>
      </c>
      <c r="C135" s="151">
        <f t="shared" si="17"/>
        <v>0</v>
      </c>
      <c r="D135" s="151">
        <f t="shared" si="18"/>
        <v>0</v>
      </c>
      <c r="E135" s="151">
        <f t="shared" si="12"/>
        <v>0</v>
      </c>
      <c r="F135" s="151">
        <f t="shared" si="13"/>
        <v>0</v>
      </c>
      <c r="G135" s="131">
        <f t="shared" si="19"/>
        <v>0</v>
      </c>
    </row>
    <row r="136" spans="1:7" x14ac:dyDescent="0.25">
      <c r="A136" s="149">
        <f t="shared" si="16"/>
        <v>118</v>
      </c>
      <c r="B136" s="151">
        <f t="shared" si="15"/>
        <v>0</v>
      </c>
      <c r="C136" s="151">
        <f t="shared" si="17"/>
        <v>0</v>
      </c>
      <c r="D136" s="151">
        <f t="shared" si="18"/>
        <v>0</v>
      </c>
      <c r="E136" s="151">
        <f t="shared" si="12"/>
        <v>0</v>
      </c>
      <c r="F136" s="151">
        <f t="shared" si="13"/>
        <v>0</v>
      </c>
      <c r="G136" s="131">
        <f t="shared" si="19"/>
        <v>0</v>
      </c>
    </row>
    <row r="137" spans="1:7" x14ac:dyDescent="0.25">
      <c r="A137" s="149">
        <f t="shared" si="16"/>
        <v>119</v>
      </c>
      <c r="B137" s="151">
        <f t="shared" si="15"/>
        <v>0</v>
      </c>
      <c r="C137" s="151">
        <f t="shared" si="17"/>
        <v>0</v>
      </c>
      <c r="D137" s="151">
        <f t="shared" si="18"/>
        <v>0</v>
      </c>
      <c r="E137" s="151">
        <f t="shared" si="12"/>
        <v>0</v>
      </c>
      <c r="F137" s="151">
        <f t="shared" si="13"/>
        <v>0</v>
      </c>
      <c r="G137" s="131">
        <f t="shared" si="19"/>
        <v>0</v>
      </c>
    </row>
    <row r="138" spans="1:7" x14ac:dyDescent="0.25">
      <c r="A138" s="149">
        <f t="shared" si="16"/>
        <v>120</v>
      </c>
      <c r="B138" s="151">
        <f t="shared" si="15"/>
        <v>0</v>
      </c>
      <c r="C138" s="151">
        <f t="shared" si="17"/>
        <v>0</v>
      </c>
      <c r="D138" s="151">
        <f t="shared" si="18"/>
        <v>0</v>
      </c>
      <c r="E138" s="151">
        <f t="shared" si="12"/>
        <v>0</v>
      </c>
      <c r="F138" s="151">
        <f t="shared" si="13"/>
        <v>0</v>
      </c>
      <c r="G138" s="131">
        <f t="shared" si="19"/>
        <v>0</v>
      </c>
    </row>
    <row r="139" spans="1:7" x14ac:dyDescent="0.25">
      <c r="A139" s="149">
        <f t="shared" si="16"/>
        <v>121</v>
      </c>
      <c r="B139" s="151">
        <f t="shared" ref="B139:B150" si="20">+F138</f>
        <v>0</v>
      </c>
      <c r="C139" s="151">
        <f t="shared" si="17"/>
        <v>0</v>
      </c>
      <c r="D139" s="151">
        <f t="shared" si="18"/>
        <v>0</v>
      </c>
      <c r="E139" s="151">
        <f t="shared" ref="E139:E150" si="21">+C139+D139</f>
        <v>0</v>
      </c>
      <c r="F139" s="151">
        <f t="shared" ref="F139:F150" si="22">+B139-D139</f>
        <v>0</v>
      </c>
      <c r="G139" s="131">
        <f t="shared" si="19"/>
        <v>0</v>
      </c>
    </row>
    <row r="140" spans="1:7" x14ac:dyDescent="0.25">
      <c r="A140" s="149">
        <f t="shared" si="16"/>
        <v>122</v>
      </c>
      <c r="B140" s="151">
        <f t="shared" si="20"/>
        <v>0</v>
      </c>
      <c r="C140" s="151">
        <f t="shared" si="17"/>
        <v>0</v>
      </c>
      <c r="D140" s="151">
        <f t="shared" si="18"/>
        <v>0</v>
      </c>
      <c r="E140" s="151">
        <f t="shared" si="21"/>
        <v>0</v>
      </c>
      <c r="F140" s="151">
        <f t="shared" si="22"/>
        <v>0</v>
      </c>
      <c r="G140" s="131">
        <f t="shared" si="19"/>
        <v>0</v>
      </c>
    </row>
    <row r="141" spans="1:7" x14ac:dyDescent="0.25">
      <c r="A141" s="149">
        <f t="shared" si="16"/>
        <v>123</v>
      </c>
      <c r="B141" s="151">
        <f t="shared" si="20"/>
        <v>0</v>
      </c>
      <c r="C141" s="151">
        <f t="shared" si="17"/>
        <v>0</v>
      </c>
      <c r="D141" s="151">
        <f t="shared" si="18"/>
        <v>0</v>
      </c>
      <c r="E141" s="151">
        <f t="shared" si="21"/>
        <v>0</v>
      </c>
      <c r="F141" s="151">
        <f t="shared" si="22"/>
        <v>0</v>
      </c>
      <c r="G141" s="131">
        <f t="shared" si="19"/>
        <v>0</v>
      </c>
    </row>
    <row r="142" spans="1:7" x14ac:dyDescent="0.25">
      <c r="A142" s="149">
        <f t="shared" si="16"/>
        <v>124</v>
      </c>
      <c r="B142" s="151">
        <f t="shared" si="20"/>
        <v>0</v>
      </c>
      <c r="C142" s="151">
        <f t="shared" si="17"/>
        <v>0</v>
      </c>
      <c r="D142" s="151">
        <f t="shared" si="18"/>
        <v>0</v>
      </c>
      <c r="E142" s="151">
        <f t="shared" si="21"/>
        <v>0</v>
      </c>
      <c r="F142" s="151">
        <f t="shared" si="22"/>
        <v>0</v>
      </c>
      <c r="G142" s="131">
        <f t="shared" si="19"/>
        <v>0</v>
      </c>
    </row>
    <row r="143" spans="1:7" x14ac:dyDescent="0.25">
      <c r="A143" s="149">
        <f t="shared" si="16"/>
        <v>125</v>
      </c>
      <c r="B143" s="151">
        <f t="shared" si="20"/>
        <v>0</v>
      </c>
      <c r="C143" s="151">
        <f t="shared" si="17"/>
        <v>0</v>
      </c>
      <c r="D143" s="151">
        <f t="shared" si="18"/>
        <v>0</v>
      </c>
      <c r="E143" s="151">
        <f t="shared" si="21"/>
        <v>0</v>
      </c>
      <c r="F143" s="151">
        <f t="shared" si="22"/>
        <v>0</v>
      </c>
      <c r="G143" s="131">
        <f t="shared" si="19"/>
        <v>0</v>
      </c>
    </row>
    <row r="144" spans="1:7" x14ac:dyDescent="0.25">
      <c r="A144" s="149">
        <f t="shared" si="16"/>
        <v>126</v>
      </c>
      <c r="B144" s="151">
        <f t="shared" si="20"/>
        <v>0</v>
      </c>
      <c r="C144" s="151">
        <f t="shared" si="17"/>
        <v>0</v>
      </c>
      <c r="D144" s="151">
        <f t="shared" si="18"/>
        <v>0</v>
      </c>
      <c r="E144" s="151">
        <f t="shared" si="21"/>
        <v>0</v>
      </c>
      <c r="F144" s="151">
        <f t="shared" si="22"/>
        <v>0</v>
      </c>
      <c r="G144" s="131">
        <f t="shared" si="19"/>
        <v>0</v>
      </c>
    </row>
    <row r="145" spans="1:7" x14ac:dyDescent="0.25">
      <c r="A145" s="149">
        <f t="shared" si="16"/>
        <v>127</v>
      </c>
      <c r="B145" s="151">
        <f t="shared" si="20"/>
        <v>0</v>
      </c>
      <c r="C145" s="151">
        <f t="shared" si="17"/>
        <v>0</v>
      </c>
      <c r="D145" s="151">
        <f t="shared" si="18"/>
        <v>0</v>
      </c>
      <c r="E145" s="151">
        <f t="shared" si="21"/>
        <v>0</v>
      </c>
      <c r="F145" s="151">
        <f t="shared" si="22"/>
        <v>0</v>
      </c>
      <c r="G145" s="131">
        <f t="shared" si="19"/>
        <v>0</v>
      </c>
    </row>
    <row r="146" spans="1:7" x14ac:dyDescent="0.25">
      <c r="A146" s="149">
        <f t="shared" si="16"/>
        <v>128</v>
      </c>
      <c r="B146" s="151">
        <f t="shared" si="20"/>
        <v>0</v>
      </c>
      <c r="C146" s="151">
        <f t="shared" si="17"/>
        <v>0</v>
      </c>
      <c r="D146" s="151">
        <f t="shared" si="18"/>
        <v>0</v>
      </c>
      <c r="E146" s="151">
        <f t="shared" si="21"/>
        <v>0</v>
      </c>
      <c r="F146" s="151">
        <f t="shared" si="22"/>
        <v>0</v>
      </c>
      <c r="G146" s="131">
        <f t="shared" si="19"/>
        <v>0</v>
      </c>
    </row>
    <row r="147" spans="1:7" x14ac:dyDescent="0.25">
      <c r="A147" s="149">
        <f t="shared" si="16"/>
        <v>129</v>
      </c>
      <c r="B147" s="151">
        <f t="shared" si="20"/>
        <v>0</v>
      </c>
      <c r="C147" s="151">
        <f t="shared" si="17"/>
        <v>0</v>
      </c>
      <c r="D147" s="151">
        <f t="shared" si="18"/>
        <v>0</v>
      </c>
      <c r="E147" s="151">
        <f t="shared" si="21"/>
        <v>0</v>
      </c>
      <c r="F147" s="151">
        <f t="shared" si="22"/>
        <v>0</v>
      </c>
      <c r="G147" s="131">
        <f t="shared" si="19"/>
        <v>0</v>
      </c>
    </row>
    <row r="148" spans="1:7" x14ac:dyDescent="0.25">
      <c r="A148" s="149">
        <f t="shared" si="16"/>
        <v>130</v>
      </c>
      <c r="B148" s="151">
        <f t="shared" si="20"/>
        <v>0</v>
      </c>
      <c r="C148" s="151">
        <f t="shared" si="17"/>
        <v>0</v>
      </c>
      <c r="D148" s="151">
        <f t="shared" si="18"/>
        <v>0</v>
      </c>
      <c r="E148" s="151">
        <f t="shared" si="21"/>
        <v>0</v>
      </c>
      <c r="F148" s="151">
        <f t="shared" si="22"/>
        <v>0</v>
      </c>
      <c r="G148" s="131">
        <f t="shared" si="19"/>
        <v>0</v>
      </c>
    </row>
    <row r="149" spans="1:7" x14ac:dyDescent="0.25">
      <c r="A149" s="149">
        <f t="shared" ref="A149:A150" si="23">A148+1</f>
        <v>131</v>
      </c>
      <c r="B149" s="151">
        <f t="shared" si="20"/>
        <v>0</v>
      </c>
      <c r="C149" s="151">
        <f t="shared" si="17"/>
        <v>0</v>
      </c>
      <c r="D149" s="151">
        <f t="shared" si="18"/>
        <v>0</v>
      </c>
      <c r="E149" s="151">
        <f t="shared" si="21"/>
        <v>0</v>
      </c>
      <c r="F149" s="151">
        <f t="shared" si="22"/>
        <v>0</v>
      </c>
      <c r="G149" s="131">
        <f t="shared" si="19"/>
        <v>0</v>
      </c>
    </row>
    <row r="150" spans="1:7" x14ac:dyDescent="0.25">
      <c r="A150" s="149">
        <f t="shared" si="23"/>
        <v>132</v>
      </c>
      <c r="B150" s="151">
        <f t="shared" si="20"/>
        <v>0</v>
      </c>
      <c r="C150" s="151">
        <f t="shared" si="17"/>
        <v>0</v>
      </c>
      <c r="D150" s="151">
        <f t="shared" si="18"/>
        <v>0</v>
      </c>
      <c r="E150" s="151">
        <f t="shared" si="21"/>
        <v>0</v>
      </c>
      <c r="F150" s="151">
        <f t="shared" si="22"/>
        <v>0</v>
      </c>
      <c r="G150" s="131">
        <f t="shared" si="19"/>
        <v>0</v>
      </c>
    </row>
  </sheetData>
  <pageMargins left="0.5" right="0.5" top="0.5" bottom="0.5" header="0.5" footer="0.5"/>
  <pageSetup scale="9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7"/>
  <dimension ref="A1:J54"/>
  <sheetViews>
    <sheetView workbookViewId="0">
      <pane xSplit="5" ySplit="1" topLeftCell="F25" activePane="bottomRight" state="frozenSplit"/>
      <selection pane="topRight"/>
      <selection pane="bottomLeft"/>
      <selection pane="bottomRight" activeCell="J17" sqref="J17:J21"/>
    </sheetView>
  </sheetViews>
  <sheetFormatPr defaultRowHeight="14.4" x14ac:dyDescent="0.3"/>
  <cols>
    <col min="1" max="4" width="3" style="50" customWidth="1"/>
    <col min="5" max="5" width="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114</v>
      </c>
      <c r="D4" s="43"/>
      <c r="E4" s="43"/>
      <c r="F4" s="44"/>
      <c r="G4" s="45"/>
      <c r="H4" s="44"/>
      <c r="I4" s="45"/>
      <c r="J4" s="44"/>
    </row>
    <row r="5" spans="1:10" x14ac:dyDescent="0.3">
      <c r="A5" s="43"/>
      <c r="B5" s="43"/>
      <c r="C5" s="43"/>
      <c r="D5" s="43" t="s">
        <v>68</v>
      </c>
      <c r="E5" s="43"/>
      <c r="F5" s="44">
        <v>0</v>
      </c>
      <c r="G5" s="45"/>
      <c r="H5" s="44">
        <v>48614</v>
      </c>
      <c r="I5" s="45"/>
      <c r="J5" s="44">
        <v>61741</v>
      </c>
    </row>
    <row r="6" spans="1:10" ht="15" thickBot="1" x14ac:dyDescent="0.35">
      <c r="A6" s="43"/>
      <c r="B6" s="43"/>
      <c r="C6" s="43"/>
      <c r="D6" s="43" t="s">
        <v>351</v>
      </c>
      <c r="E6" s="43"/>
      <c r="F6" s="46">
        <v>16169</v>
      </c>
      <c r="G6" s="45"/>
      <c r="H6" s="46">
        <v>0</v>
      </c>
      <c r="I6" s="45"/>
      <c r="J6" s="46">
        <v>0</v>
      </c>
    </row>
    <row r="7" spans="1:10" x14ac:dyDescent="0.3">
      <c r="A7" s="43"/>
      <c r="B7" s="43"/>
      <c r="C7" s="43" t="s">
        <v>117</v>
      </c>
      <c r="D7" s="43"/>
      <c r="E7" s="43"/>
      <c r="F7" s="44">
        <f>ROUND(SUM(F4:F6),5)</f>
        <v>16169</v>
      </c>
      <c r="G7" s="45"/>
      <c r="H7" s="44">
        <f>ROUND(SUM(H4:H6),5)</f>
        <v>48614</v>
      </c>
      <c r="I7" s="45"/>
      <c r="J7" s="44">
        <f>ROUND(SUM(J4:J6),5)</f>
        <v>61741</v>
      </c>
    </row>
    <row r="8" spans="1:10" ht="30" customHeight="1" x14ac:dyDescent="0.3">
      <c r="A8" s="43"/>
      <c r="B8" s="43"/>
      <c r="C8" s="43" t="s">
        <v>118</v>
      </c>
      <c r="D8" s="43"/>
      <c r="E8" s="43"/>
      <c r="F8" s="44"/>
      <c r="G8" s="45"/>
      <c r="H8" s="44"/>
      <c r="I8" s="45"/>
      <c r="J8" s="44"/>
    </row>
    <row r="9" spans="1:10" ht="15" thickBot="1" x14ac:dyDescent="0.35">
      <c r="A9" s="43"/>
      <c r="B9" s="43"/>
      <c r="C9" s="43"/>
      <c r="D9" s="43" t="s">
        <v>118</v>
      </c>
      <c r="E9" s="43"/>
      <c r="F9" s="46">
        <v>5159</v>
      </c>
      <c r="G9" s="45"/>
      <c r="H9" s="46">
        <v>-820</v>
      </c>
      <c r="I9" s="45"/>
      <c r="J9" s="46">
        <v>3344</v>
      </c>
    </row>
    <row r="10" spans="1:10" x14ac:dyDescent="0.3">
      <c r="A10" s="43"/>
      <c r="B10" s="43"/>
      <c r="C10" s="43" t="s">
        <v>119</v>
      </c>
      <c r="D10" s="43"/>
      <c r="E10" s="43"/>
      <c r="F10" s="44">
        <f>ROUND(SUM(F8:F9),5)</f>
        <v>5159</v>
      </c>
      <c r="G10" s="45"/>
      <c r="H10" s="44">
        <f>ROUND(SUM(H8:H9),5)</f>
        <v>-820</v>
      </c>
      <c r="I10" s="45"/>
      <c r="J10" s="44">
        <f>ROUND(SUM(J8:J9),5)</f>
        <v>3344</v>
      </c>
    </row>
    <row r="11" spans="1:10" ht="30" customHeight="1" x14ac:dyDescent="0.3">
      <c r="A11" s="43"/>
      <c r="B11" s="43"/>
      <c r="C11" s="43" t="s">
        <v>120</v>
      </c>
      <c r="D11" s="43"/>
      <c r="E11" s="43"/>
      <c r="F11" s="44"/>
      <c r="G11" s="45"/>
      <c r="H11" s="44"/>
      <c r="I11" s="45"/>
      <c r="J11" s="44"/>
    </row>
    <row r="12" spans="1:10" x14ac:dyDescent="0.3">
      <c r="A12" s="43"/>
      <c r="B12" s="43"/>
      <c r="C12" s="43"/>
      <c r="D12" s="43" t="s">
        <v>352</v>
      </c>
      <c r="E12" s="43"/>
      <c r="F12" s="44">
        <v>330</v>
      </c>
      <c r="G12" s="45"/>
      <c r="H12" s="44">
        <v>0</v>
      </c>
      <c r="I12" s="45"/>
      <c r="J12" s="44">
        <v>0</v>
      </c>
    </row>
    <row r="13" spans="1:10" ht="15" thickBot="1" x14ac:dyDescent="0.35">
      <c r="A13" s="43"/>
      <c r="B13" s="43"/>
      <c r="C13" s="43"/>
      <c r="D13" s="43" t="s">
        <v>122</v>
      </c>
      <c r="E13" s="43"/>
      <c r="F13" s="44">
        <v>1802</v>
      </c>
      <c r="G13" s="45"/>
      <c r="H13" s="44">
        <v>2003</v>
      </c>
      <c r="I13" s="45"/>
      <c r="J13" s="44">
        <v>2010</v>
      </c>
    </row>
    <row r="14" spans="1:10" ht="15" thickBot="1" x14ac:dyDescent="0.35">
      <c r="A14" s="43"/>
      <c r="B14" s="43"/>
      <c r="C14" s="43" t="s">
        <v>124</v>
      </c>
      <c r="D14" s="43"/>
      <c r="E14" s="43"/>
      <c r="F14" s="47">
        <f>ROUND(SUM(F11:F13),5)</f>
        <v>2132</v>
      </c>
      <c r="G14" s="45"/>
      <c r="H14" s="47">
        <f>ROUND(SUM(H11:H13),5)</f>
        <v>2003</v>
      </c>
      <c r="I14" s="45"/>
      <c r="J14" s="47">
        <f>ROUND(SUM(J11:J13),5)</f>
        <v>2010</v>
      </c>
    </row>
    <row r="15" spans="1:10" ht="30" customHeight="1" x14ac:dyDescent="0.3">
      <c r="A15" s="43"/>
      <c r="B15" s="43" t="s">
        <v>125</v>
      </c>
      <c r="C15" s="43"/>
      <c r="D15" s="43"/>
      <c r="E15" s="43"/>
      <c r="F15" s="44">
        <f>ROUND(F3+F7+F10+F14,5)</f>
        <v>23460</v>
      </c>
      <c r="G15" s="45"/>
      <c r="H15" s="44">
        <f>ROUND(H3+H7+H10+H14,5)</f>
        <v>49797</v>
      </c>
      <c r="I15" s="45"/>
      <c r="J15" s="44">
        <f>ROUND(J3+J7+J10+J14,5)</f>
        <v>67095</v>
      </c>
    </row>
    <row r="16" spans="1:10" ht="30" customHeight="1" x14ac:dyDescent="0.3">
      <c r="A16" s="43"/>
      <c r="B16" s="43" t="s">
        <v>126</v>
      </c>
      <c r="C16" s="43"/>
      <c r="D16" s="43"/>
      <c r="E16" s="43"/>
      <c r="F16" s="44"/>
      <c r="G16" s="45"/>
      <c r="H16" s="44"/>
      <c r="I16" s="45"/>
      <c r="J16" s="44"/>
    </row>
    <row r="17" spans="1:10" x14ac:dyDescent="0.3">
      <c r="A17" s="43"/>
      <c r="B17" s="43"/>
      <c r="C17" s="43" t="s">
        <v>127</v>
      </c>
      <c r="D17" s="43"/>
      <c r="E17" s="43"/>
      <c r="F17" s="44">
        <v>27000</v>
      </c>
      <c r="G17" s="45"/>
      <c r="H17" s="44">
        <v>27000</v>
      </c>
      <c r="I17" s="45"/>
      <c r="J17" s="44">
        <v>27000</v>
      </c>
    </row>
    <row r="18" spans="1:10" x14ac:dyDescent="0.3">
      <c r="A18" s="43"/>
      <c r="B18" s="43"/>
      <c r="C18" s="43" t="s">
        <v>128</v>
      </c>
      <c r="D18" s="43"/>
      <c r="E18" s="43"/>
      <c r="F18" s="44">
        <v>549768</v>
      </c>
      <c r="G18" s="45"/>
      <c r="H18" s="44">
        <v>549768</v>
      </c>
      <c r="I18" s="45"/>
      <c r="J18" s="44">
        <v>549768</v>
      </c>
    </row>
    <row r="19" spans="1:10" x14ac:dyDescent="0.3">
      <c r="A19" s="43"/>
      <c r="B19" s="43"/>
      <c r="C19" s="43" t="s">
        <v>353</v>
      </c>
      <c r="D19" s="43"/>
      <c r="E19" s="43"/>
      <c r="F19" s="44">
        <v>55375</v>
      </c>
      <c r="G19" s="45"/>
      <c r="H19" s="44">
        <v>55375</v>
      </c>
      <c r="I19" s="45"/>
      <c r="J19" s="44">
        <v>55375</v>
      </c>
    </row>
    <row r="20" spans="1:10" x14ac:dyDescent="0.3">
      <c r="A20" s="43"/>
      <c r="B20" s="43"/>
      <c r="C20" s="43" t="s">
        <v>130</v>
      </c>
      <c r="D20" s="43"/>
      <c r="E20" s="43"/>
      <c r="F20" s="44">
        <v>5000</v>
      </c>
      <c r="G20" s="45"/>
      <c r="H20" s="44">
        <v>5000</v>
      </c>
      <c r="I20" s="45"/>
      <c r="J20" s="44">
        <v>5000</v>
      </c>
    </row>
    <row r="21" spans="1:10" x14ac:dyDescent="0.3">
      <c r="A21" s="43"/>
      <c r="B21" s="43"/>
      <c r="C21" s="43" t="s">
        <v>354</v>
      </c>
      <c r="D21" s="43"/>
      <c r="E21" s="43"/>
      <c r="F21" s="44">
        <v>10000</v>
      </c>
      <c r="G21" s="45"/>
      <c r="H21" s="44">
        <v>10000</v>
      </c>
      <c r="I21" s="45"/>
      <c r="J21" s="44">
        <v>10000</v>
      </c>
    </row>
    <row r="22" spans="1:10" ht="15" thickBot="1" x14ac:dyDescent="0.35">
      <c r="A22" s="43"/>
      <c r="B22" s="43"/>
      <c r="C22" s="43" t="s">
        <v>135</v>
      </c>
      <c r="D22" s="43"/>
      <c r="E22" s="43"/>
      <c r="F22" s="46">
        <v>-99348</v>
      </c>
      <c r="G22" s="45"/>
      <c r="H22" s="46">
        <v>-116227</v>
      </c>
      <c r="I22" s="45"/>
      <c r="J22" s="46">
        <v>-133111</v>
      </c>
    </row>
    <row r="23" spans="1:10" x14ac:dyDescent="0.3">
      <c r="A23" s="43"/>
      <c r="B23" s="43" t="s">
        <v>136</v>
      </c>
      <c r="C23" s="43"/>
      <c r="D23" s="43"/>
      <c r="E23" s="43"/>
      <c r="F23" s="44">
        <f>ROUND(SUM(F16:F22),5)</f>
        <v>547795</v>
      </c>
      <c r="G23" s="45"/>
      <c r="H23" s="44">
        <f>ROUND(SUM(H16:H22),5)</f>
        <v>530916</v>
      </c>
      <c r="I23" s="45"/>
      <c r="J23" s="44">
        <f>ROUND(SUM(J16:J22),5)</f>
        <v>514032</v>
      </c>
    </row>
    <row r="24" spans="1:10" ht="30" customHeight="1" x14ac:dyDescent="0.3">
      <c r="A24" s="43"/>
      <c r="B24" s="43" t="s">
        <v>137</v>
      </c>
      <c r="C24" s="43"/>
      <c r="D24" s="43"/>
      <c r="E24" s="43"/>
      <c r="F24" s="44"/>
      <c r="G24" s="45"/>
      <c r="H24" s="44"/>
      <c r="I24" s="45"/>
      <c r="J24" s="44"/>
    </row>
    <row r="25" spans="1:10" x14ac:dyDescent="0.3">
      <c r="A25" s="43"/>
      <c r="B25" s="43"/>
      <c r="C25" s="43" t="s">
        <v>138</v>
      </c>
      <c r="D25" s="43"/>
      <c r="E25" s="43"/>
      <c r="F25" s="44">
        <v>0</v>
      </c>
      <c r="G25" s="45"/>
      <c r="H25" s="44">
        <v>4748</v>
      </c>
      <c r="I25" s="45"/>
      <c r="J25" s="44">
        <v>4748</v>
      </c>
    </row>
    <row r="26" spans="1:10" ht="15" thickBot="1" x14ac:dyDescent="0.35">
      <c r="A26" s="43"/>
      <c r="B26" s="43"/>
      <c r="C26" s="43" t="s">
        <v>355</v>
      </c>
      <c r="D26" s="43"/>
      <c r="E26" s="43"/>
      <c r="F26" s="44">
        <v>0</v>
      </c>
      <c r="G26" s="45"/>
      <c r="H26" s="44">
        <v>-950</v>
      </c>
      <c r="I26" s="45"/>
      <c r="J26" s="44">
        <v>-2532</v>
      </c>
    </row>
    <row r="27" spans="1:10" ht="15" thickBot="1" x14ac:dyDescent="0.35">
      <c r="A27" s="43"/>
      <c r="B27" s="43" t="s">
        <v>141</v>
      </c>
      <c r="C27" s="43"/>
      <c r="D27" s="43"/>
      <c r="E27" s="43"/>
      <c r="F27" s="48">
        <f>ROUND(SUM(F24:F26),5)</f>
        <v>0</v>
      </c>
      <c r="G27" s="45"/>
      <c r="H27" s="48">
        <f>ROUND(SUM(H24:H26),5)</f>
        <v>3798</v>
      </c>
      <c r="I27" s="45"/>
      <c r="J27" s="48">
        <f>ROUND(SUM(J24:J26),5)</f>
        <v>2216</v>
      </c>
    </row>
    <row r="28" spans="1:10" s="50" customFormat="1" ht="30" customHeight="1" thickBot="1" x14ac:dyDescent="0.25">
      <c r="A28" s="43" t="s">
        <v>142</v>
      </c>
      <c r="B28" s="43"/>
      <c r="C28" s="43"/>
      <c r="D28" s="43"/>
      <c r="E28" s="43"/>
      <c r="F28" s="49">
        <f>ROUND(F2+F15+F23+F27,5)</f>
        <v>571255</v>
      </c>
      <c r="G28" s="43"/>
      <c r="H28" s="49">
        <f>ROUND(H2+H15+H23+H27,5)</f>
        <v>584511</v>
      </c>
      <c r="I28" s="43"/>
      <c r="J28" s="49">
        <f>ROUND(J2+J15+J23+J27,5)</f>
        <v>583343</v>
      </c>
    </row>
    <row r="29" spans="1:10" ht="31.5" customHeight="1" thickTop="1" x14ac:dyDescent="0.3">
      <c r="A29" s="43" t="s">
        <v>143</v>
      </c>
      <c r="B29" s="43"/>
      <c r="C29" s="43"/>
      <c r="D29" s="43"/>
      <c r="E29" s="43"/>
      <c r="F29" s="44"/>
      <c r="G29" s="45"/>
      <c r="H29" s="44"/>
      <c r="I29" s="45"/>
      <c r="J29" s="44"/>
    </row>
    <row r="30" spans="1:10" x14ac:dyDescent="0.3">
      <c r="A30" s="43"/>
      <c r="B30" s="43" t="s">
        <v>144</v>
      </c>
      <c r="C30" s="43"/>
      <c r="D30" s="43"/>
      <c r="E30" s="43"/>
      <c r="F30" s="44"/>
      <c r="G30" s="45"/>
      <c r="H30" s="44"/>
      <c r="I30" s="45"/>
      <c r="J30" s="44"/>
    </row>
    <row r="31" spans="1:10" x14ac:dyDescent="0.3">
      <c r="A31" s="43"/>
      <c r="B31" s="43"/>
      <c r="C31" s="43" t="s">
        <v>145</v>
      </c>
      <c r="D31" s="43"/>
      <c r="E31" s="43"/>
      <c r="F31" s="44"/>
      <c r="G31" s="45"/>
      <c r="H31" s="44"/>
      <c r="I31" s="45"/>
      <c r="J31" s="44"/>
    </row>
    <row r="32" spans="1:10" x14ac:dyDescent="0.3">
      <c r="A32" s="43"/>
      <c r="B32" s="43"/>
      <c r="C32" s="43"/>
      <c r="D32" s="43" t="s">
        <v>146</v>
      </c>
      <c r="E32" s="43"/>
      <c r="F32" s="44"/>
      <c r="G32" s="45"/>
      <c r="H32" s="44"/>
      <c r="I32" s="45"/>
      <c r="J32" s="44"/>
    </row>
    <row r="33" spans="1:10" ht="15" thickBot="1" x14ac:dyDescent="0.35">
      <c r="A33" s="43"/>
      <c r="B33" s="43"/>
      <c r="C33" s="43"/>
      <c r="D33" s="43"/>
      <c r="E33" s="43" t="s">
        <v>146</v>
      </c>
      <c r="F33" s="46">
        <v>6708</v>
      </c>
      <c r="G33" s="45"/>
      <c r="H33" s="46">
        <v>4627</v>
      </c>
      <c r="I33" s="45"/>
      <c r="J33" s="46">
        <v>4666</v>
      </c>
    </row>
    <row r="34" spans="1:10" x14ac:dyDescent="0.3">
      <c r="A34" s="43"/>
      <c r="B34" s="43"/>
      <c r="C34" s="43"/>
      <c r="D34" s="43" t="s">
        <v>147</v>
      </c>
      <c r="E34" s="43"/>
      <c r="F34" s="44">
        <f>ROUND(SUM(F32:F33),5)</f>
        <v>6708</v>
      </c>
      <c r="G34" s="45"/>
      <c r="H34" s="44">
        <f>ROUND(SUM(H32:H33),5)</f>
        <v>4627</v>
      </c>
      <c r="I34" s="45"/>
      <c r="J34" s="44">
        <f>ROUND(SUM(J32:J33),5)</f>
        <v>4666</v>
      </c>
    </row>
    <row r="35" spans="1:10" ht="30" customHeight="1" x14ac:dyDescent="0.3">
      <c r="A35" s="43"/>
      <c r="B35" s="43"/>
      <c r="C35" s="43"/>
      <c r="D35" s="43" t="s">
        <v>148</v>
      </c>
      <c r="E35" s="43"/>
      <c r="F35" s="44"/>
      <c r="G35" s="45"/>
      <c r="H35" s="44"/>
      <c r="I35" s="45"/>
      <c r="J35" s="44"/>
    </row>
    <row r="36" spans="1:10" x14ac:dyDescent="0.3">
      <c r="A36" s="43"/>
      <c r="B36" s="43"/>
      <c r="C36" s="43"/>
      <c r="D36" s="43"/>
      <c r="E36" s="43" t="s">
        <v>309</v>
      </c>
      <c r="F36" s="44">
        <v>9477</v>
      </c>
      <c r="G36" s="45"/>
      <c r="H36" s="44">
        <v>9500</v>
      </c>
      <c r="I36" s="45"/>
      <c r="J36" s="44">
        <v>7993</v>
      </c>
    </row>
    <row r="37" spans="1:10" ht="15" thickBot="1" x14ac:dyDescent="0.35">
      <c r="A37" s="43"/>
      <c r="B37" s="43"/>
      <c r="C37" s="43"/>
      <c r="D37" s="43"/>
      <c r="E37" s="43" t="s">
        <v>356</v>
      </c>
      <c r="F37" s="44">
        <v>8477</v>
      </c>
      <c r="G37" s="45"/>
      <c r="H37" s="44">
        <v>7047</v>
      </c>
      <c r="I37" s="45"/>
      <c r="J37" s="44">
        <v>7193</v>
      </c>
    </row>
    <row r="38" spans="1:10" ht="15" thickBot="1" x14ac:dyDescent="0.35">
      <c r="A38" s="43"/>
      <c r="B38" s="43"/>
      <c r="C38" s="43"/>
      <c r="D38" s="43" t="s">
        <v>152</v>
      </c>
      <c r="E38" s="43"/>
      <c r="F38" s="47">
        <f>ROUND(SUM(F35:F37),5)</f>
        <v>17954</v>
      </c>
      <c r="G38" s="45"/>
      <c r="H38" s="47">
        <f>ROUND(SUM(H35:H37),5)</f>
        <v>16547</v>
      </c>
      <c r="I38" s="45"/>
      <c r="J38" s="47">
        <f>ROUND(SUM(J35:J37),5)</f>
        <v>15186</v>
      </c>
    </row>
    <row r="39" spans="1:10" ht="30" customHeight="1" x14ac:dyDescent="0.3">
      <c r="A39" s="43"/>
      <c r="B39" s="43"/>
      <c r="C39" s="43" t="s">
        <v>153</v>
      </c>
      <c r="D39" s="43"/>
      <c r="E39" s="43"/>
      <c r="F39" s="44">
        <f>ROUND(F31+F34+F38,5)</f>
        <v>24662</v>
      </c>
      <c r="G39" s="45"/>
      <c r="H39" s="44">
        <f>ROUND(H31+H34+H38,5)</f>
        <v>21174</v>
      </c>
      <c r="I39" s="45"/>
      <c r="J39" s="44">
        <f>ROUND(J31+J34+J38,5)</f>
        <v>19852</v>
      </c>
    </row>
    <row r="40" spans="1:10" ht="30" customHeight="1" x14ac:dyDescent="0.3">
      <c r="A40" s="43"/>
      <c r="B40" s="43"/>
      <c r="C40" s="43" t="s">
        <v>154</v>
      </c>
      <c r="D40" s="43"/>
      <c r="E40" s="43"/>
      <c r="F40" s="44"/>
      <c r="G40" s="45"/>
      <c r="H40" s="44"/>
      <c r="I40" s="45"/>
      <c r="J40" s="44"/>
    </row>
    <row r="41" spans="1:10" x14ac:dyDescent="0.3">
      <c r="A41" s="43"/>
      <c r="B41" s="43"/>
      <c r="C41" s="43"/>
      <c r="D41" s="43" t="s">
        <v>357</v>
      </c>
      <c r="E41" s="43"/>
      <c r="F41" s="44">
        <v>0</v>
      </c>
      <c r="G41" s="45"/>
      <c r="H41" s="44">
        <v>495200</v>
      </c>
      <c r="I41" s="45"/>
      <c r="J41" s="51">
        <v>476177</v>
      </c>
    </row>
    <row r="42" spans="1:10" ht="15" thickBot="1" x14ac:dyDescent="0.35">
      <c r="A42" s="43"/>
      <c r="B42" s="43"/>
      <c r="C42" s="43"/>
      <c r="D42" s="43" t="s">
        <v>358</v>
      </c>
      <c r="E42" s="43"/>
      <c r="F42" s="44">
        <v>503061</v>
      </c>
      <c r="G42" s="45"/>
      <c r="H42" s="44">
        <v>0</v>
      </c>
      <c r="I42" s="45"/>
      <c r="J42" s="44">
        <v>0</v>
      </c>
    </row>
    <row r="43" spans="1:10" ht="15" thickBot="1" x14ac:dyDescent="0.35">
      <c r="A43" s="43"/>
      <c r="B43" s="43"/>
      <c r="C43" s="43" t="s">
        <v>157</v>
      </c>
      <c r="D43" s="43"/>
      <c r="E43" s="43"/>
      <c r="F43" s="47">
        <f>ROUND(SUM(F40:F42),5)</f>
        <v>503061</v>
      </c>
      <c r="G43" s="45"/>
      <c r="H43" s="47">
        <f>ROUND(SUM(H40:H42),5)</f>
        <v>495200</v>
      </c>
      <c r="I43" s="45"/>
      <c r="J43" s="47">
        <f>ROUND(SUM(J40:J42),5)</f>
        <v>476177</v>
      </c>
    </row>
    <row r="44" spans="1:10" ht="30" customHeight="1" x14ac:dyDescent="0.3">
      <c r="A44" s="43"/>
      <c r="B44" s="43" t="s">
        <v>158</v>
      </c>
      <c r="C44" s="43"/>
      <c r="D44" s="43"/>
      <c r="E44" s="43"/>
      <c r="F44" s="44">
        <f>ROUND(F30+F39+F43,5)</f>
        <v>527723</v>
      </c>
      <c r="G44" s="45"/>
      <c r="H44" s="44">
        <f>ROUND(H30+H39+H43,5)</f>
        <v>516374</v>
      </c>
      <c r="I44" s="45"/>
      <c r="J44" s="44">
        <f>ROUND(J30+J39+J43,5)</f>
        <v>496029</v>
      </c>
    </row>
    <row r="45" spans="1:10" ht="30" customHeight="1" x14ac:dyDescent="0.3">
      <c r="A45" s="43"/>
      <c r="B45" s="43" t="s">
        <v>159</v>
      </c>
      <c r="C45" s="43"/>
      <c r="D45" s="43"/>
      <c r="E45" s="43"/>
      <c r="F45" s="44"/>
      <c r="G45" s="45"/>
      <c r="H45" s="44"/>
      <c r="I45" s="45"/>
      <c r="J45" s="44"/>
    </row>
    <row r="46" spans="1:10" x14ac:dyDescent="0.3">
      <c r="A46" s="43"/>
      <c r="B46" s="43"/>
      <c r="C46" s="43" t="s">
        <v>359</v>
      </c>
      <c r="D46" s="43"/>
      <c r="E46" s="43"/>
      <c r="F46" s="44">
        <v>94513</v>
      </c>
      <c r="G46" s="45"/>
      <c r="H46" s="44">
        <v>104355</v>
      </c>
      <c r="I46" s="45"/>
      <c r="J46" s="44">
        <v>104355</v>
      </c>
    </row>
    <row r="47" spans="1:10" x14ac:dyDescent="0.3">
      <c r="A47" s="43"/>
      <c r="B47" s="43"/>
      <c r="C47" s="43" t="s">
        <v>360</v>
      </c>
      <c r="D47" s="43"/>
      <c r="E47" s="43"/>
      <c r="F47" s="44">
        <v>0</v>
      </c>
      <c r="G47" s="45"/>
      <c r="H47" s="44">
        <v>0</v>
      </c>
      <c r="I47" s="45"/>
      <c r="J47" s="44">
        <v>-12000</v>
      </c>
    </row>
    <row r="48" spans="1:10" x14ac:dyDescent="0.3">
      <c r="A48" s="43"/>
      <c r="B48" s="43"/>
      <c r="C48" s="43" t="s">
        <v>361</v>
      </c>
      <c r="D48" s="43"/>
      <c r="E48" s="43"/>
      <c r="F48" s="44">
        <v>-50980</v>
      </c>
      <c r="G48" s="45"/>
      <c r="H48" s="44">
        <v>-36218</v>
      </c>
      <c r="I48" s="45"/>
      <c r="J48" s="44">
        <v>-36218</v>
      </c>
    </row>
    <row r="49" spans="1:10" x14ac:dyDescent="0.3">
      <c r="A49" s="43"/>
      <c r="B49" s="43"/>
      <c r="C49" s="43" t="s">
        <v>362</v>
      </c>
      <c r="D49" s="43"/>
      <c r="E49" s="43"/>
      <c r="F49" s="44">
        <v>0</v>
      </c>
      <c r="G49" s="45"/>
      <c r="H49" s="44">
        <v>0</v>
      </c>
      <c r="I49" s="45"/>
      <c r="J49" s="44">
        <v>-18000</v>
      </c>
    </row>
    <row r="50" spans="1:10" x14ac:dyDescent="0.3">
      <c r="A50" s="43"/>
      <c r="B50" s="43"/>
      <c r="C50" s="43" t="s">
        <v>164</v>
      </c>
      <c r="D50" s="43"/>
      <c r="E50" s="43"/>
      <c r="F50" s="44">
        <v>-43014</v>
      </c>
      <c r="G50" s="45"/>
      <c r="H50" s="44">
        <v>-54603</v>
      </c>
      <c r="I50" s="45"/>
      <c r="J50" s="44">
        <v>0</v>
      </c>
    </row>
    <row r="51" spans="1:10" ht="15" thickBot="1" x14ac:dyDescent="0.35">
      <c r="A51" s="43"/>
      <c r="B51" s="43"/>
      <c r="C51" s="43" t="s">
        <v>165</v>
      </c>
      <c r="D51" s="43"/>
      <c r="E51" s="43"/>
      <c r="F51" s="44">
        <v>43014</v>
      </c>
      <c r="G51" s="45"/>
      <c r="H51" s="44">
        <v>54603</v>
      </c>
      <c r="I51" s="45"/>
      <c r="J51" s="44">
        <v>49178</v>
      </c>
    </row>
    <row r="52" spans="1:10" ht="15" thickBot="1" x14ac:dyDescent="0.35">
      <c r="A52" s="43"/>
      <c r="B52" s="43" t="s">
        <v>166</v>
      </c>
      <c r="C52" s="43"/>
      <c r="D52" s="43"/>
      <c r="E52" s="43"/>
      <c r="F52" s="48">
        <f>ROUND(SUM(F45:F51),5)</f>
        <v>43533</v>
      </c>
      <c r="G52" s="45"/>
      <c r="H52" s="48">
        <f>ROUND(SUM(H45:H51),5)</f>
        <v>68137</v>
      </c>
      <c r="I52" s="45"/>
      <c r="J52" s="48">
        <f>ROUND(SUM(J45:J51),5)</f>
        <v>87315</v>
      </c>
    </row>
    <row r="53" spans="1:10" s="50" customFormat="1" ht="30" customHeight="1" thickBot="1" x14ac:dyDescent="0.25">
      <c r="A53" s="43" t="s">
        <v>167</v>
      </c>
      <c r="B53" s="43"/>
      <c r="C53" s="43"/>
      <c r="D53" s="43"/>
      <c r="E53" s="43"/>
      <c r="F53" s="49">
        <f>ROUND(F29+F44+F52,5)</f>
        <v>571256</v>
      </c>
      <c r="G53" s="43"/>
      <c r="H53" s="49">
        <f>ROUND(H29+H44+H52,5)</f>
        <v>584511</v>
      </c>
      <c r="I53" s="43"/>
      <c r="J53" s="49">
        <f>ROUND(J29+J44+J52,5)</f>
        <v>583344</v>
      </c>
    </row>
    <row r="54" spans="1:10" ht="15" thickTop="1" x14ac:dyDescent="0.3"/>
  </sheetData>
  <pageMargins left="0.7" right="0.7" top="0.75" bottom="0.75" header="0.25" footer="0.3"/>
  <pageSetup orientation="portrait" r:id="rId1"/>
  <headerFooter>
    <oddHeader>&amp;L&amp;"Arial,Bold"&amp;8 02/17/14
&amp;"Arial,Bold"&amp;8 Accrual Basis&amp;C&amp;"Arial,Bold"&amp;12 Central Plaza, LLC
&amp;"Arial,Bold"&amp;14 3 Year Comparative Balance Sheet
&amp;"Arial,Bold"&amp;10 As of December 31,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8434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8434" r:id="rId4" name="HEADER"/>
      </mc:Fallback>
    </mc:AlternateContent>
    <mc:AlternateContent xmlns:mc="http://schemas.openxmlformats.org/markup-compatibility/2006">
      <mc:Choice Requires="x14">
        <control shapeId="18433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8433" r:id="rId6" name="FILTER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48"/>
  <dimension ref="A1:N111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2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8.664062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52"/>
      <c r="I2" s="45"/>
      <c r="J2" s="52"/>
      <c r="K2" s="45"/>
      <c r="L2" s="52"/>
      <c r="M2" s="45"/>
      <c r="N2" s="52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52"/>
      <c r="I3" s="45"/>
      <c r="J3" s="52"/>
      <c r="K3" s="45"/>
      <c r="L3" s="52"/>
      <c r="M3" s="45"/>
      <c r="N3" s="52"/>
    </row>
    <row r="4" spans="1:14" x14ac:dyDescent="0.3">
      <c r="A4" s="43"/>
      <c r="B4" s="43"/>
      <c r="C4" s="43"/>
      <c r="D4" s="43"/>
      <c r="E4" s="43" t="s">
        <v>174</v>
      </c>
      <c r="F4" s="43"/>
      <c r="G4" s="43"/>
      <c r="H4" s="52">
        <v>89876.42</v>
      </c>
      <c r="I4" s="45"/>
      <c r="J4" s="52">
        <v>91521.97</v>
      </c>
      <c r="K4" s="45"/>
      <c r="L4" s="52">
        <v>81794.25</v>
      </c>
      <c r="M4" s="45"/>
      <c r="N4" s="52">
        <f t="shared" ref="N4:N11" si="0">ROUND(SUM(H4:L4),5)</f>
        <v>263192.64</v>
      </c>
    </row>
    <row r="5" spans="1:14" x14ac:dyDescent="0.3">
      <c r="A5" s="43"/>
      <c r="B5" s="43"/>
      <c r="C5" s="43"/>
      <c r="D5" s="43"/>
      <c r="E5" s="43" t="s">
        <v>175</v>
      </c>
      <c r="F5" s="43"/>
      <c r="G5" s="43"/>
      <c r="H5" s="52">
        <v>26130.57</v>
      </c>
      <c r="I5" s="45"/>
      <c r="J5" s="52">
        <v>21548.01</v>
      </c>
      <c r="K5" s="45"/>
      <c r="L5" s="52">
        <v>21209.74</v>
      </c>
      <c r="M5" s="45"/>
      <c r="N5" s="52">
        <f t="shared" si="0"/>
        <v>68888.320000000007</v>
      </c>
    </row>
    <row r="6" spans="1:14" x14ac:dyDescent="0.3">
      <c r="A6" s="43"/>
      <c r="B6" s="43"/>
      <c r="C6" s="43"/>
      <c r="D6" s="43"/>
      <c r="E6" s="43" t="s">
        <v>176</v>
      </c>
      <c r="F6" s="43"/>
      <c r="G6" s="43"/>
      <c r="H6" s="52">
        <v>18832.02</v>
      </c>
      <c r="I6" s="45"/>
      <c r="J6" s="52">
        <v>19023.55</v>
      </c>
      <c r="K6" s="45"/>
      <c r="L6" s="52">
        <v>16665.259999999998</v>
      </c>
      <c r="M6" s="45"/>
      <c r="N6" s="52">
        <f t="shared" si="0"/>
        <v>54520.83</v>
      </c>
    </row>
    <row r="7" spans="1:14" x14ac:dyDescent="0.3">
      <c r="A7" s="43"/>
      <c r="B7" s="43"/>
      <c r="C7" s="43"/>
      <c r="D7" s="43"/>
      <c r="E7" s="43" t="s">
        <v>177</v>
      </c>
      <c r="F7" s="43"/>
      <c r="G7" s="43"/>
      <c r="H7" s="52">
        <v>794.68</v>
      </c>
      <c r="I7" s="45"/>
      <c r="J7" s="52">
        <v>2796.92</v>
      </c>
      <c r="K7" s="45"/>
      <c r="L7" s="52">
        <v>2176.9299999999998</v>
      </c>
      <c r="M7" s="45"/>
      <c r="N7" s="52">
        <f t="shared" si="0"/>
        <v>5768.53</v>
      </c>
    </row>
    <row r="8" spans="1:14" x14ac:dyDescent="0.3">
      <c r="A8" s="43"/>
      <c r="B8" s="43"/>
      <c r="C8" s="43"/>
      <c r="D8" s="43"/>
      <c r="E8" s="43" t="s">
        <v>178</v>
      </c>
      <c r="F8" s="43"/>
      <c r="G8" s="43"/>
      <c r="H8" s="52">
        <v>259.37</v>
      </c>
      <c r="I8" s="45"/>
      <c r="J8" s="52">
        <v>800</v>
      </c>
      <c r="K8" s="45"/>
      <c r="L8" s="52">
        <v>0</v>
      </c>
      <c r="M8" s="45"/>
      <c r="N8" s="52">
        <f t="shared" si="0"/>
        <v>1059.3699999999999</v>
      </c>
    </row>
    <row r="9" spans="1:14" ht="15" thickBot="1" x14ac:dyDescent="0.35">
      <c r="A9" s="43"/>
      <c r="B9" s="43"/>
      <c r="C9" s="43"/>
      <c r="D9" s="43"/>
      <c r="E9" s="43" t="s">
        <v>363</v>
      </c>
      <c r="F9" s="43"/>
      <c r="G9" s="43"/>
      <c r="H9" s="52">
        <v>0</v>
      </c>
      <c r="I9" s="45"/>
      <c r="J9" s="52">
        <v>0</v>
      </c>
      <c r="K9" s="45"/>
      <c r="L9" s="52">
        <v>150.6</v>
      </c>
      <c r="M9" s="45"/>
      <c r="N9" s="52">
        <f t="shared" si="0"/>
        <v>150.6</v>
      </c>
    </row>
    <row r="10" spans="1:14" ht="15" thickBot="1" x14ac:dyDescent="0.35">
      <c r="A10" s="43"/>
      <c r="B10" s="43"/>
      <c r="C10" s="43"/>
      <c r="D10" s="43" t="s">
        <v>180</v>
      </c>
      <c r="E10" s="43"/>
      <c r="F10" s="43"/>
      <c r="G10" s="43"/>
      <c r="H10" s="53">
        <f>ROUND(SUM(H3:H9),5)</f>
        <v>135893.06</v>
      </c>
      <c r="I10" s="45"/>
      <c r="J10" s="53">
        <f>ROUND(SUM(J3:J9),5)</f>
        <v>135690.45000000001</v>
      </c>
      <c r="K10" s="45"/>
      <c r="L10" s="53">
        <f>ROUND(SUM(L3:L9),5)</f>
        <v>121996.78</v>
      </c>
      <c r="M10" s="45"/>
      <c r="N10" s="53">
        <f t="shared" si="0"/>
        <v>393580.29</v>
      </c>
    </row>
    <row r="11" spans="1:14" ht="30" customHeight="1" x14ac:dyDescent="0.3">
      <c r="A11" s="43"/>
      <c r="B11" s="43"/>
      <c r="C11" s="43" t="s">
        <v>181</v>
      </c>
      <c r="D11" s="43"/>
      <c r="E11" s="43"/>
      <c r="F11" s="43"/>
      <c r="G11" s="43"/>
      <c r="H11" s="52">
        <f>H10</f>
        <v>135893.06</v>
      </c>
      <c r="I11" s="45"/>
      <c r="J11" s="52">
        <f>J10</f>
        <v>135690.45000000001</v>
      </c>
      <c r="K11" s="45"/>
      <c r="L11" s="52">
        <f>L10</f>
        <v>121996.78</v>
      </c>
      <c r="M11" s="45"/>
      <c r="N11" s="52">
        <f t="shared" si="0"/>
        <v>393580.29</v>
      </c>
    </row>
    <row r="12" spans="1:14" ht="30" customHeight="1" x14ac:dyDescent="0.3">
      <c r="A12" s="43"/>
      <c r="B12" s="43"/>
      <c r="C12" s="43"/>
      <c r="D12" s="43" t="s">
        <v>182</v>
      </c>
      <c r="E12" s="43"/>
      <c r="F12" s="43"/>
      <c r="G12" s="43"/>
      <c r="H12" s="52"/>
      <c r="I12" s="45"/>
      <c r="J12" s="52"/>
      <c r="K12" s="45"/>
      <c r="L12" s="52"/>
      <c r="M12" s="45"/>
      <c r="N12" s="52"/>
    </row>
    <row r="13" spans="1:14" x14ac:dyDescent="0.3">
      <c r="A13" s="43"/>
      <c r="B13" s="43"/>
      <c r="C13" s="43"/>
      <c r="D13" s="43"/>
      <c r="E13" s="43" t="s">
        <v>183</v>
      </c>
      <c r="F13" s="43"/>
      <c r="G13" s="43"/>
      <c r="H13" s="52"/>
      <c r="I13" s="45"/>
      <c r="J13" s="52"/>
      <c r="K13" s="45"/>
      <c r="L13" s="52"/>
      <c r="M13" s="45"/>
      <c r="N13" s="52"/>
    </row>
    <row r="14" spans="1:14" x14ac:dyDescent="0.3">
      <c r="A14" s="43"/>
      <c r="B14" s="43"/>
      <c r="C14" s="43"/>
      <c r="D14" s="43"/>
      <c r="E14" s="43"/>
      <c r="F14" s="43" t="s">
        <v>364</v>
      </c>
      <c r="G14" s="43"/>
      <c r="H14" s="52"/>
      <c r="I14" s="45"/>
      <c r="J14" s="52"/>
      <c r="K14" s="45"/>
      <c r="L14" s="52"/>
      <c r="M14" s="45"/>
      <c r="N14" s="52"/>
    </row>
    <row r="15" spans="1:14" x14ac:dyDescent="0.3">
      <c r="A15" s="43"/>
      <c r="B15" s="43"/>
      <c r="C15" s="43"/>
      <c r="D15" s="43"/>
      <c r="E15" s="43"/>
      <c r="F15" s="43"/>
      <c r="G15" s="43" t="s">
        <v>365</v>
      </c>
      <c r="H15" s="52">
        <v>0</v>
      </c>
      <c r="I15" s="45"/>
      <c r="J15" s="52">
        <v>0</v>
      </c>
      <c r="K15" s="45"/>
      <c r="L15" s="52">
        <v>692.76</v>
      </c>
      <c r="M15" s="45"/>
      <c r="N15" s="52">
        <f t="shared" ref="N15:N22" si="1">ROUND(SUM(H15:L15),5)</f>
        <v>692.76</v>
      </c>
    </row>
    <row r="16" spans="1:14" ht="15" thickBot="1" x14ac:dyDescent="0.35">
      <c r="A16" s="43"/>
      <c r="B16" s="43"/>
      <c r="C16" s="43"/>
      <c r="D16" s="43"/>
      <c r="E16" s="43"/>
      <c r="F16" s="43"/>
      <c r="G16" s="43" t="s">
        <v>363</v>
      </c>
      <c r="H16" s="54">
        <v>250</v>
      </c>
      <c r="I16" s="45"/>
      <c r="J16" s="54">
        <v>0</v>
      </c>
      <c r="K16" s="45"/>
      <c r="L16" s="54">
        <v>0</v>
      </c>
      <c r="M16" s="45"/>
      <c r="N16" s="54">
        <f t="shared" si="1"/>
        <v>250</v>
      </c>
    </row>
    <row r="17" spans="1:14" x14ac:dyDescent="0.3">
      <c r="A17" s="43"/>
      <c r="B17" s="43"/>
      <c r="C17" s="43"/>
      <c r="D17" s="43"/>
      <c r="E17" s="43"/>
      <c r="F17" s="43" t="s">
        <v>366</v>
      </c>
      <c r="G17" s="43"/>
      <c r="H17" s="52">
        <f>ROUND(SUM(H14:H16),5)</f>
        <v>250</v>
      </c>
      <c r="I17" s="45"/>
      <c r="J17" s="52">
        <f>ROUND(SUM(J14:J16),5)</f>
        <v>0</v>
      </c>
      <c r="K17" s="45"/>
      <c r="L17" s="52">
        <f>ROUND(SUM(L14:L16),5)</f>
        <v>692.76</v>
      </c>
      <c r="M17" s="45"/>
      <c r="N17" s="52">
        <f t="shared" si="1"/>
        <v>942.76</v>
      </c>
    </row>
    <row r="18" spans="1:14" ht="30" customHeight="1" x14ac:dyDescent="0.3">
      <c r="A18" s="43"/>
      <c r="B18" s="43"/>
      <c r="C18" s="43"/>
      <c r="D18" s="43"/>
      <c r="E18" s="43"/>
      <c r="F18" s="43" t="s">
        <v>190</v>
      </c>
      <c r="G18" s="43"/>
      <c r="H18" s="52">
        <v>6794.65</v>
      </c>
      <c r="I18" s="45"/>
      <c r="J18" s="52">
        <v>6744.52</v>
      </c>
      <c r="K18" s="45"/>
      <c r="L18" s="52">
        <v>6092.31</v>
      </c>
      <c r="M18" s="45"/>
      <c r="N18" s="52">
        <f t="shared" si="1"/>
        <v>19631.48</v>
      </c>
    </row>
    <row r="19" spans="1:14" x14ac:dyDescent="0.3">
      <c r="A19" s="43"/>
      <c r="B19" s="43"/>
      <c r="C19" s="43"/>
      <c r="D19" s="43"/>
      <c r="E19" s="43"/>
      <c r="F19" s="43" t="s">
        <v>367</v>
      </c>
      <c r="G19" s="43"/>
      <c r="H19" s="52">
        <v>25.15</v>
      </c>
      <c r="I19" s="45"/>
      <c r="J19" s="52">
        <v>23.35</v>
      </c>
      <c r="K19" s="45"/>
      <c r="L19" s="52">
        <v>44.91</v>
      </c>
      <c r="M19" s="45"/>
      <c r="N19" s="52">
        <f t="shared" si="1"/>
        <v>93.41</v>
      </c>
    </row>
    <row r="20" spans="1:14" x14ac:dyDescent="0.3">
      <c r="A20" s="43"/>
      <c r="B20" s="43"/>
      <c r="C20" s="43"/>
      <c r="D20" s="43"/>
      <c r="E20" s="43"/>
      <c r="F20" s="43" t="s">
        <v>368</v>
      </c>
      <c r="G20" s="43"/>
      <c r="H20" s="52">
        <v>63.94</v>
      </c>
      <c r="I20" s="45"/>
      <c r="J20" s="52">
        <v>70.099999999999994</v>
      </c>
      <c r="K20" s="45"/>
      <c r="L20" s="52">
        <v>74.73</v>
      </c>
      <c r="M20" s="45"/>
      <c r="N20" s="52">
        <f t="shared" si="1"/>
        <v>208.77</v>
      </c>
    </row>
    <row r="21" spans="1:14" x14ac:dyDescent="0.3">
      <c r="A21" s="43"/>
      <c r="B21" s="43"/>
      <c r="C21" s="43"/>
      <c r="D21" s="43"/>
      <c r="E21" s="43"/>
      <c r="F21" s="43" t="s">
        <v>193</v>
      </c>
      <c r="G21" s="43"/>
      <c r="H21" s="52">
        <v>0</v>
      </c>
      <c r="I21" s="45"/>
      <c r="J21" s="52">
        <v>15.97</v>
      </c>
      <c r="K21" s="45"/>
      <c r="L21" s="52">
        <v>0.7</v>
      </c>
      <c r="M21" s="45"/>
      <c r="N21" s="52">
        <f t="shared" si="1"/>
        <v>16.670000000000002</v>
      </c>
    </row>
    <row r="22" spans="1:14" x14ac:dyDescent="0.3">
      <c r="A22" s="43"/>
      <c r="B22" s="43"/>
      <c r="C22" s="43"/>
      <c r="D22" s="43"/>
      <c r="E22" s="43"/>
      <c r="F22" s="43" t="s">
        <v>194</v>
      </c>
      <c r="G22" s="43"/>
      <c r="H22" s="52">
        <v>10</v>
      </c>
      <c r="I22" s="45"/>
      <c r="J22" s="52">
        <v>0</v>
      </c>
      <c r="K22" s="45"/>
      <c r="L22" s="52">
        <v>0</v>
      </c>
      <c r="M22" s="45"/>
      <c r="N22" s="52">
        <f t="shared" si="1"/>
        <v>10</v>
      </c>
    </row>
    <row r="23" spans="1:14" x14ac:dyDescent="0.3">
      <c r="A23" s="43"/>
      <c r="B23" s="43"/>
      <c r="C23" s="43"/>
      <c r="D23" s="43"/>
      <c r="E23" s="43"/>
      <c r="F23" s="43" t="s">
        <v>195</v>
      </c>
      <c r="G23" s="43"/>
      <c r="H23" s="52"/>
      <c r="I23" s="45"/>
      <c r="J23" s="52"/>
      <c r="K23" s="45"/>
      <c r="L23" s="52"/>
      <c r="M23" s="45"/>
      <c r="N23" s="52"/>
    </row>
    <row r="24" spans="1:14" x14ac:dyDescent="0.3">
      <c r="A24" s="43"/>
      <c r="B24" s="43"/>
      <c r="C24" s="43"/>
      <c r="D24" s="43"/>
      <c r="E24" s="43"/>
      <c r="F24" s="43"/>
      <c r="G24" s="43" t="s">
        <v>197</v>
      </c>
      <c r="H24" s="52">
        <v>700</v>
      </c>
      <c r="I24" s="45"/>
      <c r="J24" s="52">
        <v>720</v>
      </c>
      <c r="K24" s="45"/>
      <c r="L24" s="52">
        <v>725</v>
      </c>
      <c r="M24" s="45"/>
      <c r="N24" s="52">
        <f t="shared" ref="N24:N31" si="2">ROUND(SUM(H24:L24),5)</f>
        <v>2145</v>
      </c>
    </row>
    <row r="25" spans="1:14" x14ac:dyDescent="0.3">
      <c r="A25" s="43"/>
      <c r="B25" s="43"/>
      <c r="C25" s="43"/>
      <c r="D25" s="43"/>
      <c r="E25" s="43"/>
      <c r="F25" s="43"/>
      <c r="G25" s="43" t="s">
        <v>369</v>
      </c>
      <c r="H25" s="52">
        <v>0</v>
      </c>
      <c r="I25" s="45"/>
      <c r="J25" s="52">
        <v>0</v>
      </c>
      <c r="K25" s="45"/>
      <c r="L25" s="52">
        <v>757.5</v>
      </c>
      <c r="M25" s="45"/>
      <c r="N25" s="52">
        <f t="shared" si="2"/>
        <v>757.5</v>
      </c>
    </row>
    <row r="26" spans="1:14" x14ac:dyDescent="0.3">
      <c r="A26" s="43"/>
      <c r="B26" s="43"/>
      <c r="C26" s="43"/>
      <c r="D26" s="43"/>
      <c r="E26" s="43"/>
      <c r="F26" s="43"/>
      <c r="G26" s="43" t="s">
        <v>198</v>
      </c>
      <c r="H26" s="52">
        <v>0</v>
      </c>
      <c r="I26" s="45"/>
      <c r="J26" s="52">
        <v>700</v>
      </c>
      <c r="K26" s="45"/>
      <c r="L26" s="52">
        <v>0</v>
      </c>
      <c r="M26" s="45"/>
      <c r="N26" s="52">
        <f t="shared" si="2"/>
        <v>700</v>
      </c>
    </row>
    <row r="27" spans="1:14" ht="15" thickBot="1" x14ac:dyDescent="0.35">
      <c r="A27" s="43"/>
      <c r="B27" s="43"/>
      <c r="C27" s="43"/>
      <c r="D27" s="43"/>
      <c r="E27" s="43"/>
      <c r="F27" s="43"/>
      <c r="G27" s="43" t="s">
        <v>199</v>
      </c>
      <c r="H27" s="54">
        <v>220.68</v>
      </c>
      <c r="I27" s="45"/>
      <c r="J27" s="54">
        <v>203.52</v>
      </c>
      <c r="K27" s="45"/>
      <c r="L27" s="54">
        <v>168.8</v>
      </c>
      <c r="M27" s="45"/>
      <c r="N27" s="54">
        <f t="shared" si="2"/>
        <v>593</v>
      </c>
    </row>
    <row r="28" spans="1:14" x14ac:dyDescent="0.3">
      <c r="A28" s="43"/>
      <c r="B28" s="43"/>
      <c r="C28" s="43"/>
      <c r="D28" s="43"/>
      <c r="E28" s="43"/>
      <c r="F28" s="43" t="s">
        <v>200</v>
      </c>
      <c r="G28" s="43"/>
      <c r="H28" s="52">
        <f>ROUND(SUM(H23:H27),5)</f>
        <v>920.68</v>
      </c>
      <c r="I28" s="45"/>
      <c r="J28" s="52">
        <f>ROUND(SUM(J23:J27),5)</f>
        <v>1623.52</v>
      </c>
      <c r="K28" s="45"/>
      <c r="L28" s="52">
        <f>ROUND(SUM(L23:L27),5)</f>
        <v>1651.3</v>
      </c>
      <c r="M28" s="45"/>
      <c r="N28" s="52">
        <f t="shared" si="2"/>
        <v>4195.5</v>
      </c>
    </row>
    <row r="29" spans="1:14" ht="30" customHeight="1" x14ac:dyDescent="0.3">
      <c r="A29" s="43"/>
      <c r="B29" s="43"/>
      <c r="C29" s="43"/>
      <c r="D29" s="43"/>
      <c r="E29" s="43"/>
      <c r="F29" s="43" t="s">
        <v>320</v>
      </c>
      <c r="G29" s="43"/>
      <c r="H29" s="52">
        <v>0</v>
      </c>
      <c r="I29" s="45"/>
      <c r="J29" s="52">
        <v>22.55</v>
      </c>
      <c r="K29" s="45"/>
      <c r="L29" s="52">
        <v>141.65</v>
      </c>
      <c r="M29" s="45"/>
      <c r="N29" s="52">
        <f t="shared" si="2"/>
        <v>164.2</v>
      </c>
    </row>
    <row r="30" spans="1:14" ht="15" thickBot="1" x14ac:dyDescent="0.35">
      <c r="A30" s="43"/>
      <c r="B30" s="43"/>
      <c r="C30" s="43"/>
      <c r="D30" s="43"/>
      <c r="E30" s="43"/>
      <c r="F30" s="43" t="s">
        <v>201</v>
      </c>
      <c r="G30" s="43"/>
      <c r="H30" s="54">
        <v>0</v>
      </c>
      <c r="I30" s="45"/>
      <c r="J30" s="54">
        <v>0</v>
      </c>
      <c r="K30" s="45"/>
      <c r="L30" s="54">
        <v>88.52</v>
      </c>
      <c r="M30" s="45"/>
      <c r="N30" s="54">
        <f t="shared" si="2"/>
        <v>88.52</v>
      </c>
    </row>
    <row r="31" spans="1:14" x14ac:dyDescent="0.3">
      <c r="A31" s="43"/>
      <c r="B31" s="43"/>
      <c r="C31" s="43"/>
      <c r="D31" s="43"/>
      <c r="E31" s="43" t="s">
        <v>202</v>
      </c>
      <c r="F31" s="43"/>
      <c r="G31" s="43"/>
      <c r="H31" s="52">
        <f>ROUND(H13+SUM(H17:H22)+SUM(H28:H30),5)</f>
        <v>8064.42</v>
      </c>
      <c r="I31" s="45"/>
      <c r="J31" s="52">
        <f>ROUND(J13+SUM(J17:J22)+SUM(J28:J30),5)</f>
        <v>8500.01</v>
      </c>
      <c r="K31" s="45"/>
      <c r="L31" s="52">
        <f>ROUND(L13+SUM(L17:L22)+SUM(L28:L30),5)</f>
        <v>8786.8799999999992</v>
      </c>
      <c r="M31" s="45"/>
      <c r="N31" s="52">
        <f t="shared" si="2"/>
        <v>25351.31</v>
      </c>
    </row>
    <row r="32" spans="1:14" ht="30" customHeight="1" x14ac:dyDescent="0.3">
      <c r="A32" s="43"/>
      <c r="B32" s="43"/>
      <c r="C32" s="43"/>
      <c r="D32" s="43"/>
      <c r="E32" s="43" t="s">
        <v>203</v>
      </c>
      <c r="F32" s="43"/>
      <c r="G32" s="43"/>
      <c r="H32" s="52"/>
      <c r="I32" s="45"/>
      <c r="J32" s="52"/>
      <c r="K32" s="45"/>
      <c r="L32" s="52"/>
      <c r="M32" s="45"/>
      <c r="N32" s="52"/>
    </row>
    <row r="33" spans="1:14" x14ac:dyDescent="0.3">
      <c r="A33" s="43"/>
      <c r="B33" s="43"/>
      <c r="C33" s="43"/>
      <c r="D33" s="43"/>
      <c r="E33" s="43"/>
      <c r="F33" s="43" t="s">
        <v>370</v>
      </c>
      <c r="G33" s="43"/>
      <c r="H33" s="52">
        <v>118.84</v>
      </c>
      <c r="I33" s="45"/>
      <c r="J33" s="52">
        <v>152.32</v>
      </c>
      <c r="K33" s="45"/>
      <c r="L33" s="52">
        <v>171.45</v>
      </c>
      <c r="M33" s="45"/>
      <c r="N33" s="52">
        <f>ROUND(SUM(H33:L33),5)</f>
        <v>442.61</v>
      </c>
    </row>
    <row r="34" spans="1:14" x14ac:dyDescent="0.3">
      <c r="A34" s="43"/>
      <c r="B34" s="43"/>
      <c r="C34" s="43"/>
      <c r="D34" s="43"/>
      <c r="E34" s="43"/>
      <c r="F34" s="43" t="s">
        <v>205</v>
      </c>
      <c r="G34" s="43"/>
      <c r="H34" s="52"/>
      <c r="I34" s="45"/>
      <c r="J34" s="52"/>
      <c r="K34" s="45"/>
      <c r="L34" s="52"/>
      <c r="M34" s="45"/>
      <c r="N34" s="52"/>
    </row>
    <row r="35" spans="1:14" x14ac:dyDescent="0.3">
      <c r="A35" s="43"/>
      <c r="B35" s="43"/>
      <c r="C35" s="43"/>
      <c r="D35" s="43"/>
      <c r="E35" s="43"/>
      <c r="F35" s="43"/>
      <c r="G35" s="43" t="s">
        <v>371</v>
      </c>
      <c r="H35" s="52">
        <v>0</v>
      </c>
      <c r="I35" s="45"/>
      <c r="J35" s="52">
        <v>0</v>
      </c>
      <c r="K35" s="45"/>
      <c r="L35" s="52">
        <v>363.9</v>
      </c>
      <c r="M35" s="45"/>
      <c r="N35" s="52">
        <f>ROUND(SUM(H35:L35),5)</f>
        <v>363.9</v>
      </c>
    </row>
    <row r="36" spans="1:14" ht="15" thickBot="1" x14ac:dyDescent="0.35">
      <c r="A36" s="43"/>
      <c r="B36" s="43"/>
      <c r="C36" s="43"/>
      <c r="D36" s="43"/>
      <c r="E36" s="43"/>
      <c r="F36" s="43"/>
      <c r="G36" s="43" t="s">
        <v>372</v>
      </c>
      <c r="H36" s="54">
        <v>2045.19</v>
      </c>
      <c r="I36" s="45"/>
      <c r="J36" s="54">
        <v>2252.6</v>
      </c>
      <c r="K36" s="45"/>
      <c r="L36" s="54">
        <v>2245.84</v>
      </c>
      <c r="M36" s="45"/>
      <c r="N36" s="54">
        <f>ROUND(SUM(H36:L36),5)</f>
        <v>6543.63</v>
      </c>
    </row>
    <row r="37" spans="1:14" x14ac:dyDescent="0.3">
      <c r="A37" s="43"/>
      <c r="B37" s="43"/>
      <c r="C37" s="43"/>
      <c r="D37" s="43"/>
      <c r="E37" s="43"/>
      <c r="F37" s="43" t="s">
        <v>210</v>
      </c>
      <c r="G37" s="43"/>
      <c r="H37" s="52">
        <f>ROUND(SUM(H34:H36),5)</f>
        <v>2045.19</v>
      </c>
      <c r="I37" s="45"/>
      <c r="J37" s="52">
        <f>ROUND(SUM(J34:J36),5)</f>
        <v>2252.6</v>
      </c>
      <c r="K37" s="45"/>
      <c r="L37" s="52">
        <f>ROUND(SUM(L34:L36),5)</f>
        <v>2609.7399999999998</v>
      </c>
      <c r="M37" s="45"/>
      <c r="N37" s="52">
        <f>ROUND(SUM(H37:L37),5)</f>
        <v>6907.53</v>
      </c>
    </row>
    <row r="38" spans="1:14" ht="30" customHeight="1" x14ac:dyDescent="0.3">
      <c r="A38" s="43"/>
      <c r="B38" s="43"/>
      <c r="C38" s="43"/>
      <c r="D38" s="43"/>
      <c r="E38" s="43"/>
      <c r="F38" s="43" t="s">
        <v>323</v>
      </c>
      <c r="G38" s="43"/>
      <c r="H38" s="52"/>
      <c r="I38" s="45"/>
      <c r="J38" s="52"/>
      <c r="K38" s="45"/>
      <c r="L38" s="52"/>
      <c r="M38" s="45"/>
      <c r="N38" s="52"/>
    </row>
    <row r="39" spans="1:14" ht="15" thickBot="1" x14ac:dyDescent="0.35">
      <c r="A39" s="43"/>
      <c r="B39" s="43"/>
      <c r="C39" s="43"/>
      <c r="D39" s="43"/>
      <c r="E39" s="43"/>
      <c r="F39" s="43"/>
      <c r="G39" s="43" t="s">
        <v>373</v>
      </c>
      <c r="H39" s="54">
        <v>0</v>
      </c>
      <c r="I39" s="45"/>
      <c r="J39" s="54">
        <v>0</v>
      </c>
      <c r="K39" s="45"/>
      <c r="L39" s="54">
        <v>362.96</v>
      </c>
      <c r="M39" s="45"/>
      <c r="N39" s="54">
        <f>ROUND(SUM(H39:L39),5)</f>
        <v>362.96</v>
      </c>
    </row>
    <row r="40" spans="1:14" x14ac:dyDescent="0.3">
      <c r="A40" s="43"/>
      <c r="B40" s="43"/>
      <c r="C40" s="43"/>
      <c r="D40" s="43"/>
      <c r="E40" s="43"/>
      <c r="F40" s="43" t="s">
        <v>325</v>
      </c>
      <c r="G40" s="43"/>
      <c r="H40" s="52">
        <f>ROUND(SUM(H38:H39),5)</f>
        <v>0</v>
      </c>
      <c r="I40" s="45"/>
      <c r="J40" s="52">
        <f>ROUND(SUM(J38:J39),5)</f>
        <v>0</v>
      </c>
      <c r="K40" s="45"/>
      <c r="L40" s="52">
        <f>ROUND(SUM(L38:L39),5)</f>
        <v>362.96</v>
      </c>
      <c r="M40" s="45"/>
      <c r="N40" s="52">
        <f>ROUND(SUM(H40:L40),5)</f>
        <v>362.96</v>
      </c>
    </row>
    <row r="41" spans="1:14" ht="30" customHeight="1" thickBot="1" x14ac:dyDescent="0.35">
      <c r="A41" s="43"/>
      <c r="B41" s="43"/>
      <c r="C41" s="43"/>
      <c r="D41" s="43"/>
      <c r="E41" s="43"/>
      <c r="F41" s="43" t="s">
        <v>211</v>
      </c>
      <c r="G41" s="43"/>
      <c r="H41" s="54">
        <v>1498.95</v>
      </c>
      <c r="I41" s="45"/>
      <c r="J41" s="54">
        <v>2374.14</v>
      </c>
      <c r="K41" s="45"/>
      <c r="L41" s="54">
        <v>2075.2800000000002</v>
      </c>
      <c r="M41" s="45"/>
      <c r="N41" s="54">
        <f>ROUND(SUM(H41:L41),5)</f>
        <v>5948.37</v>
      </c>
    </row>
    <row r="42" spans="1:14" x14ac:dyDescent="0.3">
      <c r="A42" s="43"/>
      <c r="B42" s="43"/>
      <c r="C42" s="43"/>
      <c r="D42" s="43"/>
      <c r="E42" s="43" t="s">
        <v>213</v>
      </c>
      <c r="F42" s="43"/>
      <c r="G42" s="43"/>
      <c r="H42" s="52">
        <f>ROUND(SUM(H32:H33)+H37+SUM(H40:H41),5)</f>
        <v>3662.98</v>
      </c>
      <c r="I42" s="45"/>
      <c r="J42" s="52">
        <f>ROUND(SUM(J32:J33)+J37+SUM(J40:J41),5)</f>
        <v>4779.0600000000004</v>
      </c>
      <c r="K42" s="45"/>
      <c r="L42" s="52">
        <f>ROUND(SUM(L32:L33)+L37+SUM(L40:L41),5)</f>
        <v>5219.43</v>
      </c>
      <c r="M42" s="45"/>
      <c r="N42" s="52">
        <f>ROUND(SUM(H42:L42),5)</f>
        <v>13661.47</v>
      </c>
    </row>
    <row r="43" spans="1:14" ht="30" customHeight="1" x14ac:dyDescent="0.3">
      <c r="A43" s="43"/>
      <c r="B43" s="43"/>
      <c r="C43" s="43"/>
      <c r="D43" s="43"/>
      <c r="E43" s="43" t="s">
        <v>214</v>
      </c>
      <c r="F43" s="43"/>
      <c r="G43" s="43"/>
      <c r="H43" s="52"/>
      <c r="I43" s="45"/>
      <c r="J43" s="52"/>
      <c r="K43" s="45"/>
      <c r="L43" s="52"/>
      <c r="M43" s="45"/>
      <c r="N43" s="52"/>
    </row>
    <row r="44" spans="1:14" x14ac:dyDescent="0.3">
      <c r="A44" s="43"/>
      <c r="B44" s="43"/>
      <c r="C44" s="43"/>
      <c r="D44" s="43"/>
      <c r="E44" s="43"/>
      <c r="F44" s="43" t="s">
        <v>215</v>
      </c>
      <c r="G44" s="43"/>
      <c r="H44" s="52"/>
      <c r="I44" s="45"/>
      <c r="J44" s="52"/>
      <c r="K44" s="45"/>
      <c r="L44" s="52"/>
      <c r="M44" s="45"/>
      <c r="N44" s="52"/>
    </row>
    <row r="45" spans="1:14" x14ac:dyDescent="0.3">
      <c r="A45" s="43"/>
      <c r="B45" s="43"/>
      <c r="C45" s="43"/>
      <c r="D45" s="43"/>
      <c r="E45" s="43"/>
      <c r="F45" s="43"/>
      <c r="G45" s="43" t="s">
        <v>216</v>
      </c>
      <c r="H45" s="52">
        <v>249.25</v>
      </c>
      <c r="I45" s="45"/>
      <c r="J45" s="52">
        <v>70</v>
      </c>
      <c r="K45" s="45"/>
      <c r="L45" s="52">
        <v>43.75</v>
      </c>
      <c r="M45" s="45"/>
      <c r="N45" s="52">
        <f t="shared" ref="N45:N51" si="3">ROUND(SUM(H45:L45),5)</f>
        <v>363</v>
      </c>
    </row>
    <row r="46" spans="1:14" x14ac:dyDescent="0.3">
      <c r="A46" s="43"/>
      <c r="B46" s="43"/>
      <c r="C46" s="43"/>
      <c r="D46" s="43"/>
      <c r="E46" s="43"/>
      <c r="F46" s="43"/>
      <c r="G46" s="43" t="s">
        <v>217</v>
      </c>
      <c r="H46" s="52">
        <v>0</v>
      </c>
      <c r="I46" s="45"/>
      <c r="J46" s="52">
        <v>12.5</v>
      </c>
      <c r="K46" s="45"/>
      <c r="L46" s="52">
        <v>373.62</v>
      </c>
      <c r="M46" s="45"/>
      <c r="N46" s="52">
        <f t="shared" si="3"/>
        <v>386.12</v>
      </c>
    </row>
    <row r="47" spans="1:14" x14ac:dyDescent="0.3">
      <c r="A47" s="43"/>
      <c r="B47" s="43"/>
      <c r="C47" s="43"/>
      <c r="D47" s="43"/>
      <c r="E47" s="43"/>
      <c r="F47" s="43"/>
      <c r="G47" s="43" t="s">
        <v>374</v>
      </c>
      <c r="H47" s="52">
        <v>0</v>
      </c>
      <c r="I47" s="45"/>
      <c r="J47" s="52">
        <v>116.25</v>
      </c>
      <c r="K47" s="45"/>
      <c r="L47" s="52">
        <v>0</v>
      </c>
      <c r="M47" s="45"/>
      <c r="N47" s="52">
        <f t="shared" si="3"/>
        <v>116.25</v>
      </c>
    </row>
    <row r="48" spans="1:14" x14ac:dyDescent="0.3">
      <c r="A48" s="43"/>
      <c r="B48" s="43"/>
      <c r="C48" s="43"/>
      <c r="D48" s="43"/>
      <c r="E48" s="43"/>
      <c r="F48" s="43"/>
      <c r="G48" s="43" t="s">
        <v>219</v>
      </c>
      <c r="H48" s="52">
        <v>1400</v>
      </c>
      <c r="I48" s="45"/>
      <c r="J48" s="52">
        <v>1374.8</v>
      </c>
      <c r="K48" s="45"/>
      <c r="L48" s="52">
        <v>575</v>
      </c>
      <c r="M48" s="45"/>
      <c r="N48" s="52">
        <f t="shared" si="3"/>
        <v>3349.8</v>
      </c>
    </row>
    <row r="49" spans="1:14" ht="15" thickBot="1" x14ac:dyDescent="0.35">
      <c r="A49" s="43"/>
      <c r="B49" s="43"/>
      <c r="C49" s="43"/>
      <c r="D49" s="43"/>
      <c r="E49" s="43"/>
      <c r="F49" s="43"/>
      <c r="G49" s="43" t="s">
        <v>375</v>
      </c>
      <c r="H49" s="54">
        <v>0</v>
      </c>
      <c r="I49" s="45"/>
      <c r="J49" s="54">
        <v>122.5</v>
      </c>
      <c r="K49" s="45"/>
      <c r="L49" s="54">
        <v>0</v>
      </c>
      <c r="M49" s="45"/>
      <c r="N49" s="54">
        <f t="shared" si="3"/>
        <v>122.5</v>
      </c>
    </row>
    <row r="50" spans="1:14" x14ac:dyDescent="0.3">
      <c r="A50" s="43"/>
      <c r="B50" s="43"/>
      <c r="C50" s="43"/>
      <c r="D50" s="43"/>
      <c r="E50" s="43"/>
      <c r="F50" s="43" t="s">
        <v>223</v>
      </c>
      <c r="G50" s="43"/>
      <c r="H50" s="52">
        <f>ROUND(SUM(H44:H49),5)</f>
        <v>1649.25</v>
      </c>
      <c r="I50" s="45"/>
      <c r="J50" s="52">
        <f>ROUND(SUM(J44:J49),5)</f>
        <v>1696.05</v>
      </c>
      <c r="K50" s="45"/>
      <c r="L50" s="52">
        <f>ROUND(SUM(L44:L49),5)</f>
        <v>992.37</v>
      </c>
      <c r="M50" s="45"/>
      <c r="N50" s="52">
        <f t="shared" si="3"/>
        <v>4337.67</v>
      </c>
    </row>
    <row r="51" spans="1:14" ht="30" customHeight="1" x14ac:dyDescent="0.3">
      <c r="A51" s="43"/>
      <c r="B51" s="43"/>
      <c r="C51" s="43"/>
      <c r="D51" s="43"/>
      <c r="E51" s="43"/>
      <c r="F51" s="43" t="s">
        <v>331</v>
      </c>
      <c r="G51" s="43"/>
      <c r="H51" s="52">
        <v>120</v>
      </c>
      <c r="I51" s="45"/>
      <c r="J51" s="52">
        <v>55</v>
      </c>
      <c r="K51" s="45"/>
      <c r="L51" s="52">
        <v>126</v>
      </c>
      <c r="M51" s="45"/>
      <c r="N51" s="52">
        <f t="shared" si="3"/>
        <v>301</v>
      </c>
    </row>
    <row r="52" spans="1:14" x14ac:dyDescent="0.3">
      <c r="A52" s="43"/>
      <c r="B52" s="43"/>
      <c r="C52" s="43"/>
      <c r="D52" s="43"/>
      <c r="E52" s="43"/>
      <c r="F52" s="43" t="s">
        <v>228</v>
      </c>
      <c r="G52" s="43"/>
      <c r="H52" s="52"/>
      <c r="I52" s="45"/>
      <c r="J52" s="52"/>
      <c r="K52" s="45"/>
      <c r="L52" s="52"/>
      <c r="M52" s="45"/>
      <c r="N52" s="52"/>
    </row>
    <row r="53" spans="1:14" x14ac:dyDescent="0.3">
      <c r="A53" s="43"/>
      <c r="B53" s="43"/>
      <c r="C53" s="43"/>
      <c r="D53" s="43"/>
      <c r="E53" s="43"/>
      <c r="F53" s="43"/>
      <c r="G53" s="43" t="s">
        <v>229</v>
      </c>
      <c r="H53" s="52">
        <v>690.8</v>
      </c>
      <c r="I53" s="45"/>
      <c r="J53" s="52">
        <v>704</v>
      </c>
      <c r="K53" s="45"/>
      <c r="L53" s="52">
        <v>900</v>
      </c>
      <c r="M53" s="45"/>
      <c r="N53" s="52">
        <f>ROUND(SUM(H53:L53),5)</f>
        <v>2294.8000000000002</v>
      </c>
    </row>
    <row r="54" spans="1:14" ht="15" thickBot="1" x14ac:dyDescent="0.35">
      <c r="A54" s="43"/>
      <c r="B54" s="43"/>
      <c r="C54" s="43"/>
      <c r="D54" s="43"/>
      <c r="E54" s="43"/>
      <c r="F54" s="43"/>
      <c r="G54" s="43" t="s">
        <v>376</v>
      </c>
      <c r="H54" s="54">
        <v>556.25</v>
      </c>
      <c r="I54" s="45"/>
      <c r="J54" s="54">
        <v>653.5</v>
      </c>
      <c r="K54" s="45"/>
      <c r="L54" s="54">
        <v>862.5</v>
      </c>
      <c r="M54" s="45"/>
      <c r="N54" s="54">
        <f>ROUND(SUM(H54:L54),5)</f>
        <v>2072.25</v>
      </c>
    </row>
    <row r="55" spans="1:14" x14ac:dyDescent="0.3">
      <c r="A55" s="43"/>
      <c r="B55" s="43"/>
      <c r="C55" s="43"/>
      <c r="D55" s="43"/>
      <c r="E55" s="43"/>
      <c r="F55" s="43" t="s">
        <v>232</v>
      </c>
      <c r="G55" s="43"/>
      <c r="H55" s="52">
        <f>ROUND(SUM(H52:H54),5)</f>
        <v>1247.05</v>
      </c>
      <c r="I55" s="45"/>
      <c r="J55" s="52">
        <f>ROUND(SUM(J52:J54),5)</f>
        <v>1357.5</v>
      </c>
      <c r="K55" s="45"/>
      <c r="L55" s="52">
        <f>ROUND(SUM(L52:L54),5)</f>
        <v>1762.5</v>
      </c>
      <c r="M55" s="45"/>
      <c r="N55" s="52">
        <f>ROUND(SUM(H55:L55),5)</f>
        <v>4367.05</v>
      </c>
    </row>
    <row r="56" spans="1:14" ht="30" customHeight="1" x14ac:dyDescent="0.3">
      <c r="A56" s="43"/>
      <c r="B56" s="43"/>
      <c r="C56" s="43"/>
      <c r="D56" s="43"/>
      <c r="E56" s="43"/>
      <c r="F56" s="43" t="s">
        <v>233</v>
      </c>
      <c r="G56" s="43"/>
      <c r="H56" s="52"/>
      <c r="I56" s="45"/>
      <c r="J56" s="52"/>
      <c r="K56" s="45"/>
      <c r="L56" s="52"/>
      <c r="M56" s="45"/>
      <c r="N56" s="52"/>
    </row>
    <row r="57" spans="1:14" x14ac:dyDescent="0.3">
      <c r="A57" s="43"/>
      <c r="B57" s="43"/>
      <c r="C57" s="43"/>
      <c r="D57" s="43"/>
      <c r="E57" s="43"/>
      <c r="F57" s="43"/>
      <c r="G57" s="43" t="s">
        <v>234</v>
      </c>
      <c r="H57" s="52">
        <v>25</v>
      </c>
      <c r="I57" s="45"/>
      <c r="J57" s="52">
        <v>0</v>
      </c>
      <c r="K57" s="45"/>
      <c r="L57" s="52">
        <v>0</v>
      </c>
      <c r="M57" s="45"/>
      <c r="N57" s="52">
        <f>ROUND(SUM(H57:L57),5)</f>
        <v>25</v>
      </c>
    </row>
    <row r="58" spans="1:14" x14ac:dyDescent="0.3">
      <c r="A58" s="43"/>
      <c r="B58" s="43"/>
      <c r="C58" s="43"/>
      <c r="D58" s="43"/>
      <c r="E58" s="43"/>
      <c r="F58" s="43"/>
      <c r="G58" s="43" t="s">
        <v>235</v>
      </c>
      <c r="H58" s="52">
        <v>0</v>
      </c>
      <c r="I58" s="45"/>
      <c r="J58" s="52">
        <v>31.25</v>
      </c>
      <c r="K58" s="45"/>
      <c r="L58" s="52">
        <v>116.8</v>
      </c>
      <c r="M58" s="45"/>
      <c r="N58" s="52">
        <f>ROUND(SUM(H58:L58),5)</f>
        <v>148.05000000000001</v>
      </c>
    </row>
    <row r="59" spans="1:14" ht="15" thickBot="1" x14ac:dyDescent="0.35">
      <c r="A59" s="43"/>
      <c r="B59" s="43"/>
      <c r="C59" s="43"/>
      <c r="D59" s="43"/>
      <c r="E59" s="43"/>
      <c r="F59" s="43"/>
      <c r="G59" s="43" t="s">
        <v>236</v>
      </c>
      <c r="H59" s="54">
        <v>615</v>
      </c>
      <c r="I59" s="45"/>
      <c r="J59" s="54">
        <v>17.5</v>
      </c>
      <c r="K59" s="45"/>
      <c r="L59" s="54">
        <v>592</v>
      </c>
      <c r="M59" s="45"/>
      <c r="N59" s="54">
        <f>ROUND(SUM(H59:L59),5)</f>
        <v>1224.5</v>
      </c>
    </row>
    <row r="60" spans="1:14" x14ac:dyDescent="0.3">
      <c r="A60" s="43"/>
      <c r="B60" s="43"/>
      <c r="C60" s="43"/>
      <c r="D60" s="43"/>
      <c r="E60" s="43"/>
      <c r="F60" s="43" t="s">
        <v>237</v>
      </c>
      <c r="G60" s="43"/>
      <c r="H60" s="52">
        <f>ROUND(SUM(H56:H59),5)</f>
        <v>640</v>
      </c>
      <c r="I60" s="45"/>
      <c r="J60" s="52">
        <f>ROUND(SUM(J56:J59),5)</f>
        <v>48.75</v>
      </c>
      <c r="K60" s="45"/>
      <c r="L60" s="52">
        <f>ROUND(SUM(L56:L59),5)</f>
        <v>708.8</v>
      </c>
      <c r="M60" s="45"/>
      <c r="N60" s="52">
        <f>ROUND(SUM(H60:L60),5)</f>
        <v>1397.55</v>
      </c>
    </row>
    <row r="61" spans="1:14" ht="30" customHeight="1" x14ac:dyDescent="0.3">
      <c r="A61" s="43"/>
      <c r="B61" s="43"/>
      <c r="C61" s="43"/>
      <c r="D61" s="43"/>
      <c r="E61" s="43"/>
      <c r="F61" s="43" t="s">
        <v>377</v>
      </c>
      <c r="G61" s="43"/>
      <c r="H61" s="52"/>
      <c r="I61" s="45"/>
      <c r="J61" s="52"/>
      <c r="K61" s="45"/>
      <c r="L61" s="52"/>
      <c r="M61" s="45"/>
      <c r="N61" s="52"/>
    </row>
    <row r="62" spans="1:14" x14ac:dyDescent="0.3">
      <c r="A62" s="43"/>
      <c r="B62" s="43"/>
      <c r="C62" s="43"/>
      <c r="D62" s="43"/>
      <c r="E62" s="43"/>
      <c r="F62" s="43"/>
      <c r="G62" s="43" t="s">
        <v>337</v>
      </c>
      <c r="H62" s="52">
        <v>162.5</v>
      </c>
      <c r="I62" s="45"/>
      <c r="J62" s="52">
        <v>0</v>
      </c>
      <c r="K62" s="45"/>
      <c r="L62" s="52">
        <v>0</v>
      </c>
      <c r="M62" s="45"/>
      <c r="N62" s="52">
        <f>ROUND(SUM(H62:L62),5)</f>
        <v>162.5</v>
      </c>
    </row>
    <row r="63" spans="1:14" ht="15" thickBot="1" x14ac:dyDescent="0.35">
      <c r="A63" s="43"/>
      <c r="B63" s="43"/>
      <c r="C63" s="43"/>
      <c r="D63" s="43"/>
      <c r="E63" s="43"/>
      <c r="F63" s="43"/>
      <c r="G63" s="43" t="s">
        <v>239</v>
      </c>
      <c r="H63" s="54">
        <v>132.74</v>
      </c>
      <c r="I63" s="45"/>
      <c r="J63" s="54">
        <v>0</v>
      </c>
      <c r="K63" s="45"/>
      <c r="L63" s="54">
        <v>0</v>
      </c>
      <c r="M63" s="45"/>
      <c r="N63" s="54">
        <f>ROUND(SUM(H63:L63),5)</f>
        <v>132.74</v>
      </c>
    </row>
    <row r="64" spans="1:14" x14ac:dyDescent="0.3">
      <c r="A64" s="43"/>
      <c r="B64" s="43"/>
      <c r="C64" s="43"/>
      <c r="D64" s="43"/>
      <c r="E64" s="43"/>
      <c r="F64" s="43" t="s">
        <v>378</v>
      </c>
      <c r="G64" s="43"/>
      <c r="H64" s="52">
        <f>ROUND(SUM(H61:H63),5)</f>
        <v>295.24</v>
      </c>
      <c r="I64" s="45"/>
      <c r="J64" s="52">
        <f>ROUND(SUM(J61:J63),5)</f>
        <v>0</v>
      </c>
      <c r="K64" s="45"/>
      <c r="L64" s="52">
        <f>ROUND(SUM(L61:L63),5)</f>
        <v>0</v>
      </c>
      <c r="M64" s="45"/>
      <c r="N64" s="52">
        <f>ROUND(SUM(H64:L64),5)</f>
        <v>295.24</v>
      </c>
    </row>
    <row r="65" spans="1:14" ht="30" customHeight="1" x14ac:dyDescent="0.3">
      <c r="A65" s="43"/>
      <c r="B65" s="43"/>
      <c r="C65" s="43"/>
      <c r="D65" s="43"/>
      <c r="E65" s="43"/>
      <c r="F65" s="43" t="s">
        <v>242</v>
      </c>
      <c r="G65" s="43"/>
      <c r="H65" s="52"/>
      <c r="I65" s="45"/>
      <c r="J65" s="52"/>
      <c r="K65" s="45"/>
      <c r="L65" s="52"/>
      <c r="M65" s="45"/>
      <c r="N65" s="52"/>
    </row>
    <row r="66" spans="1:14" x14ac:dyDescent="0.3">
      <c r="A66" s="43"/>
      <c r="B66" s="43"/>
      <c r="C66" s="43"/>
      <c r="D66" s="43"/>
      <c r="E66" s="43"/>
      <c r="F66" s="43"/>
      <c r="G66" s="43" t="s">
        <v>338</v>
      </c>
      <c r="H66" s="52">
        <v>275</v>
      </c>
      <c r="I66" s="45"/>
      <c r="J66" s="52">
        <v>563.12</v>
      </c>
      <c r="K66" s="45"/>
      <c r="L66" s="52">
        <v>542.5</v>
      </c>
      <c r="M66" s="45"/>
      <c r="N66" s="52">
        <f>ROUND(SUM(H66:L66),5)</f>
        <v>1380.62</v>
      </c>
    </row>
    <row r="67" spans="1:14" ht="15" thickBot="1" x14ac:dyDescent="0.35">
      <c r="A67" s="43"/>
      <c r="B67" s="43"/>
      <c r="C67" s="43"/>
      <c r="D67" s="43"/>
      <c r="E67" s="43"/>
      <c r="F67" s="43"/>
      <c r="G67" s="43" t="s">
        <v>379</v>
      </c>
      <c r="H67" s="54">
        <v>0</v>
      </c>
      <c r="I67" s="45"/>
      <c r="J67" s="54">
        <v>64.06</v>
      </c>
      <c r="K67" s="45"/>
      <c r="L67" s="54">
        <v>0</v>
      </c>
      <c r="M67" s="45"/>
      <c r="N67" s="54">
        <f>ROUND(SUM(H67:L67),5)</f>
        <v>64.06</v>
      </c>
    </row>
    <row r="68" spans="1:14" x14ac:dyDescent="0.3">
      <c r="A68" s="43"/>
      <c r="B68" s="43"/>
      <c r="C68" s="43"/>
      <c r="D68" s="43"/>
      <c r="E68" s="43"/>
      <c r="F68" s="43" t="s">
        <v>244</v>
      </c>
      <c r="G68" s="43"/>
      <c r="H68" s="52">
        <f>ROUND(SUM(H65:H67),5)</f>
        <v>275</v>
      </c>
      <c r="I68" s="45"/>
      <c r="J68" s="52">
        <f>ROUND(SUM(J65:J67),5)</f>
        <v>627.17999999999995</v>
      </c>
      <c r="K68" s="45"/>
      <c r="L68" s="52">
        <f>ROUND(SUM(L65:L67),5)</f>
        <v>542.5</v>
      </c>
      <c r="M68" s="45"/>
      <c r="N68" s="52">
        <f>ROUND(SUM(H68:L68),5)</f>
        <v>1444.68</v>
      </c>
    </row>
    <row r="69" spans="1:14" ht="30" customHeight="1" x14ac:dyDescent="0.3">
      <c r="A69" s="43"/>
      <c r="B69" s="43"/>
      <c r="C69" s="43"/>
      <c r="D69" s="43"/>
      <c r="E69" s="43"/>
      <c r="F69" s="43" t="s">
        <v>245</v>
      </c>
      <c r="G69" s="43"/>
      <c r="H69" s="52">
        <v>2553.7800000000002</v>
      </c>
      <c r="I69" s="45"/>
      <c r="J69" s="52">
        <v>2352</v>
      </c>
      <c r="K69" s="45"/>
      <c r="L69" s="52">
        <v>2493.12</v>
      </c>
      <c r="M69" s="45"/>
      <c r="N69" s="52">
        <f>ROUND(SUM(H69:L69),5)</f>
        <v>7398.9</v>
      </c>
    </row>
    <row r="70" spans="1:14" x14ac:dyDescent="0.3">
      <c r="A70" s="43"/>
      <c r="B70" s="43"/>
      <c r="C70" s="43"/>
      <c r="D70" s="43"/>
      <c r="E70" s="43"/>
      <c r="F70" s="43" t="s">
        <v>340</v>
      </c>
      <c r="G70" s="43"/>
      <c r="H70" s="52"/>
      <c r="I70" s="45"/>
      <c r="J70" s="52"/>
      <c r="K70" s="45"/>
      <c r="L70" s="52"/>
      <c r="M70" s="45"/>
      <c r="N70" s="52"/>
    </row>
    <row r="71" spans="1:14" x14ac:dyDescent="0.3">
      <c r="A71" s="43"/>
      <c r="B71" s="43"/>
      <c r="C71" s="43"/>
      <c r="D71" s="43"/>
      <c r="E71" s="43"/>
      <c r="F71" s="43"/>
      <c r="G71" s="43" t="s">
        <v>247</v>
      </c>
      <c r="H71" s="52">
        <v>12.18</v>
      </c>
      <c r="I71" s="45"/>
      <c r="J71" s="52">
        <v>12.19</v>
      </c>
      <c r="K71" s="45"/>
      <c r="L71" s="52">
        <v>15.22</v>
      </c>
      <c r="M71" s="45"/>
      <c r="N71" s="52">
        <f>ROUND(SUM(H71:L71),5)</f>
        <v>39.590000000000003</v>
      </c>
    </row>
    <row r="72" spans="1:14" ht="15" thickBot="1" x14ac:dyDescent="0.35">
      <c r="A72" s="43"/>
      <c r="B72" s="43"/>
      <c r="C72" s="43"/>
      <c r="D72" s="43"/>
      <c r="E72" s="43"/>
      <c r="F72" s="43"/>
      <c r="G72" s="43" t="s">
        <v>341</v>
      </c>
      <c r="H72" s="54">
        <v>147.54</v>
      </c>
      <c r="I72" s="45"/>
      <c r="J72" s="54">
        <v>274.12</v>
      </c>
      <c r="K72" s="45"/>
      <c r="L72" s="54">
        <v>59.02</v>
      </c>
      <c r="M72" s="45"/>
      <c r="N72" s="54">
        <f>ROUND(SUM(H72:L72),5)</f>
        <v>480.68</v>
      </c>
    </row>
    <row r="73" spans="1:14" x14ac:dyDescent="0.3">
      <c r="A73" s="43"/>
      <c r="B73" s="43"/>
      <c r="C73" s="43"/>
      <c r="D73" s="43"/>
      <c r="E73" s="43"/>
      <c r="F73" s="43" t="s">
        <v>342</v>
      </c>
      <c r="G73" s="43"/>
      <c r="H73" s="52">
        <f>ROUND(SUM(H70:H72),5)</f>
        <v>159.72</v>
      </c>
      <c r="I73" s="45"/>
      <c r="J73" s="52">
        <f>ROUND(SUM(J70:J72),5)</f>
        <v>286.31</v>
      </c>
      <c r="K73" s="45"/>
      <c r="L73" s="52">
        <f>ROUND(SUM(L70:L72),5)</f>
        <v>74.239999999999995</v>
      </c>
      <c r="M73" s="45"/>
      <c r="N73" s="52">
        <f>ROUND(SUM(H73:L73),5)</f>
        <v>520.27</v>
      </c>
    </row>
    <row r="74" spans="1:14" ht="30" customHeight="1" x14ac:dyDescent="0.3">
      <c r="A74" s="43"/>
      <c r="B74" s="43"/>
      <c r="C74" s="43"/>
      <c r="D74" s="43"/>
      <c r="E74" s="43"/>
      <c r="F74" s="43" t="s">
        <v>250</v>
      </c>
      <c r="G74" s="43"/>
      <c r="H74" s="52"/>
      <c r="I74" s="45"/>
      <c r="J74" s="52"/>
      <c r="K74" s="45"/>
      <c r="L74" s="52"/>
      <c r="M74" s="45"/>
      <c r="N74" s="52"/>
    </row>
    <row r="75" spans="1:14" x14ac:dyDescent="0.3">
      <c r="A75" s="43"/>
      <c r="B75" s="43"/>
      <c r="C75" s="43"/>
      <c r="D75" s="43"/>
      <c r="E75" s="43"/>
      <c r="F75" s="43"/>
      <c r="G75" s="43" t="s">
        <v>251</v>
      </c>
      <c r="H75" s="52">
        <v>0</v>
      </c>
      <c r="I75" s="45"/>
      <c r="J75" s="52">
        <v>31.75</v>
      </c>
      <c r="K75" s="45"/>
      <c r="L75" s="52">
        <v>78.75</v>
      </c>
      <c r="M75" s="45"/>
      <c r="N75" s="52">
        <f>ROUND(SUM(H75:L75),5)</f>
        <v>110.5</v>
      </c>
    </row>
    <row r="76" spans="1:14" ht="15" thickBot="1" x14ac:dyDescent="0.35">
      <c r="A76" s="43"/>
      <c r="B76" s="43"/>
      <c r="C76" s="43"/>
      <c r="D76" s="43"/>
      <c r="E76" s="43"/>
      <c r="F76" s="43"/>
      <c r="G76" s="43" t="s">
        <v>252</v>
      </c>
      <c r="H76" s="54">
        <v>0</v>
      </c>
      <c r="I76" s="45"/>
      <c r="J76" s="54">
        <v>0</v>
      </c>
      <c r="K76" s="45"/>
      <c r="L76" s="54">
        <v>403.02</v>
      </c>
      <c r="M76" s="45"/>
      <c r="N76" s="54">
        <f>ROUND(SUM(H76:L76),5)</f>
        <v>403.02</v>
      </c>
    </row>
    <row r="77" spans="1:14" x14ac:dyDescent="0.3">
      <c r="A77" s="43"/>
      <c r="B77" s="43"/>
      <c r="C77" s="43"/>
      <c r="D77" s="43"/>
      <c r="E77" s="43"/>
      <c r="F77" s="43" t="s">
        <v>253</v>
      </c>
      <c r="G77" s="43"/>
      <c r="H77" s="52">
        <f>ROUND(SUM(H74:H76),5)</f>
        <v>0</v>
      </c>
      <c r="I77" s="45"/>
      <c r="J77" s="52">
        <f>ROUND(SUM(J74:J76),5)</f>
        <v>31.75</v>
      </c>
      <c r="K77" s="45"/>
      <c r="L77" s="52">
        <f>ROUND(SUM(L74:L76),5)</f>
        <v>481.77</v>
      </c>
      <c r="M77" s="45"/>
      <c r="N77" s="52">
        <f>ROUND(SUM(H77:L77),5)</f>
        <v>513.52</v>
      </c>
    </row>
    <row r="78" spans="1:14" ht="30" customHeight="1" x14ac:dyDescent="0.3">
      <c r="A78" s="43"/>
      <c r="B78" s="43"/>
      <c r="C78" s="43"/>
      <c r="D78" s="43"/>
      <c r="E78" s="43"/>
      <c r="F78" s="43" t="s">
        <v>344</v>
      </c>
      <c r="G78" s="43"/>
      <c r="H78" s="52"/>
      <c r="I78" s="45"/>
      <c r="J78" s="52"/>
      <c r="K78" s="45"/>
      <c r="L78" s="52"/>
      <c r="M78" s="45"/>
      <c r="N78" s="52"/>
    </row>
    <row r="79" spans="1:14" x14ac:dyDescent="0.3">
      <c r="A79" s="43"/>
      <c r="B79" s="43"/>
      <c r="C79" s="43"/>
      <c r="D79" s="43"/>
      <c r="E79" s="43"/>
      <c r="F79" s="43"/>
      <c r="G79" s="43" t="s">
        <v>345</v>
      </c>
      <c r="H79" s="52">
        <v>18.75</v>
      </c>
      <c r="I79" s="45"/>
      <c r="J79" s="52">
        <v>0</v>
      </c>
      <c r="K79" s="45"/>
      <c r="L79" s="52">
        <v>0</v>
      </c>
      <c r="M79" s="45"/>
      <c r="N79" s="52">
        <f>ROUND(SUM(H79:L79),5)</f>
        <v>18.75</v>
      </c>
    </row>
    <row r="80" spans="1:14" ht="15" thickBot="1" x14ac:dyDescent="0.35">
      <c r="A80" s="43"/>
      <c r="B80" s="43"/>
      <c r="C80" s="43"/>
      <c r="D80" s="43"/>
      <c r="E80" s="43"/>
      <c r="F80" s="43"/>
      <c r="G80" s="43" t="s">
        <v>380</v>
      </c>
      <c r="H80" s="54">
        <v>0</v>
      </c>
      <c r="I80" s="45"/>
      <c r="J80" s="54">
        <v>0</v>
      </c>
      <c r="K80" s="45"/>
      <c r="L80" s="54">
        <v>120.71</v>
      </c>
      <c r="M80" s="45"/>
      <c r="N80" s="54">
        <f>ROUND(SUM(H80:L80),5)</f>
        <v>120.71</v>
      </c>
    </row>
    <row r="81" spans="1:14" x14ac:dyDescent="0.3">
      <c r="A81" s="43"/>
      <c r="B81" s="43"/>
      <c r="C81" s="43"/>
      <c r="D81" s="43"/>
      <c r="E81" s="43"/>
      <c r="F81" s="43" t="s">
        <v>346</v>
      </c>
      <c r="G81" s="43"/>
      <c r="H81" s="52">
        <f>ROUND(SUM(H78:H80),5)</f>
        <v>18.75</v>
      </c>
      <c r="I81" s="45"/>
      <c r="J81" s="52">
        <f>ROUND(SUM(J78:J80),5)</f>
        <v>0</v>
      </c>
      <c r="K81" s="45"/>
      <c r="L81" s="52">
        <f>ROUND(SUM(L78:L80),5)</f>
        <v>120.71</v>
      </c>
      <c r="M81" s="45"/>
      <c r="N81" s="52">
        <f>ROUND(SUM(H81:L81),5)</f>
        <v>139.46</v>
      </c>
    </row>
    <row r="82" spans="1:14" ht="30" customHeight="1" x14ac:dyDescent="0.3">
      <c r="A82" s="43"/>
      <c r="B82" s="43"/>
      <c r="C82" s="43"/>
      <c r="D82" s="43"/>
      <c r="E82" s="43"/>
      <c r="F82" s="43" t="s">
        <v>254</v>
      </c>
      <c r="G82" s="43"/>
      <c r="H82" s="52"/>
      <c r="I82" s="45"/>
      <c r="J82" s="52"/>
      <c r="K82" s="45"/>
      <c r="L82" s="52"/>
      <c r="M82" s="45"/>
      <c r="N82" s="52"/>
    </row>
    <row r="83" spans="1:14" x14ac:dyDescent="0.3">
      <c r="A83" s="43"/>
      <c r="B83" s="43"/>
      <c r="C83" s="43"/>
      <c r="D83" s="43"/>
      <c r="E83" s="43"/>
      <c r="F83" s="43"/>
      <c r="G83" s="43" t="s">
        <v>255</v>
      </c>
      <c r="H83" s="52">
        <v>56.25</v>
      </c>
      <c r="I83" s="45"/>
      <c r="J83" s="52">
        <v>134.19999999999999</v>
      </c>
      <c r="K83" s="45"/>
      <c r="L83" s="52">
        <v>0</v>
      </c>
      <c r="M83" s="45"/>
      <c r="N83" s="52">
        <f t="shared" ref="N83:N93" si="4">ROUND(SUM(H83:L83),5)</f>
        <v>190.45</v>
      </c>
    </row>
    <row r="84" spans="1:14" x14ac:dyDescent="0.3">
      <c r="A84" s="43"/>
      <c r="B84" s="43"/>
      <c r="C84" s="43"/>
      <c r="D84" s="43"/>
      <c r="E84" s="43"/>
      <c r="F84" s="43"/>
      <c r="G84" s="43" t="s">
        <v>256</v>
      </c>
      <c r="H84" s="52">
        <v>31.93</v>
      </c>
      <c r="I84" s="45"/>
      <c r="J84" s="52">
        <v>0</v>
      </c>
      <c r="K84" s="45"/>
      <c r="L84" s="52">
        <v>28.02</v>
      </c>
      <c r="M84" s="45"/>
      <c r="N84" s="52">
        <f t="shared" si="4"/>
        <v>59.95</v>
      </c>
    </row>
    <row r="85" spans="1:14" x14ac:dyDescent="0.3">
      <c r="A85" s="43"/>
      <c r="B85" s="43"/>
      <c r="C85" s="43"/>
      <c r="D85" s="43"/>
      <c r="E85" s="43"/>
      <c r="F85" s="43"/>
      <c r="G85" s="43" t="s">
        <v>381</v>
      </c>
      <c r="H85" s="52">
        <v>282.5</v>
      </c>
      <c r="I85" s="45"/>
      <c r="J85" s="52">
        <v>348.37</v>
      </c>
      <c r="K85" s="45"/>
      <c r="L85" s="52">
        <v>420</v>
      </c>
      <c r="M85" s="45"/>
      <c r="N85" s="52">
        <f t="shared" si="4"/>
        <v>1050.8699999999999</v>
      </c>
    </row>
    <row r="86" spans="1:14" x14ac:dyDescent="0.3">
      <c r="A86" s="43"/>
      <c r="B86" s="43"/>
      <c r="C86" s="43"/>
      <c r="D86" s="43"/>
      <c r="E86" s="43"/>
      <c r="F86" s="43"/>
      <c r="G86" s="43" t="s">
        <v>258</v>
      </c>
      <c r="H86" s="52">
        <v>364.9</v>
      </c>
      <c r="I86" s="45"/>
      <c r="J86" s="52">
        <v>244.2</v>
      </c>
      <c r="K86" s="45"/>
      <c r="L86" s="52">
        <v>210.81</v>
      </c>
      <c r="M86" s="45"/>
      <c r="N86" s="52">
        <f t="shared" si="4"/>
        <v>819.91</v>
      </c>
    </row>
    <row r="87" spans="1:14" x14ac:dyDescent="0.3">
      <c r="A87" s="43"/>
      <c r="B87" s="43"/>
      <c r="C87" s="43"/>
      <c r="D87" s="43"/>
      <c r="E87" s="43"/>
      <c r="F87" s="43"/>
      <c r="G87" s="43" t="s">
        <v>382</v>
      </c>
      <c r="H87" s="52">
        <v>17.5</v>
      </c>
      <c r="I87" s="45"/>
      <c r="J87" s="52">
        <v>0</v>
      </c>
      <c r="K87" s="45"/>
      <c r="L87" s="52">
        <v>0</v>
      </c>
      <c r="M87" s="45"/>
      <c r="N87" s="52">
        <f t="shared" si="4"/>
        <v>17.5</v>
      </c>
    </row>
    <row r="88" spans="1:14" ht="15" thickBot="1" x14ac:dyDescent="0.35">
      <c r="A88" s="43"/>
      <c r="B88" s="43"/>
      <c r="C88" s="43"/>
      <c r="D88" s="43"/>
      <c r="E88" s="43"/>
      <c r="F88" s="43"/>
      <c r="G88" s="43" t="s">
        <v>260</v>
      </c>
      <c r="H88" s="54">
        <v>2968.93</v>
      </c>
      <c r="I88" s="45"/>
      <c r="J88" s="54">
        <v>405</v>
      </c>
      <c r="K88" s="45"/>
      <c r="L88" s="54">
        <v>4.29</v>
      </c>
      <c r="M88" s="45"/>
      <c r="N88" s="54">
        <f t="shared" si="4"/>
        <v>3378.22</v>
      </c>
    </row>
    <row r="89" spans="1:14" x14ac:dyDescent="0.3">
      <c r="A89" s="43"/>
      <c r="B89" s="43"/>
      <c r="C89" s="43"/>
      <c r="D89" s="43"/>
      <c r="E89" s="43"/>
      <c r="F89" s="43" t="s">
        <v>261</v>
      </c>
      <c r="G89" s="43"/>
      <c r="H89" s="52">
        <f>ROUND(SUM(H82:H88),5)</f>
        <v>3722.01</v>
      </c>
      <c r="I89" s="45"/>
      <c r="J89" s="52">
        <f>ROUND(SUM(J82:J88),5)</f>
        <v>1131.77</v>
      </c>
      <c r="K89" s="45"/>
      <c r="L89" s="52">
        <f>ROUND(SUM(L82:L88),5)</f>
        <v>663.12</v>
      </c>
      <c r="M89" s="45"/>
      <c r="N89" s="52">
        <f t="shared" si="4"/>
        <v>5516.9</v>
      </c>
    </row>
    <row r="90" spans="1:14" ht="30" customHeight="1" x14ac:dyDescent="0.3">
      <c r="A90" s="43"/>
      <c r="B90" s="43"/>
      <c r="C90" s="43"/>
      <c r="D90" s="43"/>
      <c r="E90" s="43"/>
      <c r="F90" s="43" t="s">
        <v>262</v>
      </c>
      <c r="G90" s="43"/>
      <c r="H90" s="52">
        <v>0</v>
      </c>
      <c r="I90" s="45"/>
      <c r="J90" s="52">
        <v>212.78</v>
      </c>
      <c r="K90" s="45"/>
      <c r="L90" s="52">
        <v>0</v>
      </c>
      <c r="M90" s="45"/>
      <c r="N90" s="52">
        <f t="shared" si="4"/>
        <v>212.78</v>
      </c>
    </row>
    <row r="91" spans="1:14" ht="15" thickBot="1" x14ac:dyDescent="0.35">
      <c r="A91" s="43"/>
      <c r="B91" s="43"/>
      <c r="C91" s="43"/>
      <c r="D91" s="43"/>
      <c r="E91" s="43"/>
      <c r="F91" s="43" t="s">
        <v>383</v>
      </c>
      <c r="G91" s="43"/>
      <c r="H91" s="54">
        <v>0</v>
      </c>
      <c r="I91" s="45"/>
      <c r="J91" s="54">
        <v>0</v>
      </c>
      <c r="K91" s="45"/>
      <c r="L91" s="54">
        <v>327.27</v>
      </c>
      <c r="M91" s="45"/>
      <c r="N91" s="54">
        <f t="shared" si="4"/>
        <v>327.27</v>
      </c>
    </row>
    <row r="92" spans="1:14" x14ac:dyDescent="0.3">
      <c r="A92" s="43"/>
      <c r="B92" s="43"/>
      <c r="C92" s="43"/>
      <c r="D92" s="43"/>
      <c r="E92" s="43" t="s">
        <v>270</v>
      </c>
      <c r="F92" s="43"/>
      <c r="G92" s="43"/>
      <c r="H92" s="52">
        <f>ROUND(H43+SUM(H50:H51)+H55+H60+H64+SUM(H68:H69)+H73+H77+H81+SUM(H89:H91),5)</f>
        <v>10680.8</v>
      </c>
      <c r="I92" s="45"/>
      <c r="J92" s="52">
        <f>ROUND(J43+SUM(J50:J51)+J55+J60+J64+SUM(J68:J69)+J73+J77+J81+SUM(J89:J91),5)</f>
        <v>7799.09</v>
      </c>
      <c r="K92" s="45"/>
      <c r="L92" s="52">
        <f>ROUND(L43+SUM(L50:L51)+L55+L60+L64+SUM(L68:L69)+L73+L77+L81+SUM(L89:L91),5)</f>
        <v>8292.4</v>
      </c>
      <c r="M92" s="45"/>
      <c r="N92" s="52">
        <f t="shared" si="4"/>
        <v>26772.29</v>
      </c>
    </row>
    <row r="93" spans="1:14" ht="30" customHeight="1" x14ac:dyDescent="0.3">
      <c r="A93" s="43"/>
      <c r="B93" s="43"/>
      <c r="C93" s="43"/>
      <c r="D93" s="43"/>
      <c r="E93" s="43" t="s">
        <v>271</v>
      </c>
      <c r="F93" s="43"/>
      <c r="G93" s="43"/>
      <c r="H93" s="52">
        <v>1242.0899999999999</v>
      </c>
      <c r="I93" s="45"/>
      <c r="J93" s="52">
        <v>2469.87</v>
      </c>
      <c r="K93" s="45"/>
      <c r="L93" s="52">
        <v>2672.81</v>
      </c>
      <c r="M93" s="45"/>
      <c r="N93" s="52">
        <f t="shared" si="4"/>
        <v>6384.77</v>
      </c>
    </row>
    <row r="94" spans="1:14" x14ac:dyDescent="0.3">
      <c r="A94" s="43"/>
      <c r="B94" s="43"/>
      <c r="C94" s="43"/>
      <c r="D94" s="43"/>
      <c r="E94" s="43" t="s">
        <v>272</v>
      </c>
      <c r="F94" s="43"/>
      <c r="G94" s="43"/>
      <c r="H94" s="52"/>
      <c r="I94" s="45"/>
      <c r="J94" s="52"/>
      <c r="K94" s="45"/>
      <c r="L94" s="52"/>
      <c r="M94" s="45"/>
      <c r="N94" s="52"/>
    </row>
    <row r="95" spans="1:14" x14ac:dyDescent="0.3">
      <c r="A95" s="43"/>
      <c r="B95" s="43"/>
      <c r="C95" s="43"/>
      <c r="D95" s="43"/>
      <c r="E95" s="43"/>
      <c r="F95" s="43" t="s">
        <v>384</v>
      </c>
      <c r="G95" s="43"/>
      <c r="H95" s="52">
        <v>0</v>
      </c>
      <c r="I95" s="45"/>
      <c r="J95" s="52">
        <v>0</v>
      </c>
      <c r="K95" s="45"/>
      <c r="L95" s="52">
        <v>-3036.17</v>
      </c>
      <c r="M95" s="45"/>
      <c r="N95" s="52">
        <f t="shared" ref="N95:N103" si="5">ROUND(SUM(H95:L95),5)</f>
        <v>-3036.17</v>
      </c>
    </row>
    <row r="96" spans="1:14" x14ac:dyDescent="0.3">
      <c r="A96" s="43"/>
      <c r="B96" s="43"/>
      <c r="C96" s="43"/>
      <c r="D96" s="43"/>
      <c r="E96" s="43"/>
      <c r="F96" s="43" t="s">
        <v>275</v>
      </c>
      <c r="G96" s="43"/>
      <c r="H96" s="52">
        <v>18953.47</v>
      </c>
      <c r="I96" s="45"/>
      <c r="J96" s="52">
        <v>19000.34</v>
      </c>
      <c r="K96" s="45"/>
      <c r="L96" s="52">
        <v>15985.54</v>
      </c>
      <c r="M96" s="45"/>
      <c r="N96" s="52">
        <f t="shared" si="5"/>
        <v>53939.35</v>
      </c>
    </row>
    <row r="97" spans="1:14" ht="15" thickBot="1" x14ac:dyDescent="0.35">
      <c r="A97" s="43"/>
      <c r="B97" s="43"/>
      <c r="C97" s="43"/>
      <c r="D97" s="43"/>
      <c r="E97" s="43"/>
      <c r="F97" s="43" t="s">
        <v>385</v>
      </c>
      <c r="G97" s="43"/>
      <c r="H97" s="54">
        <v>50</v>
      </c>
      <c r="I97" s="45"/>
      <c r="J97" s="54">
        <v>50</v>
      </c>
      <c r="K97" s="45"/>
      <c r="L97" s="54">
        <v>50</v>
      </c>
      <c r="M97" s="45"/>
      <c r="N97" s="54">
        <f t="shared" si="5"/>
        <v>150</v>
      </c>
    </row>
    <row r="98" spans="1:14" x14ac:dyDescent="0.3">
      <c r="A98" s="43"/>
      <c r="B98" s="43"/>
      <c r="C98" s="43"/>
      <c r="D98" s="43"/>
      <c r="E98" s="43" t="s">
        <v>277</v>
      </c>
      <c r="F98" s="43"/>
      <c r="G98" s="43"/>
      <c r="H98" s="52">
        <f>ROUND(SUM(H94:H97),5)</f>
        <v>19003.47</v>
      </c>
      <c r="I98" s="45"/>
      <c r="J98" s="52">
        <f>ROUND(SUM(J94:J97),5)</f>
        <v>19050.34</v>
      </c>
      <c r="K98" s="45"/>
      <c r="L98" s="52">
        <f>ROUND(SUM(L94:L97),5)</f>
        <v>12999.37</v>
      </c>
      <c r="M98" s="45"/>
      <c r="N98" s="52">
        <f t="shared" si="5"/>
        <v>51053.18</v>
      </c>
    </row>
    <row r="99" spans="1:14" ht="30" customHeight="1" x14ac:dyDescent="0.3">
      <c r="A99" s="43"/>
      <c r="B99" s="43"/>
      <c r="C99" s="43"/>
      <c r="D99" s="43"/>
      <c r="E99" s="43" t="s">
        <v>284</v>
      </c>
      <c r="F99" s="43"/>
      <c r="G99" s="43"/>
      <c r="H99" s="52">
        <v>17241.740000000002</v>
      </c>
      <c r="I99" s="45"/>
      <c r="J99" s="52">
        <v>16878.37</v>
      </c>
      <c r="K99" s="45"/>
      <c r="L99" s="52">
        <v>16884</v>
      </c>
      <c r="M99" s="45"/>
      <c r="N99" s="52">
        <f t="shared" si="5"/>
        <v>51004.11</v>
      </c>
    </row>
    <row r="100" spans="1:14" x14ac:dyDescent="0.3">
      <c r="A100" s="43"/>
      <c r="B100" s="43"/>
      <c r="C100" s="43"/>
      <c r="D100" s="43"/>
      <c r="E100" s="43" t="s">
        <v>350</v>
      </c>
      <c r="F100" s="43"/>
      <c r="G100" s="43"/>
      <c r="H100" s="52">
        <v>2677.36</v>
      </c>
      <c r="I100" s="45"/>
      <c r="J100" s="52">
        <v>949.56</v>
      </c>
      <c r="K100" s="45"/>
      <c r="L100" s="52">
        <v>1582.56</v>
      </c>
      <c r="M100" s="45"/>
      <c r="N100" s="52">
        <f t="shared" si="5"/>
        <v>5209.4799999999996</v>
      </c>
    </row>
    <row r="101" spans="1:14" ht="15" thickBot="1" x14ac:dyDescent="0.35">
      <c r="A101" s="43"/>
      <c r="B101" s="43"/>
      <c r="C101" s="43"/>
      <c r="D101" s="43"/>
      <c r="E101" s="43" t="s">
        <v>278</v>
      </c>
      <c r="F101" s="43"/>
      <c r="G101" s="43"/>
      <c r="H101" s="52">
        <v>30219.119999999999</v>
      </c>
      <c r="I101" s="45"/>
      <c r="J101" s="52">
        <v>20660.71</v>
      </c>
      <c r="K101" s="45"/>
      <c r="L101" s="52">
        <v>16380.99</v>
      </c>
      <c r="M101" s="45"/>
      <c r="N101" s="52">
        <f t="shared" si="5"/>
        <v>67260.820000000007</v>
      </c>
    </row>
    <row r="102" spans="1:14" ht="15" thickBot="1" x14ac:dyDescent="0.35">
      <c r="A102" s="43"/>
      <c r="B102" s="43"/>
      <c r="C102" s="43"/>
      <c r="D102" s="43" t="s">
        <v>287</v>
      </c>
      <c r="E102" s="43"/>
      <c r="F102" s="43"/>
      <c r="G102" s="43"/>
      <c r="H102" s="53">
        <f>ROUND(H12+H31+H42+SUM(H92:H93)+SUM(H98:H101),5)</f>
        <v>92791.98</v>
      </c>
      <c r="I102" s="45"/>
      <c r="J102" s="53">
        <f>ROUND(J12+J31+J42+SUM(J92:J93)+SUM(J98:J101),5)</f>
        <v>81087.009999999995</v>
      </c>
      <c r="K102" s="45"/>
      <c r="L102" s="53">
        <f>ROUND(L12+L31+L42+SUM(L92:L93)+SUM(L98:L101),5)</f>
        <v>72818.44</v>
      </c>
      <c r="M102" s="45"/>
      <c r="N102" s="53">
        <f t="shared" si="5"/>
        <v>246697.43</v>
      </c>
    </row>
    <row r="103" spans="1:14" ht="30" customHeight="1" x14ac:dyDescent="0.3">
      <c r="A103" s="43"/>
      <c r="B103" s="43" t="s">
        <v>288</v>
      </c>
      <c r="C103" s="43"/>
      <c r="D103" s="43"/>
      <c r="E103" s="43"/>
      <c r="F103" s="43"/>
      <c r="G103" s="43"/>
      <c r="H103" s="52">
        <f>ROUND(H2+H11-H102,5)</f>
        <v>43101.08</v>
      </c>
      <c r="I103" s="45"/>
      <c r="J103" s="52">
        <f>ROUND(J2+J11-J102,5)</f>
        <v>54603.44</v>
      </c>
      <c r="K103" s="45"/>
      <c r="L103" s="52">
        <f>ROUND(L2+L11-L102,5)</f>
        <v>49178.34</v>
      </c>
      <c r="M103" s="45"/>
      <c r="N103" s="52">
        <f t="shared" si="5"/>
        <v>146882.85999999999</v>
      </c>
    </row>
    <row r="104" spans="1:14" ht="30" customHeight="1" x14ac:dyDescent="0.3">
      <c r="A104" s="43"/>
      <c r="B104" s="43" t="s">
        <v>289</v>
      </c>
      <c r="C104" s="43"/>
      <c r="D104" s="43"/>
      <c r="E104" s="43"/>
      <c r="F104" s="43"/>
      <c r="G104" s="43"/>
      <c r="H104" s="52"/>
      <c r="I104" s="45"/>
      <c r="J104" s="52"/>
      <c r="K104" s="45"/>
      <c r="L104" s="52"/>
      <c r="M104" s="45"/>
      <c r="N104" s="52"/>
    </row>
    <row r="105" spans="1:14" x14ac:dyDescent="0.3">
      <c r="A105" s="43"/>
      <c r="B105" s="43"/>
      <c r="C105" s="43" t="s">
        <v>293</v>
      </c>
      <c r="D105" s="43"/>
      <c r="E105" s="43"/>
      <c r="F105" s="43"/>
      <c r="G105" s="43"/>
      <c r="H105" s="52"/>
      <c r="I105" s="45"/>
      <c r="J105" s="52"/>
      <c r="K105" s="45"/>
      <c r="L105" s="52"/>
      <c r="M105" s="45"/>
      <c r="N105" s="52"/>
    </row>
    <row r="106" spans="1:14" ht="15" thickBot="1" x14ac:dyDescent="0.35">
      <c r="A106" s="43"/>
      <c r="B106" s="43"/>
      <c r="C106" s="43"/>
      <c r="D106" s="43" t="s">
        <v>386</v>
      </c>
      <c r="E106" s="43"/>
      <c r="F106" s="43"/>
      <c r="G106" s="43"/>
      <c r="H106" s="52">
        <v>86.8</v>
      </c>
      <c r="I106" s="45"/>
      <c r="J106" s="52">
        <v>0</v>
      </c>
      <c r="K106" s="45"/>
      <c r="L106" s="52">
        <v>0</v>
      </c>
      <c r="M106" s="45"/>
      <c r="N106" s="52">
        <f>ROUND(SUM(H106:L106),5)</f>
        <v>86.8</v>
      </c>
    </row>
    <row r="107" spans="1:14" ht="15" thickBot="1" x14ac:dyDescent="0.35">
      <c r="A107" s="43"/>
      <c r="B107" s="43"/>
      <c r="C107" s="43" t="s">
        <v>295</v>
      </c>
      <c r="D107" s="43"/>
      <c r="E107" s="43"/>
      <c r="F107" s="43"/>
      <c r="G107" s="43"/>
      <c r="H107" s="55">
        <f>ROUND(SUM(H105:H106),5)</f>
        <v>86.8</v>
      </c>
      <c r="I107" s="45"/>
      <c r="J107" s="55">
        <f>ROUND(SUM(J105:J106),5)</f>
        <v>0</v>
      </c>
      <c r="K107" s="45"/>
      <c r="L107" s="55">
        <f>ROUND(SUM(L105:L106),5)</f>
        <v>0</v>
      </c>
      <c r="M107" s="45"/>
      <c r="N107" s="55">
        <f>ROUND(SUM(H107:L107),5)</f>
        <v>86.8</v>
      </c>
    </row>
    <row r="108" spans="1:14" ht="30" customHeight="1" thickBot="1" x14ac:dyDescent="0.35">
      <c r="A108" s="43"/>
      <c r="B108" s="43" t="s">
        <v>296</v>
      </c>
      <c r="C108" s="43"/>
      <c r="D108" s="43"/>
      <c r="E108" s="43"/>
      <c r="F108" s="43"/>
      <c r="G108" s="43"/>
      <c r="H108" s="55">
        <f>ROUND(H104-H107,5)</f>
        <v>-86.8</v>
      </c>
      <c r="I108" s="45"/>
      <c r="J108" s="55">
        <f>ROUND(J104-J107,5)</f>
        <v>0</v>
      </c>
      <c r="K108" s="45"/>
      <c r="L108" s="55">
        <f>ROUND(L104-L107,5)</f>
        <v>0</v>
      </c>
      <c r="M108" s="45"/>
      <c r="N108" s="55">
        <f>ROUND(SUM(H108:L108),5)</f>
        <v>-86.8</v>
      </c>
    </row>
    <row r="109" spans="1:14" s="50" customFormat="1" ht="30" customHeight="1" thickBot="1" x14ac:dyDescent="0.25">
      <c r="A109" s="43" t="s">
        <v>165</v>
      </c>
      <c r="B109" s="43"/>
      <c r="C109" s="43"/>
      <c r="D109" s="43"/>
      <c r="E109" s="43"/>
      <c r="F109" s="43"/>
      <c r="G109" s="43"/>
      <c r="H109" s="56">
        <f>ROUND(H103+H108,5)</f>
        <v>43014.28</v>
      </c>
      <c r="I109" s="43"/>
      <c r="J109" s="56">
        <f>ROUND(J103+J108,5)</f>
        <v>54603.44</v>
      </c>
      <c r="K109" s="43"/>
      <c r="L109" s="56">
        <f>ROUND(L103+L108,5)</f>
        <v>49178.34</v>
      </c>
      <c r="M109" s="43"/>
      <c r="N109" s="56">
        <f>ROUND(SUM(H109:L109),5)</f>
        <v>146796.06</v>
      </c>
    </row>
    <row r="110" spans="1:14" ht="15" thickTop="1" x14ac:dyDescent="0.3"/>
    <row r="111" spans="1:14" x14ac:dyDescent="0.3">
      <c r="G111" s="43" t="s">
        <v>987</v>
      </c>
      <c r="H111" s="52">
        <f>H102-H17-H99-H100-H101</f>
        <v>42403.759999999995</v>
      </c>
      <c r="I111" s="45"/>
      <c r="J111" s="52">
        <f>J102-J17-J99-J100-J101</f>
        <v>42598.37</v>
      </c>
      <c r="K111" s="45"/>
      <c r="L111" s="52">
        <f>L102-L17-L99-L100-L101</f>
        <v>37278.130000000012</v>
      </c>
      <c r="M111" s="45"/>
      <c r="N111" s="52">
        <f>(N102-N17-N99-N100-N101)/3</f>
        <v>40760.086666666662</v>
      </c>
    </row>
  </sheetData>
  <pageMargins left="0.7" right="0.7" top="0.75" bottom="0.75" header="0.25" footer="0.3"/>
  <pageSetup orientation="portrait" r:id="rId1"/>
  <headerFooter>
    <oddHeader>&amp;L&amp;"Arial,Bold"&amp;8 02/18/14
&amp;"Arial,Bold"&amp;8 Accrual Basis&amp;C&amp;"Arial,Bold"&amp;12 Central Plaza, LLC
&amp;"Arial,Bold"&amp;14 3 Yr Detail Comparative Statement of Income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945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9458" r:id="rId4" name="HEADER"/>
      </mc:Fallback>
    </mc:AlternateContent>
    <mc:AlternateContent xmlns:mc="http://schemas.openxmlformats.org/markup-compatibility/2006">
      <mc:Choice Requires="x14">
        <control shapeId="1945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9457" r:id="rId6" name="FILTER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8"/>
  <dimension ref="A1:J50"/>
  <sheetViews>
    <sheetView workbookViewId="0">
      <pane xSplit="5" ySplit="1" topLeftCell="F25" activePane="bottomRight" state="frozenSplit"/>
      <selection pane="topRight"/>
      <selection pane="bottomLeft"/>
      <selection pane="bottomRight" activeCell="F20" sqref="F20"/>
    </sheetView>
  </sheetViews>
  <sheetFormatPr defaultRowHeight="14.4" x14ac:dyDescent="0.3"/>
  <cols>
    <col min="1" max="4" width="3" style="50" customWidth="1"/>
    <col min="5" max="5" width="24.66406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114</v>
      </c>
      <c r="D4" s="43"/>
      <c r="E4" s="43"/>
      <c r="F4" s="44"/>
      <c r="G4" s="45"/>
      <c r="H4" s="44"/>
      <c r="I4" s="45"/>
      <c r="J4" s="44"/>
    </row>
    <row r="5" spans="1:10" x14ac:dyDescent="0.3">
      <c r="A5" s="43"/>
      <c r="B5" s="43"/>
      <c r="C5" s="43"/>
      <c r="D5" s="43" t="s">
        <v>68</v>
      </c>
      <c r="E5" s="43"/>
      <c r="F5" s="44">
        <v>0</v>
      </c>
      <c r="G5" s="45"/>
      <c r="H5" s="44">
        <v>70466</v>
      </c>
      <c r="I5" s="45"/>
      <c r="J5" s="44">
        <v>183645</v>
      </c>
    </row>
    <row r="6" spans="1:10" ht="15" thickBot="1" x14ac:dyDescent="0.35">
      <c r="A6" s="43"/>
      <c r="B6" s="43"/>
      <c r="C6" s="43"/>
      <c r="D6" s="43" t="s">
        <v>387</v>
      </c>
      <c r="E6" s="43"/>
      <c r="F6" s="46">
        <v>46306</v>
      </c>
      <c r="G6" s="45"/>
      <c r="H6" s="46">
        <v>0</v>
      </c>
      <c r="I6" s="45"/>
      <c r="J6" s="46">
        <v>0</v>
      </c>
    </row>
    <row r="7" spans="1:10" x14ac:dyDescent="0.3">
      <c r="A7" s="43"/>
      <c r="B7" s="43"/>
      <c r="C7" s="43" t="s">
        <v>117</v>
      </c>
      <c r="D7" s="43"/>
      <c r="E7" s="43"/>
      <c r="F7" s="44">
        <f>ROUND(SUM(F4:F6),5)</f>
        <v>46306</v>
      </c>
      <c r="G7" s="45"/>
      <c r="H7" s="44">
        <f>ROUND(SUM(H4:H6),5)</f>
        <v>70466</v>
      </c>
      <c r="I7" s="45"/>
      <c r="J7" s="44">
        <f>ROUND(SUM(J4:J6),5)</f>
        <v>183645</v>
      </c>
    </row>
    <row r="8" spans="1:10" ht="30" customHeight="1" x14ac:dyDescent="0.3">
      <c r="A8" s="43"/>
      <c r="B8" s="43"/>
      <c r="C8" s="43" t="s">
        <v>118</v>
      </c>
      <c r="D8" s="43"/>
      <c r="E8" s="43"/>
      <c r="F8" s="44"/>
      <c r="G8" s="45"/>
      <c r="H8" s="44"/>
      <c r="I8" s="45"/>
      <c r="J8" s="44"/>
    </row>
    <row r="9" spans="1:10" ht="15" thickBot="1" x14ac:dyDescent="0.35">
      <c r="A9" s="43"/>
      <c r="B9" s="43"/>
      <c r="C9" s="43"/>
      <c r="D9" s="43" t="s">
        <v>388</v>
      </c>
      <c r="E9" s="43"/>
      <c r="F9" s="46">
        <v>-1172</v>
      </c>
      <c r="G9" s="45"/>
      <c r="H9" s="46">
        <v>11081</v>
      </c>
      <c r="I9" s="45"/>
      <c r="J9" s="46">
        <v>-6186</v>
      </c>
    </row>
    <row r="10" spans="1:10" x14ac:dyDescent="0.3">
      <c r="A10" s="43"/>
      <c r="B10" s="43"/>
      <c r="C10" s="43" t="s">
        <v>119</v>
      </c>
      <c r="D10" s="43"/>
      <c r="E10" s="43"/>
      <c r="F10" s="44">
        <f>ROUND(SUM(F8:F9),5)</f>
        <v>-1172</v>
      </c>
      <c r="G10" s="45"/>
      <c r="H10" s="44">
        <f>ROUND(SUM(H8:H9),5)</f>
        <v>11081</v>
      </c>
      <c r="I10" s="45"/>
      <c r="J10" s="44">
        <f>ROUND(SUM(J8:J9),5)</f>
        <v>-6186</v>
      </c>
    </row>
    <row r="11" spans="1:10" ht="30" customHeight="1" x14ac:dyDescent="0.3">
      <c r="A11" s="43"/>
      <c r="B11" s="43"/>
      <c r="C11" s="43" t="s">
        <v>120</v>
      </c>
      <c r="D11" s="43"/>
      <c r="E11" s="43"/>
      <c r="F11" s="44"/>
      <c r="G11" s="45"/>
      <c r="H11" s="44"/>
      <c r="I11" s="45"/>
      <c r="J11" s="44"/>
    </row>
    <row r="12" spans="1:10" ht="15" thickBot="1" x14ac:dyDescent="0.35">
      <c r="A12" s="43"/>
      <c r="B12" s="43"/>
      <c r="C12" s="43"/>
      <c r="D12" s="43" t="s">
        <v>122</v>
      </c>
      <c r="E12" s="43"/>
      <c r="F12" s="44">
        <v>4036</v>
      </c>
      <c r="G12" s="45"/>
      <c r="H12" s="44">
        <v>6074</v>
      </c>
      <c r="I12" s="45"/>
      <c r="J12" s="44">
        <v>4103</v>
      </c>
    </row>
    <row r="13" spans="1:10" ht="15" thickBot="1" x14ac:dyDescent="0.35">
      <c r="A13" s="43"/>
      <c r="B13" s="43"/>
      <c r="C13" s="43" t="s">
        <v>124</v>
      </c>
      <c r="D13" s="43"/>
      <c r="E13" s="43"/>
      <c r="F13" s="47">
        <f>ROUND(SUM(F11:F12),5)</f>
        <v>4036</v>
      </c>
      <c r="G13" s="45"/>
      <c r="H13" s="47">
        <f>ROUND(SUM(H11:H12),5)</f>
        <v>6074</v>
      </c>
      <c r="I13" s="45"/>
      <c r="J13" s="47">
        <f>ROUND(SUM(J11:J12),5)</f>
        <v>4103</v>
      </c>
    </row>
    <row r="14" spans="1:10" ht="30" customHeight="1" x14ac:dyDescent="0.3">
      <c r="A14" s="43"/>
      <c r="B14" s="43" t="s">
        <v>125</v>
      </c>
      <c r="C14" s="43"/>
      <c r="D14" s="43"/>
      <c r="E14" s="43"/>
      <c r="F14" s="44">
        <f>ROUND(F3+F7+F10+F13,5)</f>
        <v>49170</v>
      </c>
      <c r="G14" s="45"/>
      <c r="H14" s="44">
        <f>ROUND(H3+H7+H10+H13,5)</f>
        <v>87621</v>
      </c>
      <c r="I14" s="45"/>
      <c r="J14" s="44">
        <f>ROUND(J3+J7+J10+J13,5)</f>
        <v>181562</v>
      </c>
    </row>
    <row r="15" spans="1:10" ht="30" customHeight="1" x14ac:dyDescent="0.3">
      <c r="A15" s="43"/>
      <c r="B15" s="43" t="s">
        <v>126</v>
      </c>
      <c r="C15" s="43"/>
      <c r="D15" s="43"/>
      <c r="E15" s="43"/>
      <c r="F15" s="44"/>
      <c r="G15" s="45"/>
      <c r="H15" s="44"/>
      <c r="I15" s="45"/>
      <c r="J15" s="44"/>
    </row>
    <row r="16" spans="1:10" x14ac:dyDescent="0.3">
      <c r="A16" s="43"/>
      <c r="B16" s="43"/>
      <c r="C16" s="43" t="s">
        <v>127</v>
      </c>
      <c r="D16" s="43"/>
      <c r="E16" s="43"/>
      <c r="F16" s="44">
        <v>100000</v>
      </c>
      <c r="G16" s="45"/>
      <c r="H16" s="44">
        <v>100000</v>
      </c>
      <c r="I16" s="45"/>
      <c r="J16" s="44">
        <v>100000</v>
      </c>
    </row>
    <row r="17" spans="1:10" x14ac:dyDescent="0.3">
      <c r="A17" s="43"/>
      <c r="B17" s="43"/>
      <c r="C17" s="43" t="s">
        <v>128</v>
      </c>
      <c r="D17" s="43"/>
      <c r="E17" s="43"/>
      <c r="F17" s="44">
        <v>801476</v>
      </c>
      <c r="G17" s="45"/>
      <c r="H17" s="44">
        <v>801476</v>
      </c>
      <c r="I17" s="45"/>
      <c r="J17" s="44">
        <v>801476</v>
      </c>
    </row>
    <row r="18" spans="1:10" x14ac:dyDescent="0.3">
      <c r="A18" s="43"/>
      <c r="B18" s="43"/>
      <c r="C18" s="43" t="s">
        <v>133</v>
      </c>
      <c r="D18" s="43"/>
      <c r="E18" s="43"/>
      <c r="F18" s="44">
        <v>297372</v>
      </c>
      <c r="G18" s="45"/>
      <c r="H18" s="44">
        <v>372242</v>
      </c>
      <c r="I18" s="45"/>
      <c r="J18" s="44">
        <v>372242</v>
      </c>
    </row>
    <row r="19" spans="1:10" x14ac:dyDescent="0.3">
      <c r="A19" s="43"/>
      <c r="B19" s="43"/>
      <c r="C19" s="43" t="s">
        <v>389</v>
      </c>
      <c r="D19" s="43"/>
      <c r="E19" s="43"/>
      <c r="F19" s="44">
        <v>56732</v>
      </c>
      <c r="G19" s="45"/>
      <c r="H19" s="44">
        <v>100980</v>
      </c>
      <c r="I19" s="45"/>
      <c r="J19" s="44">
        <v>100980</v>
      </c>
    </row>
    <row r="20" spans="1:10" ht="15" thickBot="1" x14ac:dyDescent="0.35">
      <c r="A20" s="43"/>
      <c r="B20" s="43"/>
      <c r="C20" s="43" t="s">
        <v>135</v>
      </c>
      <c r="D20" s="43"/>
      <c r="E20" s="43"/>
      <c r="F20" s="46">
        <v>-175747</v>
      </c>
      <c r="G20" s="45"/>
      <c r="H20" s="46">
        <v>-246896</v>
      </c>
      <c r="I20" s="45"/>
      <c r="J20" s="46">
        <v>-280736</v>
      </c>
    </row>
    <row r="21" spans="1:10" x14ac:dyDescent="0.3">
      <c r="A21" s="43"/>
      <c r="B21" s="43" t="s">
        <v>136</v>
      </c>
      <c r="C21" s="43"/>
      <c r="D21" s="43"/>
      <c r="E21" s="43"/>
      <c r="F21" s="44">
        <f>ROUND(SUM(F15:F20),5)</f>
        <v>1079833</v>
      </c>
      <c r="G21" s="45"/>
      <c r="H21" s="44">
        <f>ROUND(SUM(H15:H20),5)</f>
        <v>1127802</v>
      </c>
      <c r="I21" s="45"/>
      <c r="J21" s="44">
        <f>ROUND(SUM(J15:J20),5)</f>
        <v>1093962</v>
      </c>
    </row>
    <row r="22" spans="1:10" ht="30" customHeight="1" x14ac:dyDescent="0.3">
      <c r="A22" s="43"/>
      <c r="B22" s="43" t="s">
        <v>137</v>
      </c>
      <c r="C22" s="43"/>
      <c r="D22" s="43"/>
      <c r="E22" s="43"/>
      <c r="F22" s="44"/>
      <c r="G22" s="45"/>
      <c r="H22" s="44"/>
      <c r="I22" s="45"/>
      <c r="J22" s="44"/>
    </row>
    <row r="23" spans="1:10" ht="15" thickBot="1" x14ac:dyDescent="0.35">
      <c r="A23" s="43"/>
      <c r="B23" s="43"/>
      <c r="C23" s="43" t="s">
        <v>308</v>
      </c>
      <c r="D23" s="43"/>
      <c r="E23" s="43"/>
      <c r="F23" s="44">
        <v>0</v>
      </c>
      <c r="G23" s="45"/>
      <c r="H23" s="44">
        <v>6675</v>
      </c>
      <c r="I23" s="45"/>
      <c r="J23" s="44">
        <v>5134</v>
      </c>
    </row>
    <row r="24" spans="1:10" ht="15" thickBot="1" x14ac:dyDescent="0.35">
      <c r="A24" s="43"/>
      <c r="B24" s="43" t="s">
        <v>141</v>
      </c>
      <c r="C24" s="43"/>
      <c r="D24" s="43"/>
      <c r="E24" s="43"/>
      <c r="F24" s="48">
        <f>ROUND(SUM(F22:F23),5)</f>
        <v>0</v>
      </c>
      <c r="G24" s="45"/>
      <c r="H24" s="48">
        <f>ROUND(SUM(H22:H23),5)</f>
        <v>6675</v>
      </c>
      <c r="I24" s="45"/>
      <c r="J24" s="48">
        <f>ROUND(SUM(J22:J23),5)</f>
        <v>5134</v>
      </c>
    </row>
    <row r="25" spans="1:10" s="50" customFormat="1" ht="30" customHeight="1" thickBot="1" x14ac:dyDescent="0.25">
      <c r="A25" s="43" t="s">
        <v>142</v>
      </c>
      <c r="B25" s="43"/>
      <c r="C25" s="43"/>
      <c r="D25" s="43"/>
      <c r="E25" s="43"/>
      <c r="F25" s="49">
        <f>ROUND(F2+F14+F21+F24,5)</f>
        <v>1129003</v>
      </c>
      <c r="G25" s="43"/>
      <c r="H25" s="49">
        <f>ROUND(H2+H14+H21+H24,5)</f>
        <v>1222098</v>
      </c>
      <c r="I25" s="43"/>
      <c r="J25" s="49">
        <f>ROUND(J2+J14+J21+J24,5)</f>
        <v>1280658</v>
      </c>
    </row>
    <row r="26" spans="1:10" ht="31.5" customHeight="1" thickTop="1" x14ac:dyDescent="0.3">
      <c r="A26" s="43" t="s">
        <v>143</v>
      </c>
      <c r="B26" s="43"/>
      <c r="C26" s="43"/>
      <c r="D26" s="43"/>
      <c r="E26" s="43"/>
      <c r="F26" s="44"/>
      <c r="G26" s="45"/>
      <c r="H26" s="44"/>
      <c r="I26" s="45"/>
      <c r="J26" s="44"/>
    </row>
    <row r="27" spans="1:10" x14ac:dyDescent="0.3">
      <c r="A27" s="43"/>
      <c r="B27" s="43" t="s">
        <v>144</v>
      </c>
      <c r="C27" s="43"/>
      <c r="D27" s="43"/>
      <c r="E27" s="43"/>
      <c r="F27" s="44"/>
      <c r="G27" s="45"/>
      <c r="H27" s="44"/>
      <c r="I27" s="45"/>
      <c r="J27" s="44"/>
    </row>
    <row r="28" spans="1:10" x14ac:dyDescent="0.3">
      <c r="A28" s="43"/>
      <c r="B28" s="43"/>
      <c r="C28" s="43" t="s">
        <v>145</v>
      </c>
      <c r="D28" s="43"/>
      <c r="E28" s="43"/>
      <c r="F28" s="44"/>
      <c r="G28" s="45"/>
      <c r="H28" s="44"/>
      <c r="I28" s="45"/>
      <c r="J28" s="44"/>
    </row>
    <row r="29" spans="1:10" x14ac:dyDescent="0.3">
      <c r="A29" s="43"/>
      <c r="B29" s="43"/>
      <c r="C29" s="43"/>
      <c r="D29" s="43" t="s">
        <v>146</v>
      </c>
      <c r="E29" s="43"/>
      <c r="F29" s="44"/>
      <c r="G29" s="45"/>
      <c r="H29" s="44"/>
      <c r="I29" s="45"/>
      <c r="J29" s="44"/>
    </row>
    <row r="30" spans="1:10" ht="15" thickBot="1" x14ac:dyDescent="0.35">
      <c r="A30" s="43"/>
      <c r="B30" s="43"/>
      <c r="C30" s="43"/>
      <c r="D30" s="43"/>
      <c r="E30" s="43" t="s">
        <v>146</v>
      </c>
      <c r="F30" s="46">
        <v>13483</v>
      </c>
      <c r="G30" s="45"/>
      <c r="H30" s="46">
        <v>12577</v>
      </c>
      <c r="I30" s="45"/>
      <c r="J30" s="46">
        <v>9061</v>
      </c>
    </row>
    <row r="31" spans="1:10" x14ac:dyDescent="0.3">
      <c r="A31" s="43"/>
      <c r="B31" s="43"/>
      <c r="C31" s="43"/>
      <c r="D31" s="43" t="s">
        <v>147</v>
      </c>
      <c r="E31" s="43"/>
      <c r="F31" s="44">
        <f>ROUND(SUM(F29:F30),5)</f>
        <v>13483</v>
      </c>
      <c r="G31" s="45"/>
      <c r="H31" s="44">
        <f>ROUND(SUM(H29:H30),5)</f>
        <v>12577</v>
      </c>
      <c r="I31" s="45"/>
      <c r="J31" s="44">
        <f>ROUND(SUM(J29:J30),5)</f>
        <v>9061</v>
      </c>
    </row>
    <row r="32" spans="1:10" ht="30" customHeight="1" x14ac:dyDescent="0.3">
      <c r="A32" s="43"/>
      <c r="B32" s="43"/>
      <c r="C32" s="43"/>
      <c r="D32" s="43" t="s">
        <v>148</v>
      </c>
      <c r="E32" s="43"/>
      <c r="F32" s="44"/>
      <c r="G32" s="45"/>
      <c r="H32" s="44"/>
      <c r="I32" s="45"/>
      <c r="J32" s="44"/>
    </row>
    <row r="33" spans="1:10" x14ac:dyDescent="0.3">
      <c r="A33" s="43"/>
      <c r="B33" s="43"/>
      <c r="C33" s="43"/>
      <c r="D33" s="43"/>
      <c r="E33" s="43" t="s">
        <v>390</v>
      </c>
      <c r="F33" s="44">
        <v>20911</v>
      </c>
      <c r="G33" s="45"/>
      <c r="H33" s="44">
        <v>23074</v>
      </c>
      <c r="I33" s="45"/>
      <c r="J33" s="44">
        <v>21321</v>
      </c>
    </row>
    <row r="34" spans="1:10" x14ac:dyDescent="0.3">
      <c r="A34" s="43"/>
      <c r="B34" s="43"/>
      <c r="C34" s="43"/>
      <c r="D34" s="43"/>
      <c r="E34" s="43" t="s">
        <v>391</v>
      </c>
      <c r="F34" s="44">
        <v>141677</v>
      </c>
      <c r="G34" s="45"/>
      <c r="H34" s="44">
        <v>0</v>
      </c>
      <c r="I34" s="45"/>
      <c r="J34" s="44">
        <v>0</v>
      </c>
    </row>
    <row r="35" spans="1:10" ht="15" thickBot="1" x14ac:dyDescent="0.35">
      <c r="A35" s="43"/>
      <c r="B35" s="43"/>
      <c r="C35" s="43"/>
      <c r="D35" s="43"/>
      <c r="E35" s="43" t="s">
        <v>151</v>
      </c>
      <c r="F35" s="44">
        <v>16199</v>
      </c>
      <c r="G35" s="45"/>
      <c r="H35" s="44">
        <v>16530</v>
      </c>
      <c r="I35" s="45"/>
      <c r="J35" s="44">
        <v>14817</v>
      </c>
    </row>
    <row r="36" spans="1:10" ht="15" thickBot="1" x14ac:dyDescent="0.35">
      <c r="A36" s="43"/>
      <c r="B36" s="43"/>
      <c r="C36" s="43"/>
      <c r="D36" s="43" t="s">
        <v>152</v>
      </c>
      <c r="E36" s="43"/>
      <c r="F36" s="47">
        <f>ROUND(SUM(F32:F35),5)</f>
        <v>178787</v>
      </c>
      <c r="G36" s="45"/>
      <c r="H36" s="47">
        <f>ROUND(SUM(H32:H35),5)</f>
        <v>39604</v>
      </c>
      <c r="I36" s="45"/>
      <c r="J36" s="47">
        <f>ROUND(SUM(J32:J35),5)</f>
        <v>36138</v>
      </c>
    </row>
    <row r="37" spans="1:10" ht="30" customHeight="1" x14ac:dyDescent="0.3">
      <c r="A37" s="43"/>
      <c r="B37" s="43"/>
      <c r="C37" s="43" t="s">
        <v>153</v>
      </c>
      <c r="D37" s="43"/>
      <c r="E37" s="43"/>
      <c r="F37" s="44">
        <f>ROUND(F28+F31+F36,5)</f>
        <v>192270</v>
      </c>
      <c r="G37" s="45"/>
      <c r="H37" s="44">
        <f>ROUND(H28+H31+H36,5)</f>
        <v>52181</v>
      </c>
      <c r="I37" s="45"/>
      <c r="J37" s="44">
        <f>ROUND(J28+J31+J36,5)</f>
        <v>45199</v>
      </c>
    </row>
    <row r="38" spans="1:10" ht="30" customHeight="1" x14ac:dyDescent="0.3">
      <c r="A38" s="43"/>
      <c r="B38" s="43"/>
      <c r="C38" s="43" t="s">
        <v>154</v>
      </c>
      <c r="D38" s="43"/>
      <c r="E38" s="43"/>
      <c r="F38" s="44"/>
      <c r="G38" s="45"/>
      <c r="H38" s="44"/>
      <c r="I38" s="45"/>
      <c r="J38" s="44"/>
    </row>
    <row r="39" spans="1:10" x14ac:dyDescent="0.3">
      <c r="A39" s="43"/>
      <c r="B39" s="43"/>
      <c r="C39" s="43"/>
      <c r="D39" s="43" t="s">
        <v>392</v>
      </c>
      <c r="E39" s="43"/>
      <c r="F39" s="44">
        <v>0</v>
      </c>
      <c r="G39" s="45"/>
      <c r="H39" s="44">
        <v>1219289</v>
      </c>
      <c r="I39" s="45"/>
      <c r="J39" s="51">
        <v>1175509</v>
      </c>
    </row>
    <row r="40" spans="1:10" x14ac:dyDescent="0.3">
      <c r="A40" s="43"/>
      <c r="B40" s="43"/>
      <c r="C40" s="43"/>
      <c r="D40" s="43" t="s">
        <v>393</v>
      </c>
      <c r="E40" s="43"/>
      <c r="F40" s="44">
        <v>978316</v>
      </c>
      <c r="G40" s="45"/>
      <c r="H40" s="44">
        <v>0</v>
      </c>
      <c r="I40" s="45"/>
      <c r="J40" s="44">
        <v>0</v>
      </c>
    </row>
    <row r="41" spans="1:10" ht="15" thickBot="1" x14ac:dyDescent="0.35">
      <c r="A41" s="43"/>
      <c r="B41" s="43"/>
      <c r="C41" s="43"/>
      <c r="D41" s="43" t="s">
        <v>394</v>
      </c>
      <c r="E41" s="43"/>
      <c r="F41" s="44">
        <v>167836</v>
      </c>
      <c r="G41" s="45"/>
      <c r="H41" s="44">
        <v>154507</v>
      </c>
      <c r="I41" s="45"/>
      <c r="J41" s="44">
        <v>140595</v>
      </c>
    </row>
    <row r="42" spans="1:10" ht="15" thickBot="1" x14ac:dyDescent="0.35">
      <c r="A42" s="43"/>
      <c r="B42" s="43"/>
      <c r="C42" s="43" t="s">
        <v>157</v>
      </c>
      <c r="D42" s="43"/>
      <c r="E42" s="43"/>
      <c r="F42" s="47">
        <f>ROUND(SUM(F38:F41),5)</f>
        <v>1146152</v>
      </c>
      <c r="G42" s="45"/>
      <c r="H42" s="47">
        <f>ROUND(SUM(H38:H41),5)</f>
        <v>1373796</v>
      </c>
      <c r="I42" s="45"/>
      <c r="J42" s="47">
        <f>ROUND(SUM(J38:J41),5)</f>
        <v>1316104</v>
      </c>
    </row>
    <row r="43" spans="1:10" ht="30" customHeight="1" x14ac:dyDescent="0.3">
      <c r="A43" s="43"/>
      <c r="B43" s="43" t="s">
        <v>158</v>
      </c>
      <c r="C43" s="43"/>
      <c r="D43" s="43"/>
      <c r="E43" s="43"/>
      <c r="F43" s="44">
        <f>ROUND(F27+F37+F42,5)</f>
        <v>1338422</v>
      </c>
      <c r="G43" s="45"/>
      <c r="H43" s="44">
        <f>ROUND(H27+H37+H42,5)</f>
        <v>1425977</v>
      </c>
      <c r="I43" s="45"/>
      <c r="J43" s="44">
        <f>ROUND(J27+J37+J42,5)</f>
        <v>1361303</v>
      </c>
    </row>
    <row r="44" spans="1:10" ht="30" customHeight="1" x14ac:dyDescent="0.3">
      <c r="A44" s="43"/>
      <c r="B44" s="43" t="s">
        <v>159</v>
      </c>
      <c r="C44" s="43"/>
      <c r="D44" s="43"/>
      <c r="E44" s="43"/>
      <c r="F44" s="44"/>
      <c r="G44" s="45"/>
      <c r="H44" s="44"/>
      <c r="I44" s="45"/>
      <c r="J44" s="44"/>
    </row>
    <row r="45" spans="1:10" x14ac:dyDescent="0.3">
      <c r="A45" s="43"/>
      <c r="B45" s="43"/>
      <c r="C45" s="43" t="s">
        <v>395</v>
      </c>
      <c r="D45" s="43"/>
      <c r="E45" s="43"/>
      <c r="F45" s="44">
        <v>-188089</v>
      </c>
      <c r="G45" s="45"/>
      <c r="H45" s="44">
        <v>-203881</v>
      </c>
      <c r="I45" s="45"/>
      <c r="J45" s="44">
        <v>-203881</v>
      </c>
    </row>
    <row r="46" spans="1:10" x14ac:dyDescent="0.3">
      <c r="A46" s="43"/>
      <c r="B46" s="43"/>
      <c r="C46" s="43" t="s">
        <v>164</v>
      </c>
      <c r="D46" s="43"/>
      <c r="E46" s="43"/>
      <c r="F46" s="44">
        <v>0</v>
      </c>
      <c r="G46" s="45"/>
      <c r="H46" s="44">
        <v>-51539</v>
      </c>
      <c r="I46" s="45"/>
      <c r="J46" s="44">
        <v>0</v>
      </c>
    </row>
    <row r="47" spans="1:10" ht="15" thickBot="1" x14ac:dyDescent="0.35">
      <c r="A47" s="43"/>
      <c r="B47" s="43"/>
      <c r="C47" s="43" t="s">
        <v>165</v>
      </c>
      <c r="D47" s="43"/>
      <c r="E47" s="43"/>
      <c r="F47" s="44">
        <v>-21330</v>
      </c>
      <c r="G47" s="45"/>
      <c r="H47" s="44">
        <v>51539</v>
      </c>
      <c r="I47" s="45"/>
      <c r="J47" s="44">
        <v>123237</v>
      </c>
    </row>
    <row r="48" spans="1:10" ht="15" thickBot="1" x14ac:dyDescent="0.35">
      <c r="A48" s="43"/>
      <c r="B48" s="43" t="s">
        <v>166</v>
      </c>
      <c r="C48" s="43"/>
      <c r="D48" s="43"/>
      <c r="E48" s="43"/>
      <c r="F48" s="48">
        <f>ROUND(SUM(F44:F47),5)</f>
        <v>-209419</v>
      </c>
      <c r="G48" s="45"/>
      <c r="H48" s="48">
        <f>ROUND(SUM(H44:H47),5)</f>
        <v>-203881</v>
      </c>
      <c r="I48" s="45"/>
      <c r="J48" s="48">
        <f>ROUND(SUM(J44:J47),5)</f>
        <v>-80644</v>
      </c>
    </row>
    <row r="49" spans="1:10" s="50" customFormat="1" ht="30" customHeight="1" thickBot="1" x14ac:dyDescent="0.25">
      <c r="A49" s="43" t="s">
        <v>167</v>
      </c>
      <c r="B49" s="43"/>
      <c r="C49" s="43"/>
      <c r="D49" s="43"/>
      <c r="E49" s="43"/>
      <c r="F49" s="49">
        <f>ROUND(F26+F43+F48,5)</f>
        <v>1129003</v>
      </c>
      <c r="G49" s="43"/>
      <c r="H49" s="49">
        <f>ROUND(H26+H43+H48,5)</f>
        <v>1222096</v>
      </c>
      <c r="I49" s="43"/>
      <c r="J49" s="49">
        <f>ROUND(J26+J43+J48,5)</f>
        <v>1280659</v>
      </c>
    </row>
    <row r="50" spans="1:10" ht="15" thickTop="1" x14ac:dyDescent="0.3"/>
  </sheetData>
  <pageMargins left="0.7" right="0.7" top="0.75" bottom="0.75" header="0.25" footer="0.3"/>
  <pageSetup orientation="portrait" r:id="rId1"/>
  <headerFooter>
    <oddHeader>&amp;L&amp;"Arial,Bold"&amp;8 02/17/14
&amp;"Arial,Bold"&amp;8 Accrual Basis&amp;C&amp;"Arial,Bold"&amp;12 Douglas, LLC
&amp;"Arial,Bold"&amp;14 3 Year Comparative Balance Sheet
&amp;"Arial,Bold"&amp;10 As of December 31,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0482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0482" r:id="rId4" name="HEADER"/>
      </mc:Fallback>
    </mc:AlternateContent>
    <mc:AlternateContent xmlns:mc="http://schemas.openxmlformats.org/markup-compatibility/2006">
      <mc:Choice Requires="x14">
        <control shapeId="20481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0481" r:id="rId6" name="FILTER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46"/>
  <dimension ref="A1:N127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2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8.664062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52"/>
      <c r="I2" s="45"/>
      <c r="J2" s="52"/>
      <c r="K2" s="45"/>
      <c r="L2" s="52"/>
      <c r="M2" s="45"/>
      <c r="N2" s="52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52"/>
      <c r="I3" s="45"/>
      <c r="J3" s="52"/>
      <c r="K3" s="45"/>
      <c r="L3" s="52"/>
      <c r="M3" s="45"/>
      <c r="N3" s="52"/>
    </row>
    <row r="4" spans="1:14" x14ac:dyDescent="0.3">
      <c r="A4" s="43"/>
      <c r="B4" s="43"/>
      <c r="C4" s="43"/>
      <c r="D4" s="43"/>
      <c r="E4" s="43" t="s">
        <v>174</v>
      </c>
      <c r="F4" s="43"/>
      <c r="G4" s="43"/>
      <c r="H4" s="52">
        <v>129893.32</v>
      </c>
      <c r="I4" s="45"/>
      <c r="J4" s="52">
        <v>188218.38</v>
      </c>
      <c r="K4" s="45"/>
      <c r="L4" s="52">
        <v>204313.9</v>
      </c>
      <c r="M4" s="45"/>
      <c r="N4" s="52">
        <f t="shared" ref="N4:N10" si="0">ROUND(SUM(H4:L4),5)</f>
        <v>522425.59999999998</v>
      </c>
    </row>
    <row r="5" spans="1:14" x14ac:dyDescent="0.3">
      <c r="A5" s="43"/>
      <c r="B5" s="43"/>
      <c r="C5" s="43"/>
      <c r="D5" s="43"/>
      <c r="E5" s="43" t="s">
        <v>175</v>
      </c>
      <c r="F5" s="43"/>
      <c r="G5" s="43"/>
      <c r="H5" s="52">
        <v>11070.88</v>
      </c>
      <c r="I5" s="45"/>
      <c r="J5" s="52">
        <v>21538.73</v>
      </c>
      <c r="K5" s="45"/>
      <c r="L5" s="52">
        <v>27727.22</v>
      </c>
      <c r="M5" s="45"/>
      <c r="N5" s="52">
        <f t="shared" si="0"/>
        <v>60336.83</v>
      </c>
    </row>
    <row r="6" spans="1:14" x14ac:dyDescent="0.3">
      <c r="A6" s="43"/>
      <c r="B6" s="43"/>
      <c r="C6" s="43"/>
      <c r="D6" s="43"/>
      <c r="E6" s="43" t="s">
        <v>176</v>
      </c>
      <c r="F6" s="43"/>
      <c r="G6" s="43"/>
      <c r="H6" s="52">
        <v>27704.79</v>
      </c>
      <c r="I6" s="45"/>
      <c r="J6" s="52">
        <v>41340.11</v>
      </c>
      <c r="K6" s="45"/>
      <c r="L6" s="52">
        <v>45574.89</v>
      </c>
      <c r="M6" s="45"/>
      <c r="N6" s="52">
        <f t="shared" si="0"/>
        <v>114619.79</v>
      </c>
    </row>
    <row r="7" spans="1:14" x14ac:dyDescent="0.3">
      <c r="A7" s="43"/>
      <c r="B7" s="43"/>
      <c r="C7" s="43"/>
      <c r="D7" s="43"/>
      <c r="E7" s="43" t="s">
        <v>177</v>
      </c>
      <c r="F7" s="43"/>
      <c r="G7" s="43"/>
      <c r="H7" s="52">
        <v>1723.46</v>
      </c>
      <c r="I7" s="45"/>
      <c r="J7" s="52">
        <v>5635.31</v>
      </c>
      <c r="K7" s="45"/>
      <c r="L7" s="52">
        <v>6126.44</v>
      </c>
      <c r="M7" s="45"/>
      <c r="N7" s="52">
        <f t="shared" si="0"/>
        <v>13485.21</v>
      </c>
    </row>
    <row r="8" spans="1:14" ht="15" thickBot="1" x14ac:dyDescent="0.35">
      <c r="A8" s="43"/>
      <c r="B8" s="43"/>
      <c r="C8" s="43"/>
      <c r="D8" s="43"/>
      <c r="E8" s="43" t="s">
        <v>178</v>
      </c>
      <c r="F8" s="43"/>
      <c r="G8" s="43"/>
      <c r="H8" s="52">
        <v>501.55</v>
      </c>
      <c r="I8" s="45"/>
      <c r="J8" s="52">
        <v>1157.56</v>
      </c>
      <c r="K8" s="45"/>
      <c r="L8" s="52">
        <v>1400</v>
      </c>
      <c r="M8" s="45"/>
      <c r="N8" s="52">
        <f t="shared" si="0"/>
        <v>3059.11</v>
      </c>
    </row>
    <row r="9" spans="1:14" ht="15" thickBot="1" x14ac:dyDescent="0.35">
      <c r="A9" s="43"/>
      <c r="B9" s="43"/>
      <c r="C9" s="43"/>
      <c r="D9" s="43" t="s">
        <v>180</v>
      </c>
      <c r="E9" s="43"/>
      <c r="F9" s="43"/>
      <c r="G9" s="43"/>
      <c r="H9" s="53">
        <f>ROUND(SUM(H3:H8),5)</f>
        <v>170894</v>
      </c>
      <c r="I9" s="45"/>
      <c r="J9" s="53">
        <f>ROUND(SUM(J3:J8),5)</f>
        <v>257890.09</v>
      </c>
      <c r="K9" s="45"/>
      <c r="L9" s="53">
        <f>ROUND(SUM(L3:L8),5)</f>
        <v>285142.45</v>
      </c>
      <c r="M9" s="45"/>
      <c r="N9" s="53">
        <f t="shared" si="0"/>
        <v>713926.54</v>
      </c>
    </row>
    <row r="10" spans="1:14" ht="30" customHeight="1" x14ac:dyDescent="0.3">
      <c r="A10" s="43"/>
      <c r="B10" s="43"/>
      <c r="C10" s="43" t="s">
        <v>181</v>
      </c>
      <c r="D10" s="43"/>
      <c r="E10" s="43"/>
      <c r="F10" s="43"/>
      <c r="G10" s="43"/>
      <c r="H10" s="52">
        <f>H9</f>
        <v>170894</v>
      </c>
      <c r="I10" s="45"/>
      <c r="J10" s="52">
        <f>J9</f>
        <v>257890.09</v>
      </c>
      <c r="K10" s="45"/>
      <c r="L10" s="52">
        <f>L9</f>
        <v>285142.45</v>
      </c>
      <c r="M10" s="45"/>
      <c r="N10" s="52">
        <f t="shared" si="0"/>
        <v>713926.54</v>
      </c>
    </row>
    <row r="11" spans="1:14" ht="30" customHeight="1" x14ac:dyDescent="0.3">
      <c r="A11" s="43"/>
      <c r="B11" s="43"/>
      <c r="C11" s="43"/>
      <c r="D11" s="43" t="s">
        <v>182</v>
      </c>
      <c r="E11" s="43"/>
      <c r="F11" s="43"/>
      <c r="G11" s="43"/>
      <c r="H11" s="52"/>
      <c r="I11" s="45"/>
      <c r="J11" s="52"/>
      <c r="K11" s="45"/>
      <c r="L11" s="52"/>
      <c r="M11" s="45"/>
      <c r="N11" s="52"/>
    </row>
    <row r="12" spans="1:14" x14ac:dyDescent="0.3">
      <c r="A12" s="43"/>
      <c r="B12" s="43"/>
      <c r="C12" s="43"/>
      <c r="D12" s="43"/>
      <c r="E12" s="43" t="s">
        <v>386</v>
      </c>
      <c r="F12" s="43"/>
      <c r="G12" s="43"/>
      <c r="H12" s="52">
        <v>0</v>
      </c>
      <c r="I12" s="45"/>
      <c r="J12" s="52">
        <v>0</v>
      </c>
      <c r="K12" s="45"/>
      <c r="L12" s="52">
        <v>20671.39</v>
      </c>
      <c r="M12" s="45"/>
      <c r="N12" s="52">
        <f>ROUND(SUM(H12:L12),5)</f>
        <v>20671.39</v>
      </c>
    </row>
    <row r="13" spans="1:14" x14ac:dyDescent="0.3">
      <c r="A13" s="43"/>
      <c r="B13" s="43"/>
      <c r="C13" s="43"/>
      <c r="D13" s="43"/>
      <c r="E13" s="43" t="s">
        <v>396</v>
      </c>
      <c r="F13" s="43"/>
      <c r="G13" s="43"/>
      <c r="H13" s="52">
        <v>0</v>
      </c>
      <c r="I13" s="45"/>
      <c r="J13" s="52">
        <v>95</v>
      </c>
      <c r="K13" s="45"/>
      <c r="L13" s="52">
        <v>25</v>
      </c>
      <c r="M13" s="45"/>
      <c r="N13" s="52">
        <f>ROUND(SUM(H13:L13),5)</f>
        <v>120</v>
      </c>
    </row>
    <row r="14" spans="1:14" x14ac:dyDescent="0.3">
      <c r="A14" s="43"/>
      <c r="B14" s="43"/>
      <c r="C14" s="43"/>
      <c r="D14" s="43"/>
      <c r="E14" s="43" t="s">
        <v>183</v>
      </c>
      <c r="F14" s="43"/>
      <c r="G14" s="43"/>
      <c r="H14" s="52"/>
      <c r="I14" s="45"/>
      <c r="J14" s="52"/>
      <c r="K14" s="45"/>
      <c r="L14" s="52"/>
      <c r="M14" s="45"/>
      <c r="N14" s="52"/>
    </row>
    <row r="15" spans="1:14" x14ac:dyDescent="0.3">
      <c r="A15" s="43"/>
      <c r="B15" s="43"/>
      <c r="C15" s="43"/>
      <c r="D15" s="43"/>
      <c r="E15" s="43"/>
      <c r="F15" s="43" t="s">
        <v>186</v>
      </c>
      <c r="G15" s="43"/>
      <c r="H15" s="52"/>
      <c r="I15" s="45"/>
      <c r="J15" s="52"/>
      <c r="K15" s="45"/>
      <c r="L15" s="52"/>
      <c r="M15" s="45"/>
      <c r="N15" s="52"/>
    </row>
    <row r="16" spans="1:14" x14ac:dyDescent="0.3">
      <c r="A16" s="43"/>
      <c r="B16" s="43"/>
      <c r="C16" s="43"/>
      <c r="D16" s="43"/>
      <c r="E16" s="43"/>
      <c r="F16" s="43"/>
      <c r="G16" s="43" t="s">
        <v>365</v>
      </c>
      <c r="H16" s="52">
        <v>27063.03</v>
      </c>
      <c r="I16" s="45"/>
      <c r="J16" s="52">
        <v>18618.5</v>
      </c>
      <c r="K16" s="45"/>
      <c r="L16" s="52">
        <v>0</v>
      </c>
      <c r="M16" s="45"/>
      <c r="N16" s="52">
        <f t="shared" ref="N16:N23" si="1">ROUND(SUM(H16:L16),5)</f>
        <v>45681.53</v>
      </c>
    </row>
    <row r="17" spans="1:14" ht="15" thickBot="1" x14ac:dyDescent="0.35">
      <c r="A17" s="43"/>
      <c r="B17" s="43"/>
      <c r="C17" s="43"/>
      <c r="D17" s="43"/>
      <c r="E17" s="43"/>
      <c r="F17" s="43"/>
      <c r="G17" s="43" t="s">
        <v>397</v>
      </c>
      <c r="H17" s="54">
        <v>0</v>
      </c>
      <c r="I17" s="45"/>
      <c r="J17" s="54">
        <v>6237.2</v>
      </c>
      <c r="K17" s="45"/>
      <c r="L17" s="54">
        <v>4720.68</v>
      </c>
      <c r="M17" s="45"/>
      <c r="N17" s="54">
        <f t="shared" si="1"/>
        <v>10957.88</v>
      </c>
    </row>
    <row r="18" spans="1:14" x14ac:dyDescent="0.3">
      <c r="A18" s="43"/>
      <c r="B18" s="43"/>
      <c r="C18" s="43"/>
      <c r="D18" s="43"/>
      <c r="E18" s="43"/>
      <c r="F18" s="43" t="s">
        <v>189</v>
      </c>
      <c r="G18" s="43"/>
      <c r="H18" s="52">
        <f>ROUND(SUM(H15:H17),5)</f>
        <v>27063.03</v>
      </c>
      <c r="I18" s="45"/>
      <c r="J18" s="52">
        <f>ROUND(SUM(J15:J17),5)</f>
        <v>24855.7</v>
      </c>
      <c r="K18" s="45"/>
      <c r="L18" s="52">
        <f>ROUND(SUM(L15:L17),5)</f>
        <v>4720.68</v>
      </c>
      <c r="M18" s="45"/>
      <c r="N18" s="52">
        <f t="shared" si="1"/>
        <v>56639.41</v>
      </c>
    </row>
    <row r="19" spans="1:14" ht="30" customHeight="1" x14ac:dyDescent="0.3">
      <c r="A19" s="43"/>
      <c r="B19" s="43"/>
      <c r="C19" s="43"/>
      <c r="D19" s="43"/>
      <c r="E19" s="43"/>
      <c r="F19" s="43" t="s">
        <v>190</v>
      </c>
      <c r="G19" s="43"/>
      <c r="H19" s="52">
        <v>8544.7000000000007</v>
      </c>
      <c r="I19" s="45"/>
      <c r="J19" s="52">
        <v>12844.13</v>
      </c>
      <c r="K19" s="45"/>
      <c r="L19" s="52">
        <v>14822.66</v>
      </c>
      <c r="M19" s="45"/>
      <c r="N19" s="52">
        <f t="shared" si="1"/>
        <v>36211.49</v>
      </c>
    </row>
    <row r="20" spans="1:14" x14ac:dyDescent="0.3">
      <c r="A20" s="43"/>
      <c r="B20" s="43"/>
      <c r="C20" s="43"/>
      <c r="D20" s="43"/>
      <c r="E20" s="43"/>
      <c r="F20" s="43" t="s">
        <v>191</v>
      </c>
      <c r="G20" s="43"/>
      <c r="H20" s="52">
        <v>47</v>
      </c>
      <c r="I20" s="45"/>
      <c r="J20" s="52">
        <v>44.35</v>
      </c>
      <c r="K20" s="45"/>
      <c r="L20" s="52">
        <v>59.49</v>
      </c>
      <c r="M20" s="45"/>
      <c r="N20" s="52">
        <f t="shared" si="1"/>
        <v>150.84</v>
      </c>
    </row>
    <row r="21" spans="1:14" x14ac:dyDescent="0.3">
      <c r="A21" s="43"/>
      <c r="B21" s="43"/>
      <c r="C21" s="43"/>
      <c r="D21" s="43"/>
      <c r="E21" s="43"/>
      <c r="F21" s="43" t="s">
        <v>192</v>
      </c>
      <c r="G21" s="43"/>
      <c r="H21" s="52">
        <v>96.39</v>
      </c>
      <c r="I21" s="45"/>
      <c r="J21" s="52">
        <v>86.01</v>
      </c>
      <c r="K21" s="45"/>
      <c r="L21" s="52">
        <v>43.5</v>
      </c>
      <c r="M21" s="45"/>
      <c r="N21" s="52">
        <f t="shared" si="1"/>
        <v>225.9</v>
      </c>
    </row>
    <row r="22" spans="1:14" x14ac:dyDescent="0.3">
      <c r="A22" s="43"/>
      <c r="B22" s="43"/>
      <c r="C22" s="43"/>
      <c r="D22" s="43"/>
      <c r="E22" s="43"/>
      <c r="F22" s="43" t="s">
        <v>193</v>
      </c>
      <c r="G22" s="43"/>
      <c r="H22" s="52">
        <v>0</v>
      </c>
      <c r="I22" s="45"/>
      <c r="J22" s="52">
        <v>-21.13</v>
      </c>
      <c r="K22" s="45"/>
      <c r="L22" s="52">
        <v>-48.7</v>
      </c>
      <c r="M22" s="45"/>
      <c r="N22" s="52">
        <f t="shared" si="1"/>
        <v>-69.83</v>
      </c>
    </row>
    <row r="23" spans="1:14" x14ac:dyDescent="0.3">
      <c r="A23" s="43"/>
      <c r="B23" s="43"/>
      <c r="C23" s="43"/>
      <c r="D23" s="43"/>
      <c r="E23" s="43"/>
      <c r="F23" s="43" t="s">
        <v>398</v>
      </c>
      <c r="G23" s="43"/>
      <c r="H23" s="52">
        <v>45</v>
      </c>
      <c r="I23" s="45"/>
      <c r="J23" s="52">
        <v>28.4</v>
      </c>
      <c r="K23" s="45"/>
      <c r="L23" s="52">
        <v>95</v>
      </c>
      <c r="M23" s="45"/>
      <c r="N23" s="52">
        <f t="shared" si="1"/>
        <v>168.4</v>
      </c>
    </row>
    <row r="24" spans="1:14" x14ac:dyDescent="0.3">
      <c r="A24" s="43"/>
      <c r="B24" s="43"/>
      <c r="C24" s="43"/>
      <c r="D24" s="43"/>
      <c r="E24" s="43"/>
      <c r="F24" s="43" t="s">
        <v>195</v>
      </c>
      <c r="G24" s="43"/>
      <c r="H24" s="52"/>
      <c r="I24" s="45"/>
      <c r="J24" s="52"/>
      <c r="K24" s="45"/>
      <c r="L24" s="52"/>
      <c r="M24" s="45"/>
      <c r="N24" s="52"/>
    </row>
    <row r="25" spans="1:14" x14ac:dyDescent="0.3">
      <c r="A25" s="43"/>
      <c r="B25" s="43"/>
      <c r="C25" s="43"/>
      <c r="D25" s="43"/>
      <c r="E25" s="43"/>
      <c r="F25" s="43"/>
      <c r="G25" s="43" t="s">
        <v>197</v>
      </c>
      <c r="H25" s="52">
        <v>986</v>
      </c>
      <c r="I25" s="45"/>
      <c r="J25" s="52">
        <v>705</v>
      </c>
      <c r="K25" s="45"/>
      <c r="L25" s="52">
        <v>725</v>
      </c>
      <c r="M25" s="45"/>
      <c r="N25" s="52">
        <f t="shared" ref="N25:N32" si="2">ROUND(SUM(H25:L25),5)</f>
        <v>2416</v>
      </c>
    </row>
    <row r="26" spans="1:14" x14ac:dyDescent="0.3">
      <c r="A26" s="43"/>
      <c r="B26" s="43"/>
      <c r="C26" s="43"/>
      <c r="D26" s="43"/>
      <c r="E26" s="43"/>
      <c r="F26" s="43"/>
      <c r="G26" s="43" t="s">
        <v>399</v>
      </c>
      <c r="H26" s="52">
        <v>167</v>
      </c>
      <c r="I26" s="45"/>
      <c r="J26" s="52">
        <v>0</v>
      </c>
      <c r="K26" s="45"/>
      <c r="L26" s="52">
        <v>818</v>
      </c>
      <c r="M26" s="45"/>
      <c r="N26" s="52">
        <f t="shared" si="2"/>
        <v>985</v>
      </c>
    </row>
    <row r="27" spans="1:14" x14ac:dyDescent="0.3">
      <c r="A27" s="43"/>
      <c r="B27" s="43"/>
      <c r="C27" s="43"/>
      <c r="D27" s="43"/>
      <c r="E27" s="43"/>
      <c r="F27" s="43"/>
      <c r="G27" s="43" t="s">
        <v>400</v>
      </c>
      <c r="H27" s="52">
        <v>390</v>
      </c>
      <c r="I27" s="45"/>
      <c r="J27" s="52">
        <v>1900</v>
      </c>
      <c r="K27" s="45"/>
      <c r="L27" s="52">
        <v>0</v>
      </c>
      <c r="M27" s="45"/>
      <c r="N27" s="52">
        <f t="shared" si="2"/>
        <v>2290</v>
      </c>
    </row>
    <row r="28" spans="1:14" ht="15" thickBot="1" x14ac:dyDescent="0.35">
      <c r="A28" s="43"/>
      <c r="B28" s="43"/>
      <c r="C28" s="43"/>
      <c r="D28" s="43"/>
      <c r="E28" s="43"/>
      <c r="F28" s="43"/>
      <c r="G28" s="43" t="s">
        <v>199</v>
      </c>
      <c r="H28" s="54">
        <v>220.68</v>
      </c>
      <c r="I28" s="45"/>
      <c r="J28" s="54">
        <v>203.54</v>
      </c>
      <c r="K28" s="45"/>
      <c r="L28" s="54">
        <v>168.85</v>
      </c>
      <c r="M28" s="45"/>
      <c r="N28" s="54">
        <f t="shared" si="2"/>
        <v>593.07000000000005</v>
      </c>
    </row>
    <row r="29" spans="1:14" x14ac:dyDescent="0.3">
      <c r="A29" s="43"/>
      <c r="B29" s="43"/>
      <c r="C29" s="43"/>
      <c r="D29" s="43"/>
      <c r="E29" s="43"/>
      <c r="F29" s="43" t="s">
        <v>200</v>
      </c>
      <c r="G29" s="43"/>
      <c r="H29" s="52">
        <f>ROUND(SUM(H24:H28),5)</f>
        <v>1763.68</v>
      </c>
      <c r="I29" s="45"/>
      <c r="J29" s="52">
        <f>ROUND(SUM(J24:J28),5)</f>
        <v>2808.54</v>
      </c>
      <c r="K29" s="45"/>
      <c r="L29" s="52">
        <f>ROUND(SUM(L24:L28),5)</f>
        <v>1711.85</v>
      </c>
      <c r="M29" s="45"/>
      <c r="N29" s="52">
        <f t="shared" si="2"/>
        <v>6284.07</v>
      </c>
    </row>
    <row r="30" spans="1:14" ht="30" customHeight="1" x14ac:dyDescent="0.3">
      <c r="A30" s="43"/>
      <c r="B30" s="43"/>
      <c r="C30" s="43"/>
      <c r="D30" s="43"/>
      <c r="E30" s="43"/>
      <c r="F30" s="43" t="s">
        <v>320</v>
      </c>
      <c r="G30" s="43"/>
      <c r="H30" s="52">
        <v>0</v>
      </c>
      <c r="I30" s="45"/>
      <c r="J30" s="52">
        <v>22.56</v>
      </c>
      <c r="K30" s="45"/>
      <c r="L30" s="52">
        <v>141.65</v>
      </c>
      <c r="M30" s="45"/>
      <c r="N30" s="52">
        <f t="shared" si="2"/>
        <v>164.21</v>
      </c>
    </row>
    <row r="31" spans="1:14" ht="15" thickBot="1" x14ac:dyDescent="0.35">
      <c r="A31" s="43"/>
      <c r="B31" s="43"/>
      <c r="C31" s="43"/>
      <c r="D31" s="43"/>
      <c r="E31" s="43"/>
      <c r="F31" s="43" t="s">
        <v>201</v>
      </c>
      <c r="G31" s="43"/>
      <c r="H31" s="54">
        <v>0</v>
      </c>
      <c r="I31" s="45"/>
      <c r="J31" s="54">
        <v>0</v>
      </c>
      <c r="K31" s="45"/>
      <c r="L31" s="54">
        <v>88.53</v>
      </c>
      <c r="M31" s="45"/>
      <c r="N31" s="54">
        <f t="shared" si="2"/>
        <v>88.53</v>
      </c>
    </row>
    <row r="32" spans="1:14" x14ac:dyDescent="0.3">
      <c r="A32" s="43"/>
      <c r="B32" s="43"/>
      <c r="C32" s="43"/>
      <c r="D32" s="43"/>
      <c r="E32" s="43" t="s">
        <v>202</v>
      </c>
      <c r="F32" s="43"/>
      <c r="G32" s="43"/>
      <c r="H32" s="52">
        <f>ROUND(H14+SUM(H18:H23)+SUM(H29:H31),5)</f>
        <v>37559.800000000003</v>
      </c>
      <c r="I32" s="45"/>
      <c r="J32" s="52">
        <f>ROUND(J14+SUM(J18:J23)+SUM(J29:J31),5)</f>
        <v>40668.559999999998</v>
      </c>
      <c r="K32" s="45"/>
      <c r="L32" s="52">
        <f>ROUND(L14+SUM(L18:L23)+SUM(L29:L31),5)</f>
        <v>21634.66</v>
      </c>
      <c r="M32" s="45"/>
      <c r="N32" s="52">
        <f t="shared" si="2"/>
        <v>99863.02</v>
      </c>
    </row>
    <row r="33" spans="1:14" ht="30" customHeight="1" x14ac:dyDescent="0.3">
      <c r="A33" s="43"/>
      <c r="B33" s="43"/>
      <c r="C33" s="43"/>
      <c r="D33" s="43"/>
      <c r="E33" s="43" t="s">
        <v>203</v>
      </c>
      <c r="F33" s="43"/>
      <c r="G33" s="43"/>
      <c r="H33" s="52"/>
      <c r="I33" s="45"/>
      <c r="J33" s="52"/>
      <c r="K33" s="45"/>
      <c r="L33" s="52"/>
      <c r="M33" s="45"/>
      <c r="N33" s="52"/>
    </row>
    <row r="34" spans="1:14" x14ac:dyDescent="0.3">
      <c r="A34" s="43"/>
      <c r="B34" s="43"/>
      <c r="C34" s="43"/>
      <c r="D34" s="43"/>
      <c r="E34" s="43"/>
      <c r="F34" s="43" t="s">
        <v>204</v>
      </c>
      <c r="G34" s="43"/>
      <c r="H34" s="52">
        <v>374.65</v>
      </c>
      <c r="I34" s="45"/>
      <c r="J34" s="52">
        <v>380.01</v>
      </c>
      <c r="K34" s="45"/>
      <c r="L34" s="52">
        <v>388.68</v>
      </c>
      <c r="M34" s="45"/>
      <c r="N34" s="52">
        <f>ROUND(SUM(H34:L34),5)</f>
        <v>1143.3399999999999</v>
      </c>
    </row>
    <row r="35" spans="1:14" x14ac:dyDescent="0.3">
      <c r="A35" s="43"/>
      <c r="B35" s="43"/>
      <c r="C35" s="43"/>
      <c r="D35" s="43"/>
      <c r="E35" s="43"/>
      <c r="F35" s="43" t="s">
        <v>401</v>
      </c>
      <c r="G35" s="43"/>
      <c r="H35" s="52"/>
      <c r="I35" s="45"/>
      <c r="J35" s="52"/>
      <c r="K35" s="45"/>
      <c r="L35" s="52"/>
      <c r="M35" s="45"/>
      <c r="N35" s="52"/>
    </row>
    <row r="36" spans="1:14" x14ac:dyDescent="0.3">
      <c r="A36" s="43"/>
      <c r="B36" s="43"/>
      <c r="C36" s="43"/>
      <c r="D36" s="43"/>
      <c r="E36" s="43"/>
      <c r="F36" s="43"/>
      <c r="G36" s="43" t="s">
        <v>402</v>
      </c>
      <c r="H36" s="52">
        <v>0</v>
      </c>
      <c r="I36" s="45"/>
      <c r="J36" s="52">
        <v>0</v>
      </c>
      <c r="K36" s="45"/>
      <c r="L36" s="52">
        <v>0</v>
      </c>
      <c r="M36" s="45"/>
      <c r="N36" s="52">
        <f>ROUND(SUM(H36:L36),5)</f>
        <v>0</v>
      </c>
    </row>
    <row r="37" spans="1:14" x14ac:dyDescent="0.3">
      <c r="A37" s="43"/>
      <c r="B37" s="43"/>
      <c r="C37" s="43"/>
      <c r="D37" s="43"/>
      <c r="E37" s="43"/>
      <c r="F37" s="43"/>
      <c r="G37" s="43" t="s">
        <v>403</v>
      </c>
      <c r="H37" s="52">
        <v>0</v>
      </c>
      <c r="I37" s="45"/>
      <c r="J37" s="52">
        <v>0</v>
      </c>
      <c r="K37" s="45"/>
      <c r="L37" s="52">
        <v>0</v>
      </c>
      <c r="M37" s="45"/>
      <c r="N37" s="52">
        <f>ROUND(SUM(H37:L37),5)</f>
        <v>0</v>
      </c>
    </row>
    <row r="38" spans="1:14" ht="15" thickBot="1" x14ac:dyDescent="0.35">
      <c r="A38" s="43"/>
      <c r="B38" s="43"/>
      <c r="C38" s="43"/>
      <c r="D38" s="43"/>
      <c r="E38" s="43"/>
      <c r="F38" s="43"/>
      <c r="G38" s="43" t="s">
        <v>404</v>
      </c>
      <c r="H38" s="54">
        <v>647.33000000000004</v>
      </c>
      <c r="I38" s="45"/>
      <c r="J38" s="54">
        <v>621.59</v>
      </c>
      <c r="K38" s="45"/>
      <c r="L38" s="54">
        <v>704.25</v>
      </c>
      <c r="M38" s="45"/>
      <c r="N38" s="54">
        <f>ROUND(SUM(H38:L38),5)</f>
        <v>1973.17</v>
      </c>
    </row>
    <row r="39" spans="1:14" x14ac:dyDescent="0.3">
      <c r="A39" s="43"/>
      <c r="B39" s="43"/>
      <c r="C39" s="43"/>
      <c r="D39" s="43"/>
      <c r="E39" s="43"/>
      <c r="F39" s="43" t="s">
        <v>405</v>
      </c>
      <c r="G39" s="43"/>
      <c r="H39" s="52">
        <f>ROUND(SUM(H35:H38),5)</f>
        <v>647.33000000000004</v>
      </c>
      <c r="I39" s="45"/>
      <c r="J39" s="52">
        <f>ROUND(SUM(J35:J38),5)</f>
        <v>621.59</v>
      </c>
      <c r="K39" s="45"/>
      <c r="L39" s="52">
        <f>ROUND(SUM(L35:L38),5)</f>
        <v>704.25</v>
      </c>
      <c r="M39" s="45"/>
      <c r="N39" s="52">
        <f>ROUND(SUM(H39:L39),5)</f>
        <v>1973.17</v>
      </c>
    </row>
    <row r="40" spans="1:14" ht="30" customHeight="1" x14ac:dyDescent="0.3">
      <c r="A40" s="43"/>
      <c r="B40" s="43"/>
      <c r="C40" s="43"/>
      <c r="D40" s="43"/>
      <c r="E40" s="43"/>
      <c r="F40" s="43" t="s">
        <v>323</v>
      </c>
      <c r="G40" s="43"/>
      <c r="H40" s="52"/>
      <c r="I40" s="45"/>
      <c r="J40" s="52"/>
      <c r="K40" s="45"/>
      <c r="L40" s="52"/>
      <c r="M40" s="45"/>
      <c r="N40" s="52"/>
    </row>
    <row r="41" spans="1:14" x14ac:dyDescent="0.3">
      <c r="A41" s="43"/>
      <c r="B41" s="43"/>
      <c r="C41" s="43"/>
      <c r="D41" s="43"/>
      <c r="E41" s="43"/>
      <c r="F41" s="43"/>
      <c r="G41" s="43" t="s">
        <v>406</v>
      </c>
      <c r="H41" s="52">
        <v>0</v>
      </c>
      <c r="I41" s="45"/>
      <c r="J41" s="52">
        <v>0</v>
      </c>
      <c r="K41" s="45"/>
      <c r="L41" s="52">
        <v>0</v>
      </c>
      <c r="M41" s="45"/>
      <c r="N41" s="52">
        <f t="shared" ref="N41:N48" si="3">ROUND(SUM(H41:L41),5)</f>
        <v>0</v>
      </c>
    </row>
    <row r="42" spans="1:14" x14ac:dyDescent="0.3">
      <c r="A42" s="43"/>
      <c r="B42" s="43"/>
      <c r="C42" s="43"/>
      <c r="D42" s="43"/>
      <c r="E42" s="43"/>
      <c r="F42" s="43"/>
      <c r="G42" s="43" t="s">
        <v>407</v>
      </c>
      <c r="H42" s="52">
        <v>0</v>
      </c>
      <c r="I42" s="45"/>
      <c r="J42" s="52">
        <v>88.14</v>
      </c>
      <c r="K42" s="45"/>
      <c r="L42" s="52">
        <v>0</v>
      </c>
      <c r="M42" s="45"/>
      <c r="N42" s="52">
        <f t="shared" si="3"/>
        <v>88.14</v>
      </c>
    </row>
    <row r="43" spans="1:14" x14ac:dyDescent="0.3">
      <c r="A43" s="43"/>
      <c r="B43" s="43"/>
      <c r="C43" s="43"/>
      <c r="D43" s="43"/>
      <c r="E43" s="43"/>
      <c r="F43" s="43"/>
      <c r="G43" s="43" t="s">
        <v>408</v>
      </c>
      <c r="H43" s="52">
        <v>-3.23</v>
      </c>
      <c r="I43" s="45"/>
      <c r="J43" s="52">
        <v>0</v>
      </c>
      <c r="K43" s="45"/>
      <c r="L43" s="52">
        <v>0</v>
      </c>
      <c r="M43" s="45"/>
      <c r="N43" s="52">
        <f t="shared" si="3"/>
        <v>-3.23</v>
      </c>
    </row>
    <row r="44" spans="1:14" ht="15" thickBot="1" x14ac:dyDescent="0.35">
      <c r="A44" s="43"/>
      <c r="B44" s="43"/>
      <c r="C44" s="43"/>
      <c r="D44" s="43"/>
      <c r="E44" s="43"/>
      <c r="F44" s="43"/>
      <c r="G44" s="43" t="s">
        <v>409</v>
      </c>
      <c r="H44" s="54">
        <v>0</v>
      </c>
      <c r="I44" s="45"/>
      <c r="J44" s="54">
        <v>0</v>
      </c>
      <c r="K44" s="45"/>
      <c r="L44" s="54">
        <v>0</v>
      </c>
      <c r="M44" s="45"/>
      <c r="N44" s="54">
        <f t="shared" si="3"/>
        <v>0</v>
      </c>
    </row>
    <row r="45" spans="1:14" x14ac:dyDescent="0.3">
      <c r="A45" s="43"/>
      <c r="B45" s="43"/>
      <c r="C45" s="43"/>
      <c r="D45" s="43"/>
      <c r="E45" s="43"/>
      <c r="F45" s="43" t="s">
        <v>325</v>
      </c>
      <c r="G45" s="43"/>
      <c r="H45" s="52">
        <f>ROUND(SUM(H40:H44),5)</f>
        <v>-3.23</v>
      </c>
      <c r="I45" s="45"/>
      <c r="J45" s="52">
        <f>ROUND(SUM(J40:J44),5)</f>
        <v>88.14</v>
      </c>
      <c r="K45" s="45"/>
      <c r="L45" s="52">
        <f>ROUND(SUM(L40:L44),5)</f>
        <v>0</v>
      </c>
      <c r="M45" s="45"/>
      <c r="N45" s="52">
        <f t="shared" si="3"/>
        <v>84.91</v>
      </c>
    </row>
    <row r="46" spans="1:14" ht="30" customHeight="1" x14ac:dyDescent="0.3">
      <c r="A46" s="43"/>
      <c r="B46" s="43"/>
      <c r="C46" s="43"/>
      <c r="D46" s="43"/>
      <c r="E46" s="43"/>
      <c r="F46" s="43" t="s">
        <v>211</v>
      </c>
      <c r="G46" s="43"/>
      <c r="H46" s="52">
        <v>1034.6600000000001</v>
      </c>
      <c r="I46" s="45"/>
      <c r="J46" s="52">
        <v>1273.6199999999999</v>
      </c>
      <c r="K46" s="45"/>
      <c r="L46" s="52">
        <v>1254.6199999999999</v>
      </c>
      <c r="M46" s="45"/>
      <c r="N46" s="52">
        <f t="shared" si="3"/>
        <v>3562.9</v>
      </c>
    </row>
    <row r="47" spans="1:14" ht="15" thickBot="1" x14ac:dyDescent="0.35">
      <c r="A47" s="43"/>
      <c r="B47" s="43"/>
      <c r="C47" s="43"/>
      <c r="D47" s="43"/>
      <c r="E47" s="43"/>
      <c r="F47" s="43" t="s">
        <v>410</v>
      </c>
      <c r="G47" s="43"/>
      <c r="H47" s="54">
        <v>-809.31</v>
      </c>
      <c r="I47" s="45"/>
      <c r="J47" s="54">
        <v>-750.89</v>
      </c>
      <c r="K47" s="45"/>
      <c r="L47" s="54">
        <v>-750.89</v>
      </c>
      <c r="M47" s="45"/>
      <c r="N47" s="54">
        <f t="shared" si="3"/>
        <v>-2311.09</v>
      </c>
    </row>
    <row r="48" spans="1:14" x14ac:dyDescent="0.3">
      <c r="A48" s="43"/>
      <c r="B48" s="43"/>
      <c r="C48" s="43"/>
      <c r="D48" s="43"/>
      <c r="E48" s="43" t="s">
        <v>213</v>
      </c>
      <c r="F48" s="43"/>
      <c r="G48" s="43"/>
      <c r="H48" s="52">
        <f>ROUND(SUM(H33:H34)+H39+SUM(H45:H47),5)</f>
        <v>1244.0999999999999</v>
      </c>
      <c r="I48" s="45"/>
      <c r="J48" s="52">
        <f>ROUND(SUM(J33:J34)+J39+SUM(J45:J47),5)</f>
        <v>1612.47</v>
      </c>
      <c r="K48" s="45"/>
      <c r="L48" s="52">
        <f>ROUND(SUM(L33:L34)+L39+SUM(L45:L47),5)</f>
        <v>1596.66</v>
      </c>
      <c r="M48" s="45"/>
      <c r="N48" s="52">
        <f t="shared" si="3"/>
        <v>4453.2299999999996</v>
      </c>
    </row>
    <row r="49" spans="1:14" ht="30" customHeight="1" x14ac:dyDescent="0.3">
      <c r="A49" s="43"/>
      <c r="B49" s="43"/>
      <c r="C49" s="43"/>
      <c r="D49" s="43"/>
      <c r="E49" s="43" t="s">
        <v>214</v>
      </c>
      <c r="F49" s="43"/>
      <c r="G49" s="43"/>
      <c r="H49" s="52"/>
      <c r="I49" s="45"/>
      <c r="J49" s="52"/>
      <c r="K49" s="45"/>
      <c r="L49" s="52"/>
      <c r="M49" s="45"/>
      <c r="N49" s="52"/>
    </row>
    <row r="50" spans="1:14" x14ac:dyDescent="0.3">
      <c r="A50" s="43"/>
      <c r="B50" s="43"/>
      <c r="C50" s="43"/>
      <c r="D50" s="43"/>
      <c r="E50" s="43"/>
      <c r="F50" s="43" t="s">
        <v>215</v>
      </c>
      <c r="G50" s="43"/>
      <c r="H50" s="52"/>
      <c r="I50" s="45"/>
      <c r="J50" s="52"/>
      <c r="K50" s="45"/>
      <c r="L50" s="52"/>
      <c r="M50" s="45"/>
      <c r="N50" s="52"/>
    </row>
    <row r="51" spans="1:14" x14ac:dyDescent="0.3">
      <c r="A51" s="43"/>
      <c r="B51" s="43"/>
      <c r="C51" s="43"/>
      <c r="D51" s="43"/>
      <c r="E51" s="43"/>
      <c r="F51" s="43"/>
      <c r="G51" s="43" t="s">
        <v>216</v>
      </c>
      <c r="H51" s="52">
        <v>0</v>
      </c>
      <c r="I51" s="45"/>
      <c r="J51" s="52">
        <v>35</v>
      </c>
      <c r="K51" s="45"/>
      <c r="L51" s="52">
        <v>0</v>
      </c>
      <c r="M51" s="45"/>
      <c r="N51" s="52">
        <f>ROUND(SUM(H51:L51),5)</f>
        <v>35</v>
      </c>
    </row>
    <row r="52" spans="1:14" x14ac:dyDescent="0.3">
      <c r="A52" s="43"/>
      <c r="B52" s="43"/>
      <c r="C52" s="43"/>
      <c r="D52" s="43"/>
      <c r="E52" s="43"/>
      <c r="F52" s="43"/>
      <c r="G52" s="43" t="s">
        <v>217</v>
      </c>
      <c r="H52" s="52">
        <v>0</v>
      </c>
      <c r="I52" s="45"/>
      <c r="J52" s="52">
        <v>12.5</v>
      </c>
      <c r="K52" s="45"/>
      <c r="L52" s="52">
        <v>61.25</v>
      </c>
      <c r="M52" s="45"/>
      <c r="N52" s="52">
        <f>ROUND(SUM(H52:L52),5)</f>
        <v>73.75</v>
      </c>
    </row>
    <row r="53" spans="1:14" ht="15" thickBot="1" x14ac:dyDescent="0.35">
      <c r="A53" s="43"/>
      <c r="B53" s="43"/>
      <c r="C53" s="43"/>
      <c r="D53" s="43"/>
      <c r="E53" s="43"/>
      <c r="F53" s="43"/>
      <c r="G53" s="43" t="s">
        <v>218</v>
      </c>
      <c r="H53" s="54">
        <v>0</v>
      </c>
      <c r="I53" s="45"/>
      <c r="J53" s="54">
        <v>93.75</v>
      </c>
      <c r="K53" s="45"/>
      <c r="L53" s="54">
        <v>0</v>
      </c>
      <c r="M53" s="45"/>
      <c r="N53" s="54">
        <f>ROUND(SUM(H53:L53),5)</f>
        <v>93.75</v>
      </c>
    </row>
    <row r="54" spans="1:14" x14ac:dyDescent="0.3">
      <c r="A54" s="43"/>
      <c r="B54" s="43"/>
      <c r="C54" s="43"/>
      <c r="D54" s="43"/>
      <c r="E54" s="43"/>
      <c r="F54" s="43" t="s">
        <v>223</v>
      </c>
      <c r="G54" s="43"/>
      <c r="H54" s="52">
        <f>ROUND(SUM(H50:H53),5)</f>
        <v>0</v>
      </c>
      <c r="I54" s="45"/>
      <c r="J54" s="52">
        <f>ROUND(SUM(J50:J53),5)</f>
        <v>141.25</v>
      </c>
      <c r="K54" s="45"/>
      <c r="L54" s="52">
        <f>ROUND(SUM(L50:L53),5)</f>
        <v>61.25</v>
      </c>
      <c r="M54" s="45"/>
      <c r="N54" s="52">
        <f>ROUND(SUM(H54:L54),5)</f>
        <v>202.5</v>
      </c>
    </row>
    <row r="55" spans="1:14" ht="30" customHeight="1" x14ac:dyDescent="0.3">
      <c r="A55" s="43"/>
      <c r="B55" s="43"/>
      <c r="C55" s="43"/>
      <c r="D55" s="43"/>
      <c r="E55" s="43"/>
      <c r="F55" s="43" t="s">
        <v>228</v>
      </c>
      <c r="G55" s="43"/>
      <c r="H55" s="52"/>
      <c r="I55" s="45"/>
      <c r="J55" s="52"/>
      <c r="K55" s="45"/>
      <c r="L55" s="52"/>
      <c r="M55" s="45"/>
      <c r="N55" s="52"/>
    </row>
    <row r="56" spans="1:14" ht="15" thickBot="1" x14ac:dyDescent="0.35">
      <c r="A56" s="43"/>
      <c r="B56" s="43"/>
      <c r="C56" s="43"/>
      <c r="D56" s="43"/>
      <c r="E56" s="43"/>
      <c r="F56" s="43"/>
      <c r="G56" s="43" t="s">
        <v>336</v>
      </c>
      <c r="H56" s="54">
        <v>931.25</v>
      </c>
      <c r="I56" s="45"/>
      <c r="J56" s="54">
        <v>1042</v>
      </c>
      <c r="K56" s="45"/>
      <c r="L56" s="54">
        <v>1260</v>
      </c>
      <c r="M56" s="45"/>
      <c r="N56" s="54">
        <f>ROUND(SUM(H56:L56),5)</f>
        <v>3233.25</v>
      </c>
    </row>
    <row r="57" spans="1:14" x14ac:dyDescent="0.3">
      <c r="A57" s="43"/>
      <c r="B57" s="43"/>
      <c r="C57" s="43"/>
      <c r="D57" s="43"/>
      <c r="E57" s="43"/>
      <c r="F57" s="43" t="s">
        <v>232</v>
      </c>
      <c r="G57" s="43"/>
      <c r="H57" s="52">
        <f>ROUND(SUM(H55:H56),5)</f>
        <v>931.25</v>
      </c>
      <c r="I57" s="45"/>
      <c r="J57" s="52">
        <f>ROUND(SUM(J55:J56),5)</f>
        <v>1042</v>
      </c>
      <c r="K57" s="45"/>
      <c r="L57" s="52">
        <f>ROUND(SUM(L55:L56),5)</f>
        <v>1260</v>
      </c>
      <c r="M57" s="45"/>
      <c r="N57" s="52">
        <f>ROUND(SUM(H57:L57),5)</f>
        <v>3233.25</v>
      </c>
    </row>
    <row r="58" spans="1:14" ht="30" customHeight="1" x14ac:dyDescent="0.3">
      <c r="A58" s="43"/>
      <c r="B58" s="43"/>
      <c r="C58" s="43"/>
      <c r="D58" s="43"/>
      <c r="E58" s="43"/>
      <c r="F58" s="43" t="s">
        <v>233</v>
      </c>
      <c r="G58" s="43"/>
      <c r="H58" s="52"/>
      <c r="I58" s="45"/>
      <c r="J58" s="52"/>
      <c r="K58" s="45"/>
      <c r="L58" s="52"/>
      <c r="M58" s="45"/>
      <c r="N58" s="52"/>
    </row>
    <row r="59" spans="1:14" x14ac:dyDescent="0.3">
      <c r="A59" s="43"/>
      <c r="B59" s="43"/>
      <c r="C59" s="43"/>
      <c r="D59" s="43"/>
      <c r="E59" s="43"/>
      <c r="F59" s="43"/>
      <c r="G59" s="43" t="s">
        <v>236</v>
      </c>
      <c r="H59" s="52">
        <v>0</v>
      </c>
      <c r="I59" s="45"/>
      <c r="J59" s="52">
        <v>0</v>
      </c>
      <c r="K59" s="45"/>
      <c r="L59" s="52">
        <v>78.75</v>
      </c>
      <c r="M59" s="45"/>
      <c r="N59" s="52">
        <f>ROUND(SUM(H59:L59),5)</f>
        <v>78.75</v>
      </c>
    </row>
    <row r="60" spans="1:14" x14ac:dyDescent="0.3">
      <c r="A60" s="43"/>
      <c r="B60" s="43"/>
      <c r="C60" s="43"/>
      <c r="D60" s="43"/>
      <c r="E60" s="43"/>
      <c r="F60" s="43"/>
      <c r="G60" s="43" t="s">
        <v>234</v>
      </c>
      <c r="H60" s="52">
        <v>0</v>
      </c>
      <c r="I60" s="45"/>
      <c r="J60" s="52">
        <v>0</v>
      </c>
      <c r="K60" s="45"/>
      <c r="L60" s="52">
        <v>17.5</v>
      </c>
      <c r="M60" s="45"/>
      <c r="N60" s="52">
        <f>ROUND(SUM(H60:L60),5)</f>
        <v>17.5</v>
      </c>
    </row>
    <row r="61" spans="1:14" x14ac:dyDescent="0.3">
      <c r="A61" s="43"/>
      <c r="B61" s="43"/>
      <c r="C61" s="43"/>
      <c r="D61" s="43"/>
      <c r="E61" s="43"/>
      <c r="F61" s="43"/>
      <c r="G61" s="43" t="s">
        <v>235</v>
      </c>
      <c r="H61" s="52">
        <v>0</v>
      </c>
      <c r="I61" s="45"/>
      <c r="J61" s="52">
        <v>0</v>
      </c>
      <c r="K61" s="45"/>
      <c r="L61" s="52">
        <v>116.8</v>
      </c>
      <c r="M61" s="45"/>
      <c r="N61" s="52">
        <f>ROUND(SUM(H61:L61),5)</f>
        <v>116.8</v>
      </c>
    </row>
    <row r="62" spans="1:14" ht="15" thickBot="1" x14ac:dyDescent="0.35">
      <c r="A62" s="43"/>
      <c r="B62" s="43"/>
      <c r="C62" s="43"/>
      <c r="D62" s="43"/>
      <c r="E62" s="43"/>
      <c r="F62" s="43"/>
      <c r="G62" s="43" t="s">
        <v>236</v>
      </c>
      <c r="H62" s="54">
        <v>960.5</v>
      </c>
      <c r="I62" s="45"/>
      <c r="J62" s="54">
        <v>127.25</v>
      </c>
      <c r="K62" s="45"/>
      <c r="L62" s="54">
        <v>2176.5</v>
      </c>
      <c r="M62" s="45"/>
      <c r="N62" s="54">
        <f>ROUND(SUM(H62:L62),5)</f>
        <v>3264.25</v>
      </c>
    </row>
    <row r="63" spans="1:14" x14ac:dyDescent="0.3">
      <c r="A63" s="43"/>
      <c r="B63" s="43"/>
      <c r="C63" s="43"/>
      <c r="D63" s="43"/>
      <c r="E63" s="43"/>
      <c r="F63" s="43" t="s">
        <v>237</v>
      </c>
      <c r="G63" s="43"/>
      <c r="H63" s="52">
        <f>ROUND(SUM(H58:H62),5)</f>
        <v>960.5</v>
      </c>
      <c r="I63" s="45"/>
      <c r="J63" s="52">
        <f>ROUND(SUM(J58:J62),5)</f>
        <v>127.25</v>
      </c>
      <c r="K63" s="45"/>
      <c r="L63" s="52">
        <f>ROUND(SUM(L58:L62),5)</f>
        <v>2389.5500000000002</v>
      </c>
      <c r="M63" s="45"/>
      <c r="N63" s="52">
        <f>ROUND(SUM(H63:L63),5)</f>
        <v>3477.3</v>
      </c>
    </row>
    <row r="64" spans="1:14" ht="30" customHeight="1" x14ac:dyDescent="0.3">
      <c r="A64" s="43"/>
      <c r="B64" s="43"/>
      <c r="C64" s="43"/>
      <c r="D64" s="43"/>
      <c r="E64" s="43"/>
      <c r="F64" s="43" t="s">
        <v>377</v>
      </c>
      <c r="G64" s="43"/>
      <c r="H64" s="52"/>
      <c r="I64" s="45"/>
      <c r="J64" s="52"/>
      <c r="K64" s="45"/>
      <c r="L64" s="52"/>
      <c r="M64" s="45"/>
      <c r="N64" s="52"/>
    </row>
    <row r="65" spans="1:14" x14ac:dyDescent="0.3">
      <c r="A65" s="43"/>
      <c r="B65" s="43"/>
      <c r="C65" s="43"/>
      <c r="D65" s="43"/>
      <c r="E65" s="43"/>
      <c r="F65" s="43"/>
      <c r="G65" s="43" t="s">
        <v>239</v>
      </c>
      <c r="H65" s="52">
        <v>0</v>
      </c>
      <c r="I65" s="45"/>
      <c r="J65" s="52">
        <v>0</v>
      </c>
      <c r="K65" s="45"/>
      <c r="L65" s="52">
        <v>48.8</v>
      </c>
      <c r="M65" s="45"/>
      <c r="N65" s="52">
        <f>ROUND(SUM(H65:L65),5)</f>
        <v>48.8</v>
      </c>
    </row>
    <row r="66" spans="1:14" ht="15" thickBot="1" x14ac:dyDescent="0.35">
      <c r="A66" s="43"/>
      <c r="B66" s="43"/>
      <c r="C66" s="43"/>
      <c r="D66" s="43"/>
      <c r="E66" s="43"/>
      <c r="F66" s="43"/>
      <c r="G66" s="43" t="s">
        <v>411</v>
      </c>
      <c r="H66" s="54">
        <v>0</v>
      </c>
      <c r="I66" s="45"/>
      <c r="J66" s="54">
        <v>166</v>
      </c>
      <c r="K66" s="45"/>
      <c r="L66" s="54">
        <v>0</v>
      </c>
      <c r="M66" s="45"/>
      <c r="N66" s="54">
        <f>ROUND(SUM(H66:L66),5)</f>
        <v>166</v>
      </c>
    </row>
    <row r="67" spans="1:14" x14ac:dyDescent="0.3">
      <c r="A67" s="43"/>
      <c r="B67" s="43"/>
      <c r="C67" s="43"/>
      <c r="D67" s="43"/>
      <c r="E67" s="43"/>
      <c r="F67" s="43" t="s">
        <v>378</v>
      </c>
      <c r="G67" s="43"/>
      <c r="H67" s="52">
        <f>ROUND(SUM(H64:H66),5)</f>
        <v>0</v>
      </c>
      <c r="I67" s="45"/>
      <c r="J67" s="52">
        <f>ROUND(SUM(J64:J66),5)</f>
        <v>166</v>
      </c>
      <c r="K67" s="45"/>
      <c r="L67" s="52">
        <f>ROUND(SUM(L64:L66),5)</f>
        <v>48.8</v>
      </c>
      <c r="M67" s="45"/>
      <c r="N67" s="52">
        <f>ROUND(SUM(H67:L67),5)</f>
        <v>214.8</v>
      </c>
    </row>
    <row r="68" spans="1:14" ht="30" customHeight="1" x14ac:dyDescent="0.3">
      <c r="A68" s="43"/>
      <c r="B68" s="43"/>
      <c r="C68" s="43"/>
      <c r="D68" s="43"/>
      <c r="E68" s="43"/>
      <c r="F68" s="43" t="s">
        <v>412</v>
      </c>
      <c r="G68" s="43"/>
      <c r="H68" s="52"/>
      <c r="I68" s="45"/>
      <c r="J68" s="52"/>
      <c r="K68" s="45"/>
      <c r="L68" s="52"/>
      <c r="M68" s="45"/>
      <c r="N68" s="52"/>
    </row>
    <row r="69" spans="1:14" x14ac:dyDescent="0.3">
      <c r="A69" s="43"/>
      <c r="B69" s="43"/>
      <c r="C69" s="43"/>
      <c r="D69" s="43"/>
      <c r="E69" s="43"/>
      <c r="F69" s="43"/>
      <c r="G69" s="43" t="s">
        <v>338</v>
      </c>
      <c r="H69" s="52">
        <v>37.5</v>
      </c>
      <c r="I69" s="45"/>
      <c r="J69" s="52">
        <v>521.75</v>
      </c>
      <c r="K69" s="45"/>
      <c r="L69" s="52">
        <v>866.25</v>
      </c>
      <c r="M69" s="45"/>
      <c r="N69" s="52">
        <f>ROUND(SUM(H69:L69),5)</f>
        <v>1425.5</v>
      </c>
    </row>
    <row r="70" spans="1:14" ht="15" thickBot="1" x14ac:dyDescent="0.35">
      <c r="A70" s="43"/>
      <c r="B70" s="43"/>
      <c r="C70" s="43"/>
      <c r="D70" s="43"/>
      <c r="E70" s="43"/>
      <c r="F70" s="43"/>
      <c r="G70" s="43" t="s">
        <v>379</v>
      </c>
      <c r="H70" s="54">
        <v>0</v>
      </c>
      <c r="I70" s="45"/>
      <c r="J70" s="54">
        <v>43.93</v>
      </c>
      <c r="K70" s="45"/>
      <c r="L70" s="54">
        <v>0</v>
      </c>
      <c r="M70" s="45"/>
      <c r="N70" s="54">
        <f>ROUND(SUM(H70:L70),5)</f>
        <v>43.93</v>
      </c>
    </row>
    <row r="71" spans="1:14" x14ac:dyDescent="0.3">
      <c r="A71" s="43"/>
      <c r="B71" s="43"/>
      <c r="C71" s="43"/>
      <c r="D71" s="43"/>
      <c r="E71" s="43"/>
      <c r="F71" s="43" t="s">
        <v>413</v>
      </c>
      <c r="G71" s="43"/>
      <c r="H71" s="52">
        <f>ROUND(SUM(H68:H70),5)</f>
        <v>37.5</v>
      </c>
      <c r="I71" s="45"/>
      <c r="J71" s="52">
        <f>ROUND(SUM(J68:J70),5)</f>
        <v>565.67999999999995</v>
      </c>
      <c r="K71" s="45"/>
      <c r="L71" s="52">
        <f>ROUND(SUM(L68:L70),5)</f>
        <v>866.25</v>
      </c>
      <c r="M71" s="45"/>
      <c r="N71" s="52">
        <f>ROUND(SUM(H71:L71),5)</f>
        <v>1469.43</v>
      </c>
    </row>
    <row r="72" spans="1:14" ht="30" customHeight="1" x14ac:dyDescent="0.3">
      <c r="A72" s="43"/>
      <c r="B72" s="43"/>
      <c r="C72" s="43"/>
      <c r="D72" s="43"/>
      <c r="E72" s="43"/>
      <c r="F72" s="43" t="s">
        <v>245</v>
      </c>
      <c r="G72" s="43"/>
      <c r="H72" s="52">
        <v>1261.56</v>
      </c>
      <c r="I72" s="45"/>
      <c r="J72" s="52">
        <v>1389.08</v>
      </c>
      <c r="K72" s="45"/>
      <c r="L72" s="52">
        <v>1581.79</v>
      </c>
      <c r="M72" s="45"/>
      <c r="N72" s="52">
        <f>ROUND(SUM(H72:L72),5)</f>
        <v>4232.43</v>
      </c>
    </row>
    <row r="73" spans="1:14" x14ac:dyDescent="0.3">
      <c r="A73" s="43"/>
      <c r="B73" s="43"/>
      <c r="C73" s="43"/>
      <c r="D73" s="43"/>
      <c r="E73" s="43"/>
      <c r="F73" s="43" t="s">
        <v>340</v>
      </c>
      <c r="G73" s="43"/>
      <c r="H73" s="52"/>
      <c r="I73" s="45"/>
      <c r="J73" s="52"/>
      <c r="K73" s="45"/>
      <c r="L73" s="52"/>
      <c r="M73" s="45"/>
      <c r="N73" s="52"/>
    </row>
    <row r="74" spans="1:14" x14ac:dyDescent="0.3">
      <c r="A74" s="43"/>
      <c r="B74" s="43"/>
      <c r="C74" s="43"/>
      <c r="D74" s="43"/>
      <c r="E74" s="43"/>
      <c r="F74" s="43"/>
      <c r="G74" s="43" t="s">
        <v>247</v>
      </c>
      <c r="H74" s="52">
        <v>84.12</v>
      </c>
      <c r="I74" s="45"/>
      <c r="J74" s="52">
        <v>113.12</v>
      </c>
      <c r="K74" s="45"/>
      <c r="L74" s="52">
        <v>88.35</v>
      </c>
      <c r="M74" s="45"/>
      <c r="N74" s="52">
        <f>ROUND(SUM(H74:L74),5)</f>
        <v>285.58999999999997</v>
      </c>
    </row>
    <row r="75" spans="1:14" ht="15" thickBot="1" x14ac:dyDescent="0.35">
      <c r="A75" s="43"/>
      <c r="B75" s="43"/>
      <c r="C75" s="43"/>
      <c r="D75" s="43"/>
      <c r="E75" s="43"/>
      <c r="F75" s="43"/>
      <c r="G75" s="43" t="s">
        <v>341</v>
      </c>
      <c r="H75" s="54">
        <v>708.54</v>
      </c>
      <c r="I75" s="45"/>
      <c r="J75" s="54">
        <v>1111.4000000000001</v>
      </c>
      <c r="K75" s="45"/>
      <c r="L75" s="54">
        <v>693.96</v>
      </c>
      <c r="M75" s="45"/>
      <c r="N75" s="54">
        <f>ROUND(SUM(H75:L75),5)</f>
        <v>2513.9</v>
      </c>
    </row>
    <row r="76" spans="1:14" x14ac:dyDescent="0.3">
      <c r="A76" s="43"/>
      <c r="B76" s="43"/>
      <c r="C76" s="43"/>
      <c r="D76" s="43"/>
      <c r="E76" s="43"/>
      <c r="F76" s="43" t="s">
        <v>342</v>
      </c>
      <c r="G76" s="43"/>
      <c r="H76" s="52">
        <f>ROUND(SUM(H73:H75),5)</f>
        <v>792.66</v>
      </c>
      <c r="I76" s="45"/>
      <c r="J76" s="52">
        <f>ROUND(SUM(J73:J75),5)</f>
        <v>1224.52</v>
      </c>
      <c r="K76" s="45"/>
      <c r="L76" s="52">
        <f>ROUND(SUM(L73:L75),5)</f>
        <v>782.31</v>
      </c>
      <c r="M76" s="45"/>
      <c r="N76" s="52">
        <f>ROUND(SUM(H76:L76),5)</f>
        <v>2799.49</v>
      </c>
    </row>
    <row r="77" spans="1:14" ht="30" customHeight="1" x14ac:dyDescent="0.3">
      <c r="A77" s="43"/>
      <c r="B77" s="43"/>
      <c r="C77" s="43"/>
      <c r="D77" s="43"/>
      <c r="E77" s="43"/>
      <c r="F77" s="43" t="s">
        <v>250</v>
      </c>
      <c r="G77" s="43"/>
      <c r="H77" s="52"/>
      <c r="I77" s="45"/>
      <c r="J77" s="52"/>
      <c r="K77" s="45"/>
      <c r="L77" s="52"/>
      <c r="M77" s="45"/>
      <c r="N77" s="52"/>
    </row>
    <row r="78" spans="1:14" x14ac:dyDescent="0.3">
      <c r="A78" s="43"/>
      <c r="B78" s="43"/>
      <c r="C78" s="43"/>
      <c r="D78" s="43"/>
      <c r="E78" s="43"/>
      <c r="F78" s="43"/>
      <c r="G78" s="43" t="s">
        <v>251</v>
      </c>
      <c r="H78" s="52">
        <v>6.25</v>
      </c>
      <c r="I78" s="45"/>
      <c r="J78" s="52">
        <v>61.25</v>
      </c>
      <c r="K78" s="45"/>
      <c r="L78" s="52">
        <v>297.5</v>
      </c>
      <c r="M78" s="45"/>
      <c r="N78" s="52">
        <f>ROUND(SUM(H78:L78),5)</f>
        <v>365</v>
      </c>
    </row>
    <row r="79" spans="1:14" x14ac:dyDescent="0.3">
      <c r="A79" s="43"/>
      <c r="B79" s="43"/>
      <c r="C79" s="43"/>
      <c r="D79" s="43"/>
      <c r="E79" s="43"/>
      <c r="F79" s="43"/>
      <c r="G79" s="43" t="s">
        <v>343</v>
      </c>
      <c r="H79" s="52">
        <v>0</v>
      </c>
      <c r="I79" s="45"/>
      <c r="J79" s="52">
        <v>0</v>
      </c>
      <c r="K79" s="45"/>
      <c r="L79" s="52">
        <v>213.51</v>
      </c>
      <c r="M79" s="45"/>
      <c r="N79" s="52">
        <f>ROUND(SUM(H79:L79),5)</f>
        <v>213.51</v>
      </c>
    </row>
    <row r="80" spans="1:14" ht="15" thickBot="1" x14ac:dyDescent="0.35">
      <c r="A80" s="43"/>
      <c r="B80" s="43"/>
      <c r="C80" s="43"/>
      <c r="D80" s="43"/>
      <c r="E80" s="43"/>
      <c r="F80" s="43"/>
      <c r="G80" s="43" t="s">
        <v>252</v>
      </c>
      <c r="H80" s="54">
        <v>2244.7199999999998</v>
      </c>
      <c r="I80" s="45"/>
      <c r="J80" s="54">
        <v>201.67</v>
      </c>
      <c r="K80" s="45"/>
      <c r="L80" s="54">
        <v>0</v>
      </c>
      <c r="M80" s="45"/>
      <c r="N80" s="54">
        <f>ROUND(SUM(H80:L80),5)</f>
        <v>2446.39</v>
      </c>
    </row>
    <row r="81" spans="1:14" x14ac:dyDescent="0.3">
      <c r="A81" s="43"/>
      <c r="B81" s="43"/>
      <c r="C81" s="43"/>
      <c r="D81" s="43"/>
      <c r="E81" s="43"/>
      <c r="F81" s="43" t="s">
        <v>253</v>
      </c>
      <c r="G81" s="43"/>
      <c r="H81" s="52">
        <f>ROUND(SUM(H77:H80),5)</f>
        <v>2250.9699999999998</v>
      </c>
      <c r="I81" s="45"/>
      <c r="J81" s="52">
        <f>ROUND(SUM(J77:J80),5)</f>
        <v>262.92</v>
      </c>
      <c r="K81" s="45"/>
      <c r="L81" s="52">
        <f>ROUND(SUM(L77:L80),5)</f>
        <v>511.01</v>
      </c>
      <c r="M81" s="45"/>
      <c r="N81" s="52">
        <f>ROUND(SUM(H81:L81),5)</f>
        <v>3024.9</v>
      </c>
    </row>
    <row r="82" spans="1:14" ht="30" customHeight="1" x14ac:dyDescent="0.3">
      <c r="A82" s="43"/>
      <c r="B82" s="43"/>
      <c r="C82" s="43"/>
      <c r="D82" s="43"/>
      <c r="E82" s="43"/>
      <c r="F82" s="43" t="s">
        <v>344</v>
      </c>
      <c r="G82" s="43"/>
      <c r="H82" s="52"/>
      <c r="I82" s="45"/>
      <c r="J82" s="52"/>
      <c r="K82" s="45"/>
      <c r="L82" s="52"/>
      <c r="M82" s="45"/>
      <c r="N82" s="52"/>
    </row>
    <row r="83" spans="1:14" x14ac:dyDescent="0.3">
      <c r="A83" s="43"/>
      <c r="B83" s="43"/>
      <c r="C83" s="43"/>
      <c r="D83" s="43"/>
      <c r="E83" s="43"/>
      <c r="F83" s="43"/>
      <c r="G83" s="43" t="s">
        <v>345</v>
      </c>
      <c r="H83" s="52">
        <v>0</v>
      </c>
      <c r="I83" s="45"/>
      <c r="J83" s="52">
        <v>0</v>
      </c>
      <c r="K83" s="45"/>
      <c r="L83" s="52">
        <v>17.5</v>
      </c>
      <c r="M83" s="45"/>
      <c r="N83" s="52">
        <f>ROUND(SUM(H83:L83),5)</f>
        <v>17.5</v>
      </c>
    </row>
    <row r="84" spans="1:14" x14ac:dyDescent="0.3">
      <c r="A84" s="43"/>
      <c r="B84" s="43"/>
      <c r="C84" s="43"/>
      <c r="D84" s="43"/>
      <c r="E84" s="43"/>
      <c r="F84" s="43"/>
      <c r="G84" s="43" t="s">
        <v>414</v>
      </c>
      <c r="H84" s="52">
        <v>0</v>
      </c>
      <c r="I84" s="45"/>
      <c r="J84" s="52">
        <v>0</v>
      </c>
      <c r="K84" s="45"/>
      <c r="L84" s="52">
        <v>0</v>
      </c>
      <c r="M84" s="45"/>
      <c r="N84" s="52">
        <f>ROUND(SUM(H84:L84),5)</f>
        <v>0</v>
      </c>
    </row>
    <row r="85" spans="1:14" ht="15" thickBot="1" x14ac:dyDescent="0.35">
      <c r="A85" s="43"/>
      <c r="B85" s="43"/>
      <c r="C85" s="43"/>
      <c r="D85" s="43"/>
      <c r="E85" s="43"/>
      <c r="F85" s="43"/>
      <c r="G85" s="43" t="s">
        <v>380</v>
      </c>
      <c r="H85" s="54">
        <v>0</v>
      </c>
      <c r="I85" s="45"/>
      <c r="J85" s="54">
        <v>0</v>
      </c>
      <c r="K85" s="45"/>
      <c r="L85" s="54">
        <v>141.78</v>
      </c>
      <c r="M85" s="45"/>
      <c r="N85" s="54">
        <f>ROUND(SUM(H85:L85),5)</f>
        <v>141.78</v>
      </c>
    </row>
    <row r="86" spans="1:14" x14ac:dyDescent="0.3">
      <c r="A86" s="43"/>
      <c r="B86" s="43"/>
      <c r="C86" s="43"/>
      <c r="D86" s="43"/>
      <c r="E86" s="43"/>
      <c r="F86" s="43" t="s">
        <v>346</v>
      </c>
      <c r="G86" s="43"/>
      <c r="H86" s="52">
        <f>ROUND(SUM(H82:H85),5)</f>
        <v>0</v>
      </c>
      <c r="I86" s="45"/>
      <c r="J86" s="52">
        <f>ROUND(SUM(J82:J85),5)</f>
        <v>0</v>
      </c>
      <c r="K86" s="45"/>
      <c r="L86" s="52">
        <f>ROUND(SUM(L82:L85),5)</f>
        <v>159.28</v>
      </c>
      <c r="M86" s="45"/>
      <c r="N86" s="52">
        <f>ROUND(SUM(H86:L86),5)</f>
        <v>159.28</v>
      </c>
    </row>
    <row r="87" spans="1:14" ht="30" customHeight="1" x14ac:dyDescent="0.3">
      <c r="A87" s="43"/>
      <c r="B87" s="43"/>
      <c r="C87" s="43"/>
      <c r="D87" s="43"/>
      <c r="E87" s="43"/>
      <c r="F87" s="43" t="s">
        <v>254</v>
      </c>
      <c r="G87" s="43"/>
      <c r="H87" s="52"/>
      <c r="I87" s="45"/>
      <c r="J87" s="52"/>
      <c r="K87" s="45"/>
      <c r="L87" s="52"/>
      <c r="M87" s="45"/>
      <c r="N87" s="52"/>
    </row>
    <row r="88" spans="1:14" x14ac:dyDescent="0.3">
      <c r="A88" s="43"/>
      <c r="B88" s="43"/>
      <c r="C88" s="43"/>
      <c r="D88" s="43"/>
      <c r="E88" s="43"/>
      <c r="F88" s="43"/>
      <c r="G88" s="43" t="s">
        <v>255</v>
      </c>
      <c r="H88" s="52">
        <v>143.75</v>
      </c>
      <c r="I88" s="45"/>
      <c r="J88" s="52">
        <v>405</v>
      </c>
      <c r="K88" s="45"/>
      <c r="L88" s="52">
        <v>236.25</v>
      </c>
      <c r="M88" s="45"/>
      <c r="N88" s="52">
        <f t="shared" ref="N88:N97" si="4">ROUND(SUM(H88:L88),5)</f>
        <v>785</v>
      </c>
    </row>
    <row r="89" spans="1:14" x14ac:dyDescent="0.3">
      <c r="A89" s="43"/>
      <c r="B89" s="43"/>
      <c r="C89" s="43"/>
      <c r="D89" s="43"/>
      <c r="E89" s="43"/>
      <c r="F89" s="43"/>
      <c r="G89" s="43" t="s">
        <v>256</v>
      </c>
      <c r="H89" s="52">
        <v>76.180000000000007</v>
      </c>
      <c r="I89" s="45"/>
      <c r="J89" s="52">
        <v>198.95</v>
      </c>
      <c r="K89" s="45"/>
      <c r="L89" s="52">
        <v>40.54</v>
      </c>
      <c r="M89" s="45"/>
      <c r="N89" s="52">
        <f t="shared" si="4"/>
        <v>315.67</v>
      </c>
    </row>
    <row r="90" spans="1:14" x14ac:dyDescent="0.3">
      <c r="A90" s="43"/>
      <c r="B90" s="43"/>
      <c r="C90" s="43"/>
      <c r="D90" s="43"/>
      <c r="E90" s="43"/>
      <c r="F90" s="43"/>
      <c r="G90" s="43" t="s">
        <v>257</v>
      </c>
      <c r="H90" s="52">
        <v>296.25</v>
      </c>
      <c r="I90" s="45"/>
      <c r="J90" s="52">
        <v>431.37</v>
      </c>
      <c r="K90" s="45"/>
      <c r="L90" s="52">
        <v>582.4</v>
      </c>
      <c r="M90" s="45"/>
      <c r="N90" s="52">
        <f t="shared" si="4"/>
        <v>1310.02</v>
      </c>
    </row>
    <row r="91" spans="1:14" x14ac:dyDescent="0.3">
      <c r="A91" s="43"/>
      <c r="B91" s="43"/>
      <c r="C91" s="43"/>
      <c r="D91" s="43"/>
      <c r="E91" s="43"/>
      <c r="F91" s="43"/>
      <c r="G91" s="43" t="s">
        <v>258</v>
      </c>
      <c r="H91" s="52">
        <v>574.99</v>
      </c>
      <c r="I91" s="45"/>
      <c r="J91" s="52">
        <v>516.85</v>
      </c>
      <c r="K91" s="45"/>
      <c r="L91" s="52">
        <v>354.37</v>
      </c>
      <c r="M91" s="45"/>
      <c r="N91" s="52">
        <f t="shared" si="4"/>
        <v>1446.21</v>
      </c>
    </row>
    <row r="92" spans="1:14" x14ac:dyDescent="0.3">
      <c r="A92" s="43"/>
      <c r="B92" s="43"/>
      <c r="C92" s="43"/>
      <c r="D92" s="43"/>
      <c r="E92" s="43"/>
      <c r="F92" s="43"/>
      <c r="G92" s="43" t="s">
        <v>259</v>
      </c>
      <c r="H92" s="52">
        <v>43.75</v>
      </c>
      <c r="I92" s="45"/>
      <c r="J92" s="52">
        <v>0</v>
      </c>
      <c r="K92" s="45"/>
      <c r="L92" s="52">
        <v>0</v>
      </c>
      <c r="M92" s="45"/>
      <c r="N92" s="52">
        <f t="shared" si="4"/>
        <v>43.75</v>
      </c>
    </row>
    <row r="93" spans="1:14" ht="15" thickBot="1" x14ac:dyDescent="0.35">
      <c r="A93" s="43"/>
      <c r="B93" s="43"/>
      <c r="C93" s="43"/>
      <c r="D93" s="43"/>
      <c r="E93" s="43"/>
      <c r="F93" s="43"/>
      <c r="G93" s="43" t="s">
        <v>260</v>
      </c>
      <c r="H93" s="54">
        <v>589.05999999999995</v>
      </c>
      <c r="I93" s="45"/>
      <c r="J93" s="54">
        <v>0</v>
      </c>
      <c r="K93" s="45"/>
      <c r="L93" s="54">
        <v>572</v>
      </c>
      <c r="M93" s="45"/>
      <c r="N93" s="54">
        <f t="shared" si="4"/>
        <v>1161.06</v>
      </c>
    </row>
    <row r="94" spans="1:14" x14ac:dyDescent="0.3">
      <c r="A94" s="43"/>
      <c r="B94" s="43"/>
      <c r="C94" s="43"/>
      <c r="D94" s="43"/>
      <c r="E94" s="43"/>
      <c r="F94" s="43" t="s">
        <v>261</v>
      </c>
      <c r="G94" s="43"/>
      <c r="H94" s="52">
        <f>ROUND(SUM(H87:H93),5)</f>
        <v>1723.98</v>
      </c>
      <c r="I94" s="45"/>
      <c r="J94" s="52">
        <f>ROUND(SUM(J87:J93),5)</f>
        <v>1552.17</v>
      </c>
      <c r="K94" s="45"/>
      <c r="L94" s="52">
        <f>ROUND(SUM(L87:L93),5)</f>
        <v>1785.56</v>
      </c>
      <c r="M94" s="45"/>
      <c r="N94" s="52">
        <f t="shared" si="4"/>
        <v>5061.71</v>
      </c>
    </row>
    <row r="95" spans="1:14" ht="30" customHeight="1" x14ac:dyDescent="0.3">
      <c r="A95" s="43"/>
      <c r="B95" s="43"/>
      <c r="C95" s="43"/>
      <c r="D95" s="43"/>
      <c r="E95" s="43"/>
      <c r="F95" s="43" t="s">
        <v>415</v>
      </c>
      <c r="G95" s="43"/>
      <c r="H95" s="52">
        <v>314.39</v>
      </c>
      <c r="I95" s="45"/>
      <c r="J95" s="52">
        <v>330.48</v>
      </c>
      <c r="K95" s="45"/>
      <c r="L95" s="52">
        <v>330.48</v>
      </c>
      <c r="M95" s="45"/>
      <c r="N95" s="52">
        <f t="shared" si="4"/>
        <v>975.35</v>
      </c>
    </row>
    <row r="96" spans="1:14" ht="15" thickBot="1" x14ac:dyDescent="0.35">
      <c r="A96" s="43"/>
      <c r="B96" s="43"/>
      <c r="C96" s="43"/>
      <c r="D96" s="43"/>
      <c r="E96" s="43"/>
      <c r="F96" s="43" t="s">
        <v>266</v>
      </c>
      <c r="G96" s="43"/>
      <c r="H96" s="54">
        <v>0</v>
      </c>
      <c r="I96" s="45"/>
      <c r="J96" s="54">
        <v>511.23</v>
      </c>
      <c r="K96" s="45"/>
      <c r="L96" s="54">
        <v>0</v>
      </c>
      <c r="M96" s="45"/>
      <c r="N96" s="54">
        <f t="shared" si="4"/>
        <v>511.23</v>
      </c>
    </row>
    <row r="97" spans="1:14" x14ac:dyDescent="0.3">
      <c r="A97" s="43"/>
      <c r="B97" s="43"/>
      <c r="C97" s="43"/>
      <c r="D97" s="43"/>
      <c r="E97" s="43" t="s">
        <v>270</v>
      </c>
      <c r="F97" s="43"/>
      <c r="G97" s="43"/>
      <c r="H97" s="52">
        <f>ROUND(H49+H54+H57+H63+H67+SUM(H71:H72)+H76+H81+H86+SUM(H94:H96),5)</f>
        <v>8272.81</v>
      </c>
      <c r="I97" s="45"/>
      <c r="J97" s="52">
        <f>ROUND(J49+J54+J57+J63+J67+SUM(J71:J72)+J76+J81+J86+SUM(J94:J96),5)</f>
        <v>7312.58</v>
      </c>
      <c r="K97" s="45"/>
      <c r="L97" s="52">
        <f>ROUND(L49+L54+L57+L63+L67+SUM(L71:L72)+L76+L81+L86+SUM(L94:L96),5)</f>
        <v>9776.2800000000007</v>
      </c>
      <c r="M97" s="45"/>
      <c r="N97" s="52">
        <f t="shared" si="4"/>
        <v>25361.67</v>
      </c>
    </row>
    <row r="98" spans="1:14" ht="30" customHeight="1" x14ac:dyDescent="0.3">
      <c r="A98" s="43"/>
      <c r="B98" s="43"/>
      <c r="C98" s="43"/>
      <c r="D98" s="43"/>
      <c r="E98" s="43" t="s">
        <v>271</v>
      </c>
      <c r="F98" s="43"/>
      <c r="G98" s="43"/>
      <c r="H98" s="52"/>
      <c r="I98" s="45"/>
      <c r="J98" s="52"/>
      <c r="K98" s="45"/>
      <c r="L98" s="52"/>
      <c r="M98" s="45"/>
      <c r="N98" s="52"/>
    </row>
    <row r="99" spans="1:14" ht="15" thickBot="1" x14ac:dyDescent="0.35">
      <c r="A99" s="43"/>
      <c r="B99" s="43"/>
      <c r="C99" s="43"/>
      <c r="D99" s="43"/>
      <c r="E99" s="43"/>
      <c r="F99" s="43" t="s">
        <v>416</v>
      </c>
      <c r="G99" s="43"/>
      <c r="H99" s="54">
        <v>3219.47</v>
      </c>
      <c r="I99" s="45"/>
      <c r="J99" s="54">
        <v>6060.45</v>
      </c>
      <c r="K99" s="45"/>
      <c r="L99" s="54">
        <v>5693.71</v>
      </c>
      <c r="M99" s="45"/>
      <c r="N99" s="54">
        <f>ROUND(SUM(H99:L99),5)</f>
        <v>14973.63</v>
      </c>
    </row>
    <row r="100" spans="1:14" x14ac:dyDescent="0.3">
      <c r="A100" s="43"/>
      <c r="B100" s="43"/>
      <c r="C100" s="43"/>
      <c r="D100" s="43"/>
      <c r="E100" s="43" t="s">
        <v>417</v>
      </c>
      <c r="F100" s="43"/>
      <c r="G100" s="43"/>
      <c r="H100" s="52">
        <f>ROUND(SUM(H98:H99),5)</f>
        <v>3219.47</v>
      </c>
      <c r="I100" s="45"/>
      <c r="J100" s="52">
        <f>ROUND(SUM(J98:J99),5)</f>
        <v>6060.45</v>
      </c>
      <c r="K100" s="45"/>
      <c r="L100" s="52">
        <f>ROUND(SUM(L98:L99),5)</f>
        <v>5693.71</v>
      </c>
      <c r="M100" s="45"/>
      <c r="N100" s="52">
        <f>ROUND(SUM(H100:L100),5)</f>
        <v>14973.63</v>
      </c>
    </row>
    <row r="101" spans="1:14" ht="30" customHeight="1" x14ac:dyDescent="0.3">
      <c r="A101" s="43"/>
      <c r="B101" s="43"/>
      <c r="C101" s="43"/>
      <c r="D101" s="43"/>
      <c r="E101" s="43" t="s">
        <v>272</v>
      </c>
      <c r="F101" s="43"/>
      <c r="G101" s="43"/>
      <c r="H101" s="52"/>
      <c r="I101" s="45"/>
      <c r="J101" s="52"/>
      <c r="K101" s="45"/>
      <c r="L101" s="52"/>
      <c r="M101" s="45"/>
      <c r="N101" s="52"/>
    </row>
    <row r="102" spans="1:14" x14ac:dyDescent="0.3">
      <c r="A102" s="43"/>
      <c r="B102" s="43"/>
      <c r="C102" s="43"/>
      <c r="D102" s="43"/>
      <c r="E102" s="43"/>
      <c r="F102" s="43" t="s">
        <v>418</v>
      </c>
      <c r="G102" s="43"/>
      <c r="H102" s="52">
        <v>0</v>
      </c>
      <c r="I102" s="45"/>
      <c r="J102" s="52">
        <v>0</v>
      </c>
      <c r="K102" s="45"/>
      <c r="L102" s="52">
        <v>-20468.97</v>
      </c>
      <c r="M102" s="45"/>
      <c r="N102" s="52">
        <f t="shared" ref="N102:N107" si="5">ROUND(SUM(H102:L102),5)</f>
        <v>-20468.97</v>
      </c>
    </row>
    <row r="103" spans="1:14" x14ac:dyDescent="0.3">
      <c r="A103" s="43"/>
      <c r="B103" s="43"/>
      <c r="C103" s="43"/>
      <c r="D103" s="43"/>
      <c r="E103" s="43"/>
      <c r="F103" s="43" t="s">
        <v>419</v>
      </c>
      <c r="G103" s="43"/>
      <c r="H103" s="52">
        <v>0</v>
      </c>
      <c r="I103" s="45"/>
      <c r="J103" s="52">
        <v>0</v>
      </c>
      <c r="K103" s="45"/>
      <c r="L103" s="52">
        <v>-3538.05</v>
      </c>
      <c r="M103" s="45"/>
      <c r="N103" s="52">
        <f t="shared" si="5"/>
        <v>-3538.05</v>
      </c>
    </row>
    <row r="104" spans="1:14" x14ac:dyDescent="0.3">
      <c r="A104" s="43"/>
      <c r="B104" s="43"/>
      <c r="C104" s="43"/>
      <c r="D104" s="43"/>
      <c r="E104" s="43"/>
      <c r="F104" s="43" t="s">
        <v>420</v>
      </c>
      <c r="G104" s="43"/>
      <c r="H104" s="52">
        <v>21353.09</v>
      </c>
      <c r="I104" s="45"/>
      <c r="J104" s="52">
        <v>20125.990000000002</v>
      </c>
      <c r="K104" s="45"/>
      <c r="L104" s="52">
        <v>42641.24</v>
      </c>
      <c r="M104" s="45"/>
      <c r="N104" s="52">
        <f t="shared" si="5"/>
        <v>84120.320000000007</v>
      </c>
    </row>
    <row r="105" spans="1:14" x14ac:dyDescent="0.3">
      <c r="A105" s="43"/>
      <c r="B105" s="43"/>
      <c r="C105" s="43"/>
      <c r="D105" s="43"/>
      <c r="E105" s="43"/>
      <c r="F105" s="43" t="s">
        <v>385</v>
      </c>
      <c r="G105" s="43"/>
      <c r="H105" s="52">
        <v>50</v>
      </c>
      <c r="I105" s="45"/>
      <c r="J105" s="52">
        <v>50</v>
      </c>
      <c r="K105" s="45"/>
      <c r="L105" s="52">
        <v>0</v>
      </c>
      <c r="M105" s="45"/>
      <c r="N105" s="52">
        <f t="shared" si="5"/>
        <v>100</v>
      </c>
    </row>
    <row r="106" spans="1:14" ht="15" thickBot="1" x14ac:dyDescent="0.35">
      <c r="A106" s="43"/>
      <c r="B106" s="43"/>
      <c r="C106" s="43"/>
      <c r="D106" s="43"/>
      <c r="E106" s="43"/>
      <c r="F106" s="43" t="s">
        <v>421</v>
      </c>
      <c r="G106" s="43"/>
      <c r="H106" s="54">
        <v>0</v>
      </c>
      <c r="I106" s="45"/>
      <c r="J106" s="54">
        <v>0</v>
      </c>
      <c r="K106" s="45"/>
      <c r="L106" s="54">
        <v>50</v>
      </c>
      <c r="M106" s="45"/>
      <c r="N106" s="54">
        <f t="shared" si="5"/>
        <v>50</v>
      </c>
    </row>
    <row r="107" spans="1:14" x14ac:dyDescent="0.3">
      <c r="A107" s="43"/>
      <c r="B107" s="43"/>
      <c r="C107" s="43"/>
      <c r="D107" s="43"/>
      <c r="E107" s="43" t="s">
        <v>277</v>
      </c>
      <c r="F107" s="43"/>
      <c r="G107" s="43"/>
      <c r="H107" s="52">
        <f>ROUND(SUM(H101:H106),5)</f>
        <v>21403.09</v>
      </c>
      <c r="I107" s="45"/>
      <c r="J107" s="52">
        <f>ROUND(SUM(J101:J106),5)</f>
        <v>20175.990000000002</v>
      </c>
      <c r="K107" s="45"/>
      <c r="L107" s="52">
        <f>ROUND(SUM(L101:L106),5)</f>
        <v>18684.22</v>
      </c>
      <c r="M107" s="45"/>
      <c r="N107" s="52">
        <f t="shared" si="5"/>
        <v>60263.3</v>
      </c>
    </row>
    <row r="108" spans="1:14" ht="30" customHeight="1" x14ac:dyDescent="0.3">
      <c r="A108" s="43"/>
      <c r="B108" s="43"/>
      <c r="C108" s="43"/>
      <c r="D108" s="43"/>
      <c r="E108" s="43" t="s">
        <v>278</v>
      </c>
      <c r="F108" s="43"/>
      <c r="G108" s="43"/>
      <c r="H108" s="52"/>
      <c r="I108" s="45"/>
      <c r="J108" s="52"/>
      <c r="K108" s="45"/>
      <c r="L108" s="52"/>
      <c r="M108" s="45"/>
      <c r="N108" s="52"/>
    </row>
    <row r="109" spans="1:14" x14ac:dyDescent="0.3">
      <c r="A109" s="43"/>
      <c r="B109" s="43"/>
      <c r="C109" s="43"/>
      <c r="D109" s="43"/>
      <c r="E109" s="43"/>
      <c r="F109" s="43" t="s">
        <v>279</v>
      </c>
      <c r="G109" s="43"/>
      <c r="H109" s="52">
        <v>0</v>
      </c>
      <c r="I109" s="45"/>
      <c r="J109" s="52">
        <v>0</v>
      </c>
      <c r="K109" s="45"/>
      <c r="L109" s="52">
        <v>6556.52</v>
      </c>
      <c r="M109" s="45"/>
      <c r="N109" s="52">
        <f t="shared" ref="N109:N115" si="6">ROUND(SUM(H109:L109),5)</f>
        <v>6556.52</v>
      </c>
    </row>
    <row r="110" spans="1:14" ht="15" thickBot="1" x14ac:dyDescent="0.35">
      <c r="A110" s="43"/>
      <c r="B110" s="43"/>
      <c r="C110" s="43"/>
      <c r="D110" s="43"/>
      <c r="E110" s="43"/>
      <c r="F110" s="43" t="s">
        <v>282</v>
      </c>
      <c r="G110" s="43"/>
      <c r="H110" s="54">
        <v>67938.59</v>
      </c>
      <c r="I110" s="45"/>
      <c r="J110" s="54">
        <v>58255.99</v>
      </c>
      <c r="K110" s="45"/>
      <c r="L110" s="54">
        <v>42087.72</v>
      </c>
      <c r="M110" s="45"/>
      <c r="N110" s="54">
        <f t="shared" si="6"/>
        <v>168282.3</v>
      </c>
    </row>
    <row r="111" spans="1:14" x14ac:dyDescent="0.3">
      <c r="A111" s="43"/>
      <c r="B111" s="43"/>
      <c r="C111" s="43"/>
      <c r="D111" s="43"/>
      <c r="E111" s="43" t="s">
        <v>283</v>
      </c>
      <c r="F111" s="43"/>
      <c r="G111" s="43"/>
      <c r="H111" s="52">
        <f>ROUND(SUM(H108:H110),5)</f>
        <v>67938.59</v>
      </c>
      <c r="I111" s="45"/>
      <c r="J111" s="52">
        <f>ROUND(SUM(J108:J110),5)</f>
        <v>58255.99</v>
      </c>
      <c r="K111" s="45"/>
      <c r="L111" s="52">
        <f>ROUND(SUM(L108:L110),5)</f>
        <v>48644.24</v>
      </c>
      <c r="M111" s="45"/>
      <c r="N111" s="52">
        <f t="shared" si="6"/>
        <v>174838.82</v>
      </c>
    </row>
    <row r="112" spans="1:14" ht="30" customHeight="1" x14ac:dyDescent="0.3">
      <c r="A112" s="43"/>
      <c r="B112" s="43"/>
      <c r="C112" s="43"/>
      <c r="D112" s="43"/>
      <c r="E112" s="43" t="s">
        <v>350</v>
      </c>
      <c r="F112" s="43"/>
      <c r="G112" s="43"/>
      <c r="H112" s="52">
        <v>0</v>
      </c>
      <c r="I112" s="45"/>
      <c r="J112" s="52">
        <v>513.4</v>
      </c>
      <c r="K112" s="45"/>
      <c r="L112" s="52">
        <v>1540.2</v>
      </c>
      <c r="M112" s="45"/>
      <c r="N112" s="52">
        <f t="shared" si="6"/>
        <v>2053.6</v>
      </c>
    </row>
    <row r="113" spans="1:14" ht="15" thickBot="1" x14ac:dyDescent="0.35">
      <c r="A113" s="43"/>
      <c r="B113" s="43"/>
      <c r="C113" s="43"/>
      <c r="D113" s="43"/>
      <c r="E113" s="43" t="s">
        <v>284</v>
      </c>
      <c r="F113" s="43"/>
      <c r="G113" s="43"/>
      <c r="H113" s="52">
        <v>33840</v>
      </c>
      <c r="I113" s="45"/>
      <c r="J113" s="52">
        <v>71662</v>
      </c>
      <c r="K113" s="45"/>
      <c r="L113" s="52">
        <v>33840</v>
      </c>
      <c r="M113" s="45"/>
      <c r="N113" s="52">
        <f t="shared" si="6"/>
        <v>139342</v>
      </c>
    </row>
    <row r="114" spans="1:14" ht="15" thickBot="1" x14ac:dyDescent="0.35">
      <c r="A114" s="43"/>
      <c r="B114" s="43"/>
      <c r="C114" s="43"/>
      <c r="D114" s="43" t="s">
        <v>287</v>
      </c>
      <c r="E114" s="43"/>
      <c r="F114" s="43"/>
      <c r="G114" s="43"/>
      <c r="H114" s="53">
        <f>ROUND(SUM(H11:H13)+H32+H48+H97+H100+H107+SUM(H111:H113),5)</f>
        <v>173477.86</v>
      </c>
      <c r="I114" s="45"/>
      <c r="J114" s="53">
        <f>ROUND(SUM(J11:J13)+J32+J48+J97+J100+J107+SUM(J111:J113),5)</f>
        <v>206356.44</v>
      </c>
      <c r="K114" s="45"/>
      <c r="L114" s="53">
        <f>ROUND(SUM(L11:L13)+L32+L48+L97+L100+L107+SUM(L111:L113),5)</f>
        <v>162106.35999999999</v>
      </c>
      <c r="M114" s="45"/>
      <c r="N114" s="53">
        <f t="shared" si="6"/>
        <v>541940.66</v>
      </c>
    </row>
    <row r="115" spans="1:14" ht="30" customHeight="1" x14ac:dyDescent="0.3">
      <c r="A115" s="43"/>
      <c r="B115" s="43" t="s">
        <v>288</v>
      </c>
      <c r="C115" s="43"/>
      <c r="D115" s="43"/>
      <c r="E115" s="43"/>
      <c r="F115" s="43"/>
      <c r="G115" s="43"/>
      <c r="H115" s="52">
        <f>ROUND(H2+H10-H114,5)</f>
        <v>-2583.86</v>
      </c>
      <c r="I115" s="45"/>
      <c r="J115" s="52">
        <f>ROUND(J2+J10-J114,5)</f>
        <v>51533.65</v>
      </c>
      <c r="K115" s="45"/>
      <c r="L115" s="52">
        <f>ROUND(L2+L10-L114,5)</f>
        <v>123036.09</v>
      </c>
      <c r="M115" s="45"/>
      <c r="N115" s="52">
        <f t="shared" si="6"/>
        <v>171985.88</v>
      </c>
    </row>
    <row r="116" spans="1:14" ht="30" customHeight="1" x14ac:dyDescent="0.3">
      <c r="A116" s="43"/>
      <c r="B116" s="43" t="s">
        <v>289</v>
      </c>
      <c r="C116" s="43"/>
      <c r="D116" s="43"/>
      <c r="E116" s="43"/>
      <c r="F116" s="43"/>
      <c r="G116" s="43"/>
      <c r="H116" s="52"/>
      <c r="I116" s="45"/>
      <c r="J116" s="52"/>
      <c r="K116" s="45"/>
      <c r="L116" s="52"/>
      <c r="M116" s="45"/>
      <c r="N116" s="52"/>
    </row>
    <row r="117" spans="1:14" x14ac:dyDescent="0.3">
      <c r="A117" s="43"/>
      <c r="B117" s="43"/>
      <c r="C117" s="43" t="s">
        <v>290</v>
      </c>
      <c r="D117" s="43"/>
      <c r="E117" s="43"/>
      <c r="F117" s="43"/>
      <c r="G117" s="43"/>
      <c r="H117" s="52"/>
      <c r="I117" s="45"/>
      <c r="J117" s="52"/>
      <c r="K117" s="45"/>
      <c r="L117" s="52"/>
      <c r="M117" s="45"/>
      <c r="N117" s="52"/>
    </row>
    <row r="118" spans="1:14" x14ac:dyDescent="0.3">
      <c r="A118" s="43"/>
      <c r="B118" s="43"/>
      <c r="C118" s="43"/>
      <c r="D118" s="43" t="s">
        <v>290</v>
      </c>
      <c r="E118" s="43"/>
      <c r="F118" s="43"/>
      <c r="G118" s="43"/>
      <c r="H118" s="52">
        <v>0</v>
      </c>
      <c r="I118" s="45"/>
      <c r="J118" s="52">
        <v>5</v>
      </c>
      <c r="K118" s="45"/>
      <c r="L118" s="52">
        <v>200.45</v>
      </c>
      <c r="M118" s="45"/>
      <c r="N118" s="52">
        <f>ROUND(SUM(H118:L118),5)</f>
        <v>205.45</v>
      </c>
    </row>
    <row r="119" spans="1:14" ht="15" thickBot="1" x14ac:dyDescent="0.35">
      <c r="A119" s="43"/>
      <c r="B119" s="43"/>
      <c r="C119" s="43"/>
      <c r="D119" s="43" t="s">
        <v>291</v>
      </c>
      <c r="E119" s="43"/>
      <c r="F119" s="43"/>
      <c r="G119" s="43"/>
      <c r="H119" s="54">
        <v>989.31</v>
      </c>
      <c r="I119" s="45"/>
      <c r="J119" s="54">
        <v>0</v>
      </c>
      <c r="K119" s="45"/>
      <c r="L119" s="54">
        <v>0</v>
      </c>
      <c r="M119" s="45"/>
      <c r="N119" s="54">
        <f>ROUND(SUM(H119:L119),5)</f>
        <v>989.31</v>
      </c>
    </row>
    <row r="120" spans="1:14" x14ac:dyDescent="0.3">
      <c r="A120" s="43"/>
      <c r="B120" s="43"/>
      <c r="C120" s="43" t="s">
        <v>292</v>
      </c>
      <c r="D120" s="43"/>
      <c r="E120" s="43"/>
      <c r="F120" s="43"/>
      <c r="G120" s="43"/>
      <c r="H120" s="52">
        <f>ROUND(SUM(H117:H119),5)</f>
        <v>989.31</v>
      </c>
      <c r="I120" s="45"/>
      <c r="J120" s="52">
        <f>ROUND(SUM(J117:J119),5)</f>
        <v>5</v>
      </c>
      <c r="K120" s="45"/>
      <c r="L120" s="52">
        <f>ROUND(SUM(L117:L119),5)</f>
        <v>200.45</v>
      </c>
      <c r="M120" s="45"/>
      <c r="N120" s="52">
        <f>ROUND(SUM(H120:L120),5)</f>
        <v>1194.76</v>
      </c>
    </row>
    <row r="121" spans="1:14" ht="30" customHeight="1" x14ac:dyDescent="0.3">
      <c r="A121" s="43"/>
      <c r="B121" s="43"/>
      <c r="C121" s="43" t="s">
        <v>293</v>
      </c>
      <c r="D121" s="43"/>
      <c r="E121" s="43"/>
      <c r="F121" s="43"/>
      <c r="G121" s="43"/>
      <c r="H121" s="52"/>
      <c r="I121" s="45"/>
      <c r="J121" s="52"/>
      <c r="K121" s="45"/>
      <c r="L121" s="52"/>
      <c r="M121" s="45"/>
      <c r="N121" s="52"/>
    </row>
    <row r="122" spans="1:14" ht="15" thickBot="1" x14ac:dyDescent="0.35">
      <c r="A122" s="43"/>
      <c r="B122" s="43"/>
      <c r="C122" s="43"/>
      <c r="D122" s="43" t="s">
        <v>422</v>
      </c>
      <c r="E122" s="43"/>
      <c r="F122" s="43"/>
      <c r="G122" s="43"/>
      <c r="H122" s="52">
        <v>19735.89</v>
      </c>
      <c r="I122" s="45"/>
      <c r="J122" s="52">
        <v>0</v>
      </c>
      <c r="K122" s="45"/>
      <c r="L122" s="52">
        <v>0</v>
      </c>
      <c r="M122" s="45"/>
      <c r="N122" s="52">
        <f>ROUND(SUM(H122:L122),5)</f>
        <v>19735.89</v>
      </c>
    </row>
    <row r="123" spans="1:14" ht="15" thickBot="1" x14ac:dyDescent="0.35">
      <c r="A123" s="43"/>
      <c r="B123" s="43"/>
      <c r="C123" s="43" t="s">
        <v>295</v>
      </c>
      <c r="D123" s="43"/>
      <c r="E123" s="43"/>
      <c r="F123" s="43"/>
      <c r="G123" s="43"/>
      <c r="H123" s="55">
        <f>ROUND(SUM(H121:H122),5)</f>
        <v>19735.89</v>
      </c>
      <c r="I123" s="45"/>
      <c r="J123" s="55">
        <f>ROUND(SUM(J121:J122),5)</f>
        <v>0</v>
      </c>
      <c r="K123" s="45"/>
      <c r="L123" s="55">
        <f>ROUND(SUM(L121:L122),5)</f>
        <v>0</v>
      </c>
      <c r="M123" s="45"/>
      <c r="N123" s="55">
        <f>ROUND(SUM(H123:L123),5)</f>
        <v>19735.89</v>
      </c>
    </row>
    <row r="124" spans="1:14" ht="30" customHeight="1" thickBot="1" x14ac:dyDescent="0.35">
      <c r="A124" s="43"/>
      <c r="B124" s="43" t="s">
        <v>296</v>
      </c>
      <c r="C124" s="43"/>
      <c r="D124" s="43"/>
      <c r="E124" s="43"/>
      <c r="F124" s="43"/>
      <c r="G124" s="43"/>
      <c r="H124" s="55">
        <f>ROUND(H116+H120-H123,5)</f>
        <v>-18746.580000000002</v>
      </c>
      <c r="I124" s="45"/>
      <c r="J124" s="55">
        <f>ROUND(J116+J120-J123,5)</f>
        <v>5</v>
      </c>
      <c r="K124" s="45"/>
      <c r="L124" s="55">
        <f>ROUND(L116+L120-L123,5)</f>
        <v>200.45</v>
      </c>
      <c r="M124" s="45"/>
      <c r="N124" s="55">
        <f>ROUND(SUM(H124:L124),5)</f>
        <v>-18541.13</v>
      </c>
    </row>
    <row r="125" spans="1:14" s="50" customFormat="1" ht="30" customHeight="1" thickBot="1" x14ac:dyDescent="0.25">
      <c r="A125" s="43" t="s">
        <v>165</v>
      </c>
      <c r="B125" s="43"/>
      <c r="C125" s="43"/>
      <c r="D125" s="43"/>
      <c r="E125" s="43"/>
      <c r="F125" s="43"/>
      <c r="G125" s="43"/>
      <c r="H125" s="56">
        <f>ROUND(H115+H124,5)</f>
        <v>-21330.44</v>
      </c>
      <c r="I125" s="43"/>
      <c r="J125" s="56">
        <f>ROUND(J115+J124,5)</f>
        <v>51538.65</v>
      </c>
      <c r="K125" s="43"/>
      <c r="L125" s="56">
        <f>ROUND(L115+L124,5)</f>
        <v>123236.54</v>
      </c>
      <c r="M125" s="43"/>
      <c r="N125" s="56">
        <f>ROUND(SUM(H125:L125),5)</f>
        <v>153444.75</v>
      </c>
    </row>
    <row r="126" spans="1:14" ht="15" thickTop="1" x14ac:dyDescent="0.3"/>
    <row r="127" spans="1:14" x14ac:dyDescent="0.3">
      <c r="F127" s="43"/>
      <c r="G127" s="43" t="s">
        <v>987</v>
      </c>
      <c r="H127" s="52">
        <f>H114-H18-H111-H112-H113</f>
        <v>44636.239999999991</v>
      </c>
      <c r="I127" s="45"/>
      <c r="J127" s="52">
        <f>J114-J18-J111-J112-J113</f>
        <v>51069.350000000006</v>
      </c>
      <c r="K127" s="45"/>
      <c r="L127" s="52">
        <f>L114-L18-L111-L112-L113</f>
        <v>73361.240000000005</v>
      </c>
      <c r="M127" s="45"/>
      <c r="N127" s="52">
        <f>(N114-N18-N111-N112-N113)/3</f>
        <v>56355.610000000008</v>
      </c>
    </row>
  </sheetData>
  <pageMargins left="0.7" right="0.7" top="0.75" bottom="0.75" header="0.25" footer="0.3"/>
  <pageSetup orientation="portrait" r:id="rId1"/>
  <headerFooter>
    <oddHeader>&amp;L&amp;"Arial,Bold"&amp;8 02/18/14
&amp;"Arial,Bold"&amp;8 Accrual Basis&amp;C&amp;"Arial,Bold"&amp;12 Douglas, LLC
&amp;"Arial,Bold"&amp;14 QBR YTD Profit &amp;&amp; Loss Comparison to Prior Year
&amp;"Arial,Bold"&amp;10 January 2011 through December 2013</oddHeader>
    <oddFooter>&amp;R&amp;"Arial,Bold"&amp;8 Page &amp;P of &amp;N&amp;L&amp;"Arial,Bold"&amp;8 For Management Use Only</oddFooter>
  </headerFooter>
  <drawing r:id="rId2"/>
  <legacyDrawing r:id="rId3"/>
  <controls>
    <mc:AlternateContent xmlns:mc="http://schemas.openxmlformats.org/markup-compatibility/2006">
      <mc:Choice Requires="x14">
        <control shapeId="2150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1506" r:id="rId4" name="HEADER"/>
      </mc:Fallback>
    </mc:AlternateContent>
    <mc:AlternateContent xmlns:mc="http://schemas.openxmlformats.org/markup-compatibility/2006">
      <mc:Choice Requires="x14">
        <control shapeId="2150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1505" r:id="rId6" name="FILTER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9"/>
  <dimension ref="A1:J33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1.8867187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10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2"/>
      <c r="G2" s="45"/>
      <c r="H2" s="52"/>
      <c r="I2" s="45"/>
      <c r="J2" s="52"/>
    </row>
    <row r="3" spans="1:10" x14ac:dyDescent="0.3">
      <c r="A3" s="43"/>
      <c r="B3" s="43" t="s">
        <v>113</v>
      </c>
      <c r="C3" s="43"/>
      <c r="D3" s="43"/>
      <c r="E3" s="43"/>
      <c r="F3" s="52"/>
      <c r="G3" s="45"/>
      <c r="H3" s="52"/>
      <c r="I3" s="45"/>
      <c r="J3" s="52"/>
    </row>
    <row r="4" spans="1:10" x14ac:dyDescent="0.3">
      <c r="A4" s="43"/>
      <c r="B4" s="43"/>
      <c r="C4" s="43" t="s">
        <v>114</v>
      </c>
      <c r="D4" s="43"/>
      <c r="E4" s="43"/>
      <c r="F4" s="52"/>
      <c r="G4" s="45"/>
      <c r="H4" s="52"/>
      <c r="I4" s="45"/>
      <c r="J4" s="52"/>
    </row>
    <row r="5" spans="1:10" ht="15" thickBot="1" x14ac:dyDescent="0.35">
      <c r="A5" s="43"/>
      <c r="B5" s="43"/>
      <c r="C5" s="43"/>
      <c r="D5" s="43" t="s">
        <v>423</v>
      </c>
      <c r="E5" s="43"/>
      <c r="F5" s="54">
        <v>0</v>
      </c>
      <c r="G5" s="45"/>
      <c r="H5" s="54">
        <v>0</v>
      </c>
      <c r="I5" s="45"/>
      <c r="J5" s="54">
        <v>186877.72</v>
      </c>
    </row>
    <row r="6" spans="1:10" x14ac:dyDescent="0.3">
      <c r="A6" s="43"/>
      <c r="B6" s="43"/>
      <c r="C6" s="43" t="s">
        <v>117</v>
      </c>
      <c r="D6" s="43"/>
      <c r="E6" s="43"/>
      <c r="F6" s="52">
        <f>ROUND(SUM(F4:F5),5)</f>
        <v>0</v>
      </c>
      <c r="G6" s="45"/>
      <c r="H6" s="52">
        <f>ROUND(SUM(H4:H5),5)</f>
        <v>0</v>
      </c>
      <c r="I6" s="45"/>
      <c r="J6" s="52">
        <f>ROUND(SUM(J4:J5),5)</f>
        <v>186877.72</v>
      </c>
    </row>
    <row r="7" spans="1:10" ht="30" customHeight="1" x14ac:dyDescent="0.3">
      <c r="A7" s="43"/>
      <c r="B7" s="43"/>
      <c r="C7" s="43" t="s">
        <v>120</v>
      </c>
      <c r="D7" s="43"/>
      <c r="E7" s="43"/>
      <c r="F7" s="52"/>
      <c r="G7" s="45"/>
      <c r="H7" s="52"/>
      <c r="I7" s="45"/>
      <c r="J7" s="52"/>
    </row>
    <row r="8" spans="1:10" x14ac:dyDescent="0.3">
      <c r="A8" s="43"/>
      <c r="B8" s="43"/>
      <c r="C8" s="43"/>
      <c r="D8" s="43" t="s">
        <v>424</v>
      </c>
      <c r="E8" s="43"/>
      <c r="F8" s="52">
        <v>0</v>
      </c>
      <c r="G8" s="45"/>
      <c r="H8" s="52">
        <v>0</v>
      </c>
      <c r="I8" s="45"/>
      <c r="J8" s="52">
        <v>-336.42</v>
      </c>
    </row>
    <row r="9" spans="1:10" x14ac:dyDescent="0.3">
      <c r="A9" s="43"/>
      <c r="B9" s="43"/>
      <c r="C9" s="43"/>
      <c r="D9" s="43" t="s">
        <v>425</v>
      </c>
      <c r="E9" s="43"/>
      <c r="F9" s="52">
        <v>0</v>
      </c>
      <c r="G9" s="45"/>
      <c r="H9" s="52">
        <v>0</v>
      </c>
      <c r="I9" s="45"/>
      <c r="J9" s="52">
        <v>2018.5</v>
      </c>
    </row>
    <row r="10" spans="1:10" x14ac:dyDescent="0.3">
      <c r="A10" s="43"/>
      <c r="B10" s="43"/>
      <c r="C10" s="43"/>
      <c r="D10" s="43" t="s">
        <v>426</v>
      </c>
      <c r="E10" s="43"/>
      <c r="F10" s="52"/>
      <c r="G10" s="45"/>
      <c r="H10" s="52"/>
      <c r="I10" s="45"/>
      <c r="J10" s="52"/>
    </row>
    <row r="11" spans="1:10" x14ac:dyDescent="0.3">
      <c r="A11" s="43"/>
      <c r="B11" s="43"/>
      <c r="C11" s="43"/>
      <c r="D11" s="43"/>
      <c r="E11" s="43" t="s">
        <v>427</v>
      </c>
      <c r="F11" s="52">
        <v>0</v>
      </c>
      <c r="G11" s="45"/>
      <c r="H11" s="52">
        <v>0</v>
      </c>
      <c r="I11" s="45"/>
      <c r="J11" s="52">
        <v>6771</v>
      </c>
    </row>
    <row r="12" spans="1:10" ht="15" thickBot="1" x14ac:dyDescent="0.35">
      <c r="A12" s="43"/>
      <c r="B12" s="43"/>
      <c r="C12" s="43"/>
      <c r="D12" s="43"/>
      <c r="E12" s="43" t="s">
        <v>428</v>
      </c>
      <c r="F12" s="52">
        <v>0</v>
      </c>
      <c r="G12" s="45"/>
      <c r="H12" s="52">
        <v>0</v>
      </c>
      <c r="I12" s="45"/>
      <c r="J12" s="52">
        <v>4695.76</v>
      </c>
    </row>
    <row r="13" spans="1:10" ht="15" thickBot="1" x14ac:dyDescent="0.35">
      <c r="A13" s="43"/>
      <c r="B13" s="43"/>
      <c r="C13" s="43"/>
      <c r="D13" s="43" t="s">
        <v>429</v>
      </c>
      <c r="E13" s="43"/>
      <c r="F13" s="55">
        <f>ROUND(SUM(F10:F12),5)</f>
        <v>0</v>
      </c>
      <c r="G13" s="45"/>
      <c r="H13" s="55">
        <f>ROUND(SUM(H10:H12),5)</f>
        <v>0</v>
      </c>
      <c r="I13" s="45"/>
      <c r="J13" s="55">
        <f>ROUND(SUM(J10:J12),5)</f>
        <v>11466.76</v>
      </c>
    </row>
    <row r="14" spans="1:10" ht="30" customHeight="1" thickBot="1" x14ac:dyDescent="0.35">
      <c r="A14" s="43"/>
      <c r="B14" s="43"/>
      <c r="C14" s="43" t="s">
        <v>124</v>
      </c>
      <c r="D14" s="43"/>
      <c r="E14" s="43"/>
      <c r="F14" s="53">
        <f>ROUND(SUM(F7:F9)+F13,5)</f>
        <v>0</v>
      </c>
      <c r="G14" s="45"/>
      <c r="H14" s="53">
        <f>ROUND(SUM(H7:H9)+H13,5)</f>
        <v>0</v>
      </c>
      <c r="I14" s="45"/>
      <c r="J14" s="53">
        <f>ROUND(SUM(J7:J9)+J13,5)</f>
        <v>13148.84</v>
      </c>
    </row>
    <row r="15" spans="1:10" ht="30" customHeight="1" x14ac:dyDescent="0.3">
      <c r="A15" s="43"/>
      <c r="B15" s="43" t="s">
        <v>125</v>
      </c>
      <c r="C15" s="43"/>
      <c r="D15" s="43"/>
      <c r="E15" s="43"/>
      <c r="F15" s="52">
        <f>ROUND(F3+F6+F14,5)</f>
        <v>0</v>
      </c>
      <c r="G15" s="45"/>
      <c r="H15" s="52">
        <f>ROUND(H3+H6+H14,5)</f>
        <v>0</v>
      </c>
      <c r="I15" s="45"/>
      <c r="J15" s="52">
        <f>ROUND(J3+J6+J14,5)</f>
        <v>200026.56</v>
      </c>
    </row>
    <row r="16" spans="1:10" ht="30" customHeight="1" x14ac:dyDescent="0.3">
      <c r="A16" s="43"/>
      <c r="B16" s="43" t="s">
        <v>126</v>
      </c>
      <c r="C16" s="43"/>
      <c r="D16" s="43"/>
      <c r="E16" s="43"/>
      <c r="F16" s="52"/>
      <c r="G16" s="45"/>
      <c r="H16" s="52"/>
      <c r="I16" s="45"/>
      <c r="J16" s="52"/>
    </row>
    <row r="17" spans="1:10" ht="15" thickBot="1" x14ac:dyDescent="0.35">
      <c r="A17" s="43"/>
      <c r="B17" s="43"/>
      <c r="C17" s="43" t="s">
        <v>127</v>
      </c>
      <c r="D17" s="43"/>
      <c r="E17" s="43"/>
      <c r="F17" s="52">
        <v>0</v>
      </c>
      <c r="G17" s="45"/>
      <c r="H17" s="52">
        <v>0</v>
      </c>
      <c r="I17" s="45"/>
      <c r="J17" s="52">
        <v>1303247</v>
      </c>
    </row>
    <row r="18" spans="1:10" ht="15" thickBot="1" x14ac:dyDescent="0.35">
      <c r="A18" s="43"/>
      <c r="B18" s="43" t="s">
        <v>136</v>
      </c>
      <c r="C18" s="43"/>
      <c r="D18" s="43"/>
      <c r="E18" s="43"/>
      <c r="F18" s="55">
        <f>ROUND(SUM(F16:F17),5)</f>
        <v>0</v>
      </c>
      <c r="G18" s="45"/>
      <c r="H18" s="55">
        <f>ROUND(SUM(H16:H17),5)</f>
        <v>0</v>
      </c>
      <c r="I18" s="45"/>
      <c r="J18" s="55">
        <f>ROUND(SUM(J16:J17),5)</f>
        <v>1303247</v>
      </c>
    </row>
    <row r="19" spans="1:10" s="50" customFormat="1" ht="30" customHeight="1" thickBot="1" x14ac:dyDescent="0.25">
      <c r="A19" s="43" t="s">
        <v>142</v>
      </c>
      <c r="B19" s="43"/>
      <c r="C19" s="43"/>
      <c r="D19" s="43"/>
      <c r="E19" s="43"/>
      <c r="F19" s="56">
        <f>ROUND(F2+F15+F18,5)</f>
        <v>0</v>
      </c>
      <c r="G19" s="43"/>
      <c r="H19" s="56">
        <f>ROUND(H2+H15+H18,5)</f>
        <v>0</v>
      </c>
      <c r="I19" s="43"/>
      <c r="J19" s="56">
        <f>ROUND(J2+J15+J18,5)</f>
        <v>1503273.56</v>
      </c>
    </row>
    <row r="20" spans="1:10" ht="31.5" customHeight="1" thickTop="1" x14ac:dyDescent="0.3">
      <c r="A20" s="43" t="s">
        <v>143</v>
      </c>
      <c r="B20" s="43"/>
      <c r="C20" s="43"/>
      <c r="D20" s="43"/>
      <c r="E20" s="43"/>
      <c r="F20" s="52"/>
      <c r="G20" s="45"/>
      <c r="H20" s="52"/>
      <c r="I20" s="45"/>
      <c r="J20" s="52"/>
    </row>
    <row r="21" spans="1:10" x14ac:dyDescent="0.3">
      <c r="A21" s="43"/>
      <c r="B21" s="43" t="s">
        <v>144</v>
      </c>
      <c r="C21" s="43"/>
      <c r="D21" s="43"/>
      <c r="E21" s="43"/>
      <c r="F21" s="52"/>
      <c r="G21" s="45"/>
      <c r="H21" s="52"/>
      <c r="I21" s="45"/>
      <c r="J21" s="52"/>
    </row>
    <row r="22" spans="1:10" x14ac:dyDescent="0.3">
      <c r="A22" s="43"/>
      <c r="B22" s="43"/>
      <c r="C22" s="43" t="s">
        <v>145</v>
      </c>
      <c r="D22" s="43"/>
      <c r="E22" s="43"/>
      <c r="F22" s="52"/>
      <c r="G22" s="45"/>
      <c r="H22" s="52"/>
      <c r="I22" s="45"/>
      <c r="J22" s="52"/>
    </row>
    <row r="23" spans="1:10" x14ac:dyDescent="0.3">
      <c r="A23" s="43"/>
      <c r="B23" s="43"/>
      <c r="C23" s="43"/>
      <c r="D23" s="43" t="s">
        <v>146</v>
      </c>
      <c r="E23" s="43"/>
      <c r="F23" s="52"/>
      <c r="G23" s="45"/>
      <c r="H23" s="52"/>
      <c r="I23" s="45"/>
      <c r="J23" s="52"/>
    </row>
    <row r="24" spans="1:10" ht="15" thickBot="1" x14ac:dyDescent="0.35">
      <c r="A24" s="43"/>
      <c r="B24" s="43"/>
      <c r="C24" s="43"/>
      <c r="D24" s="43"/>
      <c r="E24" s="43" t="s">
        <v>146</v>
      </c>
      <c r="F24" s="52">
        <v>0</v>
      </c>
      <c r="G24" s="45"/>
      <c r="H24" s="52">
        <v>0</v>
      </c>
      <c r="I24" s="45"/>
      <c r="J24" s="52">
        <v>160.37</v>
      </c>
    </row>
    <row r="25" spans="1:10" ht="15" thickBot="1" x14ac:dyDescent="0.35">
      <c r="A25" s="43"/>
      <c r="B25" s="43"/>
      <c r="C25" s="43"/>
      <c r="D25" s="43" t="s">
        <v>147</v>
      </c>
      <c r="E25" s="43"/>
      <c r="F25" s="55">
        <f>ROUND(SUM(F23:F24),5)</f>
        <v>0</v>
      </c>
      <c r="G25" s="45"/>
      <c r="H25" s="55">
        <f>ROUND(SUM(H23:H24),5)</f>
        <v>0</v>
      </c>
      <c r="I25" s="45"/>
      <c r="J25" s="55">
        <f>ROUND(SUM(J23:J24),5)</f>
        <v>160.37</v>
      </c>
    </row>
    <row r="26" spans="1:10" ht="30" customHeight="1" thickBot="1" x14ac:dyDescent="0.35">
      <c r="A26" s="43"/>
      <c r="B26" s="43"/>
      <c r="C26" s="43" t="s">
        <v>153</v>
      </c>
      <c r="D26" s="43"/>
      <c r="E26" s="43"/>
      <c r="F26" s="53">
        <f>ROUND(F22+F25,5)</f>
        <v>0</v>
      </c>
      <c r="G26" s="45"/>
      <c r="H26" s="53">
        <f>ROUND(H22+H25,5)</f>
        <v>0</v>
      </c>
      <c r="I26" s="45"/>
      <c r="J26" s="53">
        <f>ROUND(J22+J25,5)</f>
        <v>160.37</v>
      </c>
    </row>
    <row r="27" spans="1:10" ht="30" customHeight="1" x14ac:dyDescent="0.3">
      <c r="A27" s="43"/>
      <c r="B27" s="43" t="s">
        <v>158</v>
      </c>
      <c r="C27" s="43"/>
      <c r="D27" s="43"/>
      <c r="E27" s="43"/>
      <c r="F27" s="52">
        <f>ROUND(F21+F26,5)</f>
        <v>0</v>
      </c>
      <c r="G27" s="45"/>
      <c r="H27" s="52">
        <f>ROUND(H21+H26,5)</f>
        <v>0</v>
      </c>
      <c r="I27" s="45"/>
      <c r="J27" s="52">
        <f>ROUND(J21+J26,5)</f>
        <v>160.37</v>
      </c>
    </row>
    <row r="28" spans="1:10" ht="30" customHeight="1" x14ac:dyDescent="0.3">
      <c r="A28" s="43"/>
      <c r="B28" s="43" t="s">
        <v>159</v>
      </c>
      <c r="C28" s="43"/>
      <c r="D28" s="43"/>
      <c r="E28" s="43"/>
      <c r="F28" s="52"/>
      <c r="G28" s="45"/>
      <c r="H28" s="52"/>
      <c r="I28" s="45"/>
      <c r="J28" s="52"/>
    </row>
    <row r="29" spans="1:10" x14ac:dyDescent="0.3">
      <c r="A29" s="43"/>
      <c r="B29" s="43"/>
      <c r="C29" s="43" t="s">
        <v>430</v>
      </c>
      <c r="D29" s="43"/>
      <c r="E29" s="43"/>
      <c r="F29" s="52">
        <v>0</v>
      </c>
      <c r="G29" s="45"/>
      <c r="H29" s="52">
        <v>0</v>
      </c>
      <c r="I29" s="45"/>
      <c r="J29" s="52">
        <v>1500000</v>
      </c>
    </row>
    <row r="30" spans="1:10" ht="15" thickBot="1" x14ac:dyDescent="0.35">
      <c r="A30" s="43"/>
      <c r="B30" s="43"/>
      <c r="C30" s="43" t="s">
        <v>165</v>
      </c>
      <c r="D30" s="43"/>
      <c r="E30" s="43"/>
      <c r="F30" s="52">
        <v>0</v>
      </c>
      <c r="G30" s="45"/>
      <c r="H30" s="52">
        <v>0</v>
      </c>
      <c r="I30" s="45"/>
      <c r="J30" s="52">
        <v>3113.19</v>
      </c>
    </row>
    <row r="31" spans="1:10" ht="15" thickBot="1" x14ac:dyDescent="0.35">
      <c r="A31" s="43"/>
      <c r="B31" s="43" t="s">
        <v>166</v>
      </c>
      <c r="C31" s="43"/>
      <c r="D31" s="43"/>
      <c r="E31" s="43"/>
      <c r="F31" s="55">
        <f>ROUND(SUM(F28:F30),5)</f>
        <v>0</v>
      </c>
      <c r="G31" s="45"/>
      <c r="H31" s="55">
        <f>ROUND(SUM(H28:H30),5)</f>
        <v>0</v>
      </c>
      <c r="I31" s="45"/>
      <c r="J31" s="55">
        <f>ROUND(SUM(J28:J30),5)</f>
        <v>1503113.19</v>
      </c>
    </row>
    <row r="32" spans="1:10" s="50" customFormat="1" ht="30" customHeight="1" thickBot="1" x14ac:dyDescent="0.25">
      <c r="A32" s="43" t="s">
        <v>167</v>
      </c>
      <c r="B32" s="43"/>
      <c r="C32" s="43"/>
      <c r="D32" s="43"/>
      <c r="E32" s="43"/>
      <c r="F32" s="56">
        <f>ROUND(F20+F27+F31,5)</f>
        <v>0</v>
      </c>
      <c r="G32" s="43"/>
      <c r="H32" s="56">
        <f>ROUND(H20+H27+H31,5)</f>
        <v>0</v>
      </c>
      <c r="I32" s="43"/>
      <c r="J32" s="56">
        <f>ROUND(J20+J27+J31,5)</f>
        <v>1503273.56</v>
      </c>
    </row>
    <row r="33" ht="15" thickTop="1" x14ac:dyDescent="0.3"/>
  </sheetData>
  <pageMargins left="0.7" right="0.7" top="0.75" bottom="0.75" header="0.25" footer="0.3"/>
  <pageSetup orientation="portrait" r:id="rId1"/>
  <headerFooter>
    <oddHeader>&amp;L&amp;"Arial,Bold"&amp;8 11:10 AM
&amp;"Arial,Bold"&amp;8 02/17/14
&amp;"Arial,Bold"&amp;8 Accrual Basis&amp;C&amp;"Arial,Bold"&amp;12 NDV Real Estate LLC
&amp;"Arial,Bold"&amp;14 Balance Sheet
&amp;"Arial,Bold"&amp;10 As of December 31,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253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2530" r:id="rId4" name="HEADER"/>
      </mc:Fallback>
    </mc:AlternateContent>
    <mc:AlternateContent xmlns:mc="http://schemas.openxmlformats.org/markup-compatibility/2006">
      <mc:Choice Requires="x14">
        <control shapeId="2252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2529" r:id="rId6" name="FILTER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50"/>
  <dimension ref="A1:L19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18.5546875" style="50" customWidth="1"/>
    <col min="6" max="6" width="10.109375" bestFit="1" customWidth="1"/>
    <col min="7" max="7" width="2.33203125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7.5546875" bestFit="1" customWidth="1"/>
  </cols>
  <sheetData>
    <row r="1" spans="1:12" s="39" customFormat="1" ht="15" thickBot="1" x14ac:dyDescent="0.35">
      <c r="A1" s="40"/>
      <c r="B1" s="40"/>
      <c r="C1" s="40"/>
      <c r="D1" s="40"/>
      <c r="E1" s="40"/>
      <c r="F1" s="41" t="s">
        <v>168</v>
      </c>
      <c r="G1" s="42"/>
      <c r="H1" s="41" t="s">
        <v>169</v>
      </c>
      <c r="I1" s="42"/>
      <c r="J1" s="41" t="s">
        <v>170</v>
      </c>
      <c r="K1" s="42"/>
      <c r="L1" s="41" t="s">
        <v>171</v>
      </c>
    </row>
    <row r="2" spans="1:12" ht="15" thickTop="1" x14ac:dyDescent="0.3">
      <c r="A2" s="43"/>
      <c r="B2" s="43" t="s">
        <v>172</v>
      </c>
      <c r="C2" s="43"/>
      <c r="D2" s="43"/>
      <c r="E2" s="43"/>
      <c r="F2" s="52"/>
      <c r="G2" s="45"/>
      <c r="H2" s="52"/>
      <c r="I2" s="45"/>
      <c r="J2" s="52"/>
      <c r="K2" s="45"/>
      <c r="L2" s="52"/>
    </row>
    <row r="3" spans="1:12" x14ac:dyDescent="0.3">
      <c r="A3" s="43"/>
      <c r="B3" s="43"/>
      <c r="C3" s="43"/>
      <c r="D3" s="43" t="s">
        <v>182</v>
      </c>
      <c r="E3" s="43"/>
      <c r="F3" s="52"/>
      <c r="G3" s="45"/>
      <c r="H3" s="52"/>
      <c r="I3" s="45"/>
      <c r="J3" s="52"/>
      <c r="K3" s="45"/>
      <c r="L3" s="52"/>
    </row>
    <row r="4" spans="1:12" x14ac:dyDescent="0.3">
      <c r="A4" s="43"/>
      <c r="B4" s="43"/>
      <c r="C4" s="43"/>
      <c r="D4" s="43"/>
      <c r="E4" s="43" t="s">
        <v>431</v>
      </c>
      <c r="F4" s="52">
        <v>0</v>
      </c>
      <c r="G4" s="45"/>
      <c r="H4" s="52">
        <v>0</v>
      </c>
      <c r="I4" s="45"/>
      <c r="J4" s="52">
        <v>42</v>
      </c>
      <c r="K4" s="45"/>
      <c r="L4" s="52">
        <f t="shared" ref="L4:L12" si="0">ROUND(SUM(F4:J4),5)</f>
        <v>42</v>
      </c>
    </row>
    <row r="5" spans="1:12" x14ac:dyDescent="0.3">
      <c r="A5" s="43"/>
      <c r="B5" s="43"/>
      <c r="C5" s="43"/>
      <c r="D5" s="43"/>
      <c r="E5" s="43" t="s">
        <v>432</v>
      </c>
      <c r="F5" s="52">
        <v>0</v>
      </c>
      <c r="G5" s="45"/>
      <c r="H5" s="52">
        <v>0</v>
      </c>
      <c r="I5" s="45"/>
      <c r="J5" s="52">
        <v>336.42</v>
      </c>
      <c r="K5" s="45"/>
      <c r="L5" s="52">
        <f t="shared" si="0"/>
        <v>336.42</v>
      </c>
    </row>
    <row r="6" spans="1:12" x14ac:dyDescent="0.3">
      <c r="A6" s="43"/>
      <c r="B6" s="43"/>
      <c r="C6" s="43"/>
      <c r="D6" s="43"/>
      <c r="E6" s="43" t="s">
        <v>433</v>
      </c>
      <c r="F6" s="52">
        <v>0</v>
      </c>
      <c r="G6" s="45"/>
      <c r="H6" s="52">
        <v>0</v>
      </c>
      <c r="I6" s="45"/>
      <c r="J6" s="52">
        <v>387.83</v>
      </c>
      <c r="K6" s="45"/>
      <c r="L6" s="52">
        <f t="shared" si="0"/>
        <v>387.83</v>
      </c>
    </row>
    <row r="7" spans="1:12" x14ac:dyDescent="0.3">
      <c r="A7" s="43"/>
      <c r="B7" s="43"/>
      <c r="C7" s="43"/>
      <c r="D7" s="43"/>
      <c r="E7" s="43" t="s">
        <v>434</v>
      </c>
      <c r="F7" s="52">
        <v>0</v>
      </c>
      <c r="G7" s="45"/>
      <c r="H7" s="52">
        <v>0</v>
      </c>
      <c r="I7" s="45"/>
      <c r="J7" s="52">
        <v>114</v>
      </c>
      <c r="K7" s="45"/>
      <c r="L7" s="52">
        <f t="shared" si="0"/>
        <v>114</v>
      </c>
    </row>
    <row r="8" spans="1:12" x14ac:dyDescent="0.3">
      <c r="A8" s="43"/>
      <c r="B8" s="43"/>
      <c r="C8" s="43"/>
      <c r="D8" s="43"/>
      <c r="E8" s="43" t="s">
        <v>435</v>
      </c>
      <c r="F8" s="52">
        <v>0</v>
      </c>
      <c r="G8" s="45"/>
      <c r="H8" s="52">
        <v>0</v>
      </c>
      <c r="I8" s="45"/>
      <c r="J8" s="52">
        <v>24.11</v>
      </c>
      <c r="K8" s="45"/>
      <c r="L8" s="52">
        <f t="shared" si="0"/>
        <v>24.11</v>
      </c>
    </row>
    <row r="9" spans="1:12" x14ac:dyDescent="0.3">
      <c r="A9" s="43"/>
      <c r="B9" s="43"/>
      <c r="C9" s="43"/>
      <c r="D9" s="43"/>
      <c r="E9" s="43" t="s">
        <v>436</v>
      </c>
      <c r="F9" s="52">
        <v>0</v>
      </c>
      <c r="G9" s="45"/>
      <c r="H9" s="52">
        <v>0</v>
      </c>
      <c r="I9" s="45"/>
      <c r="J9" s="52">
        <v>94.86</v>
      </c>
      <c r="K9" s="45"/>
      <c r="L9" s="52">
        <f t="shared" si="0"/>
        <v>94.86</v>
      </c>
    </row>
    <row r="10" spans="1:12" ht="15" thickBot="1" x14ac:dyDescent="0.35">
      <c r="A10" s="43"/>
      <c r="B10" s="43"/>
      <c r="C10" s="43"/>
      <c r="D10" s="43"/>
      <c r="E10" s="43" t="s">
        <v>370</v>
      </c>
      <c r="F10" s="52">
        <v>0</v>
      </c>
      <c r="G10" s="45"/>
      <c r="H10" s="52">
        <v>0</v>
      </c>
      <c r="I10" s="45"/>
      <c r="J10" s="52">
        <v>22.26</v>
      </c>
      <c r="K10" s="45"/>
      <c r="L10" s="52">
        <f t="shared" si="0"/>
        <v>22.26</v>
      </c>
    </row>
    <row r="11" spans="1:12" ht="15" thickBot="1" x14ac:dyDescent="0.35">
      <c r="A11" s="43"/>
      <c r="B11" s="43"/>
      <c r="C11" s="43"/>
      <c r="D11" s="43" t="s">
        <v>287</v>
      </c>
      <c r="E11" s="43"/>
      <c r="F11" s="53">
        <f>ROUND(SUM(F3:F10),5)</f>
        <v>0</v>
      </c>
      <c r="G11" s="45"/>
      <c r="H11" s="53">
        <f>ROUND(SUM(H3:H10),5)</f>
        <v>0</v>
      </c>
      <c r="I11" s="45"/>
      <c r="J11" s="53">
        <f>ROUND(SUM(J3:J10),5)</f>
        <v>1021.48</v>
      </c>
      <c r="K11" s="45"/>
      <c r="L11" s="53">
        <f t="shared" si="0"/>
        <v>1021.48</v>
      </c>
    </row>
    <row r="12" spans="1:12" ht="30" customHeight="1" x14ac:dyDescent="0.3">
      <c r="A12" s="43"/>
      <c r="B12" s="43" t="s">
        <v>288</v>
      </c>
      <c r="C12" s="43"/>
      <c r="D12" s="43"/>
      <c r="E12" s="43"/>
      <c r="F12" s="52">
        <f>ROUND(F2-F11,5)</f>
        <v>0</v>
      </c>
      <c r="G12" s="45"/>
      <c r="H12" s="52">
        <f>ROUND(H2-H11,5)</f>
        <v>0</v>
      </c>
      <c r="I12" s="45"/>
      <c r="J12" s="52">
        <f>ROUND(J2-J11,5)</f>
        <v>-1021.48</v>
      </c>
      <c r="K12" s="45"/>
      <c r="L12" s="52">
        <f t="shared" si="0"/>
        <v>-1021.48</v>
      </c>
    </row>
    <row r="13" spans="1:12" ht="30" customHeight="1" x14ac:dyDescent="0.3">
      <c r="A13" s="43"/>
      <c r="B13" s="43" t="s">
        <v>289</v>
      </c>
      <c r="C13" s="43"/>
      <c r="D13" s="43"/>
      <c r="E13" s="43"/>
      <c r="F13" s="52"/>
      <c r="G13" s="45"/>
      <c r="H13" s="52"/>
      <c r="I13" s="45"/>
      <c r="J13" s="52"/>
      <c r="K13" s="45"/>
      <c r="L13" s="52"/>
    </row>
    <row r="14" spans="1:12" x14ac:dyDescent="0.3">
      <c r="A14" s="43"/>
      <c r="B14" s="43"/>
      <c r="C14" s="43" t="s">
        <v>290</v>
      </c>
      <c r="D14" s="43"/>
      <c r="E14" s="43"/>
      <c r="F14" s="52"/>
      <c r="G14" s="45"/>
      <c r="H14" s="52"/>
      <c r="I14" s="45"/>
      <c r="J14" s="52"/>
      <c r="K14" s="45"/>
      <c r="L14" s="52"/>
    </row>
    <row r="15" spans="1:12" ht="15" thickBot="1" x14ac:dyDescent="0.35">
      <c r="A15" s="43"/>
      <c r="B15" s="43"/>
      <c r="C15" s="43"/>
      <c r="D15" s="43" t="s">
        <v>437</v>
      </c>
      <c r="E15" s="43"/>
      <c r="F15" s="52">
        <v>0</v>
      </c>
      <c r="G15" s="45"/>
      <c r="H15" s="52">
        <v>0</v>
      </c>
      <c r="I15" s="45"/>
      <c r="J15" s="52">
        <v>4134.67</v>
      </c>
      <c r="K15" s="45"/>
      <c r="L15" s="52">
        <f>ROUND(SUM(F15:J15),5)</f>
        <v>4134.67</v>
      </c>
    </row>
    <row r="16" spans="1:12" ht="15" thickBot="1" x14ac:dyDescent="0.35">
      <c r="A16" s="43"/>
      <c r="B16" s="43"/>
      <c r="C16" s="43" t="s">
        <v>292</v>
      </c>
      <c r="D16" s="43"/>
      <c r="E16" s="43"/>
      <c r="F16" s="55">
        <f>ROUND(SUM(F14:F15),5)</f>
        <v>0</v>
      </c>
      <c r="G16" s="45"/>
      <c r="H16" s="55">
        <f>ROUND(SUM(H14:H15),5)</f>
        <v>0</v>
      </c>
      <c r="I16" s="45"/>
      <c r="J16" s="55">
        <f>ROUND(SUM(J14:J15),5)</f>
        <v>4134.67</v>
      </c>
      <c r="K16" s="45"/>
      <c r="L16" s="55">
        <f>ROUND(SUM(F16:J16),5)</f>
        <v>4134.67</v>
      </c>
    </row>
    <row r="17" spans="1:12" ht="30" customHeight="1" thickBot="1" x14ac:dyDescent="0.35">
      <c r="A17" s="43"/>
      <c r="B17" s="43" t="s">
        <v>296</v>
      </c>
      <c r="C17" s="43"/>
      <c r="D17" s="43"/>
      <c r="E17" s="43"/>
      <c r="F17" s="55">
        <f>ROUND(F13+F16,5)</f>
        <v>0</v>
      </c>
      <c r="G17" s="45"/>
      <c r="H17" s="55">
        <f>ROUND(H13+H16,5)</f>
        <v>0</v>
      </c>
      <c r="I17" s="45"/>
      <c r="J17" s="55">
        <f>ROUND(J13+J16,5)</f>
        <v>4134.67</v>
      </c>
      <c r="K17" s="45"/>
      <c r="L17" s="55">
        <f>ROUND(SUM(F17:J17),5)</f>
        <v>4134.67</v>
      </c>
    </row>
    <row r="18" spans="1:12" s="50" customFormat="1" ht="30" customHeight="1" thickBot="1" x14ac:dyDescent="0.25">
      <c r="A18" s="43" t="s">
        <v>165</v>
      </c>
      <c r="B18" s="43"/>
      <c r="C18" s="43"/>
      <c r="D18" s="43"/>
      <c r="E18" s="43"/>
      <c r="F18" s="56">
        <f>ROUND(F12+F17,5)</f>
        <v>0</v>
      </c>
      <c r="G18" s="43"/>
      <c r="H18" s="56">
        <f>ROUND(H12+H17,5)</f>
        <v>0</v>
      </c>
      <c r="I18" s="43"/>
      <c r="J18" s="56">
        <f>ROUND(J12+J17,5)</f>
        <v>3113.19</v>
      </c>
      <c r="K18" s="43"/>
      <c r="L18" s="56">
        <f>ROUND(SUM(F18:J18),5)</f>
        <v>3113.19</v>
      </c>
    </row>
    <row r="19" spans="1:12" ht="15" thickTop="1" x14ac:dyDescent="0.3"/>
  </sheetData>
  <pageMargins left="0.7" right="0.7" top="0.75" bottom="0.75" header="0.25" footer="0.3"/>
  <pageSetup orientation="portrait" r:id="rId1"/>
  <headerFooter>
    <oddHeader>&amp;L&amp;"Arial,Bold"&amp;8 8:20 AM
&amp;"Arial,Bold"&amp;8 02/18/14
&amp;"Arial,Bold"&amp;8 Accrual Basis&amp;C&amp;"Arial,Bold"&amp;12 NDV Real Estate LLC
&amp;"Arial,Bold"&amp;14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3554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3554" r:id="rId4" name="HEADER"/>
      </mc:Fallback>
    </mc:AlternateContent>
    <mc:AlternateContent xmlns:mc="http://schemas.openxmlformats.org/markup-compatibility/2006">
      <mc:Choice Requires="x14">
        <control shapeId="23553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3553" r:id="rId6" name="FILTER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1"/>
  <dimension ref="A1:J66"/>
  <sheetViews>
    <sheetView workbookViewId="0">
      <pane xSplit="5" ySplit="1" topLeftCell="F43" activePane="bottomRight" state="frozenSplit"/>
      <selection pane="topRight"/>
      <selection pane="bottomLeft"/>
      <selection pane="bottomRight" activeCell="A22" sqref="A22"/>
    </sheetView>
  </sheetViews>
  <sheetFormatPr defaultRowHeight="14.4" x14ac:dyDescent="0.3"/>
  <cols>
    <col min="1" max="4" width="3" style="50" customWidth="1"/>
    <col min="5" max="5" width="25.6640625" style="50" customWidth="1"/>
    <col min="6" max="6" width="8.6640625" bestFit="1" customWidth="1"/>
    <col min="7" max="7" width="2.33203125" customWidth="1"/>
    <col min="8" max="8" width="8.6640625" bestFit="1" customWidth="1"/>
    <col min="9" max="9" width="2.33203125" customWidth="1"/>
    <col min="10" max="10" width="8.664062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114</v>
      </c>
      <c r="D4" s="43"/>
      <c r="E4" s="43"/>
      <c r="F4" s="44"/>
      <c r="G4" s="45"/>
      <c r="H4" s="44"/>
      <c r="I4" s="45"/>
      <c r="J4" s="44"/>
    </row>
    <row r="5" spans="1:10" x14ac:dyDescent="0.3">
      <c r="A5" s="43"/>
      <c r="B5" s="43"/>
      <c r="C5" s="43"/>
      <c r="D5" s="43" t="s">
        <v>438</v>
      </c>
      <c r="E5" s="43"/>
      <c r="F5" s="44">
        <v>388814</v>
      </c>
      <c r="G5" s="45"/>
      <c r="H5" s="44">
        <v>908788</v>
      </c>
      <c r="I5" s="45"/>
      <c r="J5" s="44">
        <v>524447</v>
      </c>
    </row>
    <row r="6" spans="1:10" x14ac:dyDescent="0.3">
      <c r="A6" s="43"/>
      <c r="B6" s="43"/>
      <c r="C6" s="43"/>
      <c r="D6" s="43" t="s">
        <v>439</v>
      </c>
      <c r="E6" s="43"/>
      <c r="F6" s="44">
        <v>3026</v>
      </c>
      <c r="G6" s="45"/>
      <c r="H6" s="44">
        <v>3026</v>
      </c>
      <c r="I6" s="45"/>
      <c r="J6" s="44">
        <v>3026</v>
      </c>
    </row>
    <row r="7" spans="1:10" x14ac:dyDescent="0.3">
      <c r="A7" s="43"/>
      <c r="B7" s="43"/>
      <c r="C7" s="43"/>
      <c r="D7" s="43" t="s">
        <v>440</v>
      </c>
      <c r="E7" s="43"/>
      <c r="F7" s="44">
        <v>23120</v>
      </c>
      <c r="G7" s="45"/>
      <c r="H7" s="44">
        <v>23128</v>
      </c>
      <c r="I7" s="45"/>
      <c r="J7" s="44">
        <v>23132</v>
      </c>
    </row>
    <row r="8" spans="1:10" ht="15" thickBot="1" x14ac:dyDescent="0.35">
      <c r="A8" s="43"/>
      <c r="B8" s="43"/>
      <c r="C8" s="43"/>
      <c r="D8" s="43" t="s">
        <v>441</v>
      </c>
      <c r="E8" s="43"/>
      <c r="F8" s="46">
        <v>144093</v>
      </c>
      <c r="G8" s="45"/>
      <c r="H8" s="46">
        <v>144162</v>
      </c>
      <c r="I8" s="45"/>
      <c r="J8" s="46">
        <v>144193</v>
      </c>
    </row>
    <row r="9" spans="1:10" x14ac:dyDescent="0.3">
      <c r="A9" s="43"/>
      <c r="B9" s="43"/>
      <c r="C9" s="43" t="s">
        <v>117</v>
      </c>
      <c r="D9" s="43"/>
      <c r="E9" s="43"/>
      <c r="F9" s="44">
        <f>ROUND(SUM(F4:F8),5)</f>
        <v>559053</v>
      </c>
      <c r="G9" s="45"/>
      <c r="H9" s="44">
        <f>ROUND(SUM(H4:H8),5)</f>
        <v>1079104</v>
      </c>
      <c r="I9" s="45"/>
      <c r="J9" s="44">
        <f>ROUND(SUM(J4:J8),5)</f>
        <v>694798</v>
      </c>
    </row>
    <row r="10" spans="1:10" ht="30" customHeight="1" x14ac:dyDescent="0.3">
      <c r="A10" s="43"/>
      <c r="B10" s="43"/>
      <c r="C10" s="43" t="s">
        <v>118</v>
      </c>
      <c r="D10" s="43"/>
      <c r="E10" s="43"/>
      <c r="F10" s="44"/>
      <c r="G10" s="45"/>
      <c r="H10" s="44"/>
      <c r="I10" s="45"/>
      <c r="J10" s="44"/>
    </row>
    <row r="11" spans="1:10" ht="15" thickBot="1" x14ac:dyDescent="0.35">
      <c r="A11" s="43"/>
      <c r="B11" s="43"/>
      <c r="C11" s="43"/>
      <c r="D11" s="43" t="s">
        <v>442</v>
      </c>
      <c r="E11" s="43"/>
      <c r="F11" s="46">
        <v>-62631</v>
      </c>
      <c r="G11" s="45"/>
      <c r="H11" s="46">
        <v>45136</v>
      </c>
      <c r="I11" s="45"/>
      <c r="J11" s="46">
        <v>-19285</v>
      </c>
    </row>
    <row r="12" spans="1:10" x14ac:dyDescent="0.3">
      <c r="A12" s="43"/>
      <c r="B12" s="43"/>
      <c r="C12" s="43" t="s">
        <v>119</v>
      </c>
      <c r="D12" s="43"/>
      <c r="E12" s="43"/>
      <c r="F12" s="44">
        <f>ROUND(SUM(F10:F11),5)</f>
        <v>-62631</v>
      </c>
      <c r="G12" s="45"/>
      <c r="H12" s="44">
        <f>ROUND(SUM(H10:H11),5)</f>
        <v>45136</v>
      </c>
      <c r="I12" s="45"/>
      <c r="J12" s="44">
        <f>ROUND(SUM(J10:J11),5)</f>
        <v>-19285</v>
      </c>
    </row>
    <row r="13" spans="1:10" ht="30" customHeight="1" x14ac:dyDescent="0.3">
      <c r="A13" s="43"/>
      <c r="B13" s="43"/>
      <c r="C13" s="43" t="s">
        <v>120</v>
      </c>
      <c r="D13" s="43"/>
      <c r="E13" s="43"/>
      <c r="F13" s="44"/>
      <c r="G13" s="45"/>
      <c r="H13" s="44"/>
      <c r="I13" s="45"/>
      <c r="J13" s="44"/>
    </row>
    <row r="14" spans="1:10" x14ac:dyDescent="0.3">
      <c r="A14" s="43"/>
      <c r="B14" s="43"/>
      <c r="C14" s="43"/>
      <c r="D14" s="43" t="s">
        <v>122</v>
      </c>
      <c r="E14" s="43"/>
      <c r="F14" s="44">
        <v>24310</v>
      </c>
      <c r="G14" s="45"/>
      <c r="H14" s="44">
        <v>32390</v>
      </c>
      <c r="I14" s="45"/>
      <c r="J14" s="44">
        <v>23245</v>
      </c>
    </row>
    <row r="15" spans="1:10" x14ac:dyDescent="0.3">
      <c r="A15" s="43"/>
      <c r="B15" s="43"/>
      <c r="C15" s="43"/>
      <c r="D15" s="43" t="s">
        <v>352</v>
      </c>
      <c r="E15" s="43"/>
      <c r="F15" s="44">
        <v>540</v>
      </c>
      <c r="G15" s="45"/>
      <c r="H15" s="44">
        <v>0</v>
      </c>
      <c r="I15" s="45"/>
      <c r="J15" s="44">
        <v>0</v>
      </c>
    </row>
    <row r="16" spans="1:10" ht="15" thickBot="1" x14ac:dyDescent="0.35">
      <c r="A16" s="43"/>
      <c r="B16" s="43"/>
      <c r="C16" s="43"/>
      <c r="D16" s="43" t="s">
        <v>443</v>
      </c>
      <c r="E16" s="43"/>
      <c r="F16" s="44">
        <v>2063</v>
      </c>
      <c r="G16" s="45"/>
      <c r="H16" s="44">
        <v>2260</v>
      </c>
      <c r="I16" s="45"/>
      <c r="J16" s="44">
        <v>2392</v>
      </c>
    </row>
    <row r="17" spans="1:10" ht="15" thickBot="1" x14ac:dyDescent="0.35">
      <c r="A17" s="43"/>
      <c r="B17" s="43"/>
      <c r="C17" s="43" t="s">
        <v>124</v>
      </c>
      <c r="D17" s="43"/>
      <c r="E17" s="43"/>
      <c r="F17" s="47">
        <f>ROUND(SUM(F13:F16),5)</f>
        <v>26913</v>
      </c>
      <c r="G17" s="45"/>
      <c r="H17" s="47">
        <f>ROUND(SUM(H13:H16),5)</f>
        <v>34650</v>
      </c>
      <c r="I17" s="45"/>
      <c r="J17" s="47">
        <f>ROUND(SUM(J13:J16),5)</f>
        <v>25637</v>
      </c>
    </row>
    <row r="18" spans="1:10" ht="30" customHeight="1" x14ac:dyDescent="0.3">
      <c r="A18" s="43"/>
      <c r="B18" s="43" t="s">
        <v>125</v>
      </c>
      <c r="C18" s="43"/>
      <c r="D18" s="43"/>
      <c r="E18" s="43"/>
      <c r="F18" s="44">
        <f>ROUND(F3+F9+F12+F17,5)</f>
        <v>523335</v>
      </c>
      <c r="G18" s="45"/>
      <c r="H18" s="44">
        <f>ROUND(H3+H9+H12+H17,5)</f>
        <v>1158890</v>
      </c>
      <c r="I18" s="45"/>
      <c r="J18" s="44">
        <f>ROUND(J3+J9+J12+J17,5)</f>
        <v>701150</v>
      </c>
    </row>
    <row r="19" spans="1:10" ht="30" customHeight="1" x14ac:dyDescent="0.3">
      <c r="A19" s="43"/>
      <c r="B19" s="43" t="s">
        <v>126</v>
      </c>
      <c r="C19" s="43"/>
      <c r="D19" s="43"/>
      <c r="E19" s="43"/>
      <c r="F19" s="44"/>
      <c r="G19" s="45"/>
      <c r="H19" s="44"/>
      <c r="I19" s="45"/>
      <c r="J19" s="44"/>
    </row>
    <row r="20" spans="1:10" x14ac:dyDescent="0.3">
      <c r="A20" s="43"/>
      <c r="B20" s="43"/>
      <c r="C20" s="43" t="s">
        <v>127</v>
      </c>
      <c r="D20" s="43"/>
      <c r="E20" s="43"/>
      <c r="F20" s="44">
        <v>618126</v>
      </c>
      <c r="G20" s="45"/>
      <c r="H20" s="44">
        <v>618126</v>
      </c>
      <c r="I20" s="45"/>
      <c r="J20" s="44">
        <v>621298</v>
      </c>
    </row>
    <row r="21" spans="1:10" x14ac:dyDescent="0.3">
      <c r="A21" s="43"/>
      <c r="B21" s="43"/>
      <c r="C21" s="43" t="s">
        <v>444</v>
      </c>
      <c r="D21" s="43"/>
      <c r="E21" s="43"/>
      <c r="F21" s="44">
        <v>7125373</v>
      </c>
      <c r="G21" s="45"/>
      <c r="H21" s="44">
        <v>7125373</v>
      </c>
      <c r="I21" s="45"/>
      <c r="J21" s="44">
        <v>7125373</v>
      </c>
    </row>
    <row r="22" spans="1:10" x14ac:dyDescent="0.3">
      <c r="A22" s="43"/>
      <c r="B22" s="43"/>
      <c r="C22" s="43" t="s">
        <v>445</v>
      </c>
      <c r="D22" s="43"/>
      <c r="E22" s="43"/>
      <c r="F22" s="44">
        <v>2426901</v>
      </c>
      <c r="G22" s="45"/>
      <c r="H22" s="44">
        <v>2424837</v>
      </c>
      <c r="I22" s="45"/>
      <c r="J22" s="44">
        <v>2435128</v>
      </c>
    </row>
    <row r="23" spans="1:10" x14ac:dyDescent="0.3">
      <c r="A23" s="43"/>
      <c r="B23" s="43"/>
      <c r="C23" s="43" t="s">
        <v>446</v>
      </c>
      <c r="D23" s="43"/>
      <c r="E23" s="43"/>
      <c r="F23" s="44">
        <v>619709</v>
      </c>
      <c r="G23" s="45"/>
      <c r="H23" s="44">
        <v>619709</v>
      </c>
      <c r="I23" s="45"/>
      <c r="J23" s="44">
        <v>619709</v>
      </c>
    </row>
    <row r="24" spans="1:10" x14ac:dyDescent="0.3">
      <c r="A24" s="43"/>
      <c r="B24" s="43"/>
      <c r="C24" s="43" t="s">
        <v>132</v>
      </c>
      <c r="D24" s="43"/>
      <c r="E24" s="43"/>
      <c r="F24" s="44">
        <v>6222</v>
      </c>
      <c r="G24" s="45"/>
      <c r="H24" s="44">
        <v>9051</v>
      </c>
      <c r="I24" s="45"/>
      <c r="J24" s="44">
        <v>9898</v>
      </c>
    </row>
    <row r="25" spans="1:10" x14ac:dyDescent="0.3">
      <c r="A25" s="43"/>
      <c r="B25" s="43"/>
      <c r="C25" s="43" t="s">
        <v>447</v>
      </c>
      <c r="D25" s="43"/>
      <c r="E25" s="43"/>
      <c r="F25" s="44">
        <v>14565</v>
      </c>
      <c r="G25" s="45"/>
      <c r="H25" s="44">
        <v>14565</v>
      </c>
      <c r="I25" s="45"/>
      <c r="J25" s="44">
        <v>14565</v>
      </c>
    </row>
    <row r="26" spans="1:10" x14ac:dyDescent="0.3">
      <c r="A26" s="43"/>
      <c r="B26" s="43"/>
      <c r="C26" s="43" t="s">
        <v>448</v>
      </c>
      <c r="D26" s="43"/>
      <c r="E26" s="43"/>
      <c r="F26" s="44">
        <v>1935035</v>
      </c>
      <c r="G26" s="45"/>
      <c r="H26" s="44">
        <v>1561363</v>
      </c>
      <c r="I26" s="45"/>
      <c r="J26" s="44">
        <v>1561363</v>
      </c>
    </row>
    <row r="27" spans="1:10" x14ac:dyDescent="0.3">
      <c r="A27" s="43"/>
      <c r="B27" s="43"/>
      <c r="C27" s="43" t="s">
        <v>131</v>
      </c>
      <c r="D27" s="43"/>
      <c r="E27" s="43"/>
      <c r="F27" s="44">
        <v>26796</v>
      </c>
      <c r="G27" s="45"/>
      <c r="H27" s="44">
        <v>26796</v>
      </c>
      <c r="I27" s="45"/>
      <c r="J27" s="44">
        <v>26796</v>
      </c>
    </row>
    <row r="28" spans="1:10" x14ac:dyDescent="0.3">
      <c r="A28" s="43"/>
      <c r="B28" s="43"/>
      <c r="C28" s="43" t="s">
        <v>130</v>
      </c>
      <c r="D28" s="43"/>
      <c r="E28" s="43"/>
      <c r="F28" s="44">
        <v>28249</v>
      </c>
      <c r="G28" s="45"/>
      <c r="H28" s="44">
        <v>28249</v>
      </c>
      <c r="I28" s="45"/>
      <c r="J28" s="44">
        <v>28249</v>
      </c>
    </row>
    <row r="29" spans="1:10" x14ac:dyDescent="0.3">
      <c r="A29" s="43"/>
      <c r="B29" s="43"/>
      <c r="C29" s="43" t="s">
        <v>449</v>
      </c>
      <c r="D29" s="43"/>
      <c r="E29" s="43"/>
      <c r="F29" s="44">
        <v>-2064</v>
      </c>
      <c r="G29" s="45"/>
      <c r="H29" s="44">
        <v>0</v>
      </c>
      <c r="I29" s="45"/>
      <c r="J29" s="44">
        <v>0</v>
      </c>
    </row>
    <row r="30" spans="1:10" ht="15" thickBot="1" x14ac:dyDescent="0.35">
      <c r="A30" s="43"/>
      <c r="B30" s="43"/>
      <c r="C30" s="43" t="s">
        <v>450</v>
      </c>
      <c r="D30" s="43"/>
      <c r="E30" s="43"/>
      <c r="F30" s="46">
        <v>-2293325</v>
      </c>
      <c r="G30" s="45"/>
      <c r="H30" s="46">
        <v>-2662670</v>
      </c>
      <c r="I30" s="45"/>
      <c r="J30" s="46">
        <v>-3004790</v>
      </c>
    </row>
    <row r="31" spans="1:10" x14ac:dyDescent="0.3">
      <c r="A31" s="43"/>
      <c r="B31" s="43" t="s">
        <v>136</v>
      </c>
      <c r="C31" s="43"/>
      <c r="D31" s="43"/>
      <c r="E31" s="43"/>
      <c r="F31" s="44">
        <f>ROUND(SUM(F19:F30),5)</f>
        <v>10505587</v>
      </c>
      <c r="G31" s="45"/>
      <c r="H31" s="44">
        <f>ROUND(SUM(H19:H30),5)</f>
        <v>9765399</v>
      </c>
      <c r="I31" s="45"/>
      <c r="J31" s="44">
        <f>ROUND(SUM(J19:J30),5)</f>
        <v>9437589</v>
      </c>
    </row>
    <row r="32" spans="1:10" ht="30" customHeight="1" x14ac:dyDescent="0.3">
      <c r="A32" s="43"/>
      <c r="B32" s="43" t="s">
        <v>137</v>
      </c>
      <c r="C32" s="43"/>
      <c r="D32" s="43"/>
      <c r="E32" s="43"/>
      <c r="F32" s="44"/>
      <c r="G32" s="45"/>
      <c r="H32" s="44"/>
      <c r="I32" s="45"/>
      <c r="J32" s="44"/>
    </row>
    <row r="33" spans="1:10" x14ac:dyDescent="0.3">
      <c r="A33" s="43"/>
      <c r="B33" s="43"/>
      <c r="C33" s="43" t="s">
        <v>451</v>
      </c>
      <c r="D33" s="43"/>
      <c r="E33" s="43"/>
      <c r="F33" s="44">
        <v>0</v>
      </c>
      <c r="G33" s="45"/>
      <c r="H33" s="44">
        <v>0</v>
      </c>
      <c r="I33" s="45"/>
      <c r="J33" s="44">
        <v>14425</v>
      </c>
    </row>
    <row r="34" spans="1:10" x14ac:dyDescent="0.3">
      <c r="A34" s="43"/>
      <c r="B34" s="43"/>
      <c r="C34" s="43" t="s">
        <v>452</v>
      </c>
      <c r="D34" s="43"/>
      <c r="E34" s="43"/>
      <c r="F34" s="44">
        <v>182924</v>
      </c>
      <c r="G34" s="45"/>
      <c r="H34" s="44">
        <v>182924</v>
      </c>
      <c r="I34" s="45"/>
      <c r="J34" s="44">
        <v>173399</v>
      </c>
    </row>
    <row r="35" spans="1:10" x14ac:dyDescent="0.3">
      <c r="A35" s="43"/>
      <c r="B35" s="43"/>
      <c r="C35" s="43" t="s">
        <v>453</v>
      </c>
      <c r="D35" s="43"/>
      <c r="E35" s="43"/>
      <c r="F35" s="44">
        <v>62864</v>
      </c>
      <c r="G35" s="45"/>
      <c r="H35" s="44">
        <v>62864</v>
      </c>
      <c r="I35" s="45"/>
      <c r="J35" s="44">
        <v>63583</v>
      </c>
    </row>
    <row r="36" spans="1:10" ht="15" thickBot="1" x14ac:dyDescent="0.35">
      <c r="A36" s="43"/>
      <c r="B36" s="43"/>
      <c r="C36" s="43" t="s">
        <v>308</v>
      </c>
      <c r="D36" s="43"/>
      <c r="E36" s="43"/>
      <c r="F36" s="44">
        <v>-123801</v>
      </c>
      <c r="G36" s="45"/>
      <c r="H36" s="44">
        <v>-169381</v>
      </c>
      <c r="I36" s="45"/>
      <c r="J36" s="44">
        <v>-204063</v>
      </c>
    </row>
    <row r="37" spans="1:10" ht="15" thickBot="1" x14ac:dyDescent="0.35">
      <c r="A37" s="43"/>
      <c r="B37" s="43" t="s">
        <v>141</v>
      </c>
      <c r="C37" s="43"/>
      <c r="D37" s="43"/>
      <c r="E37" s="43"/>
      <c r="F37" s="48">
        <f>ROUND(SUM(F32:F36),5)</f>
        <v>121987</v>
      </c>
      <c r="G37" s="45"/>
      <c r="H37" s="48">
        <f>ROUND(SUM(H32:H36),5)</f>
        <v>76407</v>
      </c>
      <c r="I37" s="45"/>
      <c r="J37" s="48">
        <f>ROUND(SUM(J32:J36),5)</f>
        <v>47344</v>
      </c>
    </row>
    <row r="38" spans="1:10" s="50" customFormat="1" ht="30" customHeight="1" thickBot="1" x14ac:dyDescent="0.25">
      <c r="A38" s="43" t="s">
        <v>142</v>
      </c>
      <c r="B38" s="43"/>
      <c r="C38" s="43"/>
      <c r="D38" s="43"/>
      <c r="E38" s="43"/>
      <c r="F38" s="49">
        <f>ROUND(F2+F18+F31+F37,5)</f>
        <v>11150909</v>
      </c>
      <c r="G38" s="43"/>
      <c r="H38" s="49">
        <f>ROUND(H2+H18+H31+H37,5)</f>
        <v>11000696</v>
      </c>
      <c r="I38" s="43"/>
      <c r="J38" s="49">
        <f>ROUND(J2+J18+J31+J37,5)</f>
        <v>10186083</v>
      </c>
    </row>
    <row r="39" spans="1:10" ht="31.5" customHeight="1" thickTop="1" x14ac:dyDescent="0.3">
      <c r="A39" s="43" t="s">
        <v>143</v>
      </c>
      <c r="B39" s="43"/>
      <c r="C39" s="43"/>
      <c r="D39" s="43"/>
      <c r="E39" s="43"/>
      <c r="F39" s="44"/>
      <c r="G39" s="45"/>
      <c r="H39" s="44"/>
      <c r="I39" s="45"/>
      <c r="J39" s="44"/>
    </row>
    <row r="40" spans="1:10" x14ac:dyDescent="0.3">
      <c r="A40" s="43"/>
      <c r="B40" s="43" t="s">
        <v>144</v>
      </c>
      <c r="C40" s="43"/>
      <c r="D40" s="43"/>
      <c r="E40" s="43"/>
      <c r="F40" s="44"/>
      <c r="G40" s="45"/>
      <c r="H40" s="44"/>
      <c r="I40" s="45"/>
      <c r="J40" s="44"/>
    </row>
    <row r="41" spans="1:10" x14ac:dyDescent="0.3">
      <c r="A41" s="43"/>
      <c r="B41" s="43"/>
      <c r="C41" s="43" t="s">
        <v>145</v>
      </c>
      <c r="D41" s="43"/>
      <c r="E41" s="43"/>
      <c r="F41" s="44"/>
      <c r="G41" s="45"/>
      <c r="H41" s="44"/>
      <c r="I41" s="45"/>
      <c r="J41" s="44"/>
    </row>
    <row r="42" spans="1:10" x14ac:dyDescent="0.3">
      <c r="A42" s="43"/>
      <c r="B42" s="43"/>
      <c r="C42" s="43"/>
      <c r="D42" s="43" t="s">
        <v>146</v>
      </c>
      <c r="E42" s="43"/>
      <c r="F42" s="44"/>
      <c r="G42" s="45"/>
      <c r="H42" s="44"/>
      <c r="I42" s="45"/>
      <c r="J42" s="44"/>
    </row>
    <row r="43" spans="1:10" ht="15" thickBot="1" x14ac:dyDescent="0.35">
      <c r="A43" s="43"/>
      <c r="B43" s="43"/>
      <c r="C43" s="43"/>
      <c r="D43" s="43"/>
      <c r="E43" s="43" t="s">
        <v>146</v>
      </c>
      <c r="F43" s="46">
        <v>75901</v>
      </c>
      <c r="G43" s="45"/>
      <c r="H43" s="46">
        <v>82260</v>
      </c>
      <c r="I43" s="45"/>
      <c r="J43" s="46">
        <v>87830</v>
      </c>
    </row>
    <row r="44" spans="1:10" x14ac:dyDescent="0.3">
      <c r="A44" s="43"/>
      <c r="B44" s="43"/>
      <c r="C44" s="43"/>
      <c r="D44" s="43" t="s">
        <v>147</v>
      </c>
      <c r="E44" s="43"/>
      <c r="F44" s="44">
        <f>ROUND(SUM(F42:F43),5)</f>
        <v>75901</v>
      </c>
      <c r="G44" s="45"/>
      <c r="H44" s="44">
        <f>ROUND(SUM(H42:H43),5)</f>
        <v>82260</v>
      </c>
      <c r="I44" s="45"/>
      <c r="J44" s="44">
        <f>ROUND(SUM(J42:J43),5)</f>
        <v>87830</v>
      </c>
    </row>
    <row r="45" spans="1:10" ht="30" customHeight="1" x14ac:dyDescent="0.3">
      <c r="A45" s="43"/>
      <c r="B45" s="43"/>
      <c r="C45" s="43"/>
      <c r="D45" s="43" t="s">
        <v>148</v>
      </c>
      <c r="E45" s="43"/>
      <c r="F45" s="44"/>
      <c r="G45" s="45"/>
      <c r="H45" s="44"/>
      <c r="I45" s="45"/>
      <c r="J45" s="44"/>
    </row>
    <row r="46" spans="1:10" x14ac:dyDescent="0.3">
      <c r="A46" s="43"/>
      <c r="B46" s="43"/>
      <c r="C46" s="43"/>
      <c r="D46" s="43"/>
      <c r="E46" s="43" t="s">
        <v>151</v>
      </c>
      <c r="F46" s="44">
        <v>53983</v>
      </c>
      <c r="G46" s="45"/>
      <c r="H46" s="44">
        <v>53983</v>
      </c>
      <c r="I46" s="45"/>
      <c r="J46" s="44">
        <v>57088</v>
      </c>
    </row>
    <row r="47" spans="1:10" ht="15" thickBot="1" x14ac:dyDescent="0.35">
      <c r="A47" s="43"/>
      <c r="B47" s="43"/>
      <c r="C47" s="43"/>
      <c r="D47" s="43"/>
      <c r="E47" s="43" t="s">
        <v>454</v>
      </c>
      <c r="F47" s="44">
        <v>151824</v>
      </c>
      <c r="G47" s="45"/>
      <c r="H47" s="44">
        <v>125393</v>
      </c>
      <c r="I47" s="45"/>
      <c r="J47" s="44">
        <v>115619</v>
      </c>
    </row>
    <row r="48" spans="1:10" ht="15" thickBot="1" x14ac:dyDescent="0.35">
      <c r="A48" s="43"/>
      <c r="B48" s="43"/>
      <c r="C48" s="43"/>
      <c r="D48" s="43" t="s">
        <v>152</v>
      </c>
      <c r="E48" s="43"/>
      <c r="F48" s="47">
        <f>ROUND(SUM(F45:F47),5)</f>
        <v>205807</v>
      </c>
      <c r="G48" s="45"/>
      <c r="H48" s="47">
        <f>ROUND(SUM(H45:H47),5)</f>
        <v>179376</v>
      </c>
      <c r="I48" s="45"/>
      <c r="J48" s="47">
        <f>ROUND(SUM(J45:J47),5)</f>
        <v>172707</v>
      </c>
    </row>
    <row r="49" spans="1:10" ht="30" customHeight="1" x14ac:dyDescent="0.3">
      <c r="A49" s="43"/>
      <c r="B49" s="43"/>
      <c r="C49" s="43" t="s">
        <v>153</v>
      </c>
      <c r="D49" s="43"/>
      <c r="E49" s="43"/>
      <c r="F49" s="44">
        <f>ROUND(F41+F44+F48,5)</f>
        <v>281708</v>
      </c>
      <c r="G49" s="45"/>
      <c r="H49" s="44">
        <f>ROUND(H41+H44+H48,5)</f>
        <v>261636</v>
      </c>
      <c r="I49" s="45"/>
      <c r="J49" s="44">
        <f>ROUND(J41+J44+J48,5)</f>
        <v>260537</v>
      </c>
    </row>
    <row r="50" spans="1:10" ht="30" customHeight="1" x14ac:dyDescent="0.3">
      <c r="A50" s="43"/>
      <c r="B50" s="43"/>
      <c r="C50" s="43" t="s">
        <v>154</v>
      </c>
      <c r="D50" s="43"/>
      <c r="E50" s="43"/>
      <c r="F50" s="44"/>
      <c r="G50" s="45"/>
      <c r="H50" s="44"/>
      <c r="I50" s="45"/>
      <c r="J50" s="44"/>
    </row>
    <row r="51" spans="1:10" x14ac:dyDescent="0.3">
      <c r="A51" s="43"/>
      <c r="B51" s="43"/>
      <c r="C51" s="43"/>
      <c r="D51" s="43" t="s">
        <v>455</v>
      </c>
      <c r="E51" s="43"/>
      <c r="F51" s="44">
        <v>7885610</v>
      </c>
      <c r="G51" s="45"/>
      <c r="H51" s="44">
        <v>7606430</v>
      </c>
      <c r="I51" s="45"/>
      <c r="J51" s="51">
        <v>7442982</v>
      </c>
    </row>
    <row r="52" spans="1:10" ht="15" thickBot="1" x14ac:dyDescent="0.35">
      <c r="A52" s="43"/>
      <c r="B52" s="43"/>
      <c r="C52" s="43"/>
      <c r="D52" s="43" t="s">
        <v>456</v>
      </c>
      <c r="E52" s="43"/>
      <c r="F52" s="44">
        <v>2240527</v>
      </c>
      <c r="G52" s="45"/>
      <c r="H52" s="44">
        <v>2185086</v>
      </c>
      <c r="I52" s="45"/>
      <c r="J52" s="51">
        <v>2145343</v>
      </c>
    </row>
    <row r="53" spans="1:10" ht="15" thickBot="1" x14ac:dyDescent="0.35">
      <c r="A53" s="43"/>
      <c r="B53" s="43"/>
      <c r="C53" s="43" t="s">
        <v>157</v>
      </c>
      <c r="D53" s="43"/>
      <c r="E53" s="43"/>
      <c r="F53" s="47">
        <f>ROUND(SUM(F50:F52),5)</f>
        <v>10126137</v>
      </c>
      <c r="G53" s="45"/>
      <c r="H53" s="47">
        <f>ROUND(SUM(H50:H52),5)</f>
        <v>9791516</v>
      </c>
      <c r="I53" s="45"/>
      <c r="J53" s="47">
        <f>ROUND(SUM(J50:J52),5)</f>
        <v>9588325</v>
      </c>
    </row>
    <row r="54" spans="1:10" ht="30" customHeight="1" x14ac:dyDescent="0.3">
      <c r="A54" s="43"/>
      <c r="B54" s="43" t="s">
        <v>158</v>
      </c>
      <c r="C54" s="43"/>
      <c r="D54" s="43"/>
      <c r="E54" s="43"/>
      <c r="F54" s="44">
        <f>ROUND(F40+F49+F53,5)</f>
        <v>10407845</v>
      </c>
      <c r="G54" s="45"/>
      <c r="H54" s="44">
        <f>ROUND(H40+H49+H53,5)</f>
        <v>10053152</v>
      </c>
      <c r="I54" s="45"/>
      <c r="J54" s="44">
        <f>ROUND(J40+J49+J53,5)</f>
        <v>9848862</v>
      </c>
    </row>
    <row r="55" spans="1:10" ht="30" customHeight="1" x14ac:dyDescent="0.3">
      <c r="A55" s="43"/>
      <c r="B55" s="43" t="s">
        <v>159</v>
      </c>
      <c r="C55" s="43"/>
      <c r="D55" s="43"/>
      <c r="E55" s="43"/>
      <c r="F55" s="44"/>
      <c r="G55" s="45"/>
      <c r="H55" s="44"/>
      <c r="I55" s="45"/>
      <c r="J55" s="44"/>
    </row>
    <row r="56" spans="1:10" x14ac:dyDescent="0.3">
      <c r="A56" s="43"/>
      <c r="B56" s="43"/>
      <c r="C56" s="43" t="s">
        <v>457</v>
      </c>
      <c r="D56" s="43"/>
      <c r="E56" s="43"/>
      <c r="F56" s="44">
        <v>-864729</v>
      </c>
      <c r="G56" s="45"/>
      <c r="H56" s="44">
        <v>-760444</v>
      </c>
      <c r="I56" s="45"/>
      <c r="J56" s="44">
        <v>-760444</v>
      </c>
    </row>
    <row r="57" spans="1:10" x14ac:dyDescent="0.3">
      <c r="A57" s="43"/>
      <c r="B57" s="43"/>
      <c r="C57" s="43" t="s">
        <v>362</v>
      </c>
      <c r="D57" s="43"/>
      <c r="E57" s="43"/>
      <c r="F57" s="44">
        <v>0</v>
      </c>
      <c r="G57" s="45"/>
      <c r="H57" s="44">
        <v>0</v>
      </c>
      <c r="I57" s="45"/>
      <c r="J57" s="44">
        <v>-425850</v>
      </c>
    </row>
    <row r="58" spans="1:10" x14ac:dyDescent="0.3">
      <c r="A58" s="43"/>
      <c r="B58" s="43"/>
      <c r="C58" s="43" t="s">
        <v>458</v>
      </c>
      <c r="D58" s="43"/>
      <c r="E58" s="43"/>
      <c r="F58" s="44">
        <v>1626246</v>
      </c>
      <c r="G58" s="45"/>
      <c r="H58" s="44">
        <v>1713151</v>
      </c>
      <c r="I58" s="45"/>
      <c r="J58" s="44">
        <v>1713151</v>
      </c>
    </row>
    <row r="59" spans="1:10" x14ac:dyDescent="0.3">
      <c r="A59" s="43"/>
      <c r="B59" s="43"/>
      <c r="C59" s="43" t="s">
        <v>459</v>
      </c>
      <c r="D59" s="43"/>
      <c r="E59" s="43"/>
      <c r="F59" s="44">
        <v>0</v>
      </c>
      <c r="G59" s="45"/>
      <c r="H59" s="44">
        <v>0</v>
      </c>
      <c r="I59" s="45"/>
      <c r="J59" s="44">
        <v>-354875</v>
      </c>
    </row>
    <row r="60" spans="1:10" x14ac:dyDescent="0.3">
      <c r="A60" s="43"/>
      <c r="B60" s="43"/>
      <c r="C60" s="43" t="s">
        <v>460</v>
      </c>
      <c r="D60" s="43"/>
      <c r="E60" s="43"/>
      <c r="F60" s="44">
        <v>-18456</v>
      </c>
      <c r="G60" s="45"/>
      <c r="H60" s="44">
        <v>-5165</v>
      </c>
      <c r="I60" s="45"/>
      <c r="J60" s="44">
        <v>-5165</v>
      </c>
    </row>
    <row r="61" spans="1:10" x14ac:dyDescent="0.3">
      <c r="A61" s="43"/>
      <c r="B61" s="43"/>
      <c r="C61" s="43" t="s">
        <v>461</v>
      </c>
      <c r="D61" s="43"/>
      <c r="E61" s="43"/>
      <c r="F61" s="44">
        <v>0</v>
      </c>
      <c r="G61" s="45"/>
      <c r="H61" s="44">
        <v>0</v>
      </c>
      <c r="I61" s="45"/>
      <c r="J61" s="44">
        <v>-54275</v>
      </c>
    </row>
    <row r="62" spans="1:10" x14ac:dyDescent="0.3">
      <c r="A62" s="43"/>
      <c r="B62" s="43"/>
      <c r="C62" s="43" t="s">
        <v>164</v>
      </c>
      <c r="D62" s="43"/>
      <c r="E62" s="43"/>
      <c r="F62" s="44">
        <v>-118323</v>
      </c>
      <c r="G62" s="45"/>
      <c r="H62" s="44">
        <v>-629481</v>
      </c>
      <c r="I62" s="45"/>
      <c r="J62" s="44">
        <v>0</v>
      </c>
    </row>
    <row r="63" spans="1:10" ht="15" thickBot="1" x14ac:dyDescent="0.35">
      <c r="A63" s="43"/>
      <c r="B63" s="43"/>
      <c r="C63" s="43" t="s">
        <v>165</v>
      </c>
      <c r="D63" s="43"/>
      <c r="E63" s="43"/>
      <c r="F63" s="44">
        <v>118323</v>
      </c>
      <c r="G63" s="45"/>
      <c r="H63" s="44">
        <v>629481</v>
      </c>
      <c r="I63" s="45"/>
      <c r="J63" s="44">
        <v>224679</v>
      </c>
    </row>
    <row r="64" spans="1:10" ht="15" thickBot="1" x14ac:dyDescent="0.35">
      <c r="A64" s="43"/>
      <c r="B64" s="43" t="s">
        <v>166</v>
      </c>
      <c r="C64" s="43"/>
      <c r="D64" s="43"/>
      <c r="E64" s="43"/>
      <c r="F64" s="48">
        <f>ROUND(SUM(F55:F63),5)</f>
        <v>743061</v>
      </c>
      <c r="G64" s="45"/>
      <c r="H64" s="48">
        <f>ROUND(SUM(H55:H63),5)</f>
        <v>947542</v>
      </c>
      <c r="I64" s="45"/>
      <c r="J64" s="48">
        <f>ROUND(SUM(J55:J63),5)</f>
        <v>337221</v>
      </c>
    </row>
    <row r="65" spans="1:10" s="50" customFormat="1" ht="30" customHeight="1" thickBot="1" x14ac:dyDescent="0.25">
      <c r="A65" s="43" t="s">
        <v>167</v>
      </c>
      <c r="B65" s="43"/>
      <c r="C65" s="43"/>
      <c r="D65" s="43"/>
      <c r="E65" s="43"/>
      <c r="F65" s="49">
        <f>ROUND(F39+F54+F64,5)</f>
        <v>11150906</v>
      </c>
      <c r="G65" s="43"/>
      <c r="H65" s="49">
        <f>ROUND(H39+H54+H64,5)</f>
        <v>11000694</v>
      </c>
      <c r="I65" s="43"/>
      <c r="J65" s="49">
        <f>ROUND(J39+J54+J64,5)</f>
        <v>10186083</v>
      </c>
    </row>
    <row r="66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11:14 AM
&amp;"Arial,Bold"&amp;8 02/17/14
&amp;"Arial,Bold"&amp;8 Accrual Basis&amp;C&amp;"Arial,Bold"&amp;12 NR6, LLC
&amp;"Arial,Bold"&amp;14 Comparative Balance Sheet
&amp;"Arial,Bold"&amp;10 As of 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457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4578" r:id="rId4" name="HEADER"/>
      </mc:Fallback>
    </mc:AlternateContent>
    <mc:AlternateContent xmlns:mc="http://schemas.openxmlformats.org/markup-compatibility/2006">
      <mc:Choice Requires="x14">
        <control shapeId="2457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4577" r:id="rId6" name="FILTER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53"/>
  <dimension ref="A1:N167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2.109375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7.8867187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44"/>
      <c r="I2" s="45"/>
      <c r="J2" s="44"/>
      <c r="K2" s="45"/>
      <c r="L2" s="44"/>
      <c r="M2" s="45"/>
      <c r="N2" s="44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44"/>
      <c r="I3" s="45"/>
      <c r="J3" s="44"/>
      <c r="K3" s="45"/>
      <c r="L3" s="44"/>
      <c r="M3" s="45"/>
      <c r="N3" s="44"/>
    </row>
    <row r="4" spans="1:14" x14ac:dyDescent="0.3">
      <c r="A4" s="43"/>
      <c r="B4" s="43"/>
      <c r="C4" s="43"/>
      <c r="D4" s="43"/>
      <c r="E4" s="43" t="s">
        <v>174</v>
      </c>
      <c r="F4" s="43"/>
      <c r="G4" s="43"/>
      <c r="H4" s="44">
        <v>1658222</v>
      </c>
      <c r="I4" s="45"/>
      <c r="J4" s="44">
        <v>1698152</v>
      </c>
      <c r="K4" s="45"/>
      <c r="L4" s="44">
        <v>1706408</v>
      </c>
      <c r="M4" s="45"/>
      <c r="N4" s="44">
        <f t="shared" ref="N4:N13" si="0">ROUND(SUM(H4:L4),5)</f>
        <v>5062782</v>
      </c>
    </row>
    <row r="5" spans="1:14" x14ac:dyDescent="0.3">
      <c r="A5" s="43"/>
      <c r="B5" s="43"/>
      <c r="C5" s="43"/>
      <c r="D5" s="43"/>
      <c r="E5" s="43" t="s">
        <v>462</v>
      </c>
      <c r="F5" s="43"/>
      <c r="G5" s="43"/>
      <c r="H5" s="44">
        <v>176394</v>
      </c>
      <c r="I5" s="45"/>
      <c r="J5" s="44">
        <v>238905</v>
      </c>
      <c r="K5" s="45"/>
      <c r="L5" s="44">
        <v>109179</v>
      </c>
      <c r="M5" s="45"/>
      <c r="N5" s="44">
        <f t="shared" si="0"/>
        <v>524478</v>
      </c>
    </row>
    <row r="6" spans="1:14" x14ac:dyDescent="0.3">
      <c r="A6" s="43"/>
      <c r="B6" s="43"/>
      <c r="C6" s="43"/>
      <c r="D6" s="43"/>
      <c r="E6" s="43" t="s">
        <v>175</v>
      </c>
      <c r="F6" s="43"/>
      <c r="G6" s="43"/>
      <c r="H6" s="44">
        <v>34050</v>
      </c>
      <c r="I6" s="45"/>
      <c r="J6" s="44">
        <v>42760</v>
      </c>
      <c r="K6" s="45"/>
      <c r="L6" s="44">
        <v>44627</v>
      </c>
      <c r="M6" s="45"/>
      <c r="N6" s="44">
        <f t="shared" si="0"/>
        <v>121437</v>
      </c>
    </row>
    <row r="7" spans="1:14" x14ac:dyDescent="0.3">
      <c r="A7" s="43"/>
      <c r="B7" s="43"/>
      <c r="C7" s="43"/>
      <c r="D7" s="43"/>
      <c r="E7" s="43" t="s">
        <v>176</v>
      </c>
      <c r="F7" s="43"/>
      <c r="G7" s="43"/>
      <c r="H7" s="44">
        <v>58407</v>
      </c>
      <c r="I7" s="45"/>
      <c r="J7" s="44">
        <v>43548</v>
      </c>
      <c r="K7" s="45"/>
      <c r="L7" s="44">
        <v>77674</v>
      </c>
      <c r="M7" s="45"/>
      <c r="N7" s="44">
        <f t="shared" si="0"/>
        <v>179629</v>
      </c>
    </row>
    <row r="8" spans="1:14" x14ac:dyDescent="0.3">
      <c r="A8" s="43"/>
      <c r="B8" s="43"/>
      <c r="C8" s="43"/>
      <c r="D8" s="43"/>
      <c r="E8" s="43" t="s">
        <v>177</v>
      </c>
      <c r="F8" s="43"/>
      <c r="G8" s="43"/>
      <c r="H8" s="44">
        <v>2684</v>
      </c>
      <c r="I8" s="45"/>
      <c r="J8" s="44">
        <v>7740</v>
      </c>
      <c r="K8" s="45"/>
      <c r="L8" s="44">
        <v>7390</v>
      </c>
      <c r="M8" s="45"/>
      <c r="N8" s="44">
        <f t="shared" si="0"/>
        <v>17814</v>
      </c>
    </row>
    <row r="9" spans="1:14" x14ac:dyDescent="0.3">
      <c r="A9" s="43"/>
      <c r="B9" s="43"/>
      <c r="C9" s="43"/>
      <c r="D9" s="43"/>
      <c r="E9" s="43" t="s">
        <v>313</v>
      </c>
      <c r="F9" s="43"/>
      <c r="G9" s="43"/>
      <c r="H9" s="44">
        <v>0</v>
      </c>
      <c r="I9" s="45"/>
      <c r="J9" s="44">
        <v>5833</v>
      </c>
      <c r="K9" s="45"/>
      <c r="L9" s="44">
        <v>0</v>
      </c>
      <c r="M9" s="45"/>
      <c r="N9" s="44">
        <f t="shared" si="0"/>
        <v>5833</v>
      </c>
    </row>
    <row r="10" spans="1:14" x14ac:dyDescent="0.3">
      <c r="A10" s="43"/>
      <c r="B10" s="43"/>
      <c r="C10" s="43"/>
      <c r="D10" s="43"/>
      <c r="E10" s="43" t="s">
        <v>314</v>
      </c>
      <c r="F10" s="43"/>
      <c r="G10" s="43"/>
      <c r="H10" s="44">
        <v>303</v>
      </c>
      <c r="I10" s="45"/>
      <c r="J10" s="44">
        <v>0</v>
      </c>
      <c r="K10" s="45"/>
      <c r="L10" s="44">
        <v>1</v>
      </c>
      <c r="M10" s="45"/>
      <c r="N10" s="44">
        <f t="shared" si="0"/>
        <v>304</v>
      </c>
    </row>
    <row r="11" spans="1:14" ht="15" thickBot="1" x14ac:dyDescent="0.35">
      <c r="A11" s="43"/>
      <c r="B11" s="43"/>
      <c r="C11" s="43"/>
      <c r="D11" s="43"/>
      <c r="E11" s="43" t="s">
        <v>315</v>
      </c>
      <c r="F11" s="43"/>
      <c r="G11" s="43"/>
      <c r="H11" s="44">
        <v>47653</v>
      </c>
      <c r="I11" s="45"/>
      <c r="J11" s="44">
        <v>0</v>
      </c>
      <c r="K11" s="45"/>
      <c r="L11" s="44">
        <v>250</v>
      </c>
      <c r="M11" s="45"/>
      <c r="N11" s="44">
        <f t="shared" si="0"/>
        <v>47903</v>
      </c>
    </row>
    <row r="12" spans="1:14" ht="15" thickBot="1" x14ac:dyDescent="0.35">
      <c r="A12" s="43"/>
      <c r="B12" s="43"/>
      <c r="C12" s="43"/>
      <c r="D12" s="43" t="s">
        <v>180</v>
      </c>
      <c r="E12" s="43"/>
      <c r="F12" s="43"/>
      <c r="G12" s="43"/>
      <c r="H12" s="47">
        <f>ROUND(SUM(H3:H11),5)</f>
        <v>1977713</v>
      </c>
      <c r="I12" s="45"/>
      <c r="J12" s="47">
        <f>ROUND(SUM(J3:J11),5)</f>
        <v>2036938</v>
      </c>
      <c r="K12" s="45"/>
      <c r="L12" s="47">
        <f>ROUND(SUM(L3:L11),5)</f>
        <v>1945529</v>
      </c>
      <c r="M12" s="45"/>
      <c r="N12" s="47">
        <f t="shared" si="0"/>
        <v>5960180</v>
      </c>
    </row>
    <row r="13" spans="1:14" ht="30" customHeight="1" x14ac:dyDescent="0.3">
      <c r="A13" s="43"/>
      <c r="B13" s="43"/>
      <c r="C13" s="43" t="s">
        <v>181</v>
      </c>
      <c r="D13" s="43"/>
      <c r="E13" s="43"/>
      <c r="F13" s="43"/>
      <c r="G13" s="43"/>
      <c r="H13" s="44">
        <f>H12</f>
        <v>1977713</v>
      </c>
      <c r="I13" s="45"/>
      <c r="J13" s="44">
        <f>J12</f>
        <v>2036938</v>
      </c>
      <c r="K13" s="45"/>
      <c r="L13" s="44">
        <f>L12</f>
        <v>1945529</v>
      </c>
      <c r="M13" s="45"/>
      <c r="N13" s="44">
        <f t="shared" si="0"/>
        <v>5960180</v>
      </c>
    </row>
    <row r="14" spans="1:14" ht="30" customHeight="1" x14ac:dyDescent="0.3">
      <c r="A14" s="43"/>
      <c r="B14" s="43"/>
      <c r="C14" s="43"/>
      <c r="D14" s="43" t="s">
        <v>182</v>
      </c>
      <c r="E14" s="43"/>
      <c r="F14" s="43"/>
      <c r="G14" s="43"/>
      <c r="H14" s="44"/>
      <c r="I14" s="45"/>
      <c r="J14" s="44"/>
      <c r="K14" s="45"/>
      <c r="L14" s="44"/>
      <c r="M14" s="45"/>
      <c r="N14" s="44"/>
    </row>
    <row r="15" spans="1:14" x14ac:dyDescent="0.3">
      <c r="A15" s="43"/>
      <c r="B15" s="43"/>
      <c r="C15" s="43"/>
      <c r="D15" s="43"/>
      <c r="E15" s="43" t="s">
        <v>184</v>
      </c>
      <c r="F15" s="43"/>
      <c r="G15" s="43"/>
      <c r="H15" s="44">
        <v>0</v>
      </c>
      <c r="I15" s="45"/>
      <c r="J15" s="44">
        <v>1</v>
      </c>
      <c r="K15" s="45"/>
      <c r="L15" s="44">
        <v>0</v>
      </c>
      <c r="M15" s="45"/>
      <c r="N15" s="44">
        <f>ROUND(SUM(H15:L15),5)</f>
        <v>1</v>
      </c>
    </row>
    <row r="16" spans="1:14" x14ac:dyDescent="0.3">
      <c r="A16" s="43"/>
      <c r="B16" s="43"/>
      <c r="C16" s="43"/>
      <c r="D16" s="43"/>
      <c r="E16" s="43" t="s">
        <v>183</v>
      </c>
      <c r="F16" s="43"/>
      <c r="G16" s="43"/>
      <c r="H16" s="44"/>
      <c r="I16" s="45"/>
      <c r="J16" s="44"/>
      <c r="K16" s="45"/>
      <c r="L16" s="44"/>
      <c r="M16" s="45"/>
      <c r="N16" s="44"/>
    </row>
    <row r="17" spans="1:14" x14ac:dyDescent="0.3">
      <c r="A17" s="43"/>
      <c r="B17" s="43"/>
      <c r="C17" s="43"/>
      <c r="D17" s="43"/>
      <c r="E17" s="43"/>
      <c r="F17" s="43" t="s">
        <v>186</v>
      </c>
      <c r="G17" s="43"/>
      <c r="H17" s="44"/>
      <c r="I17" s="45"/>
      <c r="J17" s="44"/>
      <c r="K17" s="45"/>
      <c r="L17" s="44"/>
      <c r="M17" s="45"/>
      <c r="N17" s="44"/>
    </row>
    <row r="18" spans="1:14" x14ac:dyDescent="0.3">
      <c r="A18" s="43"/>
      <c r="B18" s="43"/>
      <c r="C18" s="43"/>
      <c r="D18" s="43"/>
      <c r="E18" s="43"/>
      <c r="F18" s="43"/>
      <c r="G18" s="43" t="s">
        <v>365</v>
      </c>
      <c r="H18" s="44">
        <v>20388</v>
      </c>
      <c r="I18" s="45"/>
      <c r="J18" s="44">
        <v>0</v>
      </c>
      <c r="K18" s="45"/>
      <c r="L18" s="44">
        <v>0</v>
      </c>
      <c r="M18" s="45"/>
      <c r="N18" s="44">
        <f t="shared" ref="N18:N25" si="1">ROUND(SUM(H18:L18),5)</f>
        <v>20388</v>
      </c>
    </row>
    <row r="19" spans="1:14" ht="15" thickBot="1" x14ac:dyDescent="0.35">
      <c r="A19" s="43"/>
      <c r="B19" s="43"/>
      <c r="C19" s="43"/>
      <c r="D19" s="43"/>
      <c r="E19" s="43"/>
      <c r="F19" s="43"/>
      <c r="G19" s="43" t="s">
        <v>188</v>
      </c>
      <c r="H19" s="46">
        <v>0</v>
      </c>
      <c r="I19" s="45"/>
      <c r="J19" s="46">
        <v>0</v>
      </c>
      <c r="K19" s="45"/>
      <c r="L19" s="46">
        <v>249143</v>
      </c>
      <c r="M19" s="45"/>
      <c r="N19" s="46">
        <f t="shared" si="1"/>
        <v>249143</v>
      </c>
    </row>
    <row r="20" spans="1:14" x14ac:dyDescent="0.3">
      <c r="A20" s="43"/>
      <c r="B20" s="43"/>
      <c r="C20" s="43"/>
      <c r="D20" s="43"/>
      <c r="E20" s="43"/>
      <c r="F20" s="43" t="s">
        <v>189</v>
      </c>
      <c r="G20" s="43"/>
      <c r="H20" s="44">
        <f>ROUND(SUM(H17:H19),5)</f>
        <v>20388</v>
      </c>
      <c r="I20" s="45"/>
      <c r="J20" s="44">
        <f>ROUND(SUM(J17:J19),5)</f>
        <v>0</v>
      </c>
      <c r="K20" s="45"/>
      <c r="L20" s="44">
        <f>ROUND(SUM(L17:L19),5)</f>
        <v>249143</v>
      </c>
      <c r="M20" s="45"/>
      <c r="N20" s="44">
        <f t="shared" si="1"/>
        <v>269531</v>
      </c>
    </row>
    <row r="21" spans="1:14" ht="30" customHeight="1" x14ac:dyDescent="0.3">
      <c r="A21" s="43"/>
      <c r="B21" s="43"/>
      <c r="C21" s="43"/>
      <c r="D21" s="43"/>
      <c r="E21" s="43"/>
      <c r="F21" s="43" t="s">
        <v>190</v>
      </c>
      <c r="G21" s="43"/>
      <c r="H21" s="44">
        <v>98886</v>
      </c>
      <c r="I21" s="45"/>
      <c r="J21" s="44">
        <v>102175</v>
      </c>
      <c r="K21" s="45"/>
      <c r="L21" s="44">
        <v>101535</v>
      </c>
      <c r="M21" s="45"/>
      <c r="N21" s="44">
        <f t="shared" si="1"/>
        <v>302596</v>
      </c>
    </row>
    <row r="22" spans="1:14" x14ac:dyDescent="0.3">
      <c r="A22" s="43"/>
      <c r="B22" s="43"/>
      <c r="C22" s="43"/>
      <c r="D22" s="43"/>
      <c r="E22" s="43"/>
      <c r="F22" s="43" t="s">
        <v>463</v>
      </c>
      <c r="G22" s="43"/>
      <c r="H22" s="44">
        <v>105</v>
      </c>
      <c r="I22" s="45"/>
      <c r="J22" s="44">
        <v>62</v>
      </c>
      <c r="K22" s="45"/>
      <c r="L22" s="44">
        <v>39</v>
      </c>
      <c r="M22" s="45"/>
      <c r="N22" s="44">
        <f t="shared" si="1"/>
        <v>206</v>
      </c>
    </row>
    <row r="23" spans="1:14" x14ac:dyDescent="0.3">
      <c r="A23" s="43"/>
      <c r="B23" s="43"/>
      <c r="C23" s="43"/>
      <c r="D23" s="43"/>
      <c r="E23" s="43"/>
      <c r="F23" s="43" t="s">
        <v>192</v>
      </c>
      <c r="G23" s="43"/>
      <c r="H23" s="44">
        <v>317</v>
      </c>
      <c r="I23" s="45"/>
      <c r="J23" s="44">
        <v>163</v>
      </c>
      <c r="K23" s="45"/>
      <c r="L23" s="44">
        <v>178</v>
      </c>
      <c r="M23" s="45"/>
      <c r="N23" s="44">
        <f t="shared" si="1"/>
        <v>658</v>
      </c>
    </row>
    <row r="24" spans="1:14" x14ac:dyDescent="0.3">
      <c r="A24" s="43"/>
      <c r="B24" s="43"/>
      <c r="C24" s="43"/>
      <c r="D24" s="43"/>
      <c r="E24" s="43"/>
      <c r="F24" s="43" t="s">
        <v>193</v>
      </c>
      <c r="G24" s="43"/>
      <c r="H24" s="44">
        <v>12</v>
      </c>
      <c r="I24" s="45"/>
      <c r="J24" s="44">
        <v>15</v>
      </c>
      <c r="K24" s="45"/>
      <c r="L24" s="44">
        <v>241</v>
      </c>
      <c r="M24" s="45"/>
      <c r="N24" s="44">
        <f t="shared" si="1"/>
        <v>268</v>
      </c>
    </row>
    <row r="25" spans="1:14" x14ac:dyDescent="0.3">
      <c r="A25" s="43"/>
      <c r="B25" s="43"/>
      <c r="C25" s="43"/>
      <c r="D25" s="43"/>
      <c r="E25" s="43"/>
      <c r="F25" s="43" t="s">
        <v>398</v>
      </c>
      <c r="G25" s="43"/>
      <c r="H25" s="44">
        <v>25</v>
      </c>
      <c r="I25" s="45"/>
      <c r="J25" s="44">
        <v>0</v>
      </c>
      <c r="K25" s="45"/>
      <c r="L25" s="44">
        <v>0</v>
      </c>
      <c r="M25" s="45"/>
      <c r="N25" s="44">
        <f t="shared" si="1"/>
        <v>25</v>
      </c>
    </row>
    <row r="26" spans="1:14" x14ac:dyDescent="0.3">
      <c r="A26" s="43"/>
      <c r="B26" s="43"/>
      <c r="C26" s="43"/>
      <c r="D26" s="43"/>
      <c r="E26" s="43"/>
      <c r="F26" s="43" t="s">
        <v>195</v>
      </c>
      <c r="G26" s="43"/>
      <c r="H26" s="44"/>
      <c r="I26" s="45"/>
      <c r="J26" s="44"/>
      <c r="K26" s="45"/>
      <c r="L26" s="44"/>
      <c r="M26" s="45"/>
      <c r="N26" s="44"/>
    </row>
    <row r="27" spans="1:14" x14ac:dyDescent="0.3">
      <c r="A27" s="43"/>
      <c r="B27" s="43"/>
      <c r="C27" s="43"/>
      <c r="D27" s="43"/>
      <c r="E27" s="43"/>
      <c r="F27" s="43"/>
      <c r="G27" s="43" t="s">
        <v>196</v>
      </c>
      <c r="H27" s="44">
        <v>0</v>
      </c>
      <c r="I27" s="45"/>
      <c r="J27" s="44">
        <v>0</v>
      </c>
      <c r="K27" s="45"/>
      <c r="L27" s="44">
        <v>3875</v>
      </c>
      <c r="M27" s="45"/>
      <c r="N27" s="44">
        <f t="shared" ref="N27:N35" si="2">ROUND(SUM(H27:L27),5)</f>
        <v>3875</v>
      </c>
    </row>
    <row r="28" spans="1:14" x14ac:dyDescent="0.3">
      <c r="A28" s="43"/>
      <c r="B28" s="43"/>
      <c r="C28" s="43"/>
      <c r="D28" s="43"/>
      <c r="E28" s="43"/>
      <c r="F28" s="43"/>
      <c r="G28" s="43" t="s">
        <v>197</v>
      </c>
      <c r="H28" s="44">
        <v>1200</v>
      </c>
      <c r="I28" s="45"/>
      <c r="J28" s="44">
        <v>1235</v>
      </c>
      <c r="K28" s="45"/>
      <c r="L28" s="44">
        <v>1270</v>
      </c>
      <c r="M28" s="45"/>
      <c r="N28" s="44">
        <f t="shared" si="2"/>
        <v>3705</v>
      </c>
    </row>
    <row r="29" spans="1:14" x14ac:dyDescent="0.3">
      <c r="A29" s="43"/>
      <c r="B29" s="43"/>
      <c r="C29" s="43"/>
      <c r="D29" s="43"/>
      <c r="E29" s="43"/>
      <c r="F29" s="43"/>
      <c r="G29" s="43" t="s">
        <v>369</v>
      </c>
      <c r="H29" s="44">
        <v>0</v>
      </c>
      <c r="I29" s="45"/>
      <c r="J29" s="44">
        <v>403</v>
      </c>
      <c r="K29" s="45"/>
      <c r="L29" s="44">
        <v>69702</v>
      </c>
      <c r="M29" s="45"/>
      <c r="N29" s="44">
        <f t="shared" si="2"/>
        <v>70105</v>
      </c>
    </row>
    <row r="30" spans="1:14" x14ac:dyDescent="0.3">
      <c r="A30" s="43"/>
      <c r="B30" s="43"/>
      <c r="C30" s="43"/>
      <c r="D30" s="43"/>
      <c r="E30" s="43"/>
      <c r="F30" s="43"/>
      <c r="G30" s="43" t="s">
        <v>464</v>
      </c>
      <c r="H30" s="44">
        <v>900</v>
      </c>
      <c r="I30" s="45"/>
      <c r="J30" s="44">
        <v>2300</v>
      </c>
      <c r="K30" s="45"/>
      <c r="L30" s="44">
        <v>0</v>
      </c>
      <c r="M30" s="45"/>
      <c r="N30" s="44">
        <f t="shared" si="2"/>
        <v>3200</v>
      </c>
    </row>
    <row r="31" spans="1:14" ht="15" thickBot="1" x14ac:dyDescent="0.35">
      <c r="A31" s="43"/>
      <c r="B31" s="43"/>
      <c r="C31" s="43"/>
      <c r="D31" s="43"/>
      <c r="E31" s="43"/>
      <c r="F31" s="43"/>
      <c r="G31" s="43" t="s">
        <v>199</v>
      </c>
      <c r="H31" s="46">
        <v>221</v>
      </c>
      <c r="I31" s="45"/>
      <c r="J31" s="46">
        <v>47</v>
      </c>
      <c r="K31" s="45"/>
      <c r="L31" s="46">
        <v>0</v>
      </c>
      <c r="M31" s="45"/>
      <c r="N31" s="46">
        <f t="shared" si="2"/>
        <v>268</v>
      </c>
    </row>
    <row r="32" spans="1:14" x14ac:dyDescent="0.3">
      <c r="A32" s="43"/>
      <c r="B32" s="43"/>
      <c r="C32" s="43"/>
      <c r="D32" s="43"/>
      <c r="E32" s="43"/>
      <c r="F32" s="43" t="s">
        <v>200</v>
      </c>
      <c r="G32" s="43"/>
      <c r="H32" s="44">
        <f>ROUND(SUM(H26:H31),5)</f>
        <v>2321</v>
      </c>
      <c r="I32" s="45"/>
      <c r="J32" s="44">
        <f>ROUND(SUM(J26:J31),5)</f>
        <v>3985</v>
      </c>
      <c r="K32" s="45"/>
      <c r="L32" s="44">
        <f>ROUND(SUM(L26:L31),5)</f>
        <v>74847</v>
      </c>
      <c r="M32" s="45"/>
      <c r="N32" s="44">
        <f t="shared" si="2"/>
        <v>81153</v>
      </c>
    </row>
    <row r="33" spans="1:14" ht="30" customHeight="1" x14ac:dyDescent="0.3">
      <c r="A33" s="43"/>
      <c r="B33" s="43"/>
      <c r="C33" s="43"/>
      <c r="D33" s="43"/>
      <c r="E33" s="43"/>
      <c r="F33" s="43" t="s">
        <v>320</v>
      </c>
      <c r="G33" s="43"/>
      <c r="H33" s="44">
        <v>0</v>
      </c>
      <c r="I33" s="45"/>
      <c r="J33" s="44">
        <v>34</v>
      </c>
      <c r="K33" s="45"/>
      <c r="L33" s="44">
        <v>214</v>
      </c>
      <c r="M33" s="45"/>
      <c r="N33" s="44">
        <f t="shared" si="2"/>
        <v>248</v>
      </c>
    </row>
    <row r="34" spans="1:14" ht="15" thickBot="1" x14ac:dyDescent="0.35">
      <c r="A34" s="43"/>
      <c r="B34" s="43"/>
      <c r="C34" s="43"/>
      <c r="D34" s="43"/>
      <c r="E34" s="43"/>
      <c r="F34" s="43" t="s">
        <v>201</v>
      </c>
      <c r="G34" s="43"/>
      <c r="H34" s="46">
        <v>0</v>
      </c>
      <c r="I34" s="45"/>
      <c r="J34" s="46">
        <v>175</v>
      </c>
      <c r="K34" s="45"/>
      <c r="L34" s="46">
        <v>329</v>
      </c>
      <c r="M34" s="45"/>
      <c r="N34" s="46">
        <f t="shared" si="2"/>
        <v>504</v>
      </c>
    </row>
    <row r="35" spans="1:14" x14ac:dyDescent="0.3">
      <c r="A35" s="43"/>
      <c r="B35" s="43"/>
      <c r="C35" s="43"/>
      <c r="D35" s="43"/>
      <c r="E35" s="43" t="s">
        <v>202</v>
      </c>
      <c r="F35" s="43"/>
      <c r="G35" s="43"/>
      <c r="H35" s="44">
        <f>ROUND(H16+SUM(H20:H25)+SUM(H32:H34),5)</f>
        <v>122054</v>
      </c>
      <c r="I35" s="45"/>
      <c r="J35" s="44">
        <f>ROUND(J16+SUM(J20:J25)+SUM(J32:J34),5)</f>
        <v>106609</v>
      </c>
      <c r="K35" s="45"/>
      <c r="L35" s="44">
        <f>ROUND(L16+SUM(L20:L25)+SUM(L32:L34),5)</f>
        <v>426526</v>
      </c>
      <c r="M35" s="45"/>
      <c r="N35" s="44">
        <f t="shared" si="2"/>
        <v>655189</v>
      </c>
    </row>
    <row r="36" spans="1:14" ht="30" customHeight="1" x14ac:dyDescent="0.3">
      <c r="A36" s="43"/>
      <c r="B36" s="43"/>
      <c r="C36" s="43"/>
      <c r="D36" s="43"/>
      <c r="E36" s="43" t="s">
        <v>203</v>
      </c>
      <c r="F36" s="43"/>
      <c r="G36" s="43"/>
      <c r="H36" s="44"/>
      <c r="I36" s="45"/>
      <c r="J36" s="44"/>
      <c r="K36" s="45"/>
      <c r="L36" s="44"/>
      <c r="M36" s="45"/>
      <c r="N36" s="44"/>
    </row>
    <row r="37" spans="1:14" x14ac:dyDescent="0.3">
      <c r="A37" s="43"/>
      <c r="B37" s="43"/>
      <c r="C37" s="43"/>
      <c r="D37" s="43"/>
      <c r="E37" s="43"/>
      <c r="F37" s="43" t="s">
        <v>204</v>
      </c>
      <c r="G37" s="43"/>
      <c r="H37" s="44"/>
      <c r="I37" s="45"/>
      <c r="J37" s="44"/>
      <c r="K37" s="45"/>
      <c r="L37" s="44"/>
      <c r="M37" s="45"/>
      <c r="N37" s="44"/>
    </row>
    <row r="38" spans="1:14" x14ac:dyDescent="0.3">
      <c r="A38" s="43"/>
      <c r="B38" s="43"/>
      <c r="C38" s="43"/>
      <c r="D38" s="43"/>
      <c r="E38" s="43"/>
      <c r="F38" s="43"/>
      <c r="G38" s="43" t="s">
        <v>465</v>
      </c>
      <c r="H38" s="44">
        <v>2857</v>
      </c>
      <c r="I38" s="45"/>
      <c r="J38" s="44">
        <v>3291</v>
      </c>
      <c r="K38" s="45"/>
      <c r="L38" s="44">
        <v>2928</v>
      </c>
      <c r="M38" s="45"/>
      <c r="N38" s="44">
        <f>ROUND(SUM(H38:L38),5)</f>
        <v>9076</v>
      </c>
    </row>
    <row r="39" spans="1:14" ht="15" thickBot="1" x14ac:dyDescent="0.35">
      <c r="A39" s="43"/>
      <c r="B39" s="43"/>
      <c r="C39" s="43"/>
      <c r="D39" s="43"/>
      <c r="E39" s="43"/>
      <c r="F39" s="43"/>
      <c r="G39" s="43" t="s">
        <v>466</v>
      </c>
      <c r="H39" s="46">
        <v>1124</v>
      </c>
      <c r="I39" s="45"/>
      <c r="J39" s="46">
        <v>1138</v>
      </c>
      <c r="K39" s="45"/>
      <c r="L39" s="46">
        <v>1155</v>
      </c>
      <c r="M39" s="45"/>
      <c r="N39" s="46">
        <f>ROUND(SUM(H39:L39),5)</f>
        <v>3417</v>
      </c>
    </row>
    <row r="40" spans="1:14" x14ac:dyDescent="0.3">
      <c r="A40" s="43"/>
      <c r="B40" s="43"/>
      <c r="C40" s="43"/>
      <c r="D40" s="43"/>
      <c r="E40" s="43"/>
      <c r="F40" s="43" t="s">
        <v>467</v>
      </c>
      <c r="G40" s="43"/>
      <c r="H40" s="44">
        <f>ROUND(SUM(H37:H39),5)</f>
        <v>3981</v>
      </c>
      <c r="I40" s="45"/>
      <c r="J40" s="44">
        <f>ROUND(SUM(J37:J39),5)</f>
        <v>4429</v>
      </c>
      <c r="K40" s="45"/>
      <c r="L40" s="44">
        <f>ROUND(SUM(L37:L39),5)</f>
        <v>4083</v>
      </c>
      <c r="M40" s="45"/>
      <c r="N40" s="44">
        <f>ROUND(SUM(H40:L40),5)</f>
        <v>12493</v>
      </c>
    </row>
    <row r="41" spans="1:14" ht="30" customHeight="1" x14ac:dyDescent="0.3">
      <c r="A41" s="43"/>
      <c r="B41" s="43"/>
      <c r="C41" s="43"/>
      <c r="D41" s="43"/>
      <c r="E41" s="43"/>
      <c r="F41" s="43" t="s">
        <v>205</v>
      </c>
      <c r="G41" s="43"/>
      <c r="H41" s="44"/>
      <c r="I41" s="45"/>
      <c r="J41" s="44"/>
      <c r="K41" s="45"/>
      <c r="L41" s="44"/>
      <c r="M41" s="45"/>
      <c r="N41" s="44"/>
    </row>
    <row r="42" spans="1:14" x14ac:dyDescent="0.3">
      <c r="A42" s="43"/>
      <c r="B42" s="43"/>
      <c r="C42" s="43"/>
      <c r="D42" s="43"/>
      <c r="E42" s="43"/>
      <c r="F42" s="43"/>
      <c r="G42" s="43" t="s">
        <v>468</v>
      </c>
      <c r="H42" s="44">
        <v>152627</v>
      </c>
      <c r="I42" s="45"/>
      <c r="J42" s="44">
        <v>164046</v>
      </c>
      <c r="K42" s="45"/>
      <c r="L42" s="44">
        <v>161419</v>
      </c>
      <c r="M42" s="45"/>
      <c r="N42" s="44">
        <f>ROUND(SUM(H42:L42),5)</f>
        <v>478092</v>
      </c>
    </row>
    <row r="43" spans="1:14" x14ac:dyDescent="0.3">
      <c r="A43" s="43"/>
      <c r="B43" s="43"/>
      <c r="C43" s="43"/>
      <c r="D43" s="43"/>
      <c r="E43" s="43"/>
      <c r="F43" s="43"/>
      <c r="G43" s="43" t="s">
        <v>469</v>
      </c>
      <c r="H43" s="44">
        <v>-38805</v>
      </c>
      <c r="I43" s="45"/>
      <c r="J43" s="44">
        <v>-42172</v>
      </c>
      <c r="K43" s="45"/>
      <c r="L43" s="44">
        <v>-40252</v>
      </c>
      <c r="M43" s="45"/>
      <c r="N43" s="44">
        <f>ROUND(SUM(H43:L43),5)</f>
        <v>-121229</v>
      </c>
    </row>
    <row r="44" spans="1:14" x14ac:dyDescent="0.3">
      <c r="A44" s="43"/>
      <c r="B44" s="43"/>
      <c r="C44" s="43"/>
      <c r="D44" s="43"/>
      <c r="E44" s="43"/>
      <c r="F44" s="43"/>
      <c r="G44" s="43" t="s">
        <v>470</v>
      </c>
      <c r="H44" s="44">
        <v>1523</v>
      </c>
      <c r="I44" s="45"/>
      <c r="J44" s="44">
        <v>1812</v>
      </c>
      <c r="K44" s="45"/>
      <c r="L44" s="44">
        <v>1526</v>
      </c>
      <c r="M44" s="45"/>
      <c r="N44" s="44">
        <f>ROUND(SUM(H44:L44),5)</f>
        <v>4861</v>
      </c>
    </row>
    <row r="45" spans="1:14" ht="15" thickBot="1" x14ac:dyDescent="0.35">
      <c r="A45" s="43"/>
      <c r="B45" s="43"/>
      <c r="C45" s="43"/>
      <c r="D45" s="43"/>
      <c r="E45" s="43"/>
      <c r="F45" s="43"/>
      <c r="G45" s="43" t="s">
        <v>471</v>
      </c>
      <c r="H45" s="46">
        <v>2433</v>
      </c>
      <c r="I45" s="45"/>
      <c r="J45" s="46">
        <v>2228</v>
      </c>
      <c r="K45" s="45"/>
      <c r="L45" s="46">
        <v>2901</v>
      </c>
      <c r="M45" s="45"/>
      <c r="N45" s="46">
        <f>ROUND(SUM(H45:L45),5)</f>
        <v>7562</v>
      </c>
    </row>
    <row r="46" spans="1:14" x14ac:dyDescent="0.3">
      <c r="A46" s="43"/>
      <c r="B46" s="43"/>
      <c r="C46" s="43"/>
      <c r="D46" s="43"/>
      <c r="E46" s="43"/>
      <c r="F46" s="43" t="s">
        <v>210</v>
      </c>
      <c r="G46" s="43"/>
      <c r="H46" s="44">
        <f>ROUND(SUM(H41:H45),5)</f>
        <v>117778</v>
      </c>
      <c r="I46" s="45"/>
      <c r="J46" s="44">
        <f>ROUND(SUM(J41:J45),5)</f>
        <v>125914</v>
      </c>
      <c r="K46" s="45"/>
      <c r="L46" s="44">
        <f>ROUND(SUM(L41:L45),5)</f>
        <v>125594</v>
      </c>
      <c r="M46" s="45"/>
      <c r="N46" s="44">
        <f>ROUND(SUM(H46:L46),5)</f>
        <v>369286</v>
      </c>
    </row>
    <row r="47" spans="1:14" ht="30" customHeight="1" x14ac:dyDescent="0.3">
      <c r="A47" s="43"/>
      <c r="B47" s="43"/>
      <c r="C47" s="43"/>
      <c r="D47" s="43"/>
      <c r="E47" s="43"/>
      <c r="F47" s="43" t="s">
        <v>472</v>
      </c>
      <c r="G47" s="43"/>
      <c r="H47" s="44"/>
      <c r="I47" s="45"/>
      <c r="J47" s="44"/>
      <c r="K47" s="45"/>
      <c r="L47" s="44"/>
      <c r="M47" s="45"/>
      <c r="N47" s="44"/>
    </row>
    <row r="48" spans="1:14" x14ac:dyDescent="0.3">
      <c r="A48" s="43"/>
      <c r="B48" s="43"/>
      <c r="C48" s="43"/>
      <c r="D48" s="43"/>
      <c r="E48" s="43"/>
      <c r="F48" s="43"/>
      <c r="G48" s="43" t="s">
        <v>473</v>
      </c>
      <c r="H48" s="44">
        <v>0</v>
      </c>
      <c r="I48" s="45"/>
      <c r="J48" s="44">
        <v>0</v>
      </c>
      <c r="K48" s="45"/>
      <c r="L48" s="44">
        <v>0</v>
      </c>
      <c r="M48" s="45"/>
      <c r="N48" s="44">
        <f>ROUND(SUM(H48:L48),5)</f>
        <v>0</v>
      </c>
    </row>
    <row r="49" spans="1:14" ht="15" thickBot="1" x14ac:dyDescent="0.35">
      <c r="A49" s="43"/>
      <c r="B49" s="43"/>
      <c r="C49" s="43"/>
      <c r="D49" s="43"/>
      <c r="E49" s="43"/>
      <c r="F49" s="43"/>
      <c r="G49" s="43" t="s">
        <v>474</v>
      </c>
      <c r="H49" s="46">
        <v>92</v>
      </c>
      <c r="I49" s="45"/>
      <c r="J49" s="46">
        <v>20</v>
      </c>
      <c r="K49" s="45"/>
      <c r="L49" s="46">
        <v>0</v>
      </c>
      <c r="M49" s="45"/>
      <c r="N49" s="46">
        <f>ROUND(SUM(H49:L49),5)</f>
        <v>112</v>
      </c>
    </row>
    <row r="50" spans="1:14" x14ac:dyDescent="0.3">
      <c r="A50" s="43"/>
      <c r="B50" s="43"/>
      <c r="C50" s="43"/>
      <c r="D50" s="43"/>
      <c r="E50" s="43"/>
      <c r="F50" s="43" t="s">
        <v>475</v>
      </c>
      <c r="G50" s="43"/>
      <c r="H50" s="44">
        <f>ROUND(SUM(H47:H49),5)</f>
        <v>92</v>
      </c>
      <c r="I50" s="45"/>
      <c r="J50" s="44">
        <f>ROUND(SUM(J47:J49),5)</f>
        <v>20</v>
      </c>
      <c r="K50" s="45"/>
      <c r="L50" s="44">
        <f>ROUND(SUM(L47:L49),5)</f>
        <v>0</v>
      </c>
      <c r="M50" s="45"/>
      <c r="N50" s="44">
        <f>ROUND(SUM(H50:L50),5)</f>
        <v>112</v>
      </c>
    </row>
    <row r="51" spans="1:14" ht="30" customHeight="1" x14ac:dyDescent="0.3">
      <c r="A51" s="43"/>
      <c r="B51" s="43"/>
      <c r="C51" s="43"/>
      <c r="D51" s="43"/>
      <c r="E51" s="43"/>
      <c r="F51" s="43" t="s">
        <v>323</v>
      </c>
      <c r="G51" s="43"/>
      <c r="H51" s="44"/>
      <c r="I51" s="45"/>
      <c r="J51" s="44"/>
      <c r="K51" s="45"/>
      <c r="L51" s="44"/>
      <c r="M51" s="45"/>
      <c r="N51" s="44"/>
    </row>
    <row r="52" spans="1:14" x14ac:dyDescent="0.3">
      <c r="A52" s="43"/>
      <c r="B52" s="43"/>
      <c r="C52" s="43"/>
      <c r="D52" s="43"/>
      <c r="E52" s="43"/>
      <c r="F52" s="43"/>
      <c r="G52" s="43" t="s">
        <v>476</v>
      </c>
      <c r="H52" s="44">
        <v>20619</v>
      </c>
      <c r="I52" s="45"/>
      <c r="J52" s="44">
        <v>13186</v>
      </c>
      <c r="K52" s="45"/>
      <c r="L52" s="44">
        <v>20938</v>
      </c>
      <c r="M52" s="45"/>
      <c r="N52" s="44">
        <f>ROUND(SUM(H52:L52),5)</f>
        <v>54743</v>
      </c>
    </row>
    <row r="53" spans="1:14" ht="15" thickBot="1" x14ac:dyDescent="0.35">
      <c r="A53" s="43"/>
      <c r="B53" s="43"/>
      <c r="C53" s="43"/>
      <c r="D53" s="43"/>
      <c r="E53" s="43"/>
      <c r="F53" s="43"/>
      <c r="G53" s="43" t="s">
        <v>477</v>
      </c>
      <c r="H53" s="46">
        <v>-7175</v>
      </c>
      <c r="I53" s="45"/>
      <c r="J53" s="46">
        <v>0</v>
      </c>
      <c r="K53" s="45"/>
      <c r="L53" s="46">
        <v>0</v>
      </c>
      <c r="M53" s="45"/>
      <c r="N53" s="46">
        <f>ROUND(SUM(H53:L53),5)</f>
        <v>-7175</v>
      </c>
    </row>
    <row r="54" spans="1:14" x14ac:dyDescent="0.3">
      <c r="A54" s="43"/>
      <c r="B54" s="43"/>
      <c r="C54" s="43"/>
      <c r="D54" s="43"/>
      <c r="E54" s="43"/>
      <c r="F54" s="43" t="s">
        <v>325</v>
      </c>
      <c r="G54" s="43"/>
      <c r="H54" s="44">
        <f>ROUND(SUM(H51:H53),5)</f>
        <v>13444</v>
      </c>
      <c r="I54" s="45"/>
      <c r="J54" s="44">
        <f>ROUND(SUM(J51:J53),5)</f>
        <v>13186</v>
      </c>
      <c r="K54" s="45"/>
      <c r="L54" s="44">
        <f>ROUND(SUM(L51:L53),5)</f>
        <v>20938</v>
      </c>
      <c r="M54" s="45"/>
      <c r="N54" s="44">
        <f>ROUND(SUM(H54:L54),5)</f>
        <v>47568</v>
      </c>
    </row>
    <row r="55" spans="1:14" ht="30" customHeight="1" x14ac:dyDescent="0.3">
      <c r="A55" s="43"/>
      <c r="B55" s="43"/>
      <c r="C55" s="43"/>
      <c r="D55" s="43"/>
      <c r="E55" s="43"/>
      <c r="F55" s="43" t="s">
        <v>211</v>
      </c>
      <c r="G55" s="43"/>
      <c r="H55" s="44"/>
      <c r="I55" s="45"/>
      <c r="J55" s="44"/>
      <c r="K55" s="45"/>
      <c r="L55" s="44"/>
      <c r="M55" s="45"/>
      <c r="N55" s="44"/>
    </row>
    <row r="56" spans="1:14" x14ac:dyDescent="0.3">
      <c r="A56" s="43"/>
      <c r="B56" s="43"/>
      <c r="C56" s="43"/>
      <c r="D56" s="43"/>
      <c r="E56" s="43"/>
      <c r="F56" s="43"/>
      <c r="G56" s="43" t="s">
        <v>478</v>
      </c>
      <c r="H56" s="44">
        <v>8353</v>
      </c>
      <c r="I56" s="45"/>
      <c r="J56" s="44">
        <v>8258</v>
      </c>
      <c r="K56" s="45"/>
      <c r="L56" s="44">
        <v>7060</v>
      </c>
      <c r="M56" s="45"/>
      <c r="N56" s="44">
        <f t="shared" ref="N56:N63" si="3">ROUND(SUM(H56:L56),5)</f>
        <v>23671</v>
      </c>
    </row>
    <row r="57" spans="1:14" x14ac:dyDescent="0.3">
      <c r="A57" s="43"/>
      <c r="B57" s="43"/>
      <c r="C57" s="43"/>
      <c r="D57" s="43"/>
      <c r="E57" s="43"/>
      <c r="F57" s="43"/>
      <c r="G57" s="43" t="s">
        <v>479</v>
      </c>
      <c r="H57" s="44">
        <v>192</v>
      </c>
      <c r="I57" s="45"/>
      <c r="J57" s="44">
        <v>227</v>
      </c>
      <c r="K57" s="45"/>
      <c r="L57" s="44">
        <v>261</v>
      </c>
      <c r="M57" s="45"/>
      <c r="N57" s="44">
        <f t="shared" si="3"/>
        <v>680</v>
      </c>
    </row>
    <row r="58" spans="1:14" x14ac:dyDescent="0.3">
      <c r="A58" s="43"/>
      <c r="B58" s="43"/>
      <c r="C58" s="43"/>
      <c r="D58" s="43"/>
      <c r="E58" s="43"/>
      <c r="F58" s="43"/>
      <c r="G58" s="43" t="s">
        <v>480</v>
      </c>
      <c r="H58" s="44">
        <v>4385</v>
      </c>
      <c r="I58" s="45"/>
      <c r="J58" s="44">
        <v>7698</v>
      </c>
      <c r="K58" s="45"/>
      <c r="L58" s="44">
        <v>6891</v>
      </c>
      <c r="M58" s="45"/>
      <c r="N58" s="44">
        <f t="shared" si="3"/>
        <v>18974</v>
      </c>
    </row>
    <row r="59" spans="1:14" x14ac:dyDescent="0.3">
      <c r="A59" s="43"/>
      <c r="B59" s="43"/>
      <c r="C59" s="43"/>
      <c r="D59" s="43"/>
      <c r="E59" s="43"/>
      <c r="F59" s="43"/>
      <c r="G59" s="43" t="s">
        <v>481</v>
      </c>
      <c r="H59" s="44">
        <v>1197</v>
      </c>
      <c r="I59" s="45"/>
      <c r="J59" s="44">
        <v>0</v>
      </c>
      <c r="K59" s="45"/>
      <c r="L59" s="44">
        <v>0</v>
      </c>
      <c r="M59" s="45"/>
      <c r="N59" s="44">
        <f t="shared" si="3"/>
        <v>1197</v>
      </c>
    </row>
    <row r="60" spans="1:14" ht="15" thickBot="1" x14ac:dyDescent="0.35">
      <c r="A60" s="43"/>
      <c r="B60" s="43"/>
      <c r="C60" s="43"/>
      <c r="D60" s="43"/>
      <c r="E60" s="43"/>
      <c r="F60" s="43"/>
      <c r="G60" s="43" t="s">
        <v>328</v>
      </c>
      <c r="H60" s="46">
        <v>-5107</v>
      </c>
      <c r="I60" s="45"/>
      <c r="J60" s="46">
        <v>-5426</v>
      </c>
      <c r="K60" s="45"/>
      <c r="L60" s="46">
        <v>-6103</v>
      </c>
      <c r="M60" s="45"/>
      <c r="N60" s="46">
        <f t="shared" si="3"/>
        <v>-16636</v>
      </c>
    </row>
    <row r="61" spans="1:14" x14ac:dyDescent="0.3">
      <c r="A61" s="43"/>
      <c r="B61" s="43"/>
      <c r="C61" s="43"/>
      <c r="D61" s="43"/>
      <c r="E61" s="43"/>
      <c r="F61" s="43" t="s">
        <v>329</v>
      </c>
      <c r="G61" s="43"/>
      <c r="H61" s="44">
        <f>ROUND(SUM(H55:H60),5)</f>
        <v>9020</v>
      </c>
      <c r="I61" s="45"/>
      <c r="J61" s="44">
        <f>ROUND(SUM(J55:J60),5)</f>
        <v>10757</v>
      </c>
      <c r="K61" s="45"/>
      <c r="L61" s="44">
        <f>ROUND(SUM(L55:L60),5)</f>
        <v>8109</v>
      </c>
      <c r="M61" s="45"/>
      <c r="N61" s="44">
        <f t="shared" si="3"/>
        <v>27886</v>
      </c>
    </row>
    <row r="62" spans="1:14" ht="30" customHeight="1" thickBot="1" x14ac:dyDescent="0.35">
      <c r="A62" s="43"/>
      <c r="B62" s="43"/>
      <c r="C62" s="43"/>
      <c r="D62" s="43"/>
      <c r="E62" s="43"/>
      <c r="F62" s="43" t="s">
        <v>482</v>
      </c>
      <c r="G62" s="43"/>
      <c r="H62" s="46">
        <v>885</v>
      </c>
      <c r="I62" s="45"/>
      <c r="J62" s="46">
        <v>1031</v>
      </c>
      <c r="K62" s="45"/>
      <c r="L62" s="46">
        <v>1119</v>
      </c>
      <c r="M62" s="45"/>
      <c r="N62" s="46">
        <f t="shared" si="3"/>
        <v>3035</v>
      </c>
    </row>
    <row r="63" spans="1:14" x14ac:dyDescent="0.3">
      <c r="A63" s="43"/>
      <c r="B63" s="43"/>
      <c r="C63" s="43"/>
      <c r="D63" s="43"/>
      <c r="E63" s="43" t="s">
        <v>213</v>
      </c>
      <c r="F63" s="43"/>
      <c r="G63" s="43"/>
      <c r="H63" s="44">
        <f>ROUND(H36+H40+H46+H50+H54+SUM(H61:H62),5)</f>
        <v>145200</v>
      </c>
      <c r="I63" s="45"/>
      <c r="J63" s="44">
        <f>ROUND(J36+J40+J46+J50+J54+SUM(J61:J62),5)</f>
        <v>155337</v>
      </c>
      <c r="K63" s="45"/>
      <c r="L63" s="44">
        <f>ROUND(L36+L40+L46+L50+L54+SUM(L61:L62),5)</f>
        <v>159843</v>
      </c>
      <c r="M63" s="45"/>
      <c r="N63" s="44">
        <f t="shared" si="3"/>
        <v>460380</v>
      </c>
    </row>
    <row r="64" spans="1:14" ht="30" customHeight="1" x14ac:dyDescent="0.3">
      <c r="A64" s="43"/>
      <c r="B64" s="43"/>
      <c r="C64" s="43"/>
      <c r="D64" s="43"/>
      <c r="E64" s="43" t="s">
        <v>214</v>
      </c>
      <c r="F64" s="43"/>
      <c r="G64" s="43"/>
      <c r="H64" s="44"/>
      <c r="I64" s="45"/>
      <c r="J64" s="44"/>
      <c r="K64" s="45"/>
      <c r="L64" s="44"/>
      <c r="M64" s="45"/>
      <c r="N64" s="44"/>
    </row>
    <row r="65" spans="1:14" x14ac:dyDescent="0.3">
      <c r="A65" s="43"/>
      <c r="B65" s="43"/>
      <c r="C65" s="43"/>
      <c r="D65" s="43"/>
      <c r="E65" s="43"/>
      <c r="F65" s="43" t="s">
        <v>215</v>
      </c>
      <c r="G65" s="43"/>
      <c r="H65" s="44"/>
      <c r="I65" s="45"/>
      <c r="J65" s="44"/>
      <c r="K65" s="45"/>
      <c r="L65" s="44"/>
      <c r="M65" s="45"/>
      <c r="N65" s="44"/>
    </row>
    <row r="66" spans="1:14" x14ac:dyDescent="0.3">
      <c r="A66" s="43"/>
      <c r="B66" s="43"/>
      <c r="C66" s="43"/>
      <c r="D66" s="43"/>
      <c r="E66" s="43"/>
      <c r="F66" s="43"/>
      <c r="G66" s="43" t="s">
        <v>483</v>
      </c>
      <c r="H66" s="44">
        <v>2423</v>
      </c>
      <c r="I66" s="45"/>
      <c r="J66" s="44">
        <v>2111</v>
      </c>
      <c r="K66" s="45"/>
      <c r="L66" s="44">
        <v>603</v>
      </c>
      <c r="M66" s="45"/>
      <c r="N66" s="44">
        <f t="shared" ref="N66:N73" si="4">ROUND(SUM(H66:L66),5)</f>
        <v>5137</v>
      </c>
    </row>
    <row r="67" spans="1:14" x14ac:dyDescent="0.3">
      <c r="A67" s="43"/>
      <c r="B67" s="43"/>
      <c r="C67" s="43"/>
      <c r="D67" s="43"/>
      <c r="E67" s="43"/>
      <c r="F67" s="43"/>
      <c r="G67" s="43" t="s">
        <v>217</v>
      </c>
      <c r="H67" s="44">
        <v>1346</v>
      </c>
      <c r="I67" s="45"/>
      <c r="J67" s="44">
        <v>0</v>
      </c>
      <c r="K67" s="45"/>
      <c r="L67" s="44">
        <v>2844</v>
      </c>
      <c r="M67" s="45"/>
      <c r="N67" s="44">
        <f t="shared" si="4"/>
        <v>4190</v>
      </c>
    </row>
    <row r="68" spans="1:14" x14ac:dyDescent="0.3">
      <c r="A68" s="43"/>
      <c r="B68" s="43"/>
      <c r="C68" s="43"/>
      <c r="D68" s="43"/>
      <c r="E68" s="43"/>
      <c r="F68" s="43"/>
      <c r="G68" s="43" t="s">
        <v>484</v>
      </c>
      <c r="H68" s="44">
        <v>0</v>
      </c>
      <c r="I68" s="45"/>
      <c r="J68" s="44">
        <v>337</v>
      </c>
      <c r="K68" s="45"/>
      <c r="L68" s="44">
        <v>0</v>
      </c>
      <c r="M68" s="45"/>
      <c r="N68" s="44">
        <f t="shared" si="4"/>
        <v>337</v>
      </c>
    </row>
    <row r="69" spans="1:14" x14ac:dyDescent="0.3">
      <c r="A69" s="43"/>
      <c r="B69" s="43"/>
      <c r="C69" s="43"/>
      <c r="D69" s="43"/>
      <c r="E69" s="43"/>
      <c r="F69" s="43"/>
      <c r="G69" s="43" t="s">
        <v>219</v>
      </c>
      <c r="H69" s="44">
        <v>3595</v>
      </c>
      <c r="I69" s="45"/>
      <c r="J69" s="44">
        <v>4478</v>
      </c>
      <c r="K69" s="45"/>
      <c r="L69" s="44">
        <v>1496</v>
      </c>
      <c r="M69" s="45"/>
      <c r="N69" s="44">
        <f t="shared" si="4"/>
        <v>9569</v>
      </c>
    </row>
    <row r="70" spans="1:14" x14ac:dyDescent="0.3">
      <c r="A70" s="43"/>
      <c r="B70" s="43"/>
      <c r="C70" s="43"/>
      <c r="D70" s="43"/>
      <c r="E70" s="43"/>
      <c r="F70" s="43"/>
      <c r="G70" s="43" t="s">
        <v>375</v>
      </c>
      <c r="H70" s="44">
        <v>0</v>
      </c>
      <c r="I70" s="45"/>
      <c r="J70" s="44">
        <v>139</v>
      </c>
      <c r="K70" s="45"/>
      <c r="L70" s="44">
        <v>330</v>
      </c>
      <c r="M70" s="45"/>
      <c r="N70" s="44">
        <f t="shared" si="4"/>
        <v>469</v>
      </c>
    </row>
    <row r="71" spans="1:14" x14ac:dyDescent="0.3">
      <c r="A71" s="43"/>
      <c r="B71" s="43"/>
      <c r="C71" s="43"/>
      <c r="D71" s="43"/>
      <c r="E71" s="43"/>
      <c r="F71" s="43"/>
      <c r="G71" s="43" t="s">
        <v>485</v>
      </c>
      <c r="H71" s="44">
        <v>1176</v>
      </c>
      <c r="I71" s="45"/>
      <c r="J71" s="44">
        <v>1170</v>
      </c>
      <c r="K71" s="45"/>
      <c r="L71" s="44">
        <v>180</v>
      </c>
      <c r="M71" s="45"/>
      <c r="N71" s="44">
        <f t="shared" si="4"/>
        <v>2526</v>
      </c>
    </row>
    <row r="72" spans="1:14" ht="15" thickBot="1" x14ac:dyDescent="0.35">
      <c r="A72" s="43"/>
      <c r="B72" s="43"/>
      <c r="C72" s="43"/>
      <c r="D72" s="43"/>
      <c r="E72" s="43"/>
      <c r="F72" s="43"/>
      <c r="G72" s="43" t="s">
        <v>330</v>
      </c>
      <c r="H72" s="46">
        <v>643</v>
      </c>
      <c r="I72" s="45"/>
      <c r="J72" s="46">
        <v>807</v>
      </c>
      <c r="K72" s="45"/>
      <c r="L72" s="46">
        <v>892</v>
      </c>
      <c r="M72" s="45"/>
      <c r="N72" s="46">
        <f t="shared" si="4"/>
        <v>2342</v>
      </c>
    </row>
    <row r="73" spans="1:14" x14ac:dyDescent="0.3">
      <c r="A73" s="43"/>
      <c r="B73" s="43"/>
      <c r="C73" s="43"/>
      <c r="D73" s="43"/>
      <c r="E73" s="43"/>
      <c r="F73" s="43" t="s">
        <v>223</v>
      </c>
      <c r="G73" s="43"/>
      <c r="H73" s="44">
        <f>ROUND(SUM(H65:H72),5)</f>
        <v>9183</v>
      </c>
      <c r="I73" s="45"/>
      <c r="J73" s="44">
        <f>ROUND(SUM(J65:J72),5)</f>
        <v>9042</v>
      </c>
      <c r="K73" s="45"/>
      <c r="L73" s="44">
        <f>ROUND(SUM(L65:L72),5)</f>
        <v>6345</v>
      </c>
      <c r="M73" s="45"/>
      <c r="N73" s="44">
        <f t="shared" si="4"/>
        <v>24570</v>
      </c>
    </row>
    <row r="74" spans="1:14" ht="30" customHeight="1" x14ac:dyDescent="0.3">
      <c r="A74" s="43"/>
      <c r="B74" s="43"/>
      <c r="C74" s="43"/>
      <c r="D74" s="43"/>
      <c r="E74" s="43"/>
      <c r="F74" s="43" t="s">
        <v>486</v>
      </c>
      <c r="G74" s="43"/>
      <c r="H74" s="44"/>
      <c r="I74" s="45"/>
      <c r="J74" s="44"/>
      <c r="K74" s="45"/>
      <c r="L74" s="44"/>
      <c r="M74" s="45"/>
      <c r="N74" s="44"/>
    </row>
    <row r="75" spans="1:14" x14ac:dyDescent="0.3">
      <c r="A75" s="43"/>
      <c r="B75" s="43"/>
      <c r="C75" s="43"/>
      <c r="D75" s="43"/>
      <c r="E75" s="43"/>
      <c r="F75" s="43"/>
      <c r="G75" s="43" t="s">
        <v>225</v>
      </c>
      <c r="H75" s="44">
        <v>88</v>
      </c>
      <c r="I75" s="45"/>
      <c r="J75" s="44">
        <v>99</v>
      </c>
      <c r="K75" s="45"/>
      <c r="L75" s="44">
        <v>88</v>
      </c>
      <c r="M75" s="45"/>
      <c r="N75" s="44">
        <f>ROUND(SUM(H75:L75),5)</f>
        <v>275</v>
      </c>
    </row>
    <row r="76" spans="1:14" x14ac:dyDescent="0.3">
      <c r="A76" s="43"/>
      <c r="B76" s="43"/>
      <c r="C76" s="43"/>
      <c r="D76" s="43"/>
      <c r="E76" s="43"/>
      <c r="F76" s="43"/>
      <c r="G76" s="43" t="s">
        <v>333</v>
      </c>
      <c r="H76" s="44">
        <v>49</v>
      </c>
      <c r="I76" s="45"/>
      <c r="J76" s="44">
        <v>0</v>
      </c>
      <c r="K76" s="45"/>
      <c r="L76" s="44">
        <v>0</v>
      </c>
      <c r="M76" s="45"/>
      <c r="N76" s="44">
        <f>ROUND(SUM(H76:L76),5)</f>
        <v>49</v>
      </c>
    </row>
    <row r="77" spans="1:14" ht="15" thickBot="1" x14ac:dyDescent="0.35">
      <c r="A77" s="43"/>
      <c r="B77" s="43"/>
      <c r="C77" s="43"/>
      <c r="D77" s="43"/>
      <c r="E77" s="43"/>
      <c r="F77" s="43"/>
      <c r="G77" s="43" t="s">
        <v>487</v>
      </c>
      <c r="H77" s="46">
        <v>239</v>
      </c>
      <c r="I77" s="45"/>
      <c r="J77" s="46">
        <v>829</v>
      </c>
      <c r="K77" s="45"/>
      <c r="L77" s="46">
        <v>671</v>
      </c>
      <c r="M77" s="45"/>
      <c r="N77" s="46">
        <f>ROUND(SUM(H77:L77),5)</f>
        <v>1739</v>
      </c>
    </row>
    <row r="78" spans="1:14" x14ac:dyDescent="0.3">
      <c r="A78" s="43"/>
      <c r="B78" s="43"/>
      <c r="C78" s="43"/>
      <c r="D78" s="43"/>
      <c r="E78" s="43"/>
      <c r="F78" s="43" t="s">
        <v>488</v>
      </c>
      <c r="G78" s="43"/>
      <c r="H78" s="44">
        <f>ROUND(SUM(H74:H77),5)</f>
        <v>376</v>
      </c>
      <c r="I78" s="45"/>
      <c r="J78" s="44">
        <f>ROUND(SUM(J74:J77),5)</f>
        <v>928</v>
      </c>
      <c r="K78" s="45"/>
      <c r="L78" s="44">
        <f>ROUND(SUM(L74:L77),5)</f>
        <v>759</v>
      </c>
      <c r="M78" s="45"/>
      <c r="N78" s="44">
        <f>ROUND(SUM(H78:L78),5)</f>
        <v>2063</v>
      </c>
    </row>
    <row r="79" spans="1:14" ht="30" customHeight="1" x14ac:dyDescent="0.3">
      <c r="A79" s="43"/>
      <c r="B79" s="43"/>
      <c r="C79" s="43"/>
      <c r="D79" s="43"/>
      <c r="E79" s="43"/>
      <c r="F79" s="43" t="s">
        <v>228</v>
      </c>
      <c r="G79" s="43"/>
      <c r="H79" s="44"/>
      <c r="I79" s="45"/>
      <c r="J79" s="44"/>
      <c r="K79" s="45"/>
      <c r="L79" s="44"/>
      <c r="M79" s="45"/>
      <c r="N79" s="44"/>
    </row>
    <row r="80" spans="1:14" x14ac:dyDescent="0.3">
      <c r="A80" s="43"/>
      <c r="B80" s="43"/>
      <c r="C80" s="43"/>
      <c r="D80" s="43"/>
      <c r="E80" s="43"/>
      <c r="F80" s="43"/>
      <c r="G80" s="43" t="s">
        <v>229</v>
      </c>
      <c r="H80" s="44">
        <v>1193</v>
      </c>
      <c r="I80" s="45"/>
      <c r="J80" s="44">
        <v>1216</v>
      </c>
      <c r="K80" s="45"/>
      <c r="L80" s="44">
        <v>1500</v>
      </c>
      <c r="M80" s="45"/>
      <c r="N80" s="44">
        <f>ROUND(SUM(H80:L80),5)</f>
        <v>3909</v>
      </c>
    </row>
    <row r="81" spans="1:14" ht="15" thickBot="1" x14ac:dyDescent="0.35">
      <c r="A81" s="43"/>
      <c r="B81" s="43"/>
      <c r="C81" s="43"/>
      <c r="D81" s="43"/>
      <c r="E81" s="43"/>
      <c r="F81" s="43"/>
      <c r="G81" s="43" t="s">
        <v>336</v>
      </c>
      <c r="H81" s="46">
        <v>1506</v>
      </c>
      <c r="I81" s="45"/>
      <c r="J81" s="46">
        <v>1988</v>
      </c>
      <c r="K81" s="45"/>
      <c r="L81" s="46">
        <v>2686</v>
      </c>
      <c r="M81" s="45"/>
      <c r="N81" s="46">
        <f>ROUND(SUM(H81:L81),5)</f>
        <v>6180</v>
      </c>
    </row>
    <row r="82" spans="1:14" x14ac:dyDescent="0.3">
      <c r="A82" s="43"/>
      <c r="B82" s="43"/>
      <c r="C82" s="43"/>
      <c r="D82" s="43"/>
      <c r="E82" s="43"/>
      <c r="F82" s="43" t="s">
        <v>232</v>
      </c>
      <c r="G82" s="43"/>
      <c r="H82" s="44">
        <f>ROUND(SUM(H79:H81),5)</f>
        <v>2699</v>
      </c>
      <c r="I82" s="45"/>
      <c r="J82" s="44">
        <f>ROUND(SUM(J79:J81),5)</f>
        <v>3204</v>
      </c>
      <c r="K82" s="45"/>
      <c r="L82" s="44">
        <f>ROUND(SUM(L79:L81),5)</f>
        <v>4186</v>
      </c>
      <c r="M82" s="45"/>
      <c r="N82" s="44">
        <f>ROUND(SUM(H82:L82),5)</f>
        <v>10089</v>
      </c>
    </row>
    <row r="83" spans="1:14" ht="30" customHeight="1" x14ac:dyDescent="0.3">
      <c r="A83" s="43"/>
      <c r="B83" s="43"/>
      <c r="C83" s="43"/>
      <c r="D83" s="43"/>
      <c r="E83" s="43"/>
      <c r="F83" s="43" t="s">
        <v>233</v>
      </c>
      <c r="G83" s="43"/>
      <c r="H83" s="44"/>
      <c r="I83" s="45"/>
      <c r="J83" s="44"/>
      <c r="K83" s="45"/>
      <c r="L83" s="44"/>
      <c r="M83" s="45"/>
      <c r="N83" s="44"/>
    </row>
    <row r="84" spans="1:14" x14ac:dyDescent="0.3">
      <c r="A84" s="43"/>
      <c r="B84" s="43"/>
      <c r="C84" s="43"/>
      <c r="D84" s="43"/>
      <c r="E84" s="43"/>
      <c r="F84" s="43"/>
      <c r="G84" s="43" t="s">
        <v>234</v>
      </c>
      <c r="H84" s="44">
        <v>106</v>
      </c>
      <c r="I84" s="45"/>
      <c r="J84" s="44">
        <v>50</v>
      </c>
      <c r="K84" s="45"/>
      <c r="L84" s="44">
        <v>0</v>
      </c>
      <c r="M84" s="45"/>
      <c r="N84" s="44">
        <f>ROUND(SUM(H84:L84),5)</f>
        <v>156</v>
      </c>
    </row>
    <row r="85" spans="1:14" x14ac:dyDescent="0.3">
      <c r="A85" s="43"/>
      <c r="B85" s="43"/>
      <c r="C85" s="43"/>
      <c r="D85" s="43"/>
      <c r="E85" s="43"/>
      <c r="F85" s="43"/>
      <c r="G85" s="43" t="s">
        <v>235</v>
      </c>
      <c r="H85" s="44">
        <v>120</v>
      </c>
      <c r="I85" s="45"/>
      <c r="J85" s="44">
        <v>63</v>
      </c>
      <c r="K85" s="45"/>
      <c r="L85" s="44">
        <v>323</v>
      </c>
      <c r="M85" s="45"/>
      <c r="N85" s="44">
        <f>ROUND(SUM(H85:L85),5)</f>
        <v>506</v>
      </c>
    </row>
    <row r="86" spans="1:14" ht="15" thickBot="1" x14ac:dyDescent="0.35">
      <c r="A86" s="43"/>
      <c r="B86" s="43"/>
      <c r="C86" s="43"/>
      <c r="D86" s="43"/>
      <c r="E86" s="43"/>
      <c r="F86" s="43"/>
      <c r="G86" s="43" t="s">
        <v>236</v>
      </c>
      <c r="H86" s="46">
        <v>3615</v>
      </c>
      <c r="I86" s="45"/>
      <c r="J86" s="46">
        <v>38</v>
      </c>
      <c r="K86" s="45"/>
      <c r="L86" s="46">
        <v>2181</v>
      </c>
      <c r="M86" s="45"/>
      <c r="N86" s="46">
        <f>ROUND(SUM(H86:L86),5)</f>
        <v>5834</v>
      </c>
    </row>
    <row r="87" spans="1:14" x14ac:dyDescent="0.3">
      <c r="A87" s="43"/>
      <c r="B87" s="43"/>
      <c r="C87" s="43"/>
      <c r="D87" s="43"/>
      <c r="E87" s="43"/>
      <c r="F87" s="43" t="s">
        <v>237</v>
      </c>
      <c r="G87" s="43"/>
      <c r="H87" s="44">
        <f>ROUND(SUM(H83:H86),5)</f>
        <v>3841</v>
      </c>
      <c r="I87" s="45"/>
      <c r="J87" s="44">
        <f>ROUND(SUM(J83:J86),5)</f>
        <v>151</v>
      </c>
      <c r="K87" s="45"/>
      <c r="L87" s="44">
        <f>ROUND(SUM(L83:L86),5)</f>
        <v>2504</v>
      </c>
      <c r="M87" s="45"/>
      <c r="N87" s="44">
        <f>ROUND(SUM(H87:L87),5)</f>
        <v>6496</v>
      </c>
    </row>
    <row r="88" spans="1:14" ht="30" customHeight="1" x14ac:dyDescent="0.3">
      <c r="A88" s="43"/>
      <c r="B88" s="43"/>
      <c r="C88" s="43"/>
      <c r="D88" s="43"/>
      <c r="E88" s="43"/>
      <c r="F88" s="43" t="s">
        <v>377</v>
      </c>
      <c r="G88" s="43"/>
      <c r="H88" s="44"/>
      <c r="I88" s="45"/>
      <c r="J88" s="44"/>
      <c r="K88" s="45"/>
      <c r="L88" s="44"/>
      <c r="M88" s="45"/>
      <c r="N88" s="44"/>
    </row>
    <row r="89" spans="1:14" x14ac:dyDescent="0.3">
      <c r="A89" s="43"/>
      <c r="B89" s="43"/>
      <c r="C89" s="43"/>
      <c r="D89" s="43"/>
      <c r="E89" s="43"/>
      <c r="F89" s="43"/>
      <c r="G89" s="43" t="s">
        <v>337</v>
      </c>
      <c r="H89" s="44">
        <v>94</v>
      </c>
      <c r="I89" s="45"/>
      <c r="J89" s="44">
        <v>0</v>
      </c>
      <c r="K89" s="45"/>
      <c r="L89" s="44">
        <v>44</v>
      </c>
      <c r="M89" s="45"/>
      <c r="N89" s="44">
        <f>ROUND(SUM(H89:L89),5)</f>
        <v>138</v>
      </c>
    </row>
    <row r="90" spans="1:14" x14ac:dyDescent="0.3">
      <c r="A90" s="43"/>
      <c r="B90" s="43"/>
      <c r="C90" s="43"/>
      <c r="D90" s="43"/>
      <c r="E90" s="43"/>
      <c r="F90" s="43"/>
      <c r="G90" s="43" t="s">
        <v>239</v>
      </c>
      <c r="H90" s="44">
        <v>183</v>
      </c>
      <c r="I90" s="45"/>
      <c r="J90" s="44">
        <v>0</v>
      </c>
      <c r="K90" s="45"/>
      <c r="L90" s="44">
        <v>0</v>
      </c>
      <c r="M90" s="45"/>
      <c r="N90" s="44">
        <f>ROUND(SUM(H90:L90),5)</f>
        <v>183</v>
      </c>
    </row>
    <row r="91" spans="1:14" ht="15" thickBot="1" x14ac:dyDescent="0.35">
      <c r="A91" s="43"/>
      <c r="B91" s="43"/>
      <c r="C91" s="43"/>
      <c r="D91" s="43"/>
      <c r="E91" s="43"/>
      <c r="F91" s="43"/>
      <c r="G91" s="43" t="s">
        <v>411</v>
      </c>
      <c r="H91" s="46">
        <v>0</v>
      </c>
      <c r="I91" s="45"/>
      <c r="J91" s="46">
        <v>0</v>
      </c>
      <c r="K91" s="45"/>
      <c r="L91" s="46">
        <v>3351</v>
      </c>
      <c r="M91" s="45"/>
      <c r="N91" s="46">
        <f>ROUND(SUM(H91:L91),5)</f>
        <v>3351</v>
      </c>
    </row>
    <row r="92" spans="1:14" x14ac:dyDescent="0.3">
      <c r="A92" s="43"/>
      <c r="B92" s="43"/>
      <c r="C92" s="43"/>
      <c r="D92" s="43"/>
      <c r="E92" s="43"/>
      <c r="F92" s="43" t="s">
        <v>378</v>
      </c>
      <c r="G92" s="43"/>
      <c r="H92" s="44">
        <f>ROUND(SUM(H88:H91),5)</f>
        <v>277</v>
      </c>
      <c r="I92" s="45"/>
      <c r="J92" s="44">
        <f>ROUND(SUM(J88:J91),5)</f>
        <v>0</v>
      </c>
      <c r="K92" s="45"/>
      <c r="L92" s="44">
        <f>ROUND(SUM(L88:L91),5)</f>
        <v>3395</v>
      </c>
      <c r="M92" s="45"/>
      <c r="N92" s="44">
        <f>ROUND(SUM(H92:L92),5)</f>
        <v>3672</v>
      </c>
    </row>
    <row r="93" spans="1:14" ht="30" customHeight="1" x14ac:dyDescent="0.3">
      <c r="A93" s="43"/>
      <c r="B93" s="43"/>
      <c r="C93" s="43"/>
      <c r="D93" s="43"/>
      <c r="E93" s="43"/>
      <c r="F93" s="43" t="s">
        <v>412</v>
      </c>
      <c r="G93" s="43"/>
      <c r="H93" s="44"/>
      <c r="I93" s="45"/>
      <c r="J93" s="44"/>
      <c r="K93" s="45"/>
      <c r="L93" s="44"/>
      <c r="M93" s="45"/>
      <c r="N93" s="44"/>
    </row>
    <row r="94" spans="1:14" x14ac:dyDescent="0.3">
      <c r="A94" s="43"/>
      <c r="B94" s="43"/>
      <c r="C94" s="43"/>
      <c r="D94" s="43"/>
      <c r="E94" s="43"/>
      <c r="F94" s="43"/>
      <c r="G94" s="43" t="s">
        <v>338</v>
      </c>
      <c r="H94" s="44">
        <v>1225</v>
      </c>
      <c r="I94" s="45"/>
      <c r="J94" s="44">
        <v>921</v>
      </c>
      <c r="K94" s="45"/>
      <c r="L94" s="44">
        <v>2329</v>
      </c>
      <c r="M94" s="45"/>
      <c r="N94" s="44">
        <f>ROUND(SUM(H94:L94),5)</f>
        <v>4475</v>
      </c>
    </row>
    <row r="95" spans="1:14" ht="15" thickBot="1" x14ac:dyDescent="0.35">
      <c r="A95" s="43"/>
      <c r="B95" s="43"/>
      <c r="C95" s="43"/>
      <c r="D95" s="43"/>
      <c r="E95" s="43"/>
      <c r="F95" s="43"/>
      <c r="G95" s="43" t="s">
        <v>379</v>
      </c>
      <c r="H95" s="46">
        <v>0</v>
      </c>
      <c r="I95" s="45"/>
      <c r="J95" s="46">
        <v>7</v>
      </c>
      <c r="K95" s="45"/>
      <c r="L95" s="46">
        <v>0</v>
      </c>
      <c r="M95" s="45"/>
      <c r="N95" s="46">
        <f>ROUND(SUM(H95:L95),5)</f>
        <v>7</v>
      </c>
    </row>
    <row r="96" spans="1:14" x14ac:dyDescent="0.3">
      <c r="A96" s="43"/>
      <c r="B96" s="43"/>
      <c r="C96" s="43"/>
      <c r="D96" s="43"/>
      <c r="E96" s="43"/>
      <c r="F96" s="43" t="s">
        <v>413</v>
      </c>
      <c r="G96" s="43"/>
      <c r="H96" s="44">
        <f>ROUND(SUM(H93:H95),5)</f>
        <v>1225</v>
      </c>
      <c r="I96" s="45"/>
      <c r="J96" s="44">
        <f>ROUND(SUM(J93:J95),5)</f>
        <v>928</v>
      </c>
      <c r="K96" s="45"/>
      <c r="L96" s="44">
        <f>ROUND(SUM(L93:L95),5)</f>
        <v>2329</v>
      </c>
      <c r="M96" s="45"/>
      <c r="N96" s="44">
        <f>ROUND(SUM(H96:L96),5)</f>
        <v>4482</v>
      </c>
    </row>
    <row r="97" spans="1:14" ht="30" customHeight="1" x14ac:dyDescent="0.3">
      <c r="A97" s="43"/>
      <c r="B97" s="43"/>
      <c r="C97" s="43"/>
      <c r="D97" s="43"/>
      <c r="E97" s="43"/>
      <c r="F97" s="43" t="s">
        <v>245</v>
      </c>
      <c r="G97" s="43"/>
      <c r="H97" s="44">
        <v>4310</v>
      </c>
      <c r="I97" s="45"/>
      <c r="J97" s="44">
        <v>5836</v>
      </c>
      <c r="K97" s="45"/>
      <c r="L97" s="44">
        <v>6287</v>
      </c>
      <c r="M97" s="45"/>
      <c r="N97" s="44">
        <f>ROUND(SUM(H97:L97),5)</f>
        <v>16433</v>
      </c>
    </row>
    <row r="98" spans="1:14" x14ac:dyDescent="0.3">
      <c r="A98" s="43"/>
      <c r="B98" s="43"/>
      <c r="C98" s="43"/>
      <c r="D98" s="43"/>
      <c r="E98" s="43"/>
      <c r="F98" s="43" t="s">
        <v>489</v>
      </c>
      <c r="G98" s="43"/>
      <c r="H98" s="44"/>
      <c r="I98" s="45"/>
      <c r="J98" s="44"/>
      <c r="K98" s="45"/>
      <c r="L98" s="44"/>
      <c r="M98" s="45"/>
      <c r="N98" s="44"/>
    </row>
    <row r="99" spans="1:14" x14ac:dyDescent="0.3">
      <c r="A99" s="43"/>
      <c r="B99" s="43"/>
      <c r="C99" s="43"/>
      <c r="D99" s="43"/>
      <c r="E99" s="43"/>
      <c r="F99" s="43"/>
      <c r="G99" s="43" t="s">
        <v>490</v>
      </c>
      <c r="H99" s="44">
        <v>88</v>
      </c>
      <c r="I99" s="45"/>
      <c r="J99" s="44">
        <v>333</v>
      </c>
      <c r="K99" s="45"/>
      <c r="L99" s="44">
        <v>385</v>
      </c>
      <c r="M99" s="45"/>
      <c r="N99" s="44">
        <f>ROUND(SUM(H99:L99),5)</f>
        <v>806</v>
      </c>
    </row>
    <row r="100" spans="1:14" x14ac:dyDescent="0.3">
      <c r="A100" s="43"/>
      <c r="B100" s="43"/>
      <c r="C100" s="43"/>
      <c r="D100" s="43"/>
      <c r="E100" s="43"/>
      <c r="F100" s="43"/>
      <c r="G100" s="43" t="s">
        <v>247</v>
      </c>
      <c r="H100" s="44">
        <v>316</v>
      </c>
      <c r="I100" s="45"/>
      <c r="J100" s="44">
        <v>531</v>
      </c>
      <c r="K100" s="45"/>
      <c r="L100" s="44">
        <v>0</v>
      </c>
      <c r="M100" s="45"/>
      <c r="N100" s="44">
        <f>ROUND(SUM(H100:L100),5)</f>
        <v>847</v>
      </c>
    </row>
    <row r="101" spans="1:14" ht="15" thickBot="1" x14ac:dyDescent="0.35">
      <c r="A101" s="43"/>
      <c r="B101" s="43"/>
      <c r="C101" s="43"/>
      <c r="D101" s="43"/>
      <c r="E101" s="43"/>
      <c r="F101" s="43"/>
      <c r="G101" s="43" t="s">
        <v>491</v>
      </c>
      <c r="H101" s="46">
        <v>17080</v>
      </c>
      <c r="I101" s="45"/>
      <c r="J101" s="46">
        <v>14418</v>
      </c>
      <c r="K101" s="45"/>
      <c r="L101" s="46">
        <v>26801</v>
      </c>
      <c r="M101" s="45"/>
      <c r="N101" s="46">
        <f>ROUND(SUM(H101:L101),5)</f>
        <v>58299</v>
      </c>
    </row>
    <row r="102" spans="1:14" x14ac:dyDescent="0.3">
      <c r="A102" s="43"/>
      <c r="B102" s="43"/>
      <c r="C102" s="43"/>
      <c r="D102" s="43"/>
      <c r="E102" s="43"/>
      <c r="F102" s="43" t="s">
        <v>492</v>
      </c>
      <c r="G102" s="43"/>
      <c r="H102" s="44">
        <f>ROUND(SUM(H98:H101),5)</f>
        <v>17484</v>
      </c>
      <c r="I102" s="45"/>
      <c r="J102" s="44">
        <f>ROUND(SUM(J98:J101),5)</f>
        <v>15282</v>
      </c>
      <c r="K102" s="45"/>
      <c r="L102" s="44">
        <f>ROUND(SUM(L98:L101),5)</f>
        <v>27186</v>
      </c>
      <c r="M102" s="45"/>
      <c r="N102" s="44">
        <f>ROUND(SUM(H102:L102),5)</f>
        <v>59952</v>
      </c>
    </row>
    <row r="103" spans="1:14" ht="30" customHeight="1" x14ac:dyDescent="0.3">
      <c r="A103" s="43"/>
      <c r="B103" s="43"/>
      <c r="C103" s="43"/>
      <c r="D103" s="43"/>
      <c r="E103" s="43"/>
      <c r="F103" s="43" t="s">
        <v>250</v>
      </c>
      <c r="G103" s="43"/>
      <c r="H103" s="44"/>
      <c r="I103" s="45"/>
      <c r="J103" s="44"/>
      <c r="K103" s="45"/>
      <c r="L103" s="44"/>
      <c r="M103" s="45"/>
      <c r="N103" s="44"/>
    </row>
    <row r="104" spans="1:14" x14ac:dyDescent="0.3">
      <c r="A104" s="43"/>
      <c r="B104" s="43"/>
      <c r="C104" s="43"/>
      <c r="D104" s="43"/>
      <c r="E104" s="43"/>
      <c r="F104" s="43"/>
      <c r="G104" s="43" t="s">
        <v>251</v>
      </c>
      <c r="H104" s="44">
        <v>1075</v>
      </c>
      <c r="I104" s="45"/>
      <c r="J104" s="44">
        <v>4019</v>
      </c>
      <c r="K104" s="45"/>
      <c r="L104" s="44">
        <v>2616</v>
      </c>
      <c r="M104" s="45"/>
      <c r="N104" s="44">
        <f>ROUND(SUM(H104:L104),5)</f>
        <v>7710</v>
      </c>
    </row>
    <row r="105" spans="1:14" x14ac:dyDescent="0.3">
      <c r="A105" s="43"/>
      <c r="B105" s="43"/>
      <c r="C105" s="43"/>
      <c r="D105" s="43"/>
      <c r="E105" s="43"/>
      <c r="F105" s="43"/>
      <c r="G105" s="43" t="s">
        <v>343</v>
      </c>
      <c r="H105" s="44">
        <v>1219</v>
      </c>
      <c r="I105" s="45"/>
      <c r="J105" s="44">
        <v>3339</v>
      </c>
      <c r="K105" s="45"/>
      <c r="L105" s="44">
        <v>1036</v>
      </c>
      <c r="M105" s="45"/>
      <c r="N105" s="44">
        <f>ROUND(SUM(H105:L105),5)</f>
        <v>5594</v>
      </c>
    </row>
    <row r="106" spans="1:14" ht="15" thickBot="1" x14ac:dyDescent="0.35">
      <c r="A106" s="43"/>
      <c r="B106" s="43"/>
      <c r="C106" s="43"/>
      <c r="D106" s="43"/>
      <c r="E106" s="43"/>
      <c r="F106" s="43"/>
      <c r="G106" s="43" t="s">
        <v>252</v>
      </c>
      <c r="H106" s="46">
        <v>4826</v>
      </c>
      <c r="I106" s="45"/>
      <c r="J106" s="46">
        <v>2240</v>
      </c>
      <c r="K106" s="45"/>
      <c r="L106" s="46">
        <v>3489</v>
      </c>
      <c r="M106" s="45"/>
      <c r="N106" s="46">
        <f>ROUND(SUM(H106:L106),5)</f>
        <v>10555</v>
      </c>
    </row>
    <row r="107" spans="1:14" x14ac:dyDescent="0.3">
      <c r="A107" s="43"/>
      <c r="B107" s="43"/>
      <c r="C107" s="43"/>
      <c r="D107" s="43"/>
      <c r="E107" s="43"/>
      <c r="F107" s="43" t="s">
        <v>253</v>
      </c>
      <c r="G107" s="43"/>
      <c r="H107" s="44">
        <f>ROUND(SUM(H103:H106),5)</f>
        <v>7120</v>
      </c>
      <c r="I107" s="45"/>
      <c r="J107" s="44">
        <f>ROUND(SUM(J103:J106),5)</f>
        <v>9598</v>
      </c>
      <c r="K107" s="45"/>
      <c r="L107" s="44">
        <f>ROUND(SUM(L103:L106),5)</f>
        <v>7141</v>
      </c>
      <c r="M107" s="45"/>
      <c r="N107" s="44">
        <f>ROUND(SUM(H107:L107),5)</f>
        <v>23859</v>
      </c>
    </row>
    <row r="108" spans="1:14" ht="30" customHeight="1" x14ac:dyDescent="0.3">
      <c r="A108" s="43"/>
      <c r="B108" s="43"/>
      <c r="C108" s="43"/>
      <c r="D108" s="43"/>
      <c r="E108" s="43"/>
      <c r="F108" s="43" t="s">
        <v>493</v>
      </c>
      <c r="G108" s="43"/>
      <c r="H108" s="44"/>
      <c r="I108" s="45"/>
      <c r="J108" s="44"/>
      <c r="K108" s="45"/>
      <c r="L108" s="44"/>
      <c r="M108" s="45"/>
      <c r="N108" s="44"/>
    </row>
    <row r="109" spans="1:14" x14ac:dyDescent="0.3">
      <c r="A109" s="43"/>
      <c r="B109" s="43"/>
      <c r="C109" s="43"/>
      <c r="D109" s="43"/>
      <c r="E109" s="43"/>
      <c r="F109" s="43"/>
      <c r="G109" s="43" t="s">
        <v>345</v>
      </c>
      <c r="H109" s="44">
        <v>444</v>
      </c>
      <c r="I109" s="45"/>
      <c r="J109" s="44">
        <v>839</v>
      </c>
      <c r="K109" s="45"/>
      <c r="L109" s="44">
        <v>1868</v>
      </c>
      <c r="M109" s="45"/>
      <c r="N109" s="44">
        <f>ROUND(SUM(H109:L109),5)</f>
        <v>3151</v>
      </c>
    </row>
    <row r="110" spans="1:14" x14ac:dyDescent="0.3">
      <c r="A110" s="43"/>
      <c r="B110" s="43"/>
      <c r="C110" s="43"/>
      <c r="D110" s="43"/>
      <c r="E110" s="43"/>
      <c r="F110" s="43"/>
      <c r="G110" s="43" t="s">
        <v>414</v>
      </c>
      <c r="H110" s="44">
        <v>822</v>
      </c>
      <c r="I110" s="45"/>
      <c r="J110" s="44">
        <v>236</v>
      </c>
      <c r="K110" s="45"/>
      <c r="L110" s="44">
        <v>2841</v>
      </c>
      <c r="M110" s="45"/>
      <c r="N110" s="44">
        <f>ROUND(SUM(H110:L110),5)</f>
        <v>3899</v>
      </c>
    </row>
    <row r="111" spans="1:14" ht="15" thickBot="1" x14ac:dyDescent="0.35">
      <c r="A111" s="43"/>
      <c r="B111" s="43"/>
      <c r="C111" s="43"/>
      <c r="D111" s="43"/>
      <c r="E111" s="43"/>
      <c r="F111" s="43"/>
      <c r="G111" s="43" t="s">
        <v>494</v>
      </c>
      <c r="H111" s="46">
        <v>199</v>
      </c>
      <c r="I111" s="45"/>
      <c r="J111" s="46">
        <v>1636</v>
      </c>
      <c r="K111" s="45"/>
      <c r="L111" s="46">
        <v>1441</v>
      </c>
      <c r="M111" s="45"/>
      <c r="N111" s="46">
        <f>ROUND(SUM(H111:L111),5)</f>
        <v>3276</v>
      </c>
    </row>
    <row r="112" spans="1:14" x14ac:dyDescent="0.3">
      <c r="A112" s="43"/>
      <c r="B112" s="43"/>
      <c r="C112" s="43"/>
      <c r="D112" s="43"/>
      <c r="E112" s="43"/>
      <c r="F112" s="43" t="s">
        <v>495</v>
      </c>
      <c r="G112" s="43"/>
      <c r="H112" s="44">
        <f>ROUND(SUM(H108:H111),5)</f>
        <v>1465</v>
      </c>
      <c r="I112" s="45"/>
      <c r="J112" s="44">
        <f>ROUND(SUM(J108:J111),5)</f>
        <v>2711</v>
      </c>
      <c r="K112" s="45"/>
      <c r="L112" s="44">
        <f>ROUND(SUM(L108:L111),5)</f>
        <v>6150</v>
      </c>
      <c r="M112" s="45"/>
      <c r="N112" s="44">
        <f>ROUND(SUM(H112:L112),5)</f>
        <v>10326</v>
      </c>
    </row>
    <row r="113" spans="1:14" ht="30" customHeight="1" x14ac:dyDescent="0.3">
      <c r="A113" s="43"/>
      <c r="B113" s="43"/>
      <c r="C113" s="43"/>
      <c r="D113" s="43"/>
      <c r="E113" s="43"/>
      <c r="F113" s="43" t="s">
        <v>254</v>
      </c>
      <c r="G113" s="43"/>
      <c r="H113" s="44"/>
      <c r="I113" s="45"/>
      <c r="J113" s="44"/>
      <c r="K113" s="45"/>
      <c r="L113" s="44"/>
      <c r="M113" s="45"/>
      <c r="N113" s="44"/>
    </row>
    <row r="114" spans="1:14" x14ac:dyDescent="0.3">
      <c r="A114" s="43"/>
      <c r="B114" s="43"/>
      <c r="C114" s="43"/>
      <c r="D114" s="43"/>
      <c r="E114" s="43"/>
      <c r="F114" s="43"/>
      <c r="G114" s="43" t="s">
        <v>255</v>
      </c>
      <c r="H114" s="44">
        <v>3508</v>
      </c>
      <c r="I114" s="45"/>
      <c r="J114" s="44">
        <v>3222</v>
      </c>
      <c r="K114" s="45"/>
      <c r="L114" s="44">
        <v>3281</v>
      </c>
      <c r="M114" s="45"/>
      <c r="N114" s="44">
        <f t="shared" ref="N114:N123" si="5">ROUND(SUM(H114:L114),5)</f>
        <v>10011</v>
      </c>
    </row>
    <row r="115" spans="1:14" x14ac:dyDescent="0.3">
      <c r="A115" s="43"/>
      <c r="B115" s="43"/>
      <c r="C115" s="43"/>
      <c r="D115" s="43"/>
      <c r="E115" s="43"/>
      <c r="F115" s="43"/>
      <c r="G115" s="43" t="s">
        <v>256</v>
      </c>
      <c r="H115" s="44">
        <v>1979</v>
      </c>
      <c r="I115" s="45"/>
      <c r="J115" s="44">
        <v>2776</v>
      </c>
      <c r="K115" s="45"/>
      <c r="L115" s="44">
        <v>1900</v>
      </c>
      <c r="M115" s="45"/>
      <c r="N115" s="44">
        <f t="shared" si="5"/>
        <v>6655</v>
      </c>
    </row>
    <row r="116" spans="1:14" x14ac:dyDescent="0.3">
      <c r="A116" s="43"/>
      <c r="B116" s="43"/>
      <c r="C116" s="43"/>
      <c r="D116" s="43"/>
      <c r="E116" s="43"/>
      <c r="F116" s="43"/>
      <c r="G116" s="43" t="s">
        <v>257</v>
      </c>
      <c r="H116" s="44">
        <v>675</v>
      </c>
      <c r="I116" s="45"/>
      <c r="J116" s="44">
        <v>901</v>
      </c>
      <c r="K116" s="45"/>
      <c r="L116" s="44">
        <v>1150</v>
      </c>
      <c r="M116" s="45"/>
      <c r="N116" s="44">
        <f t="shared" si="5"/>
        <v>2726</v>
      </c>
    </row>
    <row r="117" spans="1:14" x14ac:dyDescent="0.3">
      <c r="A117" s="43"/>
      <c r="B117" s="43"/>
      <c r="C117" s="43"/>
      <c r="D117" s="43"/>
      <c r="E117" s="43"/>
      <c r="F117" s="43"/>
      <c r="G117" s="43" t="s">
        <v>258</v>
      </c>
      <c r="H117" s="44">
        <v>814</v>
      </c>
      <c r="I117" s="45"/>
      <c r="J117" s="44">
        <v>612</v>
      </c>
      <c r="K117" s="45"/>
      <c r="L117" s="44">
        <v>777</v>
      </c>
      <c r="M117" s="45"/>
      <c r="N117" s="44">
        <f t="shared" si="5"/>
        <v>2203</v>
      </c>
    </row>
    <row r="118" spans="1:14" x14ac:dyDescent="0.3">
      <c r="A118" s="43"/>
      <c r="B118" s="43"/>
      <c r="C118" s="43"/>
      <c r="D118" s="43"/>
      <c r="E118" s="43"/>
      <c r="F118" s="43"/>
      <c r="G118" s="43" t="s">
        <v>259</v>
      </c>
      <c r="H118" s="44">
        <v>53</v>
      </c>
      <c r="I118" s="45"/>
      <c r="J118" s="44">
        <v>0</v>
      </c>
      <c r="K118" s="45"/>
      <c r="L118" s="44">
        <v>0</v>
      </c>
      <c r="M118" s="45"/>
      <c r="N118" s="44">
        <f t="shared" si="5"/>
        <v>53</v>
      </c>
    </row>
    <row r="119" spans="1:14" ht="15" thickBot="1" x14ac:dyDescent="0.35">
      <c r="A119" s="43"/>
      <c r="B119" s="43"/>
      <c r="C119" s="43"/>
      <c r="D119" s="43"/>
      <c r="E119" s="43"/>
      <c r="F119" s="43"/>
      <c r="G119" s="43" t="s">
        <v>260</v>
      </c>
      <c r="H119" s="46">
        <v>7042</v>
      </c>
      <c r="I119" s="45"/>
      <c r="J119" s="46">
        <v>658</v>
      </c>
      <c r="K119" s="45"/>
      <c r="L119" s="46">
        <v>3430</v>
      </c>
      <c r="M119" s="45"/>
      <c r="N119" s="46">
        <f t="shared" si="5"/>
        <v>11130</v>
      </c>
    </row>
    <row r="120" spans="1:14" x14ac:dyDescent="0.3">
      <c r="A120" s="43"/>
      <c r="B120" s="43"/>
      <c r="C120" s="43"/>
      <c r="D120" s="43"/>
      <c r="E120" s="43"/>
      <c r="F120" s="43" t="s">
        <v>261</v>
      </c>
      <c r="G120" s="43"/>
      <c r="H120" s="44">
        <f>ROUND(SUM(H113:H119),5)</f>
        <v>14071</v>
      </c>
      <c r="I120" s="45"/>
      <c r="J120" s="44">
        <f>ROUND(SUM(J113:J119),5)</f>
        <v>8169</v>
      </c>
      <c r="K120" s="45"/>
      <c r="L120" s="44">
        <f>ROUND(SUM(L113:L119),5)</f>
        <v>10538</v>
      </c>
      <c r="M120" s="45"/>
      <c r="N120" s="44">
        <f t="shared" si="5"/>
        <v>32778</v>
      </c>
    </row>
    <row r="121" spans="1:14" ht="30" customHeight="1" x14ac:dyDescent="0.3">
      <c r="A121" s="43"/>
      <c r="B121" s="43"/>
      <c r="C121" s="43"/>
      <c r="D121" s="43"/>
      <c r="E121" s="43"/>
      <c r="F121" s="43" t="s">
        <v>415</v>
      </c>
      <c r="G121" s="43"/>
      <c r="H121" s="44">
        <v>746</v>
      </c>
      <c r="I121" s="45"/>
      <c r="J121" s="44">
        <v>821</v>
      </c>
      <c r="K121" s="45"/>
      <c r="L121" s="44">
        <v>788</v>
      </c>
      <c r="M121" s="45"/>
      <c r="N121" s="44">
        <f t="shared" si="5"/>
        <v>2355</v>
      </c>
    </row>
    <row r="122" spans="1:14" x14ac:dyDescent="0.3">
      <c r="A122" s="43"/>
      <c r="B122" s="43"/>
      <c r="C122" s="43"/>
      <c r="D122" s="43"/>
      <c r="E122" s="43"/>
      <c r="F122" s="43" t="s">
        <v>496</v>
      </c>
      <c r="G122" s="43"/>
      <c r="H122" s="44">
        <v>0</v>
      </c>
      <c r="I122" s="45"/>
      <c r="J122" s="44">
        <v>0</v>
      </c>
      <c r="K122" s="45"/>
      <c r="L122" s="44">
        <v>0</v>
      </c>
      <c r="M122" s="45"/>
      <c r="N122" s="44">
        <f t="shared" si="5"/>
        <v>0</v>
      </c>
    </row>
    <row r="123" spans="1:14" x14ac:dyDescent="0.3">
      <c r="A123" s="43"/>
      <c r="B123" s="43"/>
      <c r="C123" s="43"/>
      <c r="D123" s="43"/>
      <c r="E123" s="43"/>
      <c r="F123" s="43" t="s">
        <v>497</v>
      </c>
      <c r="G123" s="43"/>
      <c r="H123" s="44">
        <v>6000</v>
      </c>
      <c r="I123" s="45"/>
      <c r="J123" s="44">
        <v>4000</v>
      </c>
      <c r="K123" s="45"/>
      <c r="L123" s="44">
        <v>0</v>
      </c>
      <c r="M123" s="45"/>
      <c r="N123" s="44">
        <f t="shared" si="5"/>
        <v>10000</v>
      </c>
    </row>
    <row r="124" spans="1:14" x14ac:dyDescent="0.3">
      <c r="A124" s="43"/>
      <c r="B124" s="43"/>
      <c r="C124" s="43"/>
      <c r="D124" s="43"/>
      <c r="E124" s="43"/>
      <c r="F124" s="43" t="s">
        <v>498</v>
      </c>
      <c r="G124" s="43"/>
      <c r="H124" s="44"/>
      <c r="I124" s="45"/>
      <c r="J124" s="44"/>
      <c r="K124" s="45"/>
      <c r="L124" s="44"/>
      <c r="M124" s="45"/>
      <c r="N124" s="44"/>
    </row>
    <row r="125" spans="1:14" x14ac:dyDescent="0.3">
      <c r="A125" s="43"/>
      <c r="B125" s="43"/>
      <c r="C125" s="43"/>
      <c r="D125" s="43"/>
      <c r="E125" s="43"/>
      <c r="F125" s="43"/>
      <c r="G125" s="43" t="s">
        <v>499</v>
      </c>
      <c r="H125" s="44">
        <v>41655</v>
      </c>
      <c r="I125" s="45"/>
      <c r="J125" s="44">
        <v>41965</v>
      </c>
      <c r="K125" s="45"/>
      <c r="L125" s="44">
        <v>43320</v>
      </c>
      <c r="M125" s="45"/>
      <c r="N125" s="44">
        <f t="shared" ref="N125:N133" si="6">ROUND(SUM(H125:L125),5)</f>
        <v>126940</v>
      </c>
    </row>
    <row r="126" spans="1:14" ht="15" thickBot="1" x14ac:dyDescent="0.35">
      <c r="A126" s="43"/>
      <c r="B126" s="43"/>
      <c r="C126" s="43"/>
      <c r="D126" s="43"/>
      <c r="E126" s="43"/>
      <c r="F126" s="43"/>
      <c r="G126" s="43" t="s">
        <v>500</v>
      </c>
      <c r="H126" s="46">
        <v>13990</v>
      </c>
      <c r="I126" s="45"/>
      <c r="J126" s="46">
        <v>14859</v>
      </c>
      <c r="K126" s="45"/>
      <c r="L126" s="46">
        <v>14527</v>
      </c>
      <c r="M126" s="45"/>
      <c r="N126" s="46">
        <f t="shared" si="6"/>
        <v>43376</v>
      </c>
    </row>
    <row r="127" spans="1:14" x14ac:dyDescent="0.3">
      <c r="A127" s="43"/>
      <c r="B127" s="43"/>
      <c r="C127" s="43"/>
      <c r="D127" s="43"/>
      <c r="E127" s="43"/>
      <c r="F127" s="43" t="s">
        <v>501</v>
      </c>
      <c r="G127" s="43"/>
      <c r="H127" s="44">
        <f>ROUND(SUM(H124:H126),5)</f>
        <v>55645</v>
      </c>
      <c r="I127" s="45"/>
      <c r="J127" s="44">
        <f>ROUND(SUM(J124:J126),5)</f>
        <v>56824</v>
      </c>
      <c r="K127" s="45"/>
      <c r="L127" s="44">
        <f>ROUND(SUM(L124:L126),5)</f>
        <v>57847</v>
      </c>
      <c r="M127" s="45"/>
      <c r="N127" s="44">
        <f t="shared" si="6"/>
        <v>170316</v>
      </c>
    </row>
    <row r="128" spans="1:14" ht="30" customHeight="1" x14ac:dyDescent="0.3">
      <c r="A128" s="43"/>
      <c r="B128" s="43"/>
      <c r="C128" s="43"/>
      <c r="D128" s="43"/>
      <c r="E128" s="43"/>
      <c r="F128" s="43" t="s">
        <v>502</v>
      </c>
      <c r="G128" s="43"/>
      <c r="H128" s="44">
        <v>2365</v>
      </c>
      <c r="I128" s="45"/>
      <c r="J128" s="44">
        <v>4730</v>
      </c>
      <c r="K128" s="45"/>
      <c r="L128" s="44">
        <v>0</v>
      </c>
      <c r="M128" s="45"/>
      <c r="N128" s="44">
        <f t="shared" si="6"/>
        <v>7095</v>
      </c>
    </row>
    <row r="129" spans="1:14" x14ac:dyDescent="0.3">
      <c r="A129" s="43"/>
      <c r="B129" s="43"/>
      <c r="C129" s="43"/>
      <c r="D129" s="43"/>
      <c r="E129" s="43"/>
      <c r="F129" s="43" t="s">
        <v>503</v>
      </c>
      <c r="G129" s="43"/>
      <c r="H129" s="44">
        <v>5561</v>
      </c>
      <c r="I129" s="45"/>
      <c r="J129" s="44">
        <v>5151</v>
      </c>
      <c r="K129" s="45"/>
      <c r="L129" s="44">
        <v>6015</v>
      </c>
      <c r="M129" s="45"/>
      <c r="N129" s="44">
        <f t="shared" si="6"/>
        <v>16727</v>
      </c>
    </row>
    <row r="130" spans="1:14" x14ac:dyDescent="0.3">
      <c r="A130" s="43"/>
      <c r="B130" s="43"/>
      <c r="C130" s="43"/>
      <c r="D130" s="43"/>
      <c r="E130" s="43"/>
      <c r="F130" s="43" t="s">
        <v>504</v>
      </c>
      <c r="G130" s="43"/>
      <c r="H130" s="44">
        <v>2336</v>
      </c>
      <c r="I130" s="45"/>
      <c r="J130" s="44">
        <v>2191</v>
      </c>
      <c r="K130" s="45"/>
      <c r="L130" s="44">
        <v>1457</v>
      </c>
      <c r="M130" s="45"/>
      <c r="N130" s="44">
        <f t="shared" si="6"/>
        <v>5984</v>
      </c>
    </row>
    <row r="131" spans="1:14" x14ac:dyDescent="0.3">
      <c r="A131" s="43"/>
      <c r="B131" s="43"/>
      <c r="C131" s="43"/>
      <c r="D131" s="43"/>
      <c r="E131" s="43"/>
      <c r="F131" s="43" t="s">
        <v>505</v>
      </c>
      <c r="G131" s="43"/>
      <c r="H131" s="44">
        <v>3000</v>
      </c>
      <c r="I131" s="45"/>
      <c r="J131" s="44">
        <v>250</v>
      </c>
      <c r="K131" s="45"/>
      <c r="L131" s="44">
        <v>0</v>
      </c>
      <c r="M131" s="45"/>
      <c r="N131" s="44">
        <f t="shared" si="6"/>
        <v>3250</v>
      </c>
    </row>
    <row r="132" spans="1:14" ht="15" thickBot="1" x14ac:dyDescent="0.35">
      <c r="A132" s="43"/>
      <c r="B132" s="43"/>
      <c r="C132" s="43"/>
      <c r="D132" s="43"/>
      <c r="E132" s="43"/>
      <c r="F132" s="43" t="s">
        <v>506</v>
      </c>
      <c r="G132" s="43"/>
      <c r="H132" s="46">
        <v>12000</v>
      </c>
      <c r="I132" s="45"/>
      <c r="J132" s="46">
        <v>3000</v>
      </c>
      <c r="K132" s="45"/>
      <c r="L132" s="46">
        <v>0</v>
      </c>
      <c r="M132" s="45"/>
      <c r="N132" s="46">
        <f t="shared" si="6"/>
        <v>15000</v>
      </c>
    </row>
    <row r="133" spans="1:14" x14ac:dyDescent="0.3">
      <c r="A133" s="43"/>
      <c r="B133" s="43"/>
      <c r="C133" s="43"/>
      <c r="D133" s="43"/>
      <c r="E133" s="43" t="s">
        <v>270</v>
      </c>
      <c r="F133" s="43"/>
      <c r="G133" s="43"/>
      <c r="H133" s="44">
        <f>ROUND(H64+H73+H78+H82+H87+H92+SUM(H96:H97)+H102+H107+H112+SUM(H120:H123)+SUM(H127:H132),5)</f>
        <v>149704</v>
      </c>
      <c r="I133" s="45"/>
      <c r="J133" s="44">
        <f>ROUND(J64+J73+J78+J82+J87+J92+SUM(J96:J97)+J102+J107+J112+SUM(J120:J123)+SUM(J127:J132),5)</f>
        <v>132816</v>
      </c>
      <c r="K133" s="45"/>
      <c r="L133" s="44">
        <f>ROUND(L64+L73+L78+L82+L87+L92+SUM(L96:L97)+L102+L107+L112+SUM(L120:L123)+SUM(L127:L132),5)</f>
        <v>142927</v>
      </c>
      <c r="M133" s="45"/>
      <c r="N133" s="44">
        <f t="shared" si="6"/>
        <v>425447</v>
      </c>
    </row>
    <row r="134" spans="1:14" ht="30" customHeight="1" x14ac:dyDescent="0.3">
      <c r="A134" s="43"/>
      <c r="B134" s="43"/>
      <c r="C134" s="43"/>
      <c r="D134" s="43"/>
      <c r="E134" s="43" t="s">
        <v>271</v>
      </c>
      <c r="F134" s="43"/>
      <c r="G134" s="43"/>
      <c r="H134" s="44"/>
      <c r="I134" s="45"/>
      <c r="J134" s="44"/>
      <c r="K134" s="45"/>
      <c r="L134" s="44"/>
      <c r="M134" s="45"/>
      <c r="N134" s="44"/>
    </row>
    <row r="135" spans="1:14" ht="15" thickBot="1" x14ac:dyDescent="0.35">
      <c r="A135" s="43"/>
      <c r="B135" s="43"/>
      <c r="C135" s="43"/>
      <c r="D135" s="43"/>
      <c r="E135" s="43"/>
      <c r="F135" s="43" t="s">
        <v>416</v>
      </c>
      <c r="G135" s="43"/>
      <c r="H135" s="46">
        <v>19126</v>
      </c>
      <c r="I135" s="45"/>
      <c r="J135" s="46">
        <v>38708</v>
      </c>
      <c r="K135" s="45"/>
      <c r="L135" s="46">
        <v>29349</v>
      </c>
      <c r="M135" s="45"/>
      <c r="N135" s="46">
        <f>ROUND(SUM(H135:L135),5)</f>
        <v>87183</v>
      </c>
    </row>
    <row r="136" spans="1:14" x14ac:dyDescent="0.3">
      <c r="A136" s="43"/>
      <c r="B136" s="43"/>
      <c r="C136" s="43"/>
      <c r="D136" s="43"/>
      <c r="E136" s="43" t="s">
        <v>417</v>
      </c>
      <c r="F136" s="43"/>
      <c r="G136" s="43"/>
      <c r="H136" s="44">
        <f>ROUND(SUM(H134:H135),5)</f>
        <v>19126</v>
      </c>
      <c r="I136" s="45"/>
      <c r="J136" s="44">
        <f>ROUND(SUM(J134:J135),5)</f>
        <v>38708</v>
      </c>
      <c r="K136" s="45"/>
      <c r="L136" s="44">
        <f>ROUND(SUM(L134:L135),5)</f>
        <v>29349</v>
      </c>
      <c r="M136" s="45"/>
      <c r="N136" s="44">
        <f>ROUND(SUM(H136:L136),5)</f>
        <v>87183</v>
      </c>
    </row>
    <row r="137" spans="1:14" ht="30" customHeight="1" x14ac:dyDescent="0.3">
      <c r="A137" s="43"/>
      <c r="B137" s="43"/>
      <c r="C137" s="43"/>
      <c r="D137" s="43"/>
      <c r="E137" s="43" t="s">
        <v>272</v>
      </c>
      <c r="F137" s="43"/>
      <c r="G137" s="43"/>
      <c r="H137" s="44"/>
      <c r="I137" s="45"/>
      <c r="J137" s="44"/>
      <c r="K137" s="45"/>
      <c r="L137" s="44"/>
      <c r="M137" s="45"/>
      <c r="N137" s="44"/>
    </row>
    <row r="138" spans="1:14" x14ac:dyDescent="0.3">
      <c r="A138" s="43"/>
      <c r="B138" s="43"/>
      <c r="C138" s="43"/>
      <c r="D138" s="43"/>
      <c r="E138" s="43"/>
      <c r="F138" s="43" t="s">
        <v>273</v>
      </c>
      <c r="G138" s="43"/>
      <c r="H138" s="44">
        <v>0</v>
      </c>
      <c r="I138" s="45"/>
      <c r="J138" s="44">
        <v>0</v>
      </c>
      <c r="K138" s="45"/>
      <c r="L138" s="44">
        <v>-4758</v>
      </c>
      <c r="M138" s="45"/>
      <c r="N138" s="44">
        <f t="shared" ref="N138:N143" si="7">ROUND(SUM(H138:L138),5)</f>
        <v>-4758</v>
      </c>
    </row>
    <row r="139" spans="1:14" x14ac:dyDescent="0.3">
      <c r="A139" s="43"/>
      <c r="B139" s="43"/>
      <c r="C139" s="43"/>
      <c r="D139" s="43"/>
      <c r="E139" s="43"/>
      <c r="F139" s="43" t="s">
        <v>384</v>
      </c>
      <c r="G139" s="43"/>
      <c r="H139" s="44">
        <v>0</v>
      </c>
      <c r="I139" s="45"/>
      <c r="J139" s="44">
        <v>0</v>
      </c>
      <c r="K139" s="45"/>
      <c r="L139" s="44">
        <v>-9866</v>
      </c>
      <c r="M139" s="45"/>
      <c r="N139" s="44">
        <f t="shared" si="7"/>
        <v>-9866</v>
      </c>
    </row>
    <row r="140" spans="1:14" x14ac:dyDescent="0.3">
      <c r="A140" s="43"/>
      <c r="B140" s="43"/>
      <c r="C140" s="43"/>
      <c r="D140" s="43"/>
      <c r="E140" s="43"/>
      <c r="F140" s="43" t="s">
        <v>275</v>
      </c>
      <c r="G140" s="43"/>
      <c r="H140" s="44">
        <v>302570</v>
      </c>
      <c r="I140" s="45"/>
      <c r="J140" s="44">
        <v>182352</v>
      </c>
      <c r="K140" s="45"/>
      <c r="L140" s="44">
        <v>245131</v>
      </c>
      <c r="M140" s="45"/>
      <c r="N140" s="44">
        <f t="shared" si="7"/>
        <v>730053</v>
      </c>
    </row>
    <row r="141" spans="1:14" x14ac:dyDescent="0.3">
      <c r="A141" s="43"/>
      <c r="B141" s="43"/>
      <c r="C141" s="43"/>
      <c r="D141" s="43"/>
      <c r="E141" s="43"/>
      <c r="F141" s="43" t="s">
        <v>385</v>
      </c>
      <c r="G141" s="43"/>
      <c r="H141" s="44">
        <v>50</v>
      </c>
      <c r="I141" s="45"/>
      <c r="J141" s="44">
        <v>50</v>
      </c>
      <c r="K141" s="45"/>
      <c r="L141" s="44">
        <v>50</v>
      </c>
      <c r="M141" s="45"/>
      <c r="N141" s="44">
        <f t="shared" si="7"/>
        <v>150</v>
      </c>
    </row>
    <row r="142" spans="1:14" ht="15" thickBot="1" x14ac:dyDescent="0.35">
      <c r="A142" s="43"/>
      <c r="B142" s="43"/>
      <c r="C142" s="43"/>
      <c r="D142" s="43"/>
      <c r="E142" s="43"/>
      <c r="F142" s="43" t="s">
        <v>421</v>
      </c>
      <c r="G142" s="43"/>
      <c r="H142" s="46">
        <v>444</v>
      </c>
      <c r="I142" s="45"/>
      <c r="J142" s="46">
        <v>0</v>
      </c>
      <c r="K142" s="45"/>
      <c r="L142" s="46">
        <v>0</v>
      </c>
      <c r="M142" s="45"/>
      <c r="N142" s="46">
        <f t="shared" si="7"/>
        <v>444</v>
      </c>
    </row>
    <row r="143" spans="1:14" x14ac:dyDescent="0.3">
      <c r="A143" s="43"/>
      <c r="B143" s="43"/>
      <c r="C143" s="43"/>
      <c r="D143" s="43"/>
      <c r="E143" s="43" t="s">
        <v>277</v>
      </c>
      <c r="F143" s="43"/>
      <c r="G143" s="43"/>
      <c r="H143" s="44">
        <f>ROUND(SUM(H137:H142),5)</f>
        <v>303064</v>
      </c>
      <c r="I143" s="45"/>
      <c r="J143" s="44">
        <f>ROUND(SUM(J137:J142),5)</f>
        <v>182402</v>
      </c>
      <c r="K143" s="45"/>
      <c r="L143" s="44">
        <f>ROUND(SUM(L137:L142),5)</f>
        <v>230557</v>
      </c>
      <c r="M143" s="45"/>
      <c r="N143" s="44">
        <f t="shared" si="7"/>
        <v>716023</v>
      </c>
    </row>
    <row r="144" spans="1:14" ht="30" customHeight="1" x14ac:dyDescent="0.3">
      <c r="A144" s="43"/>
      <c r="B144" s="43"/>
      <c r="C144" s="43"/>
      <c r="D144" s="43"/>
      <c r="E144" s="43" t="s">
        <v>278</v>
      </c>
      <c r="F144" s="43"/>
      <c r="G144" s="43"/>
      <c r="H144" s="44"/>
      <c r="I144" s="45"/>
      <c r="J144" s="44"/>
      <c r="K144" s="45"/>
      <c r="L144" s="44"/>
      <c r="M144" s="45"/>
      <c r="N144" s="44"/>
    </row>
    <row r="145" spans="1:14" x14ac:dyDescent="0.3">
      <c r="A145" s="43"/>
      <c r="B145" s="43"/>
      <c r="C145" s="43"/>
      <c r="D145" s="43"/>
      <c r="E145" s="43"/>
      <c r="F145" s="43" t="s">
        <v>279</v>
      </c>
      <c r="G145" s="43"/>
      <c r="H145" s="44">
        <v>0</v>
      </c>
      <c r="I145" s="45"/>
      <c r="J145" s="44">
        <v>0</v>
      </c>
      <c r="K145" s="45"/>
      <c r="L145" s="44">
        <v>1586</v>
      </c>
      <c r="M145" s="45"/>
      <c r="N145" s="44">
        <f t="shared" ref="N145:N151" si="8">ROUND(SUM(H145:L145),5)</f>
        <v>1586</v>
      </c>
    </row>
    <row r="146" spans="1:14" ht="15" thickBot="1" x14ac:dyDescent="0.35">
      <c r="A146" s="43"/>
      <c r="B146" s="43"/>
      <c r="C146" s="43"/>
      <c r="D146" s="43"/>
      <c r="E146" s="43"/>
      <c r="F146" s="43" t="s">
        <v>282</v>
      </c>
      <c r="G146" s="43"/>
      <c r="H146" s="46">
        <v>606252</v>
      </c>
      <c r="I146" s="45"/>
      <c r="J146" s="46">
        <v>377630</v>
      </c>
      <c r="K146" s="45"/>
      <c r="L146" s="46">
        <v>354205</v>
      </c>
      <c r="M146" s="45"/>
      <c r="N146" s="46">
        <f t="shared" si="8"/>
        <v>1338087</v>
      </c>
    </row>
    <row r="147" spans="1:14" x14ac:dyDescent="0.3">
      <c r="A147" s="43"/>
      <c r="B147" s="43"/>
      <c r="C147" s="43"/>
      <c r="D147" s="43"/>
      <c r="E147" s="43" t="s">
        <v>283</v>
      </c>
      <c r="F147" s="43"/>
      <c r="G147" s="43"/>
      <c r="H147" s="44">
        <f>ROUND(SUM(H144:H146),5)</f>
        <v>606252</v>
      </c>
      <c r="I147" s="45"/>
      <c r="J147" s="44">
        <f>ROUND(SUM(J144:J146),5)</f>
        <v>377630</v>
      </c>
      <c r="K147" s="45"/>
      <c r="L147" s="44">
        <f>ROUND(SUM(L144:L146),5)</f>
        <v>355791</v>
      </c>
      <c r="M147" s="45"/>
      <c r="N147" s="44">
        <f t="shared" si="8"/>
        <v>1339673</v>
      </c>
    </row>
    <row r="148" spans="1:14" ht="30" customHeight="1" x14ac:dyDescent="0.3">
      <c r="A148" s="43"/>
      <c r="B148" s="43"/>
      <c r="C148" s="43"/>
      <c r="D148" s="43"/>
      <c r="E148" s="43" t="s">
        <v>350</v>
      </c>
      <c r="F148" s="43"/>
      <c r="G148" s="43"/>
      <c r="H148" s="44">
        <v>45580</v>
      </c>
      <c r="I148" s="45"/>
      <c r="J148" s="44">
        <v>45580</v>
      </c>
      <c r="K148" s="45"/>
      <c r="L148" s="44">
        <v>34682</v>
      </c>
      <c r="M148" s="45"/>
      <c r="N148" s="44">
        <f t="shared" si="8"/>
        <v>125842</v>
      </c>
    </row>
    <row r="149" spans="1:14" ht="15" thickBot="1" x14ac:dyDescent="0.35">
      <c r="A149" s="43"/>
      <c r="B149" s="43"/>
      <c r="C149" s="43"/>
      <c r="D149" s="43"/>
      <c r="E149" s="43" t="s">
        <v>284</v>
      </c>
      <c r="F149" s="43"/>
      <c r="G149" s="43"/>
      <c r="H149" s="44">
        <v>412598</v>
      </c>
      <c r="I149" s="45"/>
      <c r="J149" s="44">
        <v>369346</v>
      </c>
      <c r="K149" s="45"/>
      <c r="L149" s="44">
        <v>342119</v>
      </c>
      <c r="M149" s="45"/>
      <c r="N149" s="44">
        <f t="shared" si="8"/>
        <v>1124063</v>
      </c>
    </row>
    <row r="150" spans="1:14" ht="15" thickBot="1" x14ac:dyDescent="0.35">
      <c r="A150" s="43"/>
      <c r="B150" s="43"/>
      <c r="C150" s="43"/>
      <c r="D150" s="43" t="s">
        <v>287</v>
      </c>
      <c r="E150" s="43"/>
      <c r="F150" s="43"/>
      <c r="G150" s="43"/>
      <c r="H150" s="47">
        <f>ROUND(SUM(H14:H15)+H35+H63+H133+H136+H143+SUM(H147:H149),5)</f>
        <v>1803578</v>
      </c>
      <c r="I150" s="45"/>
      <c r="J150" s="47">
        <f>ROUND(SUM(J14:J15)+J35+J63+J133+J136+J143+SUM(J147:J149),5)</f>
        <v>1408429</v>
      </c>
      <c r="K150" s="45"/>
      <c r="L150" s="47">
        <f>ROUND(SUM(L14:L15)+L35+L63+L133+L136+L143+SUM(L147:L149),5)</f>
        <v>1721794</v>
      </c>
      <c r="M150" s="45"/>
      <c r="N150" s="47">
        <f t="shared" si="8"/>
        <v>4933801</v>
      </c>
    </row>
    <row r="151" spans="1:14" ht="30" customHeight="1" x14ac:dyDescent="0.3">
      <c r="A151" s="43"/>
      <c r="B151" s="43" t="s">
        <v>288</v>
      </c>
      <c r="C151" s="43"/>
      <c r="D151" s="43"/>
      <c r="E151" s="43"/>
      <c r="F151" s="43"/>
      <c r="G151" s="43"/>
      <c r="H151" s="44">
        <f>ROUND(H2+H13-H150,5)</f>
        <v>174135</v>
      </c>
      <c r="I151" s="45"/>
      <c r="J151" s="44">
        <f>ROUND(J2+J13-J150,5)</f>
        <v>628509</v>
      </c>
      <c r="K151" s="45"/>
      <c r="L151" s="44">
        <f>ROUND(L2+L13-L150,5)</f>
        <v>223735</v>
      </c>
      <c r="M151" s="45"/>
      <c r="N151" s="44">
        <f t="shared" si="8"/>
        <v>1026379</v>
      </c>
    </row>
    <row r="152" spans="1:14" ht="30" customHeight="1" x14ac:dyDescent="0.3">
      <c r="A152" s="43"/>
      <c r="B152" s="43" t="s">
        <v>289</v>
      </c>
      <c r="C152" s="43"/>
      <c r="D152" s="43"/>
      <c r="E152" s="43"/>
      <c r="F152" s="43"/>
      <c r="G152" s="43"/>
      <c r="H152" s="44"/>
      <c r="I152" s="45"/>
      <c r="J152" s="44"/>
      <c r="K152" s="45"/>
      <c r="L152" s="44"/>
      <c r="M152" s="45"/>
      <c r="N152" s="44"/>
    </row>
    <row r="153" spans="1:14" x14ac:dyDescent="0.3">
      <c r="A153" s="43"/>
      <c r="B153" s="43"/>
      <c r="C153" s="43" t="s">
        <v>290</v>
      </c>
      <c r="D153" s="43"/>
      <c r="E153" s="43"/>
      <c r="F153" s="43"/>
      <c r="G153" s="43"/>
      <c r="H153" s="44"/>
      <c r="I153" s="45"/>
      <c r="J153" s="44"/>
      <c r="K153" s="45"/>
      <c r="L153" s="44"/>
      <c r="M153" s="45"/>
      <c r="N153" s="44"/>
    </row>
    <row r="154" spans="1:14" x14ac:dyDescent="0.3">
      <c r="A154" s="43"/>
      <c r="B154" s="43"/>
      <c r="C154" s="43"/>
      <c r="D154" s="43" t="s">
        <v>291</v>
      </c>
      <c r="E154" s="43"/>
      <c r="F154" s="43"/>
      <c r="G154" s="43"/>
      <c r="H154" s="44"/>
      <c r="I154" s="45"/>
      <c r="J154" s="44"/>
      <c r="K154" s="45"/>
      <c r="L154" s="44"/>
      <c r="M154" s="45"/>
      <c r="N154" s="44"/>
    </row>
    <row r="155" spans="1:14" x14ac:dyDescent="0.3">
      <c r="A155" s="43"/>
      <c r="B155" s="43"/>
      <c r="C155" s="43"/>
      <c r="D155" s="43"/>
      <c r="E155" s="43" t="s">
        <v>507</v>
      </c>
      <c r="F155" s="43"/>
      <c r="G155" s="43"/>
      <c r="H155" s="44">
        <v>1632</v>
      </c>
      <c r="I155" s="45"/>
      <c r="J155" s="44">
        <v>80</v>
      </c>
      <c r="K155" s="45"/>
      <c r="L155" s="44">
        <v>45</v>
      </c>
      <c r="M155" s="45"/>
      <c r="N155" s="44">
        <f>ROUND(SUM(H155:L155),5)</f>
        <v>1757</v>
      </c>
    </row>
    <row r="156" spans="1:14" ht="15" thickBot="1" x14ac:dyDescent="0.35">
      <c r="A156" s="43"/>
      <c r="B156" s="43"/>
      <c r="C156" s="43"/>
      <c r="D156" s="43"/>
      <c r="E156" s="43" t="s">
        <v>508</v>
      </c>
      <c r="F156" s="43"/>
      <c r="G156" s="43"/>
      <c r="H156" s="46">
        <v>0</v>
      </c>
      <c r="I156" s="45"/>
      <c r="J156" s="46">
        <v>80</v>
      </c>
      <c r="K156" s="45"/>
      <c r="L156" s="46">
        <v>0</v>
      </c>
      <c r="M156" s="45"/>
      <c r="N156" s="46">
        <f>ROUND(SUM(H156:L156),5)</f>
        <v>80</v>
      </c>
    </row>
    <row r="157" spans="1:14" x14ac:dyDescent="0.3">
      <c r="A157" s="43"/>
      <c r="B157" s="43"/>
      <c r="C157" s="43"/>
      <c r="D157" s="43" t="s">
        <v>509</v>
      </c>
      <c r="E157" s="43"/>
      <c r="F157" s="43"/>
      <c r="G157" s="43"/>
      <c r="H157" s="44">
        <f>ROUND(SUM(H154:H156),5)</f>
        <v>1632</v>
      </c>
      <c r="I157" s="45"/>
      <c r="J157" s="44">
        <f>ROUND(SUM(J154:J156),5)</f>
        <v>160</v>
      </c>
      <c r="K157" s="45"/>
      <c r="L157" s="44">
        <f>ROUND(SUM(L154:L156),5)</f>
        <v>45</v>
      </c>
      <c r="M157" s="45"/>
      <c r="N157" s="44">
        <f>ROUND(SUM(H157:L157),5)</f>
        <v>1837</v>
      </c>
    </row>
    <row r="158" spans="1:14" ht="30" customHeight="1" x14ac:dyDescent="0.3">
      <c r="A158" s="43"/>
      <c r="B158" s="43"/>
      <c r="C158" s="43"/>
      <c r="D158" s="43" t="s">
        <v>290</v>
      </c>
      <c r="E158" s="43"/>
      <c r="F158" s="43"/>
      <c r="G158" s="43"/>
      <c r="H158" s="44"/>
      <c r="I158" s="45"/>
      <c r="J158" s="44"/>
      <c r="K158" s="45"/>
      <c r="L158" s="44"/>
      <c r="M158" s="45"/>
      <c r="N158" s="44"/>
    </row>
    <row r="159" spans="1:14" ht="15" thickBot="1" x14ac:dyDescent="0.35">
      <c r="A159" s="43"/>
      <c r="B159" s="43"/>
      <c r="C159" s="43"/>
      <c r="D159" s="43"/>
      <c r="E159" s="43" t="s">
        <v>510</v>
      </c>
      <c r="F159" s="43"/>
      <c r="G159" s="43"/>
      <c r="H159" s="44">
        <v>1117</v>
      </c>
      <c r="I159" s="45"/>
      <c r="J159" s="44">
        <v>807</v>
      </c>
      <c r="K159" s="45"/>
      <c r="L159" s="44">
        <v>900</v>
      </c>
      <c r="M159" s="45"/>
      <c r="N159" s="44">
        <f>ROUND(SUM(H159:L159),5)</f>
        <v>2824</v>
      </c>
    </row>
    <row r="160" spans="1:14" ht="15" thickBot="1" x14ac:dyDescent="0.35">
      <c r="A160" s="43"/>
      <c r="B160" s="43"/>
      <c r="C160" s="43"/>
      <c r="D160" s="43" t="s">
        <v>292</v>
      </c>
      <c r="E160" s="43"/>
      <c r="F160" s="43"/>
      <c r="G160" s="43"/>
      <c r="H160" s="47">
        <f>ROUND(SUM(H158:H159),5)</f>
        <v>1117</v>
      </c>
      <c r="I160" s="45"/>
      <c r="J160" s="47">
        <f>ROUND(SUM(J158:J159),5)</f>
        <v>807</v>
      </c>
      <c r="K160" s="45"/>
      <c r="L160" s="47">
        <f>ROUND(SUM(L158:L159),5)</f>
        <v>900</v>
      </c>
      <c r="M160" s="45"/>
      <c r="N160" s="47">
        <f>ROUND(SUM(H160:L160),5)</f>
        <v>2824</v>
      </c>
    </row>
    <row r="161" spans="1:14" ht="30" customHeight="1" x14ac:dyDescent="0.3">
      <c r="A161" s="43"/>
      <c r="B161" s="43"/>
      <c r="C161" s="43" t="s">
        <v>292</v>
      </c>
      <c r="D161" s="43"/>
      <c r="E161" s="43"/>
      <c r="F161" s="43"/>
      <c r="G161" s="43"/>
      <c r="H161" s="44">
        <f>ROUND(H153+H157+H160,5)</f>
        <v>2749</v>
      </c>
      <c r="I161" s="45"/>
      <c r="J161" s="44">
        <f>ROUND(J153+J157+J160,5)</f>
        <v>967</v>
      </c>
      <c r="K161" s="45"/>
      <c r="L161" s="44">
        <f>ROUND(L153+L157+L160,5)</f>
        <v>945</v>
      </c>
      <c r="M161" s="45"/>
      <c r="N161" s="44">
        <f>ROUND(SUM(H161:L161),5)</f>
        <v>4661</v>
      </c>
    </row>
    <row r="162" spans="1:14" ht="30" customHeight="1" x14ac:dyDescent="0.3">
      <c r="A162" s="43"/>
      <c r="B162" s="43"/>
      <c r="C162" s="43" t="s">
        <v>293</v>
      </c>
      <c r="D162" s="43"/>
      <c r="E162" s="43"/>
      <c r="F162" s="43"/>
      <c r="G162" s="43"/>
      <c r="H162" s="44"/>
      <c r="I162" s="45"/>
      <c r="J162" s="44"/>
      <c r="K162" s="45"/>
      <c r="L162" s="44"/>
      <c r="M162" s="45"/>
      <c r="N162" s="44"/>
    </row>
    <row r="163" spans="1:14" ht="15" thickBot="1" x14ac:dyDescent="0.35">
      <c r="A163" s="43"/>
      <c r="B163" s="43"/>
      <c r="C163" s="43"/>
      <c r="D163" s="43" t="s">
        <v>511</v>
      </c>
      <c r="E163" s="43"/>
      <c r="F163" s="43"/>
      <c r="G163" s="43"/>
      <c r="H163" s="44">
        <v>58563</v>
      </c>
      <c r="I163" s="45"/>
      <c r="J163" s="44">
        <v>0</v>
      </c>
      <c r="K163" s="45"/>
      <c r="L163" s="44">
        <v>0</v>
      </c>
      <c r="M163" s="45"/>
      <c r="N163" s="44">
        <f>ROUND(SUM(H163:L163),5)</f>
        <v>58563</v>
      </c>
    </row>
    <row r="164" spans="1:14" ht="15" thickBot="1" x14ac:dyDescent="0.35">
      <c r="A164" s="43"/>
      <c r="B164" s="43"/>
      <c r="C164" s="43" t="s">
        <v>295</v>
      </c>
      <c r="D164" s="43"/>
      <c r="E164" s="43"/>
      <c r="F164" s="43"/>
      <c r="G164" s="43"/>
      <c r="H164" s="48">
        <f>ROUND(SUM(H162:H163),5)</f>
        <v>58563</v>
      </c>
      <c r="I164" s="45"/>
      <c r="J164" s="48">
        <f>ROUND(SUM(J162:J163),5)</f>
        <v>0</v>
      </c>
      <c r="K164" s="45"/>
      <c r="L164" s="48">
        <f>ROUND(SUM(L162:L163),5)</f>
        <v>0</v>
      </c>
      <c r="M164" s="45"/>
      <c r="N164" s="48">
        <f>ROUND(SUM(H164:L164),5)</f>
        <v>58563</v>
      </c>
    </row>
    <row r="165" spans="1:14" ht="30" customHeight="1" thickBot="1" x14ac:dyDescent="0.35">
      <c r="A165" s="43"/>
      <c r="B165" s="43" t="s">
        <v>296</v>
      </c>
      <c r="C165" s="43"/>
      <c r="D165" s="43"/>
      <c r="E165" s="43"/>
      <c r="F165" s="43"/>
      <c r="G165" s="43"/>
      <c r="H165" s="48">
        <f>ROUND(H152+H161-H164,5)</f>
        <v>-55814</v>
      </c>
      <c r="I165" s="45"/>
      <c r="J165" s="48">
        <f>ROUND(J152+J161-J164,5)</f>
        <v>967</v>
      </c>
      <c r="K165" s="45"/>
      <c r="L165" s="48">
        <f>ROUND(L152+L161-L164,5)</f>
        <v>945</v>
      </c>
      <c r="M165" s="45"/>
      <c r="N165" s="48">
        <f>ROUND(SUM(H165:L165),5)</f>
        <v>-53902</v>
      </c>
    </row>
    <row r="166" spans="1:14" s="50" customFormat="1" ht="30" customHeight="1" thickBot="1" x14ac:dyDescent="0.25">
      <c r="A166" s="43" t="s">
        <v>165</v>
      </c>
      <c r="B166" s="43"/>
      <c r="C166" s="43"/>
      <c r="D166" s="43"/>
      <c r="E166" s="43"/>
      <c r="F166" s="43"/>
      <c r="G166" s="43"/>
      <c r="H166" s="49">
        <f>ROUND(H151+H165,5)</f>
        <v>118321</v>
      </c>
      <c r="I166" s="43"/>
      <c r="J166" s="49">
        <f>ROUND(J151+J165,5)</f>
        <v>629476</v>
      </c>
      <c r="K166" s="43"/>
      <c r="L166" s="49">
        <f>ROUND(L151+L165,5)</f>
        <v>224680</v>
      </c>
      <c r="M166" s="43"/>
      <c r="N166" s="49">
        <f>ROUND(SUM(H166:L166),5)</f>
        <v>972477</v>
      </c>
    </row>
    <row r="167" spans="1:14" ht="15" thickTop="1" x14ac:dyDescent="0.3"/>
  </sheetData>
  <pageMargins left="0.7" right="0.7" top="0.75" bottom="0.75" header="0.25" footer="0.3"/>
  <pageSetup orientation="portrait" r:id="rId1"/>
  <headerFooter>
    <oddHeader>&amp;L&amp;"Arial,Bold"&amp;8 8:34 AM
&amp;"Arial,Bold"&amp;8 02/18/14
&amp;"Arial,Bold"&amp;8 Accrual Basis&amp;C&amp;"Arial,Bold"&amp;12 NR6, LLC
&amp;"Arial,Bold"&amp;14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5602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5602" r:id="rId4" name="HEADER"/>
      </mc:Fallback>
    </mc:AlternateContent>
    <mc:AlternateContent xmlns:mc="http://schemas.openxmlformats.org/markup-compatibility/2006">
      <mc:Choice Requires="x14">
        <control shapeId="25601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5601" r:id="rId6" name="FILTER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51"/>
  <dimension ref="A1:N134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2.109375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7.8867187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44"/>
      <c r="I2" s="45"/>
      <c r="J2" s="44"/>
      <c r="K2" s="45"/>
      <c r="L2" s="44"/>
      <c r="M2" s="45"/>
      <c r="N2" s="44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44"/>
      <c r="I3" s="45"/>
      <c r="J3" s="44"/>
      <c r="K3" s="45"/>
      <c r="L3" s="44"/>
      <c r="M3" s="45"/>
      <c r="N3" s="44"/>
    </row>
    <row r="4" spans="1:14" x14ac:dyDescent="0.3">
      <c r="A4" s="43"/>
      <c r="B4" s="43"/>
      <c r="C4" s="43"/>
      <c r="D4" s="43"/>
      <c r="E4" s="43" t="s">
        <v>174</v>
      </c>
      <c r="F4" s="43"/>
      <c r="G4" s="43"/>
      <c r="H4" s="44">
        <v>1393508</v>
      </c>
      <c r="I4" s="45"/>
      <c r="J4" s="44">
        <v>1411729</v>
      </c>
      <c r="K4" s="45"/>
      <c r="L4" s="44">
        <v>1412898</v>
      </c>
      <c r="M4" s="45"/>
      <c r="N4" s="44">
        <f>ROUND(SUM(H4:L4),5)</f>
        <v>4218135</v>
      </c>
    </row>
    <row r="5" spans="1:14" ht="15" thickBot="1" x14ac:dyDescent="0.35">
      <c r="A5" s="43"/>
      <c r="B5" s="43"/>
      <c r="C5" s="43"/>
      <c r="D5" s="43"/>
      <c r="E5" s="43" t="s">
        <v>462</v>
      </c>
      <c r="F5" s="43"/>
      <c r="G5" s="43"/>
      <c r="H5" s="44">
        <v>97774</v>
      </c>
      <c r="I5" s="45"/>
      <c r="J5" s="44">
        <v>166836</v>
      </c>
      <c r="K5" s="45"/>
      <c r="L5" s="44">
        <v>109179</v>
      </c>
      <c r="M5" s="45"/>
      <c r="N5" s="44">
        <f>ROUND(SUM(H5:L5),5)</f>
        <v>373789</v>
      </c>
    </row>
    <row r="6" spans="1:14" ht="15" thickBot="1" x14ac:dyDescent="0.35">
      <c r="A6" s="43"/>
      <c r="B6" s="43"/>
      <c r="C6" s="43"/>
      <c r="D6" s="43" t="s">
        <v>180</v>
      </c>
      <c r="E6" s="43"/>
      <c r="F6" s="43"/>
      <c r="G6" s="43"/>
      <c r="H6" s="47">
        <f>ROUND(SUM(H3:H5),5)</f>
        <v>1491282</v>
      </c>
      <c r="I6" s="45"/>
      <c r="J6" s="47">
        <f>ROUND(SUM(J3:J5),5)</f>
        <v>1578565</v>
      </c>
      <c r="K6" s="45"/>
      <c r="L6" s="47">
        <f>ROUND(SUM(L3:L5),5)</f>
        <v>1522077</v>
      </c>
      <c r="M6" s="45"/>
      <c r="N6" s="47">
        <f>ROUND(SUM(H6:L6),5)</f>
        <v>4591924</v>
      </c>
    </row>
    <row r="7" spans="1:14" ht="30" customHeight="1" x14ac:dyDescent="0.3">
      <c r="A7" s="43"/>
      <c r="B7" s="43"/>
      <c r="C7" s="43" t="s">
        <v>181</v>
      </c>
      <c r="D7" s="43"/>
      <c r="E7" s="43"/>
      <c r="F7" s="43"/>
      <c r="G7" s="43"/>
      <c r="H7" s="44">
        <f>H6</f>
        <v>1491282</v>
      </c>
      <c r="I7" s="45"/>
      <c r="J7" s="44">
        <f>J6</f>
        <v>1578565</v>
      </c>
      <c r="K7" s="45"/>
      <c r="L7" s="44">
        <f>L6</f>
        <v>1522077</v>
      </c>
      <c r="M7" s="45"/>
      <c r="N7" s="44">
        <f>ROUND(SUM(H7:L7),5)</f>
        <v>4591924</v>
      </c>
    </row>
    <row r="8" spans="1:14" ht="30" customHeight="1" x14ac:dyDescent="0.3">
      <c r="A8" s="43"/>
      <c r="B8" s="43"/>
      <c r="C8" s="43"/>
      <c r="D8" s="43" t="s">
        <v>182</v>
      </c>
      <c r="E8" s="43"/>
      <c r="F8" s="43"/>
      <c r="G8" s="43"/>
      <c r="H8" s="44"/>
      <c r="I8" s="45"/>
      <c r="J8" s="44"/>
      <c r="K8" s="45"/>
      <c r="L8" s="44"/>
      <c r="M8" s="45"/>
      <c r="N8" s="44"/>
    </row>
    <row r="9" spans="1:14" x14ac:dyDescent="0.3">
      <c r="A9" s="43"/>
      <c r="B9" s="43"/>
      <c r="C9" s="43"/>
      <c r="D9" s="43"/>
      <c r="E9" s="43" t="s">
        <v>183</v>
      </c>
      <c r="F9" s="43"/>
      <c r="G9" s="43"/>
      <c r="H9" s="44"/>
      <c r="I9" s="45"/>
      <c r="J9" s="44"/>
      <c r="K9" s="45"/>
      <c r="L9" s="44"/>
      <c r="M9" s="45"/>
      <c r="N9" s="44"/>
    </row>
    <row r="10" spans="1:14" x14ac:dyDescent="0.3">
      <c r="A10" s="43"/>
      <c r="B10" s="43"/>
      <c r="C10" s="43"/>
      <c r="D10" s="43"/>
      <c r="E10" s="43"/>
      <c r="F10" s="43" t="s">
        <v>186</v>
      </c>
      <c r="G10" s="43"/>
      <c r="H10" s="44"/>
      <c r="I10" s="45"/>
      <c r="J10" s="44"/>
      <c r="K10" s="45"/>
      <c r="L10" s="44"/>
      <c r="M10" s="45"/>
      <c r="N10" s="44"/>
    </row>
    <row r="11" spans="1:14" ht="15" thickBot="1" x14ac:dyDescent="0.35">
      <c r="A11" s="43"/>
      <c r="B11" s="43"/>
      <c r="C11" s="43"/>
      <c r="D11" s="43"/>
      <c r="E11" s="43"/>
      <c r="F11" s="43"/>
      <c r="G11" s="43" t="s">
        <v>188</v>
      </c>
      <c r="H11" s="46">
        <v>0</v>
      </c>
      <c r="I11" s="45"/>
      <c r="J11" s="46">
        <v>0</v>
      </c>
      <c r="K11" s="45"/>
      <c r="L11" s="46">
        <v>220489</v>
      </c>
      <c r="M11" s="45"/>
      <c r="N11" s="46">
        <f>ROUND(SUM(H11:L11),5)</f>
        <v>220489</v>
      </c>
    </row>
    <row r="12" spans="1:14" x14ac:dyDescent="0.3">
      <c r="A12" s="43"/>
      <c r="B12" s="43"/>
      <c r="C12" s="43"/>
      <c r="D12" s="43"/>
      <c r="E12" s="43"/>
      <c r="F12" s="43" t="s">
        <v>189</v>
      </c>
      <c r="G12" s="43"/>
      <c r="H12" s="44">
        <f>ROUND(SUM(H10:H11),5)</f>
        <v>0</v>
      </c>
      <c r="I12" s="45"/>
      <c r="J12" s="44">
        <f>ROUND(SUM(J10:J11),5)</f>
        <v>0</v>
      </c>
      <c r="K12" s="45"/>
      <c r="L12" s="44">
        <f>ROUND(SUM(L10:L11),5)</f>
        <v>220489</v>
      </c>
      <c r="M12" s="45"/>
      <c r="N12" s="44">
        <f>ROUND(SUM(H12:L12),5)</f>
        <v>220489</v>
      </c>
    </row>
    <row r="13" spans="1:14" ht="30" customHeight="1" x14ac:dyDescent="0.3">
      <c r="A13" s="43"/>
      <c r="B13" s="43"/>
      <c r="C13" s="43"/>
      <c r="D13" s="43"/>
      <c r="E13" s="43"/>
      <c r="F13" s="43" t="s">
        <v>190</v>
      </c>
      <c r="G13" s="43"/>
      <c r="H13" s="44">
        <v>74564</v>
      </c>
      <c r="I13" s="45"/>
      <c r="J13" s="44">
        <v>78928</v>
      </c>
      <c r="K13" s="45"/>
      <c r="L13" s="44">
        <v>76104</v>
      </c>
      <c r="M13" s="45"/>
      <c r="N13" s="44">
        <f>ROUND(SUM(H13:L13),5)</f>
        <v>229596</v>
      </c>
    </row>
    <row r="14" spans="1:14" x14ac:dyDescent="0.3">
      <c r="A14" s="43"/>
      <c r="B14" s="43"/>
      <c r="C14" s="43"/>
      <c r="D14" s="43"/>
      <c r="E14" s="43"/>
      <c r="F14" s="43" t="s">
        <v>192</v>
      </c>
      <c r="G14" s="43"/>
      <c r="H14" s="44">
        <v>0</v>
      </c>
      <c r="I14" s="45"/>
      <c r="J14" s="44">
        <v>22</v>
      </c>
      <c r="K14" s="45"/>
      <c r="L14" s="44">
        <v>0</v>
      </c>
      <c r="M14" s="45"/>
      <c r="N14" s="44">
        <f>ROUND(SUM(H14:L14),5)</f>
        <v>22</v>
      </c>
    </row>
    <row r="15" spans="1:14" x14ac:dyDescent="0.3">
      <c r="A15" s="43"/>
      <c r="B15" s="43"/>
      <c r="C15" s="43"/>
      <c r="D15" s="43"/>
      <c r="E15" s="43"/>
      <c r="F15" s="43" t="s">
        <v>193</v>
      </c>
      <c r="G15" s="43"/>
      <c r="H15" s="44">
        <v>0</v>
      </c>
      <c r="I15" s="45"/>
      <c r="J15" s="44">
        <v>2</v>
      </c>
      <c r="K15" s="45"/>
      <c r="L15" s="44">
        <v>101</v>
      </c>
      <c r="M15" s="45"/>
      <c r="N15" s="44">
        <f>ROUND(SUM(H15:L15),5)</f>
        <v>103</v>
      </c>
    </row>
    <row r="16" spans="1:14" x14ac:dyDescent="0.3">
      <c r="A16" s="43"/>
      <c r="B16" s="43"/>
      <c r="C16" s="43"/>
      <c r="D16" s="43"/>
      <c r="E16" s="43"/>
      <c r="F16" s="43" t="s">
        <v>195</v>
      </c>
      <c r="G16" s="43"/>
      <c r="H16" s="44"/>
      <c r="I16" s="45"/>
      <c r="J16" s="44"/>
      <c r="K16" s="45"/>
      <c r="L16" s="44"/>
      <c r="M16" s="45"/>
      <c r="N16" s="44"/>
    </row>
    <row r="17" spans="1:14" x14ac:dyDescent="0.3">
      <c r="A17" s="43"/>
      <c r="B17" s="43"/>
      <c r="C17" s="43"/>
      <c r="D17" s="43"/>
      <c r="E17" s="43"/>
      <c r="F17" s="43"/>
      <c r="G17" s="43" t="s">
        <v>369</v>
      </c>
      <c r="H17" s="44">
        <v>0</v>
      </c>
      <c r="I17" s="45"/>
      <c r="J17" s="44">
        <v>403</v>
      </c>
      <c r="K17" s="45"/>
      <c r="L17" s="44">
        <v>56702</v>
      </c>
      <c r="M17" s="45"/>
      <c r="N17" s="44">
        <f t="shared" ref="N17:N23" si="0">ROUND(SUM(H17:L17),5)</f>
        <v>57105</v>
      </c>
    </row>
    <row r="18" spans="1:14" x14ac:dyDescent="0.3">
      <c r="A18" s="43"/>
      <c r="B18" s="43"/>
      <c r="C18" s="43"/>
      <c r="D18" s="43"/>
      <c r="E18" s="43"/>
      <c r="F18" s="43"/>
      <c r="G18" s="43" t="s">
        <v>464</v>
      </c>
      <c r="H18" s="44">
        <v>450</v>
      </c>
      <c r="I18" s="45"/>
      <c r="J18" s="44">
        <v>0</v>
      </c>
      <c r="K18" s="45"/>
      <c r="L18" s="44">
        <v>0</v>
      </c>
      <c r="M18" s="45"/>
      <c r="N18" s="44">
        <f t="shared" si="0"/>
        <v>450</v>
      </c>
    </row>
    <row r="19" spans="1:14" ht="15" thickBot="1" x14ac:dyDescent="0.35">
      <c r="A19" s="43"/>
      <c r="B19" s="43"/>
      <c r="C19" s="43"/>
      <c r="D19" s="43"/>
      <c r="E19" s="43"/>
      <c r="F19" s="43"/>
      <c r="G19" s="43" t="s">
        <v>199</v>
      </c>
      <c r="H19" s="46">
        <v>141</v>
      </c>
      <c r="I19" s="45"/>
      <c r="J19" s="46">
        <v>32</v>
      </c>
      <c r="K19" s="45"/>
      <c r="L19" s="46">
        <v>0</v>
      </c>
      <c r="M19" s="45"/>
      <c r="N19" s="46">
        <f t="shared" si="0"/>
        <v>173</v>
      </c>
    </row>
    <row r="20" spans="1:14" x14ac:dyDescent="0.3">
      <c r="A20" s="43"/>
      <c r="B20" s="43"/>
      <c r="C20" s="43"/>
      <c r="D20" s="43"/>
      <c r="E20" s="43"/>
      <c r="F20" s="43" t="s">
        <v>200</v>
      </c>
      <c r="G20" s="43"/>
      <c r="H20" s="44">
        <f>ROUND(SUM(H16:H19),5)</f>
        <v>591</v>
      </c>
      <c r="I20" s="45"/>
      <c r="J20" s="44">
        <f>ROUND(SUM(J16:J19),5)</f>
        <v>435</v>
      </c>
      <c r="K20" s="45"/>
      <c r="L20" s="44">
        <f>ROUND(SUM(L16:L19),5)</f>
        <v>56702</v>
      </c>
      <c r="M20" s="45"/>
      <c r="N20" s="44">
        <f t="shared" si="0"/>
        <v>57728</v>
      </c>
    </row>
    <row r="21" spans="1:14" ht="30" customHeight="1" x14ac:dyDescent="0.3">
      <c r="A21" s="43"/>
      <c r="B21" s="43"/>
      <c r="C21" s="43"/>
      <c r="D21" s="43"/>
      <c r="E21" s="43"/>
      <c r="F21" s="43" t="s">
        <v>320</v>
      </c>
      <c r="G21" s="43"/>
      <c r="H21" s="44">
        <v>0</v>
      </c>
      <c r="I21" s="45"/>
      <c r="J21" s="44">
        <v>23</v>
      </c>
      <c r="K21" s="45"/>
      <c r="L21" s="44">
        <v>142</v>
      </c>
      <c r="M21" s="45"/>
      <c r="N21" s="44">
        <f t="shared" si="0"/>
        <v>165</v>
      </c>
    </row>
    <row r="22" spans="1:14" ht="15" thickBot="1" x14ac:dyDescent="0.35">
      <c r="A22" s="43"/>
      <c r="B22" s="43"/>
      <c r="C22" s="43"/>
      <c r="D22" s="43"/>
      <c r="E22" s="43"/>
      <c r="F22" s="43" t="s">
        <v>201</v>
      </c>
      <c r="G22" s="43"/>
      <c r="H22" s="46">
        <v>0</v>
      </c>
      <c r="I22" s="45"/>
      <c r="J22" s="46">
        <v>110</v>
      </c>
      <c r="K22" s="45"/>
      <c r="L22" s="46">
        <v>189</v>
      </c>
      <c r="M22" s="45"/>
      <c r="N22" s="46">
        <f t="shared" si="0"/>
        <v>299</v>
      </c>
    </row>
    <row r="23" spans="1:14" x14ac:dyDescent="0.3">
      <c r="A23" s="43"/>
      <c r="B23" s="43"/>
      <c r="C23" s="43"/>
      <c r="D23" s="43"/>
      <c r="E23" s="43" t="s">
        <v>202</v>
      </c>
      <c r="F23" s="43"/>
      <c r="G23" s="43"/>
      <c r="H23" s="44">
        <f>ROUND(H9+SUM(H12:H15)+SUM(H20:H22),5)</f>
        <v>75155</v>
      </c>
      <c r="I23" s="45"/>
      <c r="J23" s="44">
        <f>ROUND(J9+SUM(J12:J15)+SUM(J20:J22),5)</f>
        <v>79520</v>
      </c>
      <c r="K23" s="45"/>
      <c r="L23" s="44">
        <f>ROUND(L9+SUM(L12:L15)+SUM(L20:L22),5)</f>
        <v>353727</v>
      </c>
      <c r="M23" s="45"/>
      <c r="N23" s="44">
        <f t="shared" si="0"/>
        <v>508402</v>
      </c>
    </row>
    <row r="24" spans="1:14" ht="30" customHeight="1" x14ac:dyDescent="0.3">
      <c r="A24" s="43"/>
      <c r="B24" s="43"/>
      <c r="C24" s="43"/>
      <c r="D24" s="43"/>
      <c r="E24" s="43" t="s">
        <v>203</v>
      </c>
      <c r="F24" s="43"/>
      <c r="G24" s="43"/>
      <c r="H24" s="44"/>
      <c r="I24" s="45"/>
      <c r="J24" s="44"/>
      <c r="K24" s="45"/>
      <c r="L24" s="44"/>
      <c r="M24" s="45"/>
      <c r="N24" s="44"/>
    </row>
    <row r="25" spans="1:14" x14ac:dyDescent="0.3">
      <c r="A25" s="43"/>
      <c r="B25" s="43"/>
      <c r="C25" s="43"/>
      <c r="D25" s="43"/>
      <c r="E25" s="43"/>
      <c r="F25" s="43" t="s">
        <v>204</v>
      </c>
      <c r="G25" s="43"/>
      <c r="H25" s="44"/>
      <c r="I25" s="45"/>
      <c r="J25" s="44"/>
      <c r="K25" s="45"/>
      <c r="L25" s="44"/>
      <c r="M25" s="45"/>
      <c r="N25" s="44"/>
    </row>
    <row r="26" spans="1:14" x14ac:dyDescent="0.3">
      <c r="A26" s="43"/>
      <c r="B26" s="43"/>
      <c r="C26" s="43"/>
      <c r="D26" s="43"/>
      <c r="E26" s="43"/>
      <c r="F26" s="43"/>
      <c r="G26" s="43" t="s">
        <v>465</v>
      </c>
      <c r="H26" s="44">
        <v>2857</v>
      </c>
      <c r="I26" s="45"/>
      <c r="J26" s="44">
        <v>3291</v>
      </c>
      <c r="K26" s="45"/>
      <c r="L26" s="44">
        <v>2928</v>
      </c>
      <c r="M26" s="45"/>
      <c r="N26" s="44">
        <f>ROUND(SUM(H26:L26),5)</f>
        <v>9076</v>
      </c>
    </row>
    <row r="27" spans="1:14" ht="15" thickBot="1" x14ac:dyDescent="0.35">
      <c r="A27" s="43"/>
      <c r="B27" s="43"/>
      <c r="C27" s="43"/>
      <c r="D27" s="43"/>
      <c r="E27" s="43"/>
      <c r="F27" s="43"/>
      <c r="G27" s="43" t="s">
        <v>466</v>
      </c>
      <c r="H27" s="46">
        <v>749</v>
      </c>
      <c r="I27" s="45"/>
      <c r="J27" s="46">
        <v>762</v>
      </c>
      <c r="K27" s="45"/>
      <c r="L27" s="46">
        <v>766</v>
      </c>
      <c r="M27" s="45"/>
      <c r="N27" s="46">
        <f>ROUND(SUM(H27:L27),5)</f>
        <v>2277</v>
      </c>
    </row>
    <row r="28" spans="1:14" x14ac:dyDescent="0.3">
      <c r="A28" s="43"/>
      <c r="B28" s="43"/>
      <c r="C28" s="43"/>
      <c r="D28" s="43"/>
      <c r="E28" s="43"/>
      <c r="F28" s="43" t="s">
        <v>467</v>
      </c>
      <c r="G28" s="43"/>
      <c r="H28" s="44">
        <f>ROUND(SUM(H25:H27),5)</f>
        <v>3606</v>
      </c>
      <c r="I28" s="45"/>
      <c r="J28" s="44">
        <f>ROUND(SUM(J25:J27),5)</f>
        <v>4053</v>
      </c>
      <c r="K28" s="45"/>
      <c r="L28" s="44">
        <f>ROUND(SUM(L25:L27),5)</f>
        <v>3694</v>
      </c>
      <c r="M28" s="45"/>
      <c r="N28" s="44">
        <f>ROUND(SUM(H28:L28),5)</f>
        <v>11353</v>
      </c>
    </row>
    <row r="29" spans="1:14" ht="30" customHeight="1" x14ac:dyDescent="0.3">
      <c r="A29" s="43"/>
      <c r="B29" s="43"/>
      <c r="C29" s="43"/>
      <c r="D29" s="43"/>
      <c r="E29" s="43"/>
      <c r="F29" s="43" t="s">
        <v>205</v>
      </c>
      <c r="G29" s="43"/>
      <c r="H29" s="44"/>
      <c r="I29" s="45"/>
      <c r="J29" s="44"/>
      <c r="K29" s="45"/>
      <c r="L29" s="44"/>
      <c r="M29" s="45"/>
      <c r="N29" s="44"/>
    </row>
    <row r="30" spans="1:14" x14ac:dyDescent="0.3">
      <c r="A30" s="43"/>
      <c r="B30" s="43"/>
      <c r="C30" s="43"/>
      <c r="D30" s="43"/>
      <c r="E30" s="43"/>
      <c r="F30" s="43"/>
      <c r="G30" s="43" t="s">
        <v>468</v>
      </c>
      <c r="H30" s="44">
        <v>152627</v>
      </c>
      <c r="I30" s="45"/>
      <c r="J30" s="44">
        <v>164046</v>
      </c>
      <c r="K30" s="45"/>
      <c r="L30" s="44">
        <v>161419</v>
      </c>
      <c r="M30" s="45"/>
      <c r="N30" s="44">
        <f>ROUND(SUM(H30:L30),5)</f>
        <v>478092</v>
      </c>
    </row>
    <row r="31" spans="1:14" ht="15" thickBot="1" x14ac:dyDescent="0.35">
      <c r="A31" s="43"/>
      <c r="B31" s="43"/>
      <c r="C31" s="43"/>
      <c r="D31" s="43"/>
      <c r="E31" s="43"/>
      <c r="F31" s="43"/>
      <c r="G31" s="43" t="s">
        <v>469</v>
      </c>
      <c r="H31" s="46">
        <v>-38805</v>
      </c>
      <c r="I31" s="45"/>
      <c r="J31" s="46">
        <v>-42172</v>
      </c>
      <c r="K31" s="45"/>
      <c r="L31" s="46">
        <v>-40252</v>
      </c>
      <c r="M31" s="45"/>
      <c r="N31" s="46">
        <f>ROUND(SUM(H31:L31),5)</f>
        <v>-121229</v>
      </c>
    </row>
    <row r="32" spans="1:14" x14ac:dyDescent="0.3">
      <c r="A32" s="43"/>
      <c r="B32" s="43"/>
      <c r="C32" s="43"/>
      <c r="D32" s="43"/>
      <c r="E32" s="43"/>
      <c r="F32" s="43" t="s">
        <v>210</v>
      </c>
      <c r="G32" s="43"/>
      <c r="H32" s="44">
        <f>ROUND(SUM(H29:H31),5)</f>
        <v>113822</v>
      </c>
      <c r="I32" s="45"/>
      <c r="J32" s="44">
        <f>ROUND(SUM(J29:J31),5)</f>
        <v>121874</v>
      </c>
      <c r="K32" s="45"/>
      <c r="L32" s="44">
        <f>ROUND(SUM(L29:L31),5)</f>
        <v>121167</v>
      </c>
      <c r="M32" s="45"/>
      <c r="N32" s="44">
        <f>ROUND(SUM(H32:L32),5)</f>
        <v>356863</v>
      </c>
    </row>
    <row r="33" spans="1:14" ht="30" customHeight="1" x14ac:dyDescent="0.3">
      <c r="A33" s="43"/>
      <c r="B33" s="43"/>
      <c r="C33" s="43"/>
      <c r="D33" s="43"/>
      <c r="E33" s="43"/>
      <c r="F33" s="43" t="s">
        <v>323</v>
      </c>
      <c r="G33" s="43"/>
      <c r="H33" s="44"/>
      <c r="I33" s="45"/>
      <c r="J33" s="44"/>
      <c r="K33" s="45"/>
      <c r="L33" s="44"/>
      <c r="M33" s="45"/>
      <c r="N33" s="44"/>
    </row>
    <row r="34" spans="1:14" x14ac:dyDescent="0.3">
      <c r="A34" s="43"/>
      <c r="B34" s="43"/>
      <c r="C34" s="43"/>
      <c r="D34" s="43"/>
      <c r="E34" s="43"/>
      <c r="F34" s="43"/>
      <c r="G34" s="43" t="s">
        <v>476</v>
      </c>
      <c r="H34" s="44">
        <v>20619</v>
      </c>
      <c r="I34" s="45"/>
      <c r="J34" s="44">
        <v>13186</v>
      </c>
      <c r="K34" s="45"/>
      <c r="L34" s="44">
        <v>20938</v>
      </c>
      <c r="M34" s="45"/>
      <c r="N34" s="44">
        <f>ROUND(SUM(H34:L34),5)</f>
        <v>54743</v>
      </c>
    </row>
    <row r="35" spans="1:14" ht="15" thickBot="1" x14ac:dyDescent="0.35">
      <c r="A35" s="43"/>
      <c r="B35" s="43"/>
      <c r="C35" s="43"/>
      <c r="D35" s="43"/>
      <c r="E35" s="43"/>
      <c r="F35" s="43"/>
      <c r="G35" s="43" t="s">
        <v>477</v>
      </c>
      <c r="H35" s="46">
        <v>-7175</v>
      </c>
      <c r="I35" s="45"/>
      <c r="J35" s="46">
        <v>0</v>
      </c>
      <c r="K35" s="45"/>
      <c r="L35" s="46">
        <v>0</v>
      </c>
      <c r="M35" s="45"/>
      <c r="N35" s="46">
        <f>ROUND(SUM(H35:L35),5)</f>
        <v>-7175</v>
      </c>
    </row>
    <row r="36" spans="1:14" x14ac:dyDescent="0.3">
      <c r="A36" s="43"/>
      <c r="B36" s="43"/>
      <c r="C36" s="43"/>
      <c r="D36" s="43"/>
      <c r="E36" s="43"/>
      <c r="F36" s="43" t="s">
        <v>325</v>
      </c>
      <c r="G36" s="43"/>
      <c r="H36" s="44">
        <f>ROUND(SUM(H33:H35),5)</f>
        <v>13444</v>
      </c>
      <c r="I36" s="45"/>
      <c r="J36" s="44">
        <f>ROUND(SUM(J33:J35),5)</f>
        <v>13186</v>
      </c>
      <c r="K36" s="45"/>
      <c r="L36" s="44">
        <f>ROUND(SUM(L33:L35),5)</f>
        <v>20938</v>
      </c>
      <c r="M36" s="45"/>
      <c r="N36" s="44">
        <f>ROUND(SUM(H36:L36),5)</f>
        <v>47568</v>
      </c>
    </row>
    <row r="37" spans="1:14" ht="30" customHeight="1" x14ac:dyDescent="0.3">
      <c r="A37" s="43"/>
      <c r="B37" s="43"/>
      <c r="C37" s="43"/>
      <c r="D37" s="43"/>
      <c r="E37" s="43"/>
      <c r="F37" s="43" t="s">
        <v>211</v>
      </c>
      <c r="G37" s="43"/>
      <c r="H37" s="44"/>
      <c r="I37" s="45"/>
      <c r="J37" s="44"/>
      <c r="K37" s="45"/>
      <c r="L37" s="44"/>
      <c r="M37" s="45"/>
      <c r="N37" s="44"/>
    </row>
    <row r="38" spans="1:14" x14ac:dyDescent="0.3">
      <c r="A38" s="43"/>
      <c r="B38" s="43"/>
      <c r="C38" s="43"/>
      <c r="D38" s="43"/>
      <c r="E38" s="43"/>
      <c r="F38" s="43"/>
      <c r="G38" s="43" t="s">
        <v>478</v>
      </c>
      <c r="H38" s="44">
        <v>8353</v>
      </c>
      <c r="I38" s="45"/>
      <c r="J38" s="44">
        <v>8258</v>
      </c>
      <c r="K38" s="45"/>
      <c r="L38" s="44">
        <v>7060</v>
      </c>
      <c r="M38" s="45"/>
      <c r="N38" s="44">
        <f>ROUND(SUM(H38:L38),5)</f>
        <v>23671</v>
      </c>
    </row>
    <row r="39" spans="1:14" ht="15" thickBot="1" x14ac:dyDescent="0.35">
      <c r="A39" s="43"/>
      <c r="B39" s="43"/>
      <c r="C39" s="43"/>
      <c r="D39" s="43"/>
      <c r="E39" s="43"/>
      <c r="F39" s="43"/>
      <c r="G39" s="43" t="s">
        <v>479</v>
      </c>
      <c r="H39" s="46">
        <v>192</v>
      </c>
      <c r="I39" s="45"/>
      <c r="J39" s="46">
        <v>227</v>
      </c>
      <c r="K39" s="45"/>
      <c r="L39" s="46">
        <v>261</v>
      </c>
      <c r="M39" s="45"/>
      <c r="N39" s="46">
        <f>ROUND(SUM(H39:L39),5)</f>
        <v>680</v>
      </c>
    </row>
    <row r="40" spans="1:14" x14ac:dyDescent="0.3">
      <c r="A40" s="43"/>
      <c r="B40" s="43"/>
      <c r="C40" s="43"/>
      <c r="D40" s="43"/>
      <c r="E40" s="43"/>
      <c r="F40" s="43" t="s">
        <v>329</v>
      </c>
      <c r="G40" s="43"/>
      <c r="H40" s="44">
        <f>ROUND(SUM(H37:H39),5)</f>
        <v>8545</v>
      </c>
      <c r="I40" s="45"/>
      <c r="J40" s="44">
        <f>ROUND(SUM(J37:J39),5)</f>
        <v>8485</v>
      </c>
      <c r="K40" s="45"/>
      <c r="L40" s="44">
        <f>ROUND(SUM(L37:L39),5)</f>
        <v>7321</v>
      </c>
      <c r="M40" s="45"/>
      <c r="N40" s="44">
        <f>ROUND(SUM(H40:L40),5)</f>
        <v>24351</v>
      </c>
    </row>
    <row r="41" spans="1:14" ht="30" customHeight="1" thickBot="1" x14ac:dyDescent="0.35">
      <c r="A41" s="43"/>
      <c r="B41" s="43"/>
      <c r="C41" s="43"/>
      <c r="D41" s="43"/>
      <c r="E41" s="43"/>
      <c r="F41" s="43" t="s">
        <v>482</v>
      </c>
      <c r="G41" s="43"/>
      <c r="H41" s="46">
        <v>885</v>
      </c>
      <c r="I41" s="45"/>
      <c r="J41" s="46">
        <v>1031</v>
      </c>
      <c r="K41" s="45"/>
      <c r="L41" s="46">
        <v>1119</v>
      </c>
      <c r="M41" s="45"/>
      <c r="N41" s="46">
        <f>ROUND(SUM(H41:L41),5)</f>
        <v>3035</v>
      </c>
    </row>
    <row r="42" spans="1:14" x14ac:dyDescent="0.3">
      <c r="A42" s="43"/>
      <c r="B42" s="43"/>
      <c r="C42" s="43"/>
      <c r="D42" s="43"/>
      <c r="E42" s="43" t="s">
        <v>213</v>
      </c>
      <c r="F42" s="43"/>
      <c r="G42" s="43"/>
      <c r="H42" s="44">
        <f>ROUND(H24+H28+H32+H36+SUM(H40:H41),5)</f>
        <v>140302</v>
      </c>
      <c r="I42" s="45"/>
      <c r="J42" s="44">
        <f>ROUND(J24+J28+J32+J36+SUM(J40:J41),5)</f>
        <v>148629</v>
      </c>
      <c r="K42" s="45"/>
      <c r="L42" s="44">
        <f>ROUND(L24+L28+L32+L36+SUM(L40:L41),5)</f>
        <v>154239</v>
      </c>
      <c r="M42" s="45"/>
      <c r="N42" s="44">
        <f>ROUND(SUM(H42:L42),5)</f>
        <v>443170</v>
      </c>
    </row>
    <row r="43" spans="1:14" ht="30" customHeight="1" x14ac:dyDescent="0.3">
      <c r="A43" s="43"/>
      <c r="B43" s="43"/>
      <c r="C43" s="43"/>
      <c r="D43" s="43"/>
      <c r="E43" s="43" t="s">
        <v>214</v>
      </c>
      <c r="F43" s="43"/>
      <c r="G43" s="43"/>
      <c r="H43" s="44"/>
      <c r="I43" s="45"/>
      <c r="J43" s="44"/>
      <c r="K43" s="45"/>
      <c r="L43" s="44"/>
      <c r="M43" s="45"/>
      <c r="N43" s="44"/>
    </row>
    <row r="44" spans="1:14" x14ac:dyDescent="0.3">
      <c r="A44" s="43"/>
      <c r="B44" s="43"/>
      <c r="C44" s="43"/>
      <c r="D44" s="43"/>
      <c r="E44" s="43"/>
      <c r="F44" s="43" t="s">
        <v>215</v>
      </c>
      <c r="G44" s="43"/>
      <c r="H44" s="44"/>
      <c r="I44" s="45"/>
      <c r="J44" s="44"/>
      <c r="K44" s="45"/>
      <c r="L44" s="44"/>
      <c r="M44" s="45"/>
      <c r="N44" s="44"/>
    </row>
    <row r="45" spans="1:14" x14ac:dyDescent="0.3">
      <c r="A45" s="43"/>
      <c r="B45" s="43"/>
      <c r="C45" s="43"/>
      <c r="D45" s="43"/>
      <c r="E45" s="43"/>
      <c r="F45" s="43"/>
      <c r="G45" s="43" t="s">
        <v>483</v>
      </c>
      <c r="H45" s="44">
        <v>1104</v>
      </c>
      <c r="I45" s="45"/>
      <c r="J45" s="44">
        <v>1401</v>
      </c>
      <c r="K45" s="45"/>
      <c r="L45" s="44">
        <v>419</v>
      </c>
      <c r="M45" s="45"/>
      <c r="N45" s="44">
        <f t="shared" ref="N45:N52" si="1">ROUND(SUM(H45:L45),5)</f>
        <v>2924</v>
      </c>
    </row>
    <row r="46" spans="1:14" x14ac:dyDescent="0.3">
      <c r="A46" s="43"/>
      <c r="B46" s="43"/>
      <c r="C46" s="43"/>
      <c r="D46" s="43"/>
      <c r="E46" s="43"/>
      <c r="F46" s="43"/>
      <c r="G46" s="43" t="s">
        <v>217</v>
      </c>
      <c r="H46" s="44">
        <v>716</v>
      </c>
      <c r="I46" s="45"/>
      <c r="J46" s="44">
        <v>0</v>
      </c>
      <c r="K46" s="45"/>
      <c r="L46" s="44">
        <v>1604</v>
      </c>
      <c r="M46" s="45"/>
      <c r="N46" s="44">
        <f t="shared" si="1"/>
        <v>2320</v>
      </c>
    </row>
    <row r="47" spans="1:14" x14ac:dyDescent="0.3">
      <c r="A47" s="43"/>
      <c r="B47" s="43"/>
      <c r="C47" s="43"/>
      <c r="D47" s="43"/>
      <c r="E47" s="43"/>
      <c r="F47" s="43"/>
      <c r="G47" s="43" t="s">
        <v>484</v>
      </c>
      <c r="H47" s="44">
        <v>0</v>
      </c>
      <c r="I47" s="45"/>
      <c r="J47" s="44">
        <v>254</v>
      </c>
      <c r="K47" s="45"/>
      <c r="L47" s="44">
        <v>0</v>
      </c>
      <c r="M47" s="45"/>
      <c r="N47" s="44">
        <f t="shared" si="1"/>
        <v>254</v>
      </c>
    </row>
    <row r="48" spans="1:14" x14ac:dyDescent="0.3">
      <c r="A48" s="43"/>
      <c r="B48" s="43"/>
      <c r="C48" s="43"/>
      <c r="D48" s="43"/>
      <c r="E48" s="43"/>
      <c r="F48" s="43"/>
      <c r="G48" s="43" t="s">
        <v>219</v>
      </c>
      <c r="H48" s="44">
        <v>2000</v>
      </c>
      <c r="I48" s="45"/>
      <c r="J48" s="44">
        <v>2438</v>
      </c>
      <c r="K48" s="45"/>
      <c r="L48" s="44">
        <v>985</v>
      </c>
      <c r="M48" s="45"/>
      <c r="N48" s="44">
        <f t="shared" si="1"/>
        <v>5423</v>
      </c>
    </row>
    <row r="49" spans="1:14" x14ac:dyDescent="0.3">
      <c r="A49" s="43"/>
      <c r="B49" s="43"/>
      <c r="C49" s="43"/>
      <c r="D49" s="43"/>
      <c r="E49" s="43"/>
      <c r="F49" s="43"/>
      <c r="G49" s="43" t="s">
        <v>375</v>
      </c>
      <c r="H49" s="44">
        <v>0</v>
      </c>
      <c r="I49" s="45"/>
      <c r="J49" s="44">
        <v>139</v>
      </c>
      <c r="K49" s="45"/>
      <c r="L49" s="44">
        <v>188</v>
      </c>
      <c r="M49" s="45"/>
      <c r="N49" s="44">
        <f t="shared" si="1"/>
        <v>327</v>
      </c>
    </row>
    <row r="50" spans="1:14" x14ac:dyDescent="0.3">
      <c r="A50" s="43"/>
      <c r="B50" s="43"/>
      <c r="C50" s="43"/>
      <c r="D50" s="43"/>
      <c r="E50" s="43"/>
      <c r="F50" s="43"/>
      <c r="G50" s="43" t="s">
        <v>485</v>
      </c>
      <c r="H50" s="44">
        <v>704</v>
      </c>
      <c r="I50" s="45"/>
      <c r="J50" s="44">
        <v>760</v>
      </c>
      <c r="K50" s="45"/>
      <c r="L50" s="44">
        <v>180</v>
      </c>
      <c r="M50" s="45"/>
      <c r="N50" s="44">
        <f t="shared" si="1"/>
        <v>1644</v>
      </c>
    </row>
    <row r="51" spans="1:14" ht="15" thickBot="1" x14ac:dyDescent="0.35">
      <c r="A51" s="43"/>
      <c r="B51" s="43"/>
      <c r="C51" s="43"/>
      <c r="D51" s="43"/>
      <c r="E51" s="43"/>
      <c r="F51" s="43"/>
      <c r="G51" s="43" t="s">
        <v>330</v>
      </c>
      <c r="H51" s="46">
        <v>199</v>
      </c>
      <c r="I51" s="45"/>
      <c r="J51" s="46">
        <v>314</v>
      </c>
      <c r="K51" s="45"/>
      <c r="L51" s="46">
        <v>540</v>
      </c>
      <c r="M51" s="45"/>
      <c r="N51" s="46">
        <f t="shared" si="1"/>
        <v>1053</v>
      </c>
    </row>
    <row r="52" spans="1:14" x14ac:dyDescent="0.3">
      <c r="A52" s="43"/>
      <c r="B52" s="43"/>
      <c r="C52" s="43"/>
      <c r="D52" s="43"/>
      <c r="E52" s="43"/>
      <c r="F52" s="43" t="s">
        <v>223</v>
      </c>
      <c r="G52" s="43"/>
      <c r="H52" s="44">
        <f>ROUND(SUM(H44:H51),5)</f>
        <v>4723</v>
      </c>
      <c r="I52" s="45"/>
      <c r="J52" s="44">
        <f>ROUND(SUM(J44:J51),5)</f>
        <v>5306</v>
      </c>
      <c r="K52" s="45"/>
      <c r="L52" s="44">
        <f>ROUND(SUM(L44:L51),5)</f>
        <v>3916</v>
      </c>
      <c r="M52" s="45"/>
      <c r="N52" s="44">
        <f t="shared" si="1"/>
        <v>13945</v>
      </c>
    </row>
    <row r="53" spans="1:14" ht="30" customHeight="1" x14ac:dyDescent="0.3">
      <c r="A53" s="43"/>
      <c r="B53" s="43"/>
      <c r="C53" s="43"/>
      <c r="D53" s="43"/>
      <c r="E53" s="43"/>
      <c r="F53" s="43" t="s">
        <v>486</v>
      </c>
      <c r="G53" s="43"/>
      <c r="H53" s="44"/>
      <c r="I53" s="45"/>
      <c r="J53" s="44"/>
      <c r="K53" s="45"/>
      <c r="L53" s="44"/>
      <c r="M53" s="45"/>
      <c r="N53" s="44"/>
    </row>
    <row r="54" spans="1:14" x14ac:dyDescent="0.3">
      <c r="A54" s="43"/>
      <c r="B54" s="43"/>
      <c r="C54" s="43"/>
      <c r="D54" s="43"/>
      <c r="E54" s="43"/>
      <c r="F54" s="43"/>
      <c r="G54" s="43" t="s">
        <v>225</v>
      </c>
      <c r="H54" s="44">
        <v>88</v>
      </c>
      <c r="I54" s="45"/>
      <c r="J54" s="44">
        <v>18</v>
      </c>
      <c r="K54" s="45"/>
      <c r="L54" s="44">
        <v>88</v>
      </c>
      <c r="M54" s="45"/>
      <c r="N54" s="44">
        <f>ROUND(SUM(H54:L54),5)</f>
        <v>194</v>
      </c>
    </row>
    <row r="55" spans="1:14" x14ac:dyDescent="0.3">
      <c r="A55" s="43"/>
      <c r="B55" s="43"/>
      <c r="C55" s="43"/>
      <c r="D55" s="43"/>
      <c r="E55" s="43"/>
      <c r="F55" s="43"/>
      <c r="G55" s="43" t="s">
        <v>333</v>
      </c>
      <c r="H55" s="44">
        <v>49</v>
      </c>
      <c r="I55" s="45"/>
      <c r="J55" s="44">
        <v>0</v>
      </c>
      <c r="K55" s="45"/>
      <c r="L55" s="44">
        <v>0</v>
      </c>
      <c r="M55" s="45"/>
      <c r="N55" s="44">
        <f>ROUND(SUM(H55:L55),5)</f>
        <v>49</v>
      </c>
    </row>
    <row r="56" spans="1:14" ht="15" thickBot="1" x14ac:dyDescent="0.35">
      <c r="A56" s="43"/>
      <c r="B56" s="43"/>
      <c r="C56" s="43"/>
      <c r="D56" s="43"/>
      <c r="E56" s="43"/>
      <c r="F56" s="43"/>
      <c r="G56" s="43" t="s">
        <v>487</v>
      </c>
      <c r="H56" s="46">
        <v>117</v>
      </c>
      <c r="I56" s="45"/>
      <c r="J56" s="46">
        <v>323</v>
      </c>
      <c r="K56" s="45"/>
      <c r="L56" s="46">
        <v>351</v>
      </c>
      <c r="M56" s="45"/>
      <c r="N56" s="46">
        <f>ROUND(SUM(H56:L56),5)</f>
        <v>791</v>
      </c>
    </row>
    <row r="57" spans="1:14" x14ac:dyDescent="0.3">
      <c r="A57" s="43"/>
      <c r="B57" s="43"/>
      <c r="C57" s="43"/>
      <c r="D57" s="43"/>
      <c r="E57" s="43"/>
      <c r="F57" s="43" t="s">
        <v>488</v>
      </c>
      <c r="G57" s="43"/>
      <c r="H57" s="44">
        <f>ROUND(SUM(H53:H56),5)</f>
        <v>254</v>
      </c>
      <c r="I57" s="45"/>
      <c r="J57" s="44">
        <f>ROUND(SUM(J53:J56),5)</f>
        <v>341</v>
      </c>
      <c r="K57" s="45"/>
      <c r="L57" s="44">
        <f>ROUND(SUM(L53:L56),5)</f>
        <v>439</v>
      </c>
      <c r="M57" s="45"/>
      <c r="N57" s="44">
        <f>ROUND(SUM(H57:L57),5)</f>
        <v>1034</v>
      </c>
    </row>
    <row r="58" spans="1:14" ht="30" customHeight="1" x14ac:dyDescent="0.3">
      <c r="A58" s="43"/>
      <c r="B58" s="43"/>
      <c r="C58" s="43"/>
      <c r="D58" s="43"/>
      <c r="E58" s="43"/>
      <c r="F58" s="43" t="s">
        <v>228</v>
      </c>
      <c r="G58" s="43"/>
      <c r="H58" s="44"/>
      <c r="I58" s="45"/>
      <c r="J58" s="44"/>
      <c r="K58" s="45"/>
      <c r="L58" s="44"/>
      <c r="M58" s="45"/>
      <c r="N58" s="44"/>
    </row>
    <row r="59" spans="1:14" x14ac:dyDescent="0.3">
      <c r="A59" s="43"/>
      <c r="B59" s="43"/>
      <c r="C59" s="43"/>
      <c r="D59" s="43"/>
      <c r="E59" s="43"/>
      <c r="F59" s="43"/>
      <c r="G59" s="43" t="s">
        <v>229</v>
      </c>
      <c r="H59" s="44">
        <v>691</v>
      </c>
      <c r="I59" s="45"/>
      <c r="J59" s="44">
        <v>704</v>
      </c>
      <c r="K59" s="45"/>
      <c r="L59" s="44">
        <v>870</v>
      </c>
      <c r="M59" s="45"/>
      <c r="N59" s="44">
        <f>ROUND(SUM(H59:L59),5)</f>
        <v>2265</v>
      </c>
    </row>
    <row r="60" spans="1:14" ht="15" thickBot="1" x14ac:dyDescent="0.35">
      <c r="A60" s="43"/>
      <c r="B60" s="43"/>
      <c r="C60" s="43"/>
      <c r="D60" s="43"/>
      <c r="E60" s="43"/>
      <c r="F60" s="43"/>
      <c r="G60" s="43" t="s">
        <v>336</v>
      </c>
      <c r="H60" s="46">
        <v>644</v>
      </c>
      <c r="I60" s="45"/>
      <c r="J60" s="46">
        <v>870</v>
      </c>
      <c r="K60" s="45"/>
      <c r="L60" s="46">
        <v>1151</v>
      </c>
      <c r="M60" s="45"/>
      <c r="N60" s="46">
        <f>ROUND(SUM(H60:L60),5)</f>
        <v>2665</v>
      </c>
    </row>
    <row r="61" spans="1:14" x14ac:dyDescent="0.3">
      <c r="A61" s="43"/>
      <c r="B61" s="43"/>
      <c r="C61" s="43"/>
      <c r="D61" s="43"/>
      <c r="E61" s="43"/>
      <c r="F61" s="43" t="s">
        <v>232</v>
      </c>
      <c r="G61" s="43"/>
      <c r="H61" s="44">
        <f>ROUND(SUM(H58:H60),5)</f>
        <v>1335</v>
      </c>
      <c r="I61" s="45"/>
      <c r="J61" s="44">
        <f>ROUND(SUM(J58:J60),5)</f>
        <v>1574</v>
      </c>
      <c r="K61" s="45"/>
      <c r="L61" s="44">
        <f>ROUND(SUM(L58:L60),5)</f>
        <v>2021</v>
      </c>
      <c r="M61" s="45"/>
      <c r="N61" s="44">
        <f>ROUND(SUM(H61:L61),5)</f>
        <v>4930</v>
      </c>
    </row>
    <row r="62" spans="1:14" ht="30" customHeight="1" x14ac:dyDescent="0.3">
      <c r="A62" s="43"/>
      <c r="B62" s="43"/>
      <c r="C62" s="43"/>
      <c r="D62" s="43"/>
      <c r="E62" s="43"/>
      <c r="F62" s="43" t="s">
        <v>233</v>
      </c>
      <c r="G62" s="43"/>
      <c r="H62" s="44"/>
      <c r="I62" s="45"/>
      <c r="J62" s="44"/>
      <c r="K62" s="45"/>
      <c r="L62" s="44"/>
      <c r="M62" s="45"/>
      <c r="N62" s="44"/>
    </row>
    <row r="63" spans="1:14" x14ac:dyDescent="0.3">
      <c r="A63" s="43"/>
      <c r="B63" s="43"/>
      <c r="C63" s="43"/>
      <c r="D63" s="43"/>
      <c r="E63" s="43"/>
      <c r="F63" s="43"/>
      <c r="G63" s="43" t="s">
        <v>234</v>
      </c>
      <c r="H63" s="44">
        <v>56</v>
      </c>
      <c r="I63" s="45"/>
      <c r="J63" s="44">
        <v>50</v>
      </c>
      <c r="K63" s="45"/>
      <c r="L63" s="44">
        <v>0</v>
      </c>
      <c r="M63" s="45"/>
      <c r="N63" s="44">
        <f>ROUND(SUM(H63:L63),5)</f>
        <v>106</v>
      </c>
    </row>
    <row r="64" spans="1:14" x14ac:dyDescent="0.3">
      <c r="A64" s="43"/>
      <c r="B64" s="43"/>
      <c r="C64" s="43"/>
      <c r="D64" s="43"/>
      <c r="E64" s="43"/>
      <c r="F64" s="43"/>
      <c r="G64" s="43" t="s">
        <v>235</v>
      </c>
      <c r="H64" s="44">
        <v>120</v>
      </c>
      <c r="I64" s="45"/>
      <c r="J64" s="44">
        <v>31</v>
      </c>
      <c r="K64" s="45"/>
      <c r="L64" s="44">
        <v>166</v>
      </c>
      <c r="M64" s="45"/>
      <c r="N64" s="44">
        <f>ROUND(SUM(H64:L64),5)</f>
        <v>317</v>
      </c>
    </row>
    <row r="65" spans="1:14" ht="15" thickBot="1" x14ac:dyDescent="0.35">
      <c r="A65" s="43"/>
      <c r="B65" s="43"/>
      <c r="C65" s="43"/>
      <c r="D65" s="43"/>
      <c r="E65" s="43"/>
      <c r="F65" s="43"/>
      <c r="G65" s="43" t="s">
        <v>236</v>
      </c>
      <c r="H65" s="46">
        <v>2425</v>
      </c>
      <c r="I65" s="45"/>
      <c r="J65" s="46">
        <v>0</v>
      </c>
      <c r="K65" s="45"/>
      <c r="L65" s="46">
        <v>1180</v>
      </c>
      <c r="M65" s="45"/>
      <c r="N65" s="46">
        <f>ROUND(SUM(H65:L65),5)</f>
        <v>3605</v>
      </c>
    </row>
    <row r="66" spans="1:14" x14ac:dyDescent="0.3">
      <c r="A66" s="43"/>
      <c r="B66" s="43"/>
      <c r="C66" s="43"/>
      <c r="D66" s="43"/>
      <c r="E66" s="43"/>
      <c r="F66" s="43" t="s">
        <v>237</v>
      </c>
      <c r="G66" s="43"/>
      <c r="H66" s="44">
        <f>ROUND(SUM(H62:H65),5)</f>
        <v>2601</v>
      </c>
      <c r="I66" s="45"/>
      <c r="J66" s="44">
        <f>ROUND(SUM(J62:J65),5)</f>
        <v>81</v>
      </c>
      <c r="K66" s="45"/>
      <c r="L66" s="44">
        <f>ROUND(SUM(L62:L65),5)</f>
        <v>1346</v>
      </c>
      <c r="M66" s="45"/>
      <c r="N66" s="44">
        <f>ROUND(SUM(H66:L66),5)</f>
        <v>4028</v>
      </c>
    </row>
    <row r="67" spans="1:14" ht="30" customHeight="1" x14ac:dyDescent="0.3">
      <c r="A67" s="43"/>
      <c r="B67" s="43"/>
      <c r="C67" s="43"/>
      <c r="D67" s="43"/>
      <c r="E67" s="43"/>
      <c r="F67" s="43" t="s">
        <v>377</v>
      </c>
      <c r="G67" s="43"/>
      <c r="H67" s="44"/>
      <c r="I67" s="45"/>
      <c r="J67" s="44"/>
      <c r="K67" s="45"/>
      <c r="L67" s="44"/>
      <c r="M67" s="45"/>
      <c r="N67" s="44"/>
    </row>
    <row r="68" spans="1:14" x14ac:dyDescent="0.3">
      <c r="A68" s="43"/>
      <c r="B68" s="43"/>
      <c r="C68" s="43"/>
      <c r="D68" s="43"/>
      <c r="E68" s="43"/>
      <c r="F68" s="43"/>
      <c r="G68" s="43" t="s">
        <v>337</v>
      </c>
      <c r="H68" s="44">
        <v>94</v>
      </c>
      <c r="I68" s="45"/>
      <c r="J68" s="44">
        <v>0</v>
      </c>
      <c r="K68" s="45"/>
      <c r="L68" s="44">
        <v>44</v>
      </c>
      <c r="M68" s="45"/>
      <c r="N68" s="44">
        <f>ROUND(SUM(H68:L68),5)</f>
        <v>138</v>
      </c>
    </row>
    <row r="69" spans="1:14" x14ac:dyDescent="0.3">
      <c r="A69" s="43"/>
      <c r="B69" s="43"/>
      <c r="C69" s="43"/>
      <c r="D69" s="43"/>
      <c r="E69" s="43"/>
      <c r="F69" s="43"/>
      <c r="G69" s="43" t="s">
        <v>239</v>
      </c>
      <c r="H69" s="44">
        <v>183</v>
      </c>
      <c r="I69" s="45"/>
      <c r="J69" s="44">
        <v>0</v>
      </c>
      <c r="K69" s="45"/>
      <c r="L69" s="44">
        <v>0</v>
      </c>
      <c r="M69" s="45"/>
      <c r="N69" s="44">
        <f>ROUND(SUM(H69:L69),5)</f>
        <v>183</v>
      </c>
    </row>
    <row r="70" spans="1:14" ht="15" thickBot="1" x14ac:dyDescent="0.35">
      <c r="A70" s="43"/>
      <c r="B70" s="43"/>
      <c r="C70" s="43"/>
      <c r="D70" s="43"/>
      <c r="E70" s="43"/>
      <c r="F70" s="43"/>
      <c r="G70" s="43" t="s">
        <v>411</v>
      </c>
      <c r="H70" s="46">
        <v>0</v>
      </c>
      <c r="I70" s="45"/>
      <c r="J70" s="46">
        <v>0</v>
      </c>
      <c r="K70" s="45"/>
      <c r="L70" s="46">
        <v>471</v>
      </c>
      <c r="M70" s="45"/>
      <c r="N70" s="46">
        <f>ROUND(SUM(H70:L70),5)</f>
        <v>471</v>
      </c>
    </row>
    <row r="71" spans="1:14" x14ac:dyDescent="0.3">
      <c r="A71" s="43"/>
      <c r="B71" s="43"/>
      <c r="C71" s="43"/>
      <c r="D71" s="43"/>
      <c r="E71" s="43"/>
      <c r="F71" s="43" t="s">
        <v>378</v>
      </c>
      <c r="G71" s="43"/>
      <c r="H71" s="44">
        <f>ROUND(SUM(H67:H70),5)</f>
        <v>277</v>
      </c>
      <c r="I71" s="45"/>
      <c r="J71" s="44">
        <f>ROUND(SUM(J67:J70),5)</f>
        <v>0</v>
      </c>
      <c r="K71" s="45"/>
      <c r="L71" s="44">
        <f>ROUND(SUM(L67:L70),5)</f>
        <v>515</v>
      </c>
      <c r="M71" s="45"/>
      <c r="N71" s="44">
        <f>ROUND(SUM(H71:L71),5)</f>
        <v>792</v>
      </c>
    </row>
    <row r="72" spans="1:14" ht="30" customHeight="1" x14ac:dyDescent="0.3">
      <c r="A72" s="43"/>
      <c r="B72" s="43"/>
      <c r="C72" s="43"/>
      <c r="D72" s="43"/>
      <c r="E72" s="43"/>
      <c r="F72" s="43" t="s">
        <v>412</v>
      </c>
      <c r="G72" s="43"/>
      <c r="H72" s="44"/>
      <c r="I72" s="45"/>
      <c r="J72" s="44"/>
      <c r="K72" s="45"/>
      <c r="L72" s="44"/>
      <c r="M72" s="45"/>
      <c r="N72" s="44"/>
    </row>
    <row r="73" spans="1:14" x14ac:dyDescent="0.3">
      <c r="A73" s="43"/>
      <c r="B73" s="43"/>
      <c r="C73" s="43"/>
      <c r="D73" s="43"/>
      <c r="E73" s="43"/>
      <c r="F73" s="43"/>
      <c r="G73" s="43" t="s">
        <v>338</v>
      </c>
      <c r="H73" s="44">
        <v>606</v>
      </c>
      <c r="I73" s="45"/>
      <c r="J73" s="44">
        <v>781</v>
      </c>
      <c r="K73" s="45"/>
      <c r="L73" s="44">
        <v>1633</v>
      </c>
      <c r="M73" s="45"/>
      <c r="N73" s="44">
        <f>ROUND(SUM(H73:L73),5)</f>
        <v>3020</v>
      </c>
    </row>
    <row r="74" spans="1:14" ht="15" thickBot="1" x14ac:dyDescent="0.35">
      <c r="A74" s="43"/>
      <c r="B74" s="43"/>
      <c r="C74" s="43"/>
      <c r="D74" s="43"/>
      <c r="E74" s="43"/>
      <c r="F74" s="43"/>
      <c r="G74" s="43" t="s">
        <v>379</v>
      </c>
      <c r="H74" s="46">
        <v>0</v>
      </c>
      <c r="I74" s="45"/>
      <c r="J74" s="46">
        <v>7</v>
      </c>
      <c r="K74" s="45"/>
      <c r="L74" s="46">
        <v>0</v>
      </c>
      <c r="M74" s="45"/>
      <c r="N74" s="46">
        <f>ROUND(SUM(H74:L74),5)</f>
        <v>7</v>
      </c>
    </row>
    <row r="75" spans="1:14" x14ac:dyDescent="0.3">
      <c r="A75" s="43"/>
      <c r="B75" s="43"/>
      <c r="C75" s="43"/>
      <c r="D75" s="43"/>
      <c r="E75" s="43"/>
      <c r="F75" s="43" t="s">
        <v>413</v>
      </c>
      <c r="G75" s="43"/>
      <c r="H75" s="44">
        <f>ROUND(SUM(H72:H74),5)</f>
        <v>606</v>
      </c>
      <c r="I75" s="45"/>
      <c r="J75" s="44">
        <f>ROUND(SUM(J72:J74),5)</f>
        <v>788</v>
      </c>
      <c r="K75" s="45"/>
      <c r="L75" s="44">
        <f>ROUND(SUM(L72:L74),5)</f>
        <v>1633</v>
      </c>
      <c r="M75" s="45"/>
      <c r="N75" s="44">
        <f>ROUND(SUM(H75:L75),5)</f>
        <v>3027</v>
      </c>
    </row>
    <row r="76" spans="1:14" ht="30" customHeight="1" x14ac:dyDescent="0.3">
      <c r="A76" s="43"/>
      <c r="B76" s="43"/>
      <c r="C76" s="43"/>
      <c r="D76" s="43"/>
      <c r="E76" s="43"/>
      <c r="F76" s="43" t="s">
        <v>245</v>
      </c>
      <c r="G76" s="43"/>
      <c r="H76" s="44">
        <v>2394</v>
      </c>
      <c r="I76" s="45"/>
      <c r="J76" s="44">
        <v>2352</v>
      </c>
      <c r="K76" s="45"/>
      <c r="L76" s="44">
        <v>2574</v>
      </c>
      <c r="M76" s="45"/>
      <c r="N76" s="44">
        <f>ROUND(SUM(H76:L76),5)</f>
        <v>7320</v>
      </c>
    </row>
    <row r="77" spans="1:14" x14ac:dyDescent="0.3">
      <c r="A77" s="43"/>
      <c r="B77" s="43"/>
      <c r="C77" s="43"/>
      <c r="D77" s="43"/>
      <c r="E77" s="43"/>
      <c r="F77" s="43" t="s">
        <v>489</v>
      </c>
      <c r="G77" s="43"/>
      <c r="H77" s="44"/>
      <c r="I77" s="45"/>
      <c r="J77" s="44"/>
      <c r="K77" s="45"/>
      <c r="L77" s="44"/>
      <c r="M77" s="45"/>
      <c r="N77" s="44"/>
    </row>
    <row r="78" spans="1:14" x14ac:dyDescent="0.3">
      <c r="A78" s="43"/>
      <c r="B78" s="43"/>
      <c r="C78" s="43"/>
      <c r="D78" s="43"/>
      <c r="E78" s="43"/>
      <c r="F78" s="43"/>
      <c r="G78" s="43" t="s">
        <v>490</v>
      </c>
      <c r="H78" s="44">
        <v>88</v>
      </c>
      <c r="I78" s="45"/>
      <c r="J78" s="44">
        <v>333</v>
      </c>
      <c r="K78" s="45"/>
      <c r="L78" s="44">
        <v>385</v>
      </c>
      <c r="M78" s="45"/>
      <c r="N78" s="44">
        <f>ROUND(SUM(H78:L78),5)</f>
        <v>806</v>
      </c>
    </row>
    <row r="79" spans="1:14" x14ac:dyDescent="0.3">
      <c r="A79" s="43"/>
      <c r="B79" s="43"/>
      <c r="C79" s="43"/>
      <c r="D79" s="43"/>
      <c r="E79" s="43"/>
      <c r="F79" s="43"/>
      <c r="G79" s="43" t="s">
        <v>247</v>
      </c>
      <c r="H79" s="44">
        <v>165</v>
      </c>
      <c r="I79" s="45"/>
      <c r="J79" s="44">
        <v>445</v>
      </c>
      <c r="K79" s="45"/>
      <c r="L79" s="44">
        <v>0</v>
      </c>
      <c r="M79" s="45"/>
      <c r="N79" s="44">
        <f>ROUND(SUM(H79:L79),5)</f>
        <v>610</v>
      </c>
    </row>
    <row r="80" spans="1:14" ht="15" thickBot="1" x14ac:dyDescent="0.35">
      <c r="A80" s="43"/>
      <c r="B80" s="43"/>
      <c r="C80" s="43"/>
      <c r="D80" s="43"/>
      <c r="E80" s="43"/>
      <c r="F80" s="43"/>
      <c r="G80" s="43" t="s">
        <v>491</v>
      </c>
      <c r="H80" s="46">
        <v>16018</v>
      </c>
      <c r="I80" s="45"/>
      <c r="J80" s="46">
        <v>13257</v>
      </c>
      <c r="K80" s="45"/>
      <c r="L80" s="46">
        <v>26034</v>
      </c>
      <c r="M80" s="45"/>
      <c r="N80" s="46">
        <f>ROUND(SUM(H80:L80),5)</f>
        <v>55309</v>
      </c>
    </row>
    <row r="81" spans="1:14" x14ac:dyDescent="0.3">
      <c r="A81" s="43"/>
      <c r="B81" s="43"/>
      <c r="C81" s="43"/>
      <c r="D81" s="43"/>
      <c r="E81" s="43"/>
      <c r="F81" s="43" t="s">
        <v>492</v>
      </c>
      <c r="G81" s="43"/>
      <c r="H81" s="44">
        <f>ROUND(SUM(H77:H80),5)</f>
        <v>16271</v>
      </c>
      <c r="I81" s="45"/>
      <c r="J81" s="44">
        <f>ROUND(SUM(J77:J80),5)</f>
        <v>14035</v>
      </c>
      <c r="K81" s="45"/>
      <c r="L81" s="44">
        <f>ROUND(SUM(L77:L80),5)</f>
        <v>26419</v>
      </c>
      <c r="M81" s="45"/>
      <c r="N81" s="44">
        <f>ROUND(SUM(H81:L81),5)</f>
        <v>56725</v>
      </c>
    </row>
    <row r="82" spans="1:14" ht="30" customHeight="1" x14ac:dyDescent="0.3">
      <c r="A82" s="43"/>
      <c r="B82" s="43"/>
      <c r="C82" s="43"/>
      <c r="D82" s="43"/>
      <c r="E82" s="43"/>
      <c r="F82" s="43" t="s">
        <v>250</v>
      </c>
      <c r="G82" s="43"/>
      <c r="H82" s="44"/>
      <c r="I82" s="45"/>
      <c r="J82" s="44"/>
      <c r="K82" s="45"/>
      <c r="L82" s="44"/>
      <c r="M82" s="45"/>
      <c r="N82" s="44"/>
    </row>
    <row r="83" spans="1:14" x14ac:dyDescent="0.3">
      <c r="A83" s="43"/>
      <c r="B83" s="43"/>
      <c r="C83" s="43"/>
      <c r="D83" s="43"/>
      <c r="E83" s="43"/>
      <c r="F83" s="43"/>
      <c r="G83" s="43" t="s">
        <v>251</v>
      </c>
      <c r="H83" s="44">
        <v>975</v>
      </c>
      <c r="I83" s="45"/>
      <c r="J83" s="44">
        <v>3635</v>
      </c>
      <c r="K83" s="45"/>
      <c r="L83" s="44">
        <v>2564</v>
      </c>
      <c r="M83" s="45"/>
      <c r="N83" s="44">
        <f>ROUND(SUM(H83:L83),5)</f>
        <v>7174</v>
      </c>
    </row>
    <row r="84" spans="1:14" x14ac:dyDescent="0.3">
      <c r="A84" s="43"/>
      <c r="B84" s="43"/>
      <c r="C84" s="43"/>
      <c r="D84" s="43"/>
      <c r="E84" s="43"/>
      <c r="F84" s="43"/>
      <c r="G84" s="43" t="s">
        <v>343</v>
      </c>
      <c r="H84" s="44">
        <v>1017</v>
      </c>
      <c r="I84" s="45"/>
      <c r="J84" s="44">
        <v>3131</v>
      </c>
      <c r="K84" s="45"/>
      <c r="L84" s="44">
        <v>1004</v>
      </c>
      <c r="M84" s="45"/>
      <c r="N84" s="44">
        <f>ROUND(SUM(H84:L84),5)</f>
        <v>5152</v>
      </c>
    </row>
    <row r="85" spans="1:14" ht="15" thickBot="1" x14ac:dyDescent="0.35">
      <c r="A85" s="43"/>
      <c r="B85" s="43"/>
      <c r="C85" s="43"/>
      <c r="D85" s="43"/>
      <c r="E85" s="43"/>
      <c r="F85" s="43"/>
      <c r="G85" s="43" t="s">
        <v>252</v>
      </c>
      <c r="H85" s="46">
        <v>4616</v>
      </c>
      <c r="I85" s="45"/>
      <c r="J85" s="46">
        <v>1783</v>
      </c>
      <c r="K85" s="45"/>
      <c r="L85" s="46">
        <v>3074</v>
      </c>
      <c r="M85" s="45"/>
      <c r="N85" s="46">
        <f>ROUND(SUM(H85:L85),5)</f>
        <v>9473</v>
      </c>
    </row>
    <row r="86" spans="1:14" x14ac:dyDescent="0.3">
      <c r="A86" s="43"/>
      <c r="B86" s="43"/>
      <c r="C86" s="43"/>
      <c r="D86" s="43"/>
      <c r="E86" s="43"/>
      <c r="F86" s="43" t="s">
        <v>253</v>
      </c>
      <c r="G86" s="43"/>
      <c r="H86" s="44">
        <f>ROUND(SUM(H82:H85),5)</f>
        <v>6608</v>
      </c>
      <c r="I86" s="45"/>
      <c r="J86" s="44">
        <f>ROUND(SUM(J82:J85),5)</f>
        <v>8549</v>
      </c>
      <c r="K86" s="45"/>
      <c r="L86" s="44">
        <f>ROUND(SUM(L82:L85),5)</f>
        <v>6642</v>
      </c>
      <c r="M86" s="45"/>
      <c r="N86" s="44">
        <f>ROUND(SUM(H86:L86),5)</f>
        <v>21799</v>
      </c>
    </row>
    <row r="87" spans="1:14" ht="30" customHeight="1" x14ac:dyDescent="0.3">
      <c r="A87" s="43"/>
      <c r="B87" s="43"/>
      <c r="C87" s="43"/>
      <c r="D87" s="43"/>
      <c r="E87" s="43"/>
      <c r="F87" s="43" t="s">
        <v>493</v>
      </c>
      <c r="G87" s="43"/>
      <c r="H87" s="44"/>
      <c r="I87" s="45"/>
      <c r="J87" s="44"/>
      <c r="K87" s="45"/>
      <c r="L87" s="44"/>
      <c r="M87" s="45"/>
      <c r="N87" s="44"/>
    </row>
    <row r="88" spans="1:14" x14ac:dyDescent="0.3">
      <c r="A88" s="43"/>
      <c r="B88" s="43"/>
      <c r="C88" s="43"/>
      <c r="D88" s="43"/>
      <c r="E88" s="43"/>
      <c r="F88" s="43"/>
      <c r="G88" s="43" t="s">
        <v>345</v>
      </c>
      <c r="H88" s="44">
        <v>444</v>
      </c>
      <c r="I88" s="45"/>
      <c r="J88" s="44">
        <v>839</v>
      </c>
      <c r="K88" s="45"/>
      <c r="L88" s="44">
        <v>1868</v>
      </c>
      <c r="M88" s="45"/>
      <c r="N88" s="44">
        <f>ROUND(SUM(H88:L88),5)</f>
        <v>3151</v>
      </c>
    </row>
    <row r="89" spans="1:14" x14ac:dyDescent="0.3">
      <c r="A89" s="43"/>
      <c r="B89" s="43"/>
      <c r="C89" s="43"/>
      <c r="D89" s="43"/>
      <c r="E89" s="43"/>
      <c r="F89" s="43"/>
      <c r="G89" s="43" t="s">
        <v>414</v>
      </c>
      <c r="H89" s="44">
        <v>822</v>
      </c>
      <c r="I89" s="45"/>
      <c r="J89" s="44">
        <v>236</v>
      </c>
      <c r="K89" s="45"/>
      <c r="L89" s="44">
        <v>2841</v>
      </c>
      <c r="M89" s="45"/>
      <c r="N89" s="44">
        <f>ROUND(SUM(H89:L89),5)</f>
        <v>3899</v>
      </c>
    </row>
    <row r="90" spans="1:14" ht="15" thickBot="1" x14ac:dyDescent="0.35">
      <c r="A90" s="43"/>
      <c r="B90" s="43"/>
      <c r="C90" s="43"/>
      <c r="D90" s="43"/>
      <c r="E90" s="43"/>
      <c r="F90" s="43"/>
      <c r="G90" s="43" t="s">
        <v>494</v>
      </c>
      <c r="H90" s="46">
        <v>199</v>
      </c>
      <c r="I90" s="45"/>
      <c r="J90" s="46">
        <v>1636</v>
      </c>
      <c r="K90" s="45"/>
      <c r="L90" s="46">
        <v>1441</v>
      </c>
      <c r="M90" s="45"/>
      <c r="N90" s="46">
        <f>ROUND(SUM(H90:L90),5)</f>
        <v>3276</v>
      </c>
    </row>
    <row r="91" spans="1:14" x14ac:dyDescent="0.3">
      <c r="A91" s="43"/>
      <c r="B91" s="43"/>
      <c r="C91" s="43"/>
      <c r="D91" s="43"/>
      <c r="E91" s="43"/>
      <c r="F91" s="43" t="s">
        <v>495</v>
      </c>
      <c r="G91" s="43"/>
      <c r="H91" s="44">
        <f>ROUND(SUM(H87:H90),5)</f>
        <v>1465</v>
      </c>
      <c r="I91" s="45"/>
      <c r="J91" s="44">
        <f>ROUND(SUM(J87:J90),5)</f>
        <v>2711</v>
      </c>
      <c r="K91" s="45"/>
      <c r="L91" s="44">
        <f>ROUND(SUM(L87:L90),5)</f>
        <v>6150</v>
      </c>
      <c r="M91" s="45"/>
      <c r="N91" s="44">
        <f>ROUND(SUM(H91:L91),5)</f>
        <v>10326</v>
      </c>
    </row>
    <row r="92" spans="1:14" ht="30" customHeight="1" x14ac:dyDescent="0.3">
      <c r="A92" s="43"/>
      <c r="B92" s="43"/>
      <c r="C92" s="43"/>
      <c r="D92" s="43"/>
      <c r="E92" s="43"/>
      <c r="F92" s="43" t="s">
        <v>254</v>
      </c>
      <c r="G92" s="43"/>
      <c r="H92" s="44"/>
      <c r="I92" s="45"/>
      <c r="J92" s="44"/>
      <c r="K92" s="45"/>
      <c r="L92" s="44"/>
      <c r="M92" s="45"/>
      <c r="N92" s="44"/>
    </row>
    <row r="93" spans="1:14" x14ac:dyDescent="0.3">
      <c r="A93" s="43"/>
      <c r="B93" s="43"/>
      <c r="C93" s="43"/>
      <c r="D93" s="43"/>
      <c r="E93" s="43"/>
      <c r="F93" s="43"/>
      <c r="G93" s="43" t="s">
        <v>255</v>
      </c>
      <c r="H93" s="44">
        <v>3392</v>
      </c>
      <c r="I93" s="45"/>
      <c r="J93" s="44">
        <v>3191</v>
      </c>
      <c r="K93" s="45"/>
      <c r="L93" s="44">
        <v>3106</v>
      </c>
      <c r="M93" s="45"/>
      <c r="N93" s="44">
        <f t="shared" ref="N93:N101" si="2">ROUND(SUM(H93:L93),5)</f>
        <v>9689</v>
      </c>
    </row>
    <row r="94" spans="1:14" x14ac:dyDescent="0.3">
      <c r="A94" s="43"/>
      <c r="B94" s="43"/>
      <c r="C94" s="43"/>
      <c r="D94" s="43"/>
      <c r="E94" s="43"/>
      <c r="F94" s="43"/>
      <c r="G94" s="43" t="s">
        <v>256</v>
      </c>
      <c r="H94" s="44">
        <v>1955</v>
      </c>
      <c r="I94" s="45"/>
      <c r="J94" s="44">
        <v>2531</v>
      </c>
      <c r="K94" s="45"/>
      <c r="L94" s="44">
        <v>1812</v>
      </c>
      <c r="M94" s="45"/>
      <c r="N94" s="44">
        <f t="shared" si="2"/>
        <v>6298</v>
      </c>
    </row>
    <row r="95" spans="1:14" x14ac:dyDescent="0.3">
      <c r="A95" s="43"/>
      <c r="B95" s="43"/>
      <c r="C95" s="43"/>
      <c r="D95" s="43"/>
      <c r="E95" s="43"/>
      <c r="F95" s="43"/>
      <c r="G95" s="43" t="s">
        <v>257</v>
      </c>
      <c r="H95" s="44">
        <v>0</v>
      </c>
      <c r="I95" s="45"/>
      <c r="J95" s="44">
        <v>340</v>
      </c>
      <c r="K95" s="45"/>
      <c r="L95" s="44">
        <v>751</v>
      </c>
      <c r="M95" s="45"/>
      <c r="N95" s="44">
        <f t="shared" si="2"/>
        <v>1091</v>
      </c>
    </row>
    <row r="96" spans="1:14" x14ac:dyDescent="0.3">
      <c r="A96" s="43"/>
      <c r="B96" s="43"/>
      <c r="C96" s="43"/>
      <c r="D96" s="43"/>
      <c r="E96" s="43"/>
      <c r="F96" s="43"/>
      <c r="G96" s="43" t="s">
        <v>258</v>
      </c>
      <c r="H96" s="44">
        <v>0</v>
      </c>
      <c r="I96" s="45"/>
      <c r="J96" s="44">
        <v>260</v>
      </c>
      <c r="K96" s="45"/>
      <c r="L96" s="44">
        <v>493</v>
      </c>
      <c r="M96" s="45"/>
      <c r="N96" s="44">
        <f t="shared" si="2"/>
        <v>753</v>
      </c>
    </row>
    <row r="97" spans="1:14" x14ac:dyDescent="0.3">
      <c r="A97" s="43"/>
      <c r="B97" s="43"/>
      <c r="C97" s="43"/>
      <c r="D97" s="43"/>
      <c r="E97" s="43"/>
      <c r="F97" s="43"/>
      <c r="G97" s="43" t="s">
        <v>259</v>
      </c>
      <c r="H97" s="44">
        <v>26</v>
      </c>
      <c r="I97" s="45"/>
      <c r="J97" s="44">
        <v>0</v>
      </c>
      <c r="K97" s="45"/>
      <c r="L97" s="44">
        <v>0</v>
      </c>
      <c r="M97" s="45"/>
      <c r="N97" s="44">
        <f t="shared" si="2"/>
        <v>26</v>
      </c>
    </row>
    <row r="98" spans="1:14" ht="15" thickBot="1" x14ac:dyDescent="0.35">
      <c r="A98" s="43"/>
      <c r="B98" s="43"/>
      <c r="C98" s="43"/>
      <c r="D98" s="43"/>
      <c r="E98" s="43"/>
      <c r="F98" s="43"/>
      <c r="G98" s="43" t="s">
        <v>260</v>
      </c>
      <c r="H98" s="46">
        <v>7042</v>
      </c>
      <c r="I98" s="45"/>
      <c r="J98" s="46">
        <v>658</v>
      </c>
      <c r="K98" s="45"/>
      <c r="L98" s="46">
        <v>2413</v>
      </c>
      <c r="M98" s="45"/>
      <c r="N98" s="46">
        <f t="shared" si="2"/>
        <v>10113</v>
      </c>
    </row>
    <row r="99" spans="1:14" x14ac:dyDescent="0.3">
      <c r="A99" s="43"/>
      <c r="B99" s="43"/>
      <c r="C99" s="43"/>
      <c r="D99" s="43"/>
      <c r="E99" s="43"/>
      <c r="F99" s="43" t="s">
        <v>261</v>
      </c>
      <c r="G99" s="43"/>
      <c r="H99" s="44">
        <f>ROUND(SUM(H92:H98),5)</f>
        <v>12415</v>
      </c>
      <c r="I99" s="45"/>
      <c r="J99" s="44">
        <f>ROUND(SUM(J92:J98),5)</f>
        <v>6980</v>
      </c>
      <c r="K99" s="45"/>
      <c r="L99" s="44">
        <f>ROUND(SUM(L92:L98),5)</f>
        <v>8575</v>
      </c>
      <c r="M99" s="45"/>
      <c r="N99" s="44">
        <f t="shared" si="2"/>
        <v>27970</v>
      </c>
    </row>
    <row r="100" spans="1:14" ht="30" customHeight="1" x14ac:dyDescent="0.3">
      <c r="A100" s="43"/>
      <c r="B100" s="43"/>
      <c r="C100" s="43"/>
      <c r="D100" s="43"/>
      <c r="E100" s="43"/>
      <c r="F100" s="43" t="s">
        <v>415</v>
      </c>
      <c r="G100" s="43"/>
      <c r="H100" s="44">
        <v>746</v>
      </c>
      <c r="I100" s="45"/>
      <c r="J100" s="44">
        <v>821</v>
      </c>
      <c r="K100" s="45"/>
      <c r="L100" s="44">
        <v>788</v>
      </c>
      <c r="M100" s="45"/>
      <c r="N100" s="44">
        <f t="shared" si="2"/>
        <v>2355</v>
      </c>
    </row>
    <row r="101" spans="1:14" x14ac:dyDescent="0.3">
      <c r="A101" s="43"/>
      <c r="B101" s="43"/>
      <c r="C101" s="43"/>
      <c r="D101" s="43"/>
      <c r="E101" s="43"/>
      <c r="F101" s="43" t="s">
        <v>497</v>
      </c>
      <c r="G101" s="43"/>
      <c r="H101" s="44">
        <v>6000</v>
      </c>
      <c r="I101" s="45"/>
      <c r="J101" s="44">
        <v>4000</v>
      </c>
      <c r="K101" s="45"/>
      <c r="L101" s="44">
        <v>0</v>
      </c>
      <c r="M101" s="45"/>
      <c r="N101" s="44">
        <f t="shared" si="2"/>
        <v>10000</v>
      </c>
    </row>
    <row r="102" spans="1:14" x14ac:dyDescent="0.3">
      <c r="A102" s="43"/>
      <c r="B102" s="43"/>
      <c r="C102" s="43"/>
      <c r="D102" s="43"/>
      <c r="E102" s="43"/>
      <c r="F102" s="43" t="s">
        <v>498</v>
      </c>
      <c r="G102" s="43"/>
      <c r="H102" s="44"/>
      <c r="I102" s="45"/>
      <c r="J102" s="44"/>
      <c r="K102" s="45"/>
      <c r="L102" s="44"/>
      <c r="M102" s="45"/>
      <c r="N102" s="44"/>
    </row>
    <row r="103" spans="1:14" x14ac:dyDescent="0.3">
      <c r="A103" s="43"/>
      <c r="B103" s="43"/>
      <c r="C103" s="43"/>
      <c r="D103" s="43"/>
      <c r="E103" s="43"/>
      <c r="F103" s="43"/>
      <c r="G103" s="43" t="s">
        <v>499</v>
      </c>
      <c r="H103" s="44">
        <v>41655</v>
      </c>
      <c r="I103" s="45"/>
      <c r="J103" s="44">
        <v>41965</v>
      </c>
      <c r="K103" s="45"/>
      <c r="L103" s="44">
        <v>43320</v>
      </c>
      <c r="M103" s="45"/>
      <c r="N103" s="44">
        <f t="shared" ref="N103:N110" si="3">ROUND(SUM(H103:L103),5)</f>
        <v>126940</v>
      </c>
    </row>
    <row r="104" spans="1:14" ht="15" thickBot="1" x14ac:dyDescent="0.35">
      <c r="A104" s="43"/>
      <c r="B104" s="43"/>
      <c r="C104" s="43"/>
      <c r="D104" s="43"/>
      <c r="E104" s="43"/>
      <c r="F104" s="43"/>
      <c r="G104" s="43" t="s">
        <v>500</v>
      </c>
      <c r="H104" s="46">
        <v>13990</v>
      </c>
      <c r="I104" s="45"/>
      <c r="J104" s="46">
        <v>14859</v>
      </c>
      <c r="K104" s="45"/>
      <c r="L104" s="46">
        <v>14527</v>
      </c>
      <c r="M104" s="45"/>
      <c r="N104" s="46">
        <f t="shared" si="3"/>
        <v>43376</v>
      </c>
    </row>
    <row r="105" spans="1:14" x14ac:dyDescent="0.3">
      <c r="A105" s="43"/>
      <c r="B105" s="43"/>
      <c r="C105" s="43"/>
      <c r="D105" s="43"/>
      <c r="E105" s="43"/>
      <c r="F105" s="43" t="s">
        <v>501</v>
      </c>
      <c r="G105" s="43"/>
      <c r="H105" s="44">
        <f>ROUND(SUM(H102:H104),5)</f>
        <v>55645</v>
      </c>
      <c r="I105" s="45"/>
      <c r="J105" s="44">
        <f>ROUND(SUM(J102:J104),5)</f>
        <v>56824</v>
      </c>
      <c r="K105" s="45"/>
      <c r="L105" s="44">
        <f>ROUND(SUM(L102:L104),5)</f>
        <v>57847</v>
      </c>
      <c r="M105" s="45"/>
      <c r="N105" s="44">
        <f t="shared" si="3"/>
        <v>170316</v>
      </c>
    </row>
    <row r="106" spans="1:14" ht="30" customHeight="1" x14ac:dyDescent="0.3">
      <c r="A106" s="43"/>
      <c r="B106" s="43"/>
      <c r="C106" s="43"/>
      <c r="D106" s="43"/>
      <c r="E106" s="43"/>
      <c r="F106" s="43" t="s">
        <v>502</v>
      </c>
      <c r="G106" s="43"/>
      <c r="H106" s="44">
        <v>2365</v>
      </c>
      <c r="I106" s="45"/>
      <c r="J106" s="44">
        <v>4730</v>
      </c>
      <c r="K106" s="45"/>
      <c r="L106" s="44">
        <v>0</v>
      </c>
      <c r="M106" s="45"/>
      <c r="N106" s="44">
        <f t="shared" si="3"/>
        <v>7095</v>
      </c>
    </row>
    <row r="107" spans="1:14" x14ac:dyDescent="0.3">
      <c r="A107" s="43"/>
      <c r="B107" s="43"/>
      <c r="C107" s="43"/>
      <c r="D107" s="43"/>
      <c r="E107" s="43"/>
      <c r="F107" s="43" t="s">
        <v>503</v>
      </c>
      <c r="G107" s="43"/>
      <c r="H107" s="44">
        <v>5561</v>
      </c>
      <c r="I107" s="45"/>
      <c r="J107" s="44">
        <v>5151</v>
      </c>
      <c r="K107" s="45"/>
      <c r="L107" s="44">
        <v>6015</v>
      </c>
      <c r="M107" s="45"/>
      <c r="N107" s="44">
        <f t="shared" si="3"/>
        <v>16727</v>
      </c>
    </row>
    <row r="108" spans="1:14" x14ac:dyDescent="0.3">
      <c r="A108" s="43"/>
      <c r="B108" s="43"/>
      <c r="C108" s="43"/>
      <c r="D108" s="43"/>
      <c r="E108" s="43"/>
      <c r="F108" s="43" t="s">
        <v>504</v>
      </c>
      <c r="G108" s="43"/>
      <c r="H108" s="44">
        <v>2336</v>
      </c>
      <c r="I108" s="45"/>
      <c r="J108" s="44">
        <v>2191</v>
      </c>
      <c r="K108" s="45"/>
      <c r="L108" s="44">
        <v>1457</v>
      </c>
      <c r="M108" s="45"/>
      <c r="N108" s="44">
        <f t="shared" si="3"/>
        <v>5984</v>
      </c>
    </row>
    <row r="109" spans="1:14" ht="15" thickBot="1" x14ac:dyDescent="0.35">
      <c r="A109" s="43"/>
      <c r="B109" s="43"/>
      <c r="C109" s="43"/>
      <c r="D109" s="43"/>
      <c r="E109" s="43"/>
      <c r="F109" s="43" t="s">
        <v>506</v>
      </c>
      <c r="G109" s="43"/>
      <c r="H109" s="46">
        <v>12000</v>
      </c>
      <c r="I109" s="45"/>
      <c r="J109" s="46">
        <v>3000</v>
      </c>
      <c r="K109" s="45"/>
      <c r="L109" s="46">
        <v>0</v>
      </c>
      <c r="M109" s="45"/>
      <c r="N109" s="46">
        <f t="shared" si="3"/>
        <v>15000</v>
      </c>
    </row>
    <row r="110" spans="1:14" x14ac:dyDescent="0.3">
      <c r="A110" s="43"/>
      <c r="B110" s="43"/>
      <c r="C110" s="43"/>
      <c r="D110" s="43"/>
      <c r="E110" s="43" t="s">
        <v>270</v>
      </c>
      <c r="F110" s="43"/>
      <c r="G110" s="43"/>
      <c r="H110" s="44">
        <f>ROUND(H43+H52+H57+H61+H66+H71+SUM(H75:H76)+H81+H86+H91+SUM(H99:H101)+SUM(H105:H109),5)</f>
        <v>133602</v>
      </c>
      <c r="I110" s="45"/>
      <c r="J110" s="44">
        <f>ROUND(J43+J52+J57+J61+J66+J71+SUM(J75:J76)+J81+J86+J91+SUM(J99:J101)+SUM(J105:J109),5)</f>
        <v>119434</v>
      </c>
      <c r="K110" s="45"/>
      <c r="L110" s="44">
        <f>ROUND(L43+L52+L57+L61+L66+L71+SUM(L75:L76)+L81+L86+L91+SUM(L99:L101)+SUM(L105:L109),5)</f>
        <v>126337</v>
      </c>
      <c r="M110" s="45"/>
      <c r="N110" s="44">
        <f t="shared" si="3"/>
        <v>379373</v>
      </c>
    </row>
    <row r="111" spans="1:14" ht="30" customHeight="1" x14ac:dyDescent="0.3">
      <c r="A111" s="43"/>
      <c r="B111" s="43"/>
      <c r="C111" s="43"/>
      <c r="D111" s="43"/>
      <c r="E111" s="43" t="s">
        <v>271</v>
      </c>
      <c r="F111" s="43"/>
      <c r="G111" s="43"/>
      <c r="H111" s="44"/>
      <c r="I111" s="45"/>
      <c r="J111" s="44"/>
      <c r="K111" s="45"/>
      <c r="L111" s="44"/>
      <c r="M111" s="45"/>
      <c r="N111" s="44"/>
    </row>
    <row r="112" spans="1:14" ht="15" thickBot="1" x14ac:dyDescent="0.35">
      <c r="A112" s="43"/>
      <c r="B112" s="43"/>
      <c r="C112" s="43"/>
      <c r="D112" s="43"/>
      <c r="E112" s="43"/>
      <c r="F112" s="43" t="s">
        <v>416</v>
      </c>
      <c r="G112" s="43"/>
      <c r="H112" s="46">
        <v>14682</v>
      </c>
      <c r="I112" s="45"/>
      <c r="J112" s="46">
        <v>29981</v>
      </c>
      <c r="K112" s="45"/>
      <c r="L112" s="46">
        <v>23016</v>
      </c>
      <c r="M112" s="45"/>
      <c r="N112" s="46">
        <f>ROUND(SUM(H112:L112),5)</f>
        <v>67679</v>
      </c>
    </row>
    <row r="113" spans="1:14" x14ac:dyDescent="0.3">
      <c r="A113" s="43"/>
      <c r="B113" s="43"/>
      <c r="C113" s="43"/>
      <c r="D113" s="43"/>
      <c r="E113" s="43" t="s">
        <v>417</v>
      </c>
      <c r="F113" s="43"/>
      <c r="G113" s="43"/>
      <c r="H113" s="44">
        <f>ROUND(SUM(H111:H112),5)</f>
        <v>14682</v>
      </c>
      <c r="I113" s="45"/>
      <c r="J113" s="44">
        <f>ROUND(SUM(J111:J112),5)</f>
        <v>29981</v>
      </c>
      <c r="K113" s="45"/>
      <c r="L113" s="44">
        <f>ROUND(SUM(L111:L112),5)</f>
        <v>23016</v>
      </c>
      <c r="M113" s="45"/>
      <c r="N113" s="44">
        <f>ROUND(SUM(H113:L113),5)</f>
        <v>67679</v>
      </c>
    </row>
    <row r="114" spans="1:14" ht="30" customHeight="1" x14ac:dyDescent="0.3">
      <c r="A114" s="43"/>
      <c r="B114" s="43"/>
      <c r="C114" s="43"/>
      <c r="D114" s="43"/>
      <c r="E114" s="43" t="s">
        <v>272</v>
      </c>
      <c r="F114" s="43"/>
      <c r="G114" s="43"/>
      <c r="H114" s="44"/>
      <c r="I114" s="45"/>
      <c r="J114" s="44"/>
      <c r="K114" s="45"/>
      <c r="L114" s="44"/>
      <c r="M114" s="45"/>
      <c r="N114" s="44"/>
    </row>
    <row r="115" spans="1:14" ht="15" thickBot="1" x14ac:dyDescent="0.35">
      <c r="A115" s="43"/>
      <c r="B115" s="43"/>
      <c r="C115" s="43"/>
      <c r="D115" s="43"/>
      <c r="E115" s="43"/>
      <c r="F115" s="43" t="s">
        <v>275</v>
      </c>
      <c r="G115" s="43"/>
      <c r="H115" s="46">
        <v>256270</v>
      </c>
      <c r="I115" s="45"/>
      <c r="J115" s="46">
        <v>130159</v>
      </c>
      <c r="K115" s="45"/>
      <c r="L115" s="46">
        <v>188472</v>
      </c>
      <c r="M115" s="45"/>
      <c r="N115" s="46">
        <f t="shared" ref="N115:N121" si="4">ROUND(SUM(H115:L115),5)</f>
        <v>574901</v>
      </c>
    </row>
    <row r="116" spans="1:14" x14ac:dyDescent="0.3">
      <c r="A116" s="43"/>
      <c r="B116" s="43"/>
      <c r="C116" s="43"/>
      <c r="D116" s="43"/>
      <c r="E116" s="43" t="s">
        <v>277</v>
      </c>
      <c r="F116" s="43"/>
      <c r="G116" s="43"/>
      <c r="H116" s="44">
        <f>ROUND(SUM(H114:H115),5)</f>
        <v>256270</v>
      </c>
      <c r="I116" s="45"/>
      <c r="J116" s="44">
        <f>ROUND(SUM(J114:J115),5)</f>
        <v>130159</v>
      </c>
      <c r="K116" s="45"/>
      <c r="L116" s="44">
        <f>ROUND(SUM(L114:L115),5)</f>
        <v>188472</v>
      </c>
      <c r="M116" s="45"/>
      <c r="N116" s="44">
        <f t="shared" si="4"/>
        <v>574901</v>
      </c>
    </row>
    <row r="117" spans="1:14" ht="30" customHeight="1" x14ac:dyDescent="0.3">
      <c r="A117" s="43"/>
      <c r="B117" s="43"/>
      <c r="C117" s="43"/>
      <c r="D117" s="43"/>
      <c r="E117" s="43" t="s">
        <v>278</v>
      </c>
      <c r="F117" s="43"/>
      <c r="G117" s="43"/>
      <c r="H117" s="44">
        <v>499488</v>
      </c>
      <c r="I117" s="45"/>
      <c r="J117" s="44">
        <v>289513</v>
      </c>
      <c r="K117" s="45"/>
      <c r="L117" s="44">
        <v>274563</v>
      </c>
      <c r="M117" s="45"/>
      <c r="N117" s="44">
        <f t="shared" si="4"/>
        <v>1063564</v>
      </c>
    </row>
    <row r="118" spans="1:14" x14ac:dyDescent="0.3">
      <c r="A118" s="43"/>
      <c r="B118" s="43"/>
      <c r="C118" s="43"/>
      <c r="D118" s="43"/>
      <c r="E118" s="43" t="s">
        <v>350</v>
      </c>
      <c r="F118" s="43"/>
      <c r="G118" s="43"/>
      <c r="H118" s="44">
        <v>34185</v>
      </c>
      <c r="I118" s="45"/>
      <c r="J118" s="44">
        <v>34185</v>
      </c>
      <c r="K118" s="45"/>
      <c r="L118" s="44">
        <v>25203</v>
      </c>
      <c r="M118" s="45"/>
      <c r="N118" s="44">
        <f t="shared" si="4"/>
        <v>93573</v>
      </c>
    </row>
    <row r="119" spans="1:14" ht="15" thickBot="1" x14ac:dyDescent="0.35">
      <c r="A119" s="43"/>
      <c r="B119" s="43"/>
      <c r="C119" s="43"/>
      <c r="D119" s="43"/>
      <c r="E119" s="43" t="s">
        <v>284</v>
      </c>
      <c r="F119" s="43"/>
      <c r="G119" s="43"/>
      <c r="H119" s="44">
        <v>321502</v>
      </c>
      <c r="I119" s="45"/>
      <c r="J119" s="44">
        <v>308304</v>
      </c>
      <c r="K119" s="45"/>
      <c r="L119" s="44">
        <v>296108</v>
      </c>
      <c r="M119" s="45"/>
      <c r="N119" s="44">
        <f t="shared" si="4"/>
        <v>925914</v>
      </c>
    </row>
    <row r="120" spans="1:14" ht="15" thickBot="1" x14ac:dyDescent="0.35">
      <c r="A120" s="43"/>
      <c r="B120" s="43"/>
      <c r="C120" s="43"/>
      <c r="D120" s="43" t="s">
        <v>287</v>
      </c>
      <c r="E120" s="43"/>
      <c r="F120" s="43"/>
      <c r="G120" s="43"/>
      <c r="H120" s="47">
        <f>ROUND(H8+H23+H42+H110+H113+SUM(H116:H119),5)</f>
        <v>1475186</v>
      </c>
      <c r="I120" s="45"/>
      <c r="J120" s="47">
        <f>ROUND(J8+J23+J42+J110+J113+SUM(J116:J119),5)</f>
        <v>1139725</v>
      </c>
      <c r="K120" s="45"/>
      <c r="L120" s="47">
        <f>ROUND(L8+L23+L42+L110+L113+SUM(L116:L119),5)</f>
        <v>1441665</v>
      </c>
      <c r="M120" s="45"/>
      <c r="N120" s="47">
        <f t="shared" si="4"/>
        <v>4056576</v>
      </c>
    </row>
    <row r="121" spans="1:14" ht="30" customHeight="1" x14ac:dyDescent="0.3">
      <c r="A121" s="43"/>
      <c r="B121" s="43" t="s">
        <v>288</v>
      </c>
      <c r="C121" s="43"/>
      <c r="D121" s="43"/>
      <c r="E121" s="43"/>
      <c r="F121" s="43"/>
      <c r="G121" s="43"/>
      <c r="H121" s="44">
        <f>ROUND(H2+H7-H120,5)</f>
        <v>16096</v>
      </c>
      <c r="I121" s="45"/>
      <c r="J121" s="44">
        <f>ROUND(J2+J7-J120,5)</f>
        <v>438840</v>
      </c>
      <c r="K121" s="45"/>
      <c r="L121" s="44">
        <f>ROUND(L2+L7-L120,5)</f>
        <v>80412</v>
      </c>
      <c r="M121" s="45"/>
      <c r="N121" s="44">
        <f t="shared" si="4"/>
        <v>535348</v>
      </c>
    </row>
    <row r="122" spans="1:14" ht="30" customHeight="1" x14ac:dyDescent="0.3">
      <c r="A122" s="43"/>
      <c r="B122" s="43" t="s">
        <v>289</v>
      </c>
      <c r="C122" s="43"/>
      <c r="D122" s="43"/>
      <c r="E122" s="43"/>
      <c r="F122" s="43"/>
      <c r="G122" s="43"/>
      <c r="H122" s="44"/>
      <c r="I122" s="45"/>
      <c r="J122" s="44"/>
      <c r="K122" s="45"/>
      <c r="L122" s="44"/>
      <c r="M122" s="45"/>
      <c r="N122" s="44"/>
    </row>
    <row r="123" spans="1:14" x14ac:dyDescent="0.3">
      <c r="A123" s="43"/>
      <c r="B123" s="43"/>
      <c r="C123" s="43" t="s">
        <v>290</v>
      </c>
      <c r="D123" s="43"/>
      <c r="E123" s="43"/>
      <c r="F123" s="43"/>
      <c r="G123" s="43"/>
      <c r="H123" s="44"/>
      <c r="I123" s="45"/>
      <c r="J123" s="44"/>
      <c r="K123" s="45"/>
      <c r="L123" s="44"/>
      <c r="M123" s="45"/>
      <c r="N123" s="44"/>
    </row>
    <row r="124" spans="1:14" x14ac:dyDescent="0.3">
      <c r="A124" s="43"/>
      <c r="B124" s="43"/>
      <c r="C124" s="43"/>
      <c r="D124" s="43" t="s">
        <v>291</v>
      </c>
      <c r="E124" s="43"/>
      <c r="F124" s="43"/>
      <c r="G124" s="43"/>
      <c r="H124" s="44"/>
      <c r="I124" s="45"/>
      <c r="J124" s="44"/>
      <c r="K124" s="45"/>
      <c r="L124" s="44"/>
      <c r="M124" s="45"/>
      <c r="N124" s="44"/>
    </row>
    <row r="125" spans="1:14" ht="15" thickBot="1" x14ac:dyDescent="0.35">
      <c r="A125" s="43"/>
      <c r="B125" s="43"/>
      <c r="C125" s="43"/>
      <c r="D125" s="43"/>
      <c r="E125" s="43" t="s">
        <v>507</v>
      </c>
      <c r="F125" s="43"/>
      <c r="G125" s="43"/>
      <c r="H125" s="46">
        <v>56</v>
      </c>
      <c r="I125" s="45"/>
      <c r="J125" s="46">
        <v>110</v>
      </c>
      <c r="K125" s="45"/>
      <c r="L125" s="46">
        <v>0</v>
      </c>
      <c r="M125" s="45"/>
      <c r="N125" s="46">
        <f>ROUND(SUM(H125:L125),5)</f>
        <v>166</v>
      </c>
    </row>
    <row r="126" spans="1:14" x14ac:dyDescent="0.3">
      <c r="A126" s="43"/>
      <c r="B126" s="43"/>
      <c r="C126" s="43"/>
      <c r="D126" s="43" t="s">
        <v>509</v>
      </c>
      <c r="E126" s="43"/>
      <c r="F126" s="43"/>
      <c r="G126" s="43"/>
      <c r="H126" s="44">
        <f>ROUND(SUM(H124:H125),5)</f>
        <v>56</v>
      </c>
      <c r="I126" s="45"/>
      <c r="J126" s="44">
        <f>ROUND(SUM(J124:J125),5)</f>
        <v>110</v>
      </c>
      <c r="K126" s="45"/>
      <c r="L126" s="44">
        <f>ROUND(SUM(L124:L125),5)</f>
        <v>0</v>
      </c>
      <c r="M126" s="45"/>
      <c r="N126" s="44">
        <f>ROUND(SUM(H126:L126),5)</f>
        <v>166</v>
      </c>
    </row>
    <row r="127" spans="1:14" ht="30" customHeight="1" x14ac:dyDescent="0.3">
      <c r="A127" s="43"/>
      <c r="B127" s="43"/>
      <c r="C127" s="43"/>
      <c r="D127" s="43" t="s">
        <v>290</v>
      </c>
      <c r="E127" s="43"/>
      <c r="F127" s="43"/>
      <c r="G127" s="43"/>
      <c r="H127" s="44"/>
      <c r="I127" s="45"/>
      <c r="J127" s="44"/>
      <c r="K127" s="45"/>
      <c r="L127" s="44"/>
      <c r="M127" s="45"/>
      <c r="N127" s="44"/>
    </row>
    <row r="128" spans="1:14" ht="15" thickBot="1" x14ac:dyDescent="0.35">
      <c r="A128" s="43"/>
      <c r="B128" s="43"/>
      <c r="C128" s="43"/>
      <c r="D128" s="43"/>
      <c r="E128" s="43" t="s">
        <v>510</v>
      </c>
      <c r="F128" s="43"/>
      <c r="G128" s="43"/>
      <c r="H128" s="44">
        <v>1117</v>
      </c>
      <c r="I128" s="45"/>
      <c r="J128" s="44">
        <v>0</v>
      </c>
      <c r="K128" s="45"/>
      <c r="L128" s="44">
        <v>900</v>
      </c>
      <c r="M128" s="45"/>
      <c r="N128" s="44">
        <f>ROUND(SUM(H128:L128),5)</f>
        <v>2017</v>
      </c>
    </row>
    <row r="129" spans="1:14" ht="15" thickBot="1" x14ac:dyDescent="0.35">
      <c r="A129" s="43"/>
      <c r="B129" s="43"/>
      <c r="C129" s="43"/>
      <c r="D129" s="43" t="s">
        <v>292</v>
      </c>
      <c r="E129" s="43"/>
      <c r="F129" s="43"/>
      <c r="G129" s="43"/>
      <c r="H129" s="48">
        <f>ROUND(SUM(H127:H128),5)</f>
        <v>1117</v>
      </c>
      <c r="I129" s="45"/>
      <c r="J129" s="48">
        <f>ROUND(SUM(J127:J128),5)</f>
        <v>0</v>
      </c>
      <c r="K129" s="45"/>
      <c r="L129" s="48">
        <f>ROUND(SUM(L127:L128),5)</f>
        <v>900</v>
      </c>
      <c r="M129" s="45"/>
      <c r="N129" s="48">
        <f>ROUND(SUM(H129:L129),5)</f>
        <v>2017</v>
      </c>
    </row>
    <row r="130" spans="1:14" ht="30" customHeight="1" thickBot="1" x14ac:dyDescent="0.35">
      <c r="A130" s="43"/>
      <c r="B130" s="43"/>
      <c r="C130" s="43" t="s">
        <v>292</v>
      </c>
      <c r="D130" s="43"/>
      <c r="E130" s="43"/>
      <c r="F130" s="43"/>
      <c r="G130" s="43"/>
      <c r="H130" s="48">
        <f>ROUND(H123+H126+H129,5)</f>
        <v>1173</v>
      </c>
      <c r="I130" s="45"/>
      <c r="J130" s="48">
        <f>ROUND(J123+J126+J129,5)</f>
        <v>110</v>
      </c>
      <c r="K130" s="45"/>
      <c r="L130" s="48">
        <f>ROUND(L123+L126+L129,5)</f>
        <v>900</v>
      </c>
      <c r="M130" s="45"/>
      <c r="N130" s="48">
        <f>ROUND(SUM(H130:L130),5)</f>
        <v>2183</v>
      </c>
    </row>
    <row r="131" spans="1:14" ht="30" customHeight="1" thickBot="1" x14ac:dyDescent="0.35">
      <c r="A131" s="43"/>
      <c r="B131" s="43" t="s">
        <v>296</v>
      </c>
      <c r="C131" s="43"/>
      <c r="D131" s="43"/>
      <c r="E131" s="43"/>
      <c r="F131" s="43"/>
      <c r="G131" s="43"/>
      <c r="H131" s="48">
        <f>ROUND(H122+H130,5)</f>
        <v>1173</v>
      </c>
      <c r="I131" s="45"/>
      <c r="J131" s="48">
        <f>ROUND(J122+J130,5)</f>
        <v>110</v>
      </c>
      <c r="K131" s="45"/>
      <c r="L131" s="48">
        <f>ROUND(L122+L130,5)</f>
        <v>900</v>
      </c>
      <c r="M131" s="45"/>
      <c r="N131" s="48">
        <f>ROUND(SUM(H131:L131),5)</f>
        <v>2183</v>
      </c>
    </row>
    <row r="132" spans="1:14" s="50" customFormat="1" ht="30" customHeight="1" thickBot="1" x14ac:dyDescent="0.25">
      <c r="A132" s="43" t="s">
        <v>165</v>
      </c>
      <c r="B132" s="43"/>
      <c r="C132" s="43"/>
      <c r="D132" s="43"/>
      <c r="E132" s="43"/>
      <c r="F132" s="43"/>
      <c r="G132" s="43"/>
      <c r="H132" s="49">
        <f>ROUND(H121+H131,5)</f>
        <v>17269</v>
      </c>
      <c r="I132" s="43"/>
      <c r="J132" s="49">
        <f>ROUND(J121+J131,5)</f>
        <v>438950</v>
      </c>
      <c r="K132" s="43"/>
      <c r="L132" s="49">
        <f>ROUND(L121+L131,5)</f>
        <v>81312</v>
      </c>
      <c r="M132" s="43"/>
      <c r="N132" s="49">
        <f>ROUND(SUM(H132:L132),5)</f>
        <v>537531</v>
      </c>
    </row>
    <row r="133" spans="1:14" ht="15" thickTop="1" x14ac:dyDescent="0.3"/>
    <row r="134" spans="1:14" x14ac:dyDescent="0.3">
      <c r="G134" s="43" t="s">
        <v>987</v>
      </c>
      <c r="H134" s="44">
        <f>H120-H12-H117-H118-H119</f>
        <v>620011</v>
      </c>
      <c r="I134" s="45"/>
      <c r="J134" s="44">
        <f>J120-J12-J117-J118-J119</f>
        <v>507723</v>
      </c>
      <c r="K134" s="45"/>
      <c r="L134" s="44">
        <f>L120-L12-L117-L118-L119</f>
        <v>625302</v>
      </c>
      <c r="M134" s="45"/>
      <c r="N134" s="44">
        <f>(N120-N12-N117-N118-N119)/3</f>
        <v>584345.33333333337</v>
      </c>
    </row>
  </sheetData>
  <pageMargins left="0.7" right="0.7" top="0.75" bottom="0.75" header="0.25" footer="0.3"/>
  <pageSetup orientation="portrait" r:id="rId1"/>
  <headerFooter>
    <oddHeader>&amp;L&amp;"Arial,Bold"&amp;8 8:31 AM
&amp;"Arial,Bold"&amp;8 02/18/14
&amp;"Arial,Bold"&amp;8 Accrual Basis&amp;C&amp;"Arial,Bold"&amp;12 NR6, LLC
&amp;"Arial,Bold"&amp;14 3 Yr Detail Comparative Statement of Income - Office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66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6626" r:id="rId4" name="HEADER"/>
      </mc:Fallback>
    </mc:AlternateContent>
    <mc:AlternateContent xmlns:mc="http://schemas.openxmlformats.org/markup-compatibility/2006">
      <mc:Choice Requires="x14">
        <control shapeId="266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6625" r:id="rId6" name="FILTER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52"/>
  <dimension ref="A1:N113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2.109375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7.8867187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44"/>
      <c r="I2" s="45"/>
      <c r="J2" s="44"/>
      <c r="K2" s="45"/>
      <c r="L2" s="44"/>
      <c r="M2" s="45"/>
      <c r="N2" s="44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44"/>
      <c r="I3" s="45"/>
      <c r="J3" s="44"/>
      <c r="K3" s="45"/>
      <c r="L3" s="44"/>
      <c r="M3" s="45"/>
      <c r="N3" s="44"/>
    </row>
    <row r="4" spans="1:14" x14ac:dyDescent="0.3">
      <c r="A4" s="43"/>
      <c r="B4" s="43"/>
      <c r="C4" s="43"/>
      <c r="D4" s="43"/>
      <c r="E4" s="43" t="s">
        <v>174</v>
      </c>
      <c r="F4" s="43"/>
      <c r="G4" s="43"/>
      <c r="H4" s="44">
        <v>264714</v>
      </c>
      <c r="I4" s="45"/>
      <c r="J4" s="44">
        <v>286424</v>
      </c>
      <c r="K4" s="45"/>
      <c r="L4" s="44">
        <v>293510</v>
      </c>
      <c r="M4" s="45"/>
      <c r="N4" s="44">
        <f t="shared" ref="N4:N13" si="0">ROUND(SUM(H4:L4),5)</f>
        <v>844648</v>
      </c>
    </row>
    <row r="5" spans="1:14" x14ac:dyDescent="0.3">
      <c r="A5" s="43"/>
      <c r="B5" s="43"/>
      <c r="C5" s="43"/>
      <c r="D5" s="43"/>
      <c r="E5" s="43" t="s">
        <v>462</v>
      </c>
      <c r="F5" s="43"/>
      <c r="G5" s="43"/>
      <c r="H5" s="44">
        <v>78620</v>
      </c>
      <c r="I5" s="45"/>
      <c r="J5" s="44">
        <v>445741</v>
      </c>
      <c r="K5" s="45"/>
      <c r="L5" s="44">
        <v>0</v>
      </c>
      <c r="M5" s="45"/>
      <c r="N5" s="44">
        <f t="shared" si="0"/>
        <v>524361</v>
      </c>
    </row>
    <row r="6" spans="1:14" x14ac:dyDescent="0.3">
      <c r="A6" s="43"/>
      <c r="B6" s="43"/>
      <c r="C6" s="43"/>
      <c r="D6" s="43"/>
      <c r="E6" s="43" t="s">
        <v>175</v>
      </c>
      <c r="F6" s="43"/>
      <c r="G6" s="43"/>
      <c r="H6" s="44">
        <v>34050</v>
      </c>
      <c r="I6" s="45"/>
      <c r="J6" s="44">
        <v>42760</v>
      </c>
      <c r="K6" s="45"/>
      <c r="L6" s="44">
        <v>44627</v>
      </c>
      <c r="M6" s="45"/>
      <c r="N6" s="44">
        <f t="shared" si="0"/>
        <v>121437</v>
      </c>
    </row>
    <row r="7" spans="1:14" x14ac:dyDescent="0.3">
      <c r="A7" s="43"/>
      <c r="B7" s="43"/>
      <c r="C7" s="43"/>
      <c r="D7" s="43"/>
      <c r="E7" s="43" t="s">
        <v>176</v>
      </c>
      <c r="F7" s="43"/>
      <c r="G7" s="43"/>
      <c r="H7" s="44">
        <v>58407</v>
      </c>
      <c r="I7" s="45"/>
      <c r="J7" s="44">
        <v>43548</v>
      </c>
      <c r="K7" s="45"/>
      <c r="L7" s="44">
        <v>77674</v>
      </c>
      <c r="M7" s="45"/>
      <c r="N7" s="44">
        <f t="shared" si="0"/>
        <v>179629</v>
      </c>
    </row>
    <row r="8" spans="1:14" x14ac:dyDescent="0.3">
      <c r="A8" s="43"/>
      <c r="B8" s="43"/>
      <c r="C8" s="43"/>
      <c r="D8" s="43"/>
      <c r="E8" s="43" t="s">
        <v>177</v>
      </c>
      <c r="F8" s="43"/>
      <c r="G8" s="43"/>
      <c r="H8" s="44">
        <v>2684</v>
      </c>
      <c r="I8" s="45"/>
      <c r="J8" s="44">
        <v>7740</v>
      </c>
      <c r="K8" s="45"/>
      <c r="L8" s="44">
        <v>7390</v>
      </c>
      <c r="M8" s="45"/>
      <c r="N8" s="44">
        <f t="shared" si="0"/>
        <v>17814</v>
      </c>
    </row>
    <row r="9" spans="1:14" x14ac:dyDescent="0.3">
      <c r="A9" s="43"/>
      <c r="B9" s="43"/>
      <c r="C9" s="43"/>
      <c r="D9" s="43"/>
      <c r="E9" s="43" t="s">
        <v>313</v>
      </c>
      <c r="F9" s="43"/>
      <c r="G9" s="43"/>
      <c r="H9" s="44">
        <v>0</v>
      </c>
      <c r="I9" s="45"/>
      <c r="J9" s="44">
        <v>5833</v>
      </c>
      <c r="K9" s="45"/>
      <c r="L9" s="44">
        <v>0</v>
      </c>
      <c r="M9" s="45"/>
      <c r="N9" s="44">
        <f t="shared" si="0"/>
        <v>5833</v>
      </c>
    </row>
    <row r="10" spans="1:14" x14ac:dyDescent="0.3">
      <c r="A10" s="43"/>
      <c r="B10" s="43"/>
      <c r="C10" s="43"/>
      <c r="D10" s="43"/>
      <c r="E10" s="43" t="s">
        <v>314</v>
      </c>
      <c r="F10" s="43"/>
      <c r="G10" s="43"/>
      <c r="H10" s="44">
        <v>303</v>
      </c>
      <c r="I10" s="45"/>
      <c r="J10" s="44">
        <v>0</v>
      </c>
      <c r="K10" s="45"/>
      <c r="L10" s="44">
        <v>1</v>
      </c>
      <c r="M10" s="45"/>
      <c r="N10" s="44">
        <f t="shared" si="0"/>
        <v>304</v>
      </c>
    </row>
    <row r="11" spans="1:14" ht="15" thickBot="1" x14ac:dyDescent="0.35">
      <c r="A11" s="43"/>
      <c r="B11" s="43"/>
      <c r="C11" s="43"/>
      <c r="D11" s="43"/>
      <c r="E11" s="43" t="s">
        <v>315</v>
      </c>
      <c r="F11" s="43"/>
      <c r="G11" s="43"/>
      <c r="H11" s="44">
        <v>47653</v>
      </c>
      <c r="I11" s="45"/>
      <c r="J11" s="44">
        <v>0</v>
      </c>
      <c r="K11" s="45"/>
      <c r="L11" s="44">
        <v>250</v>
      </c>
      <c r="M11" s="45"/>
      <c r="N11" s="44">
        <f t="shared" si="0"/>
        <v>47903</v>
      </c>
    </row>
    <row r="12" spans="1:14" ht="15" thickBot="1" x14ac:dyDescent="0.35">
      <c r="A12" s="43"/>
      <c r="B12" s="43"/>
      <c r="C12" s="43"/>
      <c r="D12" s="43" t="s">
        <v>180</v>
      </c>
      <c r="E12" s="43"/>
      <c r="F12" s="43"/>
      <c r="G12" s="43"/>
      <c r="H12" s="47">
        <f>ROUND(SUM(H3:H11),5)</f>
        <v>486431</v>
      </c>
      <c r="I12" s="45"/>
      <c r="J12" s="47">
        <f>ROUND(SUM(J3:J11),5)</f>
        <v>832046</v>
      </c>
      <c r="K12" s="45"/>
      <c r="L12" s="47">
        <f>ROUND(SUM(L3:L11),5)</f>
        <v>423452</v>
      </c>
      <c r="M12" s="45"/>
      <c r="N12" s="47">
        <f t="shared" si="0"/>
        <v>1741929</v>
      </c>
    </row>
    <row r="13" spans="1:14" ht="30" customHeight="1" x14ac:dyDescent="0.3">
      <c r="A13" s="43"/>
      <c r="B13" s="43"/>
      <c r="C13" s="43" t="s">
        <v>181</v>
      </c>
      <c r="D13" s="43"/>
      <c r="E13" s="43"/>
      <c r="F13" s="43"/>
      <c r="G13" s="43"/>
      <c r="H13" s="44">
        <f>H12</f>
        <v>486431</v>
      </c>
      <c r="I13" s="45"/>
      <c r="J13" s="44">
        <f>J12</f>
        <v>832046</v>
      </c>
      <c r="K13" s="45"/>
      <c r="L13" s="44">
        <f>L12</f>
        <v>423452</v>
      </c>
      <c r="M13" s="45"/>
      <c r="N13" s="44">
        <f t="shared" si="0"/>
        <v>1741929</v>
      </c>
    </row>
    <row r="14" spans="1:14" ht="30" customHeight="1" x14ac:dyDescent="0.3">
      <c r="A14" s="43"/>
      <c r="B14" s="43"/>
      <c r="C14" s="43"/>
      <c r="D14" s="43" t="s">
        <v>182</v>
      </c>
      <c r="E14" s="43"/>
      <c r="F14" s="43"/>
      <c r="G14" s="43"/>
      <c r="H14" s="44"/>
      <c r="I14" s="45"/>
      <c r="J14" s="44"/>
      <c r="K14" s="45"/>
      <c r="L14" s="44"/>
      <c r="M14" s="45"/>
      <c r="N14" s="44"/>
    </row>
    <row r="15" spans="1:14" x14ac:dyDescent="0.3">
      <c r="A15" s="43"/>
      <c r="B15" s="43"/>
      <c r="C15" s="43"/>
      <c r="D15" s="43"/>
      <c r="E15" s="43" t="s">
        <v>183</v>
      </c>
      <c r="F15" s="43"/>
      <c r="G15" s="43"/>
      <c r="H15" s="44"/>
      <c r="I15" s="45"/>
      <c r="J15" s="44"/>
      <c r="K15" s="45"/>
      <c r="L15" s="44"/>
      <c r="M15" s="45"/>
      <c r="N15" s="44"/>
    </row>
    <row r="16" spans="1:14" x14ac:dyDescent="0.3">
      <c r="A16" s="43"/>
      <c r="B16" s="43"/>
      <c r="C16" s="43"/>
      <c r="D16" s="43"/>
      <c r="E16" s="43"/>
      <c r="F16" s="43" t="s">
        <v>186</v>
      </c>
      <c r="G16" s="43"/>
      <c r="H16" s="44"/>
      <c r="I16" s="45"/>
      <c r="J16" s="44"/>
      <c r="K16" s="45"/>
      <c r="L16" s="44"/>
      <c r="M16" s="45"/>
      <c r="N16" s="44"/>
    </row>
    <row r="17" spans="1:14" ht="15" thickBot="1" x14ac:dyDescent="0.35">
      <c r="A17" s="43"/>
      <c r="B17" s="43"/>
      <c r="C17" s="43"/>
      <c r="D17" s="43"/>
      <c r="E17" s="43"/>
      <c r="F17" s="43"/>
      <c r="G17" s="43" t="s">
        <v>365</v>
      </c>
      <c r="H17" s="46">
        <v>20388</v>
      </c>
      <c r="I17" s="45"/>
      <c r="J17" s="46">
        <v>0</v>
      </c>
      <c r="K17" s="45"/>
      <c r="L17" s="46">
        <v>0</v>
      </c>
      <c r="M17" s="45"/>
      <c r="N17" s="46">
        <f t="shared" ref="N17:N22" si="1">ROUND(SUM(H17:L17),5)</f>
        <v>20388</v>
      </c>
    </row>
    <row r="18" spans="1:14" x14ac:dyDescent="0.3">
      <c r="A18" s="43"/>
      <c r="B18" s="43"/>
      <c r="C18" s="43"/>
      <c r="D18" s="43"/>
      <c r="E18" s="43"/>
      <c r="F18" s="43" t="s">
        <v>189</v>
      </c>
      <c r="G18" s="43"/>
      <c r="H18" s="44">
        <f>ROUND(SUM(H16:H17),5)</f>
        <v>20388</v>
      </c>
      <c r="I18" s="45"/>
      <c r="J18" s="44">
        <f>ROUND(SUM(J16:J17),5)</f>
        <v>0</v>
      </c>
      <c r="K18" s="45"/>
      <c r="L18" s="44">
        <f>ROUND(SUM(L16:L17),5)</f>
        <v>0</v>
      </c>
      <c r="M18" s="45"/>
      <c r="N18" s="44">
        <f t="shared" si="1"/>
        <v>20388</v>
      </c>
    </row>
    <row r="19" spans="1:14" ht="30" customHeight="1" x14ac:dyDescent="0.3">
      <c r="A19" s="43"/>
      <c r="B19" s="43"/>
      <c r="C19" s="43"/>
      <c r="D19" s="43"/>
      <c r="E19" s="43"/>
      <c r="F19" s="43" t="s">
        <v>190</v>
      </c>
      <c r="G19" s="43"/>
      <c r="H19" s="44">
        <v>24321</v>
      </c>
      <c r="I19" s="45"/>
      <c r="J19" s="44">
        <v>23246</v>
      </c>
      <c r="K19" s="45"/>
      <c r="L19" s="44">
        <v>25431</v>
      </c>
      <c r="M19" s="45"/>
      <c r="N19" s="44">
        <f t="shared" si="1"/>
        <v>72998</v>
      </c>
    </row>
    <row r="20" spans="1:14" x14ac:dyDescent="0.3">
      <c r="A20" s="43"/>
      <c r="B20" s="43"/>
      <c r="C20" s="43"/>
      <c r="D20" s="43"/>
      <c r="E20" s="43"/>
      <c r="F20" s="43" t="s">
        <v>192</v>
      </c>
      <c r="G20" s="43"/>
      <c r="H20" s="44">
        <v>11</v>
      </c>
      <c r="I20" s="45"/>
      <c r="J20" s="44">
        <v>0</v>
      </c>
      <c r="K20" s="45"/>
      <c r="L20" s="44">
        <v>0</v>
      </c>
      <c r="M20" s="45"/>
      <c r="N20" s="44">
        <f t="shared" si="1"/>
        <v>11</v>
      </c>
    </row>
    <row r="21" spans="1:14" x14ac:dyDescent="0.3">
      <c r="A21" s="43"/>
      <c r="B21" s="43"/>
      <c r="C21" s="43"/>
      <c r="D21" s="43"/>
      <c r="E21" s="43"/>
      <c r="F21" s="43" t="s">
        <v>193</v>
      </c>
      <c r="G21" s="43"/>
      <c r="H21" s="44">
        <v>0</v>
      </c>
      <c r="I21" s="45"/>
      <c r="J21" s="44">
        <v>0</v>
      </c>
      <c r="K21" s="45"/>
      <c r="L21" s="44">
        <v>100</v>
      </c>
      <c r="M21" s="45"/>
      <c r="N21" s="44">
        <f t="shared" si="1"/>
        <v>100</v>
      </c>
    </row>
    <row r="22" spans="1:14" x14ac:dyDescent="0.3">
      <c r="A22" s="43"/>
      <c r="B22" s="43"/>
      <c r="C22" s="43"/>
      <c r="D22" s="43"/>
      <c r="E22" s="43"/>
      <c r="F22" s="43" t="s">
        <v>398</v>
      </c>
      <c r="G22" s="43"/>
      <c r="H22" s="44">
        <v>25</v>
      </c>
      <c r="I22" s="45"/>
      <c r="J22" s="44">
        <v>0</v>
      </c>
      <c r="K22" s="45"/>
      <c r="L22" s="44">
        <v>0</v>
      </c>
      <c r="M22" s="45"/>
      <c r="N22" s="44">
        <f t="shared" si="1"/>
        <v>25</v>
      </c>
    </row>
    <row r="23" spans="1:14" x14ac:dyDescent="0.3">
      <c r="A23" s="43"/>
      <c r="B23" s="43"/>
      <c r="C23" s="43"/>
      <c r="D23" s="43"/>
      <c r="E23" s="43"/>
      <c r="F23" s="43" t="s">
        <v>195</v>
      </c>
      <c r="G23" s="43"/>
      <c r="H23" s="44"/>
      <c r="I23" s="45"/>
      <c r="J23" s="44"/>
      <c r="K23" s="45"/>
      <c r="L23" s="44"/>
      <c r="M23" s="45"/>
      <c r="N23" s="44"/>
    </row>
    <row r="24" spans="1:14" x14ac:dyDescent="0.3">
      <c r="A24" s="43"/>
      <c r="B24" s="43"/>
      <c r="C24" s="43"/>
      <c r="D24" s="43"/>
      <c r="E24" s="43"/>
      <c r="F24" s="43"/>
      <c r="G24" s="43" t="s">
        <v>369</v>
      </c>
      <c r="H24" s="44">
        <v>0</v>
      </c>
      <c r="I24" s="45"/>
      <c r="J24" s="44">
        <v>0</v>
      </c>
      <c r="K24" s="45"/>
      <c r="L24" s="44">
        <v>0</v>
      </c>
      <c r="M24" s="45"/>
      <c r="N24" s="44">
        <f t="shared" ref="N24:N30" si="2">ROUND(SUM(H24:L24),5)</f>
        <v>0</v>
      </c>
    </row>
    <row r="25" spans="1:14" x14ac:dyDescent="0.3">
      <c r="A25" s="43"/>
      <c r="B25" s="43"/>
      <c r="C25" s="43"/>
      <c r="D25" s="43"/>
      <c r="E25" s="43"/>
      <c r="F25" s="43"/>
      <c r="G25" s="43" t="s">
        <v>464</v>
      </c>
      <c r="H25" s="44">
        <v>450</v>
      </c>
      <c r="I25" s="45"/>
      <c r="J25" s="44">
        <v>2300</v>
      </c>
      <c r="K25" s="45"/>
      <c r="L25" s="44">
        <v>0</v>
      </c>
      <c r="M25" s="45"/>
      <c r="N25" s="44">
        <f t="shared" si="2"/>
        <v>2750</v>
      </c>
    </row>
    <row r="26" spans="1:14" ht="15" thickBot="1" x14ac:dyDescent="0.35">
      <c r="A26" s="43"/>
      <c r="B26" s="43"/>
      <c r="C26" s="43"/>
      <c r="D26" s="43"/>
      <c r="E26" s="43"/>
      <c r="F26" s="43"/>
      <c r="G26" s="43" t="s">
        <v>199</v>
      </c>
      <c r="H26" s="46">
        <v>80</v>
      </c>
      <c r="I26" s="45"/>
      <c r="J26" s="46">
        <v>16</v>
      </c>
      <c r="K26" s="45"/>
      <c r="L26" s="46">
        <v>0</v>
      </c>
      <c r="M26" s="45"/>
      <c r="N26" s="46">
        <f t="shared" si="2"/>
        <v>96</v>
      </c>
    </row>
    <row r="27" spans="1:14" x14ac:dyDescent="0.3">
      <c r="A27" s="43"/>
      <c r="B27" s="43"/>
      <c r="C27" s="43"/>
      <c r="D27" s="43"/>
      <c r="E27" s="43"/>
      <c r="F27" s="43" t="s">
        <v>200</v>
      </c>
      <c r="G27" s="43"/>
      <c r="H27" s="44">
        <f>ROUND(SUM(H23:H26),5)</f>
        <v>530</v>
      </c>
      <c r="I27" s="45"/>
      <c r="J27" s="44">
        <f>ROUND(SUM(J23:J26),5)</f>
        <v>2316</v>
      </c>
      <c r="K27" s="45"/>
      <c r="L27" s="44">
        <f>ROUND(SUM(L23:L26),5)</f>
        <v>0</v>
      </c>
      <c r="M27" s="45"/>
      <c r="N27" s="44">
        <f t="shared" si="2"/>
        <v>2846</v>
      </c>
    </row>
    <row r="28" spans="1:14" ht="30" customHeight="1" x14ac:dyDescent="0.3">
      <c r="A28" s="43"/>
      <c r="B28" s="43"/>
      <c r="C28" s="43"/>
      <c r="D28" s="43"/>
      <c r="E28" s="43"/>
      <c r="F28" s="43" t="s">
        <v>320</v>
      </c>
      <c r="G28" s="43"/>
      <c r="H28" s="44">
        <v>0</v>
      </c>
      <c r="I28" s="45"/>
      <c r="J28" s="44">
        <v>11</v>
      </c>
      <c r="K28" s="45"/>
      <c r="L28" s="44">
        <v>72</v>
      </c>
      <c r="M28" s="45"/>
      <c r="N28" s="44">
        <f t="shared" si="2"/>
        <v>83</v>
      </c>
    </row>
    <row r="29" spans="1:14" ht="15" thickBot="1" x14ac:dyDescent="0.35">
      <c r="A29" s="43"/>
      <c r="B29" s="43"/>
      <c r="C29" s="43"/>
      <c r="D29" s="43"/>
      <c r="E29" s="43"/>
      <c r="F29" s="43" t="s">
        <v>201</v>
      </c>
      <c r="G29" s="43"/>
      <c r="H29" s="46">
        <v>0</v>
      </c>
      <c r="I29" s="45"/>
      <c r="J29" s="46">
        <v>64</v>
      </c>
      <c r="K29" s="45"/>
      <c r="L29" s="46">
        <v>140</v>
      </c>
      <c r="M29" s="45"/>
      <c r="N29" s="46">
        <f t="shared" si="2"/>
        <v>204</v>
      </c>
    </row>
    <row r="30" spans="1:14" x14ac:dyDescent="0.3">
      <c r="A30" s="43"/>
      <c r="B30" s="43"/>
      <c r="C30" s="43"/>
      <c r="D30" s="43"/>
      <c r="E30" s="43" t="s">
        <v>202</v>
      </c>
      <c r="F30" s="43"/>
      <c r="G30" s="43"/>
      <c r="H30" s="44">
        <f>ROUND(H15+SUM(H18:H22)+SUM(H27:H29),5)</f>
        <v>45275</v>
      </c>
      <c r="I30" s="45"/>
      <c r="J30" s="44">
        <f>ROUND(J15+SUM(J18:J22)+SUM(J27:J29),5)</f>
        <v>25637</v>
      </c>
      <c r="K30" s="45"/>
      <c r="L30" s="44">
        <f>ROUND(L15+SUM(L18:L22)+SUM(L27:L29),5)</f>
        <v>25743</v>
      </c>
      <c r="M30" s="45"/>
      <c r="N30" s="44">
        <f t="shared" si="2"/>
        <v>96655</v>
      </c>
    </row>
    <row r="31" spans="1:14" ht="30" customHeight="1" x14ac:dyDescent="0.3">
      <c r="A31" s="43"/>
      <c r="B31" s="43"/>
      <c r="C31" s="43"/>
      <c r="D31" s="43"/>
      <c r="E31" s="43" t="s">
        <v>203</v>
      </c>
      <c r="F31" s="43"/>
      <c r="G31" s="43"/>
      <c r="H31" s="44"/>
      <c r="I31" s="45"/>
      <c r="J31" s="44"/>
      <c r="K31" s="45"/>
      <c r="L31" s="44"/>
      <c r="M31" s="45"/>
      <c r="N31" s="44"/>
    </row>
    <row r="32" spans="1:14" x14ac:dyDescent="0.3">
      <c r="A32" s="43"/>
      <c r="B32" s="43"/>
      <c r="C32" s="43"/>
      <c r="D32" s="43"/>
      <c r="E32" s="43"/>
      <c r="F32" s="43" t="s">
        <v>204</v>
      </c>
      <c r="G32" s="43"/>
      <c r="H32" s="44">
        <v>375</v>
      </c>
      <c r="I32" s="45"/>
      <c r="J32" s="44">
        <v>376</v>
      </c>
      <c r="K32" s="45"/>
      <c r="L32" s="44">
        <v>389</v>
      </c>
      <c r="M32" s="45"/>
      <c r="N32" s="44">
        <f>ROUND(SUM(H32:L32),5)</f>
        <v>1140</v>
      </c>
    </row>
    <row r="33" spans="1:14" x14ac:dyDescent="0.3">
      <c r="A33" s="43"/>
      <c r="B33" s="43"/>
      <c r="C33" s="43"/>
      <c r="D33" s="43"/>
      <c r="E33" s="43"/>
      <c r="F33" s="43" t="s">
        <v>205</v>
      </c>
      <c r="G33" s="43"/>
      <c r="H33" s="44"/>
      <c r="I33" s="45"/>
      <c r="J33" s="44"/>
      <c r="K33" s="45"/>
      <c r="L33" s="44"/>
      <c r="M33" s="45"/>
      <c r="N33" s="44"/>
    </row>
    <row r="34" spans="1:14" x14ac:dyDescent="0.3">
      <c r="A34" s="43"/>
      <c r="B34" s="43"/>
      <c r="C34" s="43"/>
      <c r="D34" s="43"/>
      <c r="E34" s="43"/>
      <c r="F34" s="43"/>
      <c r="G34" s="43" t="s">
        <v>470</v>
      </c>
      <c r="H34" s="44">
        <v>1523</v>
      </c>
      <c r="I34" s="45"/>
      <c r="J34" s="44">
        <v>1812</v>
      </c>
      <c r="K34" s="45"/>
      <c r="L34" s="44">
        <v>1526</v>
      </c>
      <c r="M34" s="45"/>
      <c r="N34" s="44">
        <f>ROUND(SUM(H34:L34),5)</f>
        <v>4861</v>
      </c>
    </row>
    <row r="35" spans="1:14" ht="15" thickBot="1" x14ac:dyDescent="0.35">
      <c r="A35" s="43"/>
      <c r="B35" s="43"/>
      <c r="C35" s="43"/>
      <c r="D35" s="43"/>
      <c r="E35" s="43"/>
      <c r="F35" s="43"/>
      <c r="G35" s="43" t="s">
        <v>471</v>
      </c>
      <c r="H35" s="46">
        <v>2433</v>
      </c>
      <c r="I35" s="45"/>
      <c r="J35" s="46">
        <v>2228</v>
      </c>
      <c r="K35" s="45"/>
      <c r="L35" s="46">
        <v>2901</v>
      </c>
      <c r="M35" s="45"/>
      <c r="N35" s="46">
        <f>ROUND(SUM(H35:L35),5)</f>
        <v>7562</v>
      </c>
    </row>
    <row r="36" spans="1:14" x14ac:dyDescent="0.3">
      <c r="A36" s="43"/>
      <c r="B36" s="43"/>
      <c r="C36" s="43"/>
      <c r="D36" s="43"/>
      <c r="E36" s="43"/>
      <c r="F36" s="43" t="s">
        <v>210</v>
      </c>
      <c r="G36" s="43"/>
      <c r="H36" s="44">
        <f>ROUND(SUM(H33:H35),5)</f>
        <v>3956</v>
      </c>
      <c r="I36" s="45"/>
      <c r="J36" s="44">
        <f>ROUND(SUM(J33:J35),5)</f>
        <v>4040</v>
      </c>
      <c r="K36" s="45"/>
      <c r="L36" s="44">
        <f>ROUND(SUM(L33:L35),5)</f>
        <v>4427</v>
      </c>
      <c r="M36" s="45"/>
      <c r="N36" s="44">
        <f>ROUND(SUM(H36:L36),5)</f>
        <v>12423</v>
      </c>
    </row>
    <row r="37" spans="1:14" ht="30" customHeight="1" x14ac:dyDescent="0.3">
      <c r="A37" s="43"/>
      <c r="B37" s="43"/>
      <c r="C37" s="43"/>
      <c r="D37" s="43"/>
      <c r="E37" s="43"/>
      <c r="F37" s="43" t="s">
        <v>472</v>
      </c>
      <c r="G37" s="43"/>
      <c r="H37" s="44"/>
      <c r="I37" s="45"/>
      <c r="J37" s="44"/>
      <c r="K37" s="45"/>
      <c r="L37" s="44"/>
      <c r="M37" s="45"/>
      <c r="N37" s="44"/>
    </row>
    <row r="38" spans="1:14" x14ac:dyDescent="0.3">
      <c r="A38" s="43"/>
      <c r="B38" s="43"/>
      <c r="C38" s="43"/>
      <c r="D38" s="43"/>
      <c r="E38" s="43"/>
      <c r="F38" s="43"/>
      <c r="G38" s="43" t="s">
        <v>473</v>
      </c>
      <c r="H38" s="44">
        <v>0</v>
      </c>
      <c r="I38" s="45"/>
      <c r="J38" s="44">
        <v>0</v>
      </c>
      <c r="K38" s="45"/>
      <c r="L38" s="44">
        <v>0</v>
      </c>
      <c r="M38" s="45"/>
      <c r="N38" s="44">
        <f>ROUND(SUM(H38:L38),5)</f>
        <v>0</v>
      </c>
    </row>
    <row r="39" spans="1:14" ht="15" thickBot="1" x14ac:dyDescent="0.35">
      <c r="A39" s="43"/>
      <c r="B39" s="43"/>
      <c r="C39" s="43"/>
      <c r="D39" s="43"/>
      <c r="E39" s="43"/>
      <c r="F39" s="43"/>
      <c r="G39" s="43" t="s">
        <v>474</v>
      </c>
      <c r="H39" s="46">
        <v>92</v>
      </c>
      <c r="I39" s="45"/>
      <c r="J39" s="46">
        <v>20</v>
      </c>
      <c r="K39" s="45"/>
      <c r="L39" s="46">
        <v>0</v>
      </c>
      <c r="M39" s="45"/>
      <c r="N39" s="46">
        <f>ROUND(SUM(H39:L39),5)</f>
        <v>112</v>
      </c>
    </row>
    <row r="40" spans="1:14" x14ac:dyDescent="0.3">
      <c r="A40" s="43"/>
      <c r="B40" s="43"/>
      <c r="C40" s="43"/>
      <c r="D40" s="43"/>
      <c r="E40" s="43"/>
      <c r="F40" s="43" t="s">
        <v>475</v>
      </c>
      <c r="G40" s="43"/>
      <c r="H40" s="44">
        <f>ROUND(SUM(H37:H39),5)</f>
        <v>92</v>
      </c>
      <c r="I40" s="45"/>
      <c r="J40" s="44">
        <f>ROUND(SUM(J37:J39),5)</f>
        <v>20</v>
      </c>
      <c r="K40" s="45"/>
      <c r="L40" s="44">
        <f>ROUND(SUM(L37:L39),5)</f>
        <v>0</v>
      </c>
      <c r="M40" s="45"/>
      <c r="N40" s="44">
        <f>ROUND(SUM(H40:L40),5)</f>
        <v>112</v>
      </c>
    </row>
    <row r="41" spans="1:14" ht="30" customHeight="1" x14ac:dyDescent="0.3">
      <c r="A41" s="43"/>
      <c r="B41" s="43"/>
      <c r="C41" s="43"/>
      <c r="D41" s="43"/>
      <c r="E41" s="43"/>
      <c r="F41" s="43" t="s">
        <v>211</v>
      </c>
      <c r="G41" s="43"/>
      <c r="H41" s="44"/>
      <c r="I41" s="45"/>
      <c r="J41" s="44"/>
      <c r="K41" s="45"/>
      <c r="L41" s="44"/>
      <c r="M41" s="45"/>
      <c r="N41" s="44"/>
    </row>
    <row r="42" spans="1:14" x14ac:dyDescent="0.3">
      <c r="A42" s="43"/>
      <c r="B42" s="43"/>
      <c r="C42" s="43"/>
      <c r="D42" s="43"/>
      <c r="E42" s="43"/>
      <c r="F42" s="43"/>
      <c r="G42" s="43" t="s">
        <v>480</v>
      </c>
      <c r="H42" s="44">
        <v>4385</v>
      </c>
      <c r="I42" s="45"/>
      <c r="J42" s="44">
        <v>7698</v>
      </c>
      <c r="K42" s="45"/>
      <c r="L42" s="44">
        <v>6891</v>
      </c>
      <c r="M42" s="45"/>
      <c r="N42" s="44">
        <f>ROUND(SUM(H42:L42),5)</f>
        <v>18974</v>
      </c>
    </row>
    <row r="43" spans="1:14" x14ac:dyDescent="0.3">
      <c r="A43" s="43"/>
      <c r="B43" s="43"/>
      <c r="C43" s="43"/>
      <c r="D43" s="43"/>
      <c r="E43" s="43"/>
      <c r="F43" s="43"/>
      <c r="G43" s="43" t="s">
        <v>481</v>
      </c>
      <c r="H43" s="44">
        <v>1197</v>
      </c>
      <c r="I43" s="45"/>
      <c r="J43" s="44">
        <v>0</v>
      </c>
      <c r="K43" s="45"/>
      <c r="L43" s="44">
        <v>0</v>
      </c>
      <c r="M43" s="45"/>
      <c r="N43" s="44">
        <f>ROUND(SUM(H43:L43),5)</f>
        <v>1197</v>
      </c>
    </row>
    <row r="44" spans="1:14" ht="15" thickBot="1" x14ac:dyDescent="0.35">
      <c r="A44" s="43"/>
      <c r="B44" s="43"/>
      <c r="C44" s="43"/>
      <c r="D44" s="43"/>
      <c r="E44" s="43"/>
      <c r="F44" s="43"/>
      <c r="G44" s="43" t="s">
        <v>328</v>
      </c>
      <c r="H44" s="44">
        <v>-5107</v>
      </c>
      <c r="I44" s="45"/>
      <c r="J44" s="44">
        <v>-5426</v>
      </c>
      <c r="K44" s="45"/>
      <c r="L44" s="44">
        <v>-6103</v>
      </c>
      <c r="M44" s="45"/>
      <c r="N44" s="44">
        <f>ROUND(SUM(H44:L44),5)</f>
        <v>-16636</v>
      </c>
    </row>
    <row r="45" spans="1:14" ht="15" thickBot="1" x14ac:dyDescent="0.35">
      <c r="A45" s="43"/>
      <c r="B45" s="43"/>
      <c r="C45" s="43"/>
      <c r="D45" s="43"/>
      <c r="E45" s="43"/>
      <c r="F45" s="43" t="s">
        <v>329</v>
      </c>
      <c r="G45" s="43"/>
      <c r="H45" s="47">
        <f>ROUND(SUM(H41:H44),5)</f>
        <v>475</v>
      </c>
      <c r="I45" s="45"/>
      <c r="J45" s="47">
        <f>ROUND(SUM(J41:J44),5)</f>
        <v>2272</v>
      </c>
      <c r="K45" s="45"/>
      <c r="L45" s="47">
        <f>ROUND(SUM(L41:L44),5)</f>
        <v>788</v>
      </c>
      <c r="M45" s="45"/>
      <c r="N45" s="47">
        <f>ROUND(SUM(H45:L45),5)</f>
        <v>3535</v>
      </c>
    </row>
    <row r="46" spans="1:14" ht="30" customHeight="1" x14ac:dyDescent="0.3">
      <c r="A46" s="43"/>
      <c r="B46" s="43"/>
      <c r="C46" s="43"/>
      <c r="D46" s="43"/>
      <c r="E46" s="43" t="s">
        <v>213</v>
      </c>
      <c r="F46" s="43"/>
      <c r="G46" s="43"/>
      <c r="H46" s="44">
        <f>ROUND(SUM(H31:H32)+H36+H40+H45,5)</f>
        <v>4898</v>
      </c>
      <c r="I46" s="45"/>
      <c r="J46" s="44">
        <f>ROUND(SUM(J31:J32)+J36+J40+J45,5)</f>
        <v>6708</v>
      </c>
      <c r="K46" s="45"/>
      <c r="L46" s="44">
        <f>ROUND(SUM(L31:L32)+L36+L40+L45,5)</f>
        <v>5604</v>
      </c>
      <c r="M46" s="45"/>
      <c r="N46" s="44">
        <f>ROUND(SUM(H46:L46),5)</f>
        <v>17210</v>
      </c>
    </row>
    <row r="47" spans="1:14" ht="30" customHeight="1" x14ac:dyDescent="0.3">
      <c r="A47" s="43"/>
      <c r="B47" s="43"/>
      <c r="C47" s="43"/>
      <c r="D47" s="43"/>
      <c r="E47" s="43" t="s">
        <v>214</v>
      </c>
      <c r="F47" s="43"/>
      <c r="G47" s="43"/>
      <c r="H47" s="44"/>
      <c r="I47" s="45"/>
      <c r="J47" s="44"/>
      <c r="K47" s="45"/>
      <c r="L47" s="44"/>
      <c r="M47" s="45"/>
      <c r="N47" s="44"/>
    </row>
    <row r="48" spans="1:14" x14ac:dyDescent="0.3">
      <c r="A48" s="43"/>
      <c r="B48" s="43"/>
      <c r="C48" s="43"/>
      <c r="D48" s="43"/>
      <c r="E48" s="43"/>
      <c r="F48" s="43" t="s">
        <v>215</v>
      </c>
      <c r="G48" s="43"/>
      <c r="H48" s="44"/>
      <c r="I48" s="45"/>
      <c r="J48" s="44"/>
      <c r="K48" s="45"/>
      <c r="L48" s="44"/>
      <c r="M48" s="45"/>
      <c r="N48" s="44"/>
    </row>
    <row r="49" spans="1:14" x14ac:dyDescent="0.3">
      <c r="A49" s="43"/>
      <c r="B49" s="43"/>
      <c r="C49" s="43"/>
      <c r="D49" s="43"/>
      <c r="E49" s="43"/>
      <c r="F49" s="43"/>
      <c r="G49" s="43" t="s">
        <v>483</v>
      </c>
      <c r="H49" s="44">
        <v>1319</v>
      </c>
      <c r="I49" s="45"/>
      <c r="J49" s="44">
        <v>710</v>
      </c>
      <c r="K49" s="45"/>
      <c r="L49" s="44">
        <v>184</v>
      </c>
      <c r="M49" s="45"/>
      <c r="N49" s="44">
        <f t="shared" ref="N49:N56" si="3">ROUND(SUM(H49:L49),5)</f>
        <v>2213</v>
      </c>
    </row>
    <row r="50" spans="1:14" x14ac:dyDescent="0.3">
      <c r="A50" s="43"/>
      <c r="B50" s="43"/>
      <c r="C50" s="43"/>
      <c r="D50" s="43"/>
      <c r="E50" s="43"/>
      <c r="F50" s="43"/>
      <c r="G50" s="43" t="s">
        <v>217</v>
      </c>
      <c r="H50" s="44">
        <v>630</v>
      </c>
      <c r="I50" s="45"/>
      <c r="J50" s="44">
        <v>0</v>
      </c>
      <c r="K50" s="45"/>
      <c r="L50" s="44">
        <v>1240</v>
      </c>
      <c r="M50" s="45"/>
      <c r="N50" s="44">
        <f t="shared" si="3"/>
        <v>1870</v>
      </c>
    </row>
    <row r="51" spans="1:14" x14ac:dyDescent="0.3">
      <c r="A51" s="43"/>
      <c r="B51" s="43"/>
      <c r="C51" s="43"/>
      <c r="D51" s="43"/>
      <c r="E51" s="43"/>
      <c r="F51" s="43"/>
      <c r="G51" s="43" t="s">
        <v>484</v>
      </c>
      <c r="H51" s="44">
        <v>0</v>
      </c>
      <c r="I51" s="45"/>
      <c r="J51" s="44">
        <v>83</v>
      </c>
      <c r="K51" s="45"/>
      <c r="L51" s="44">
        <v>0</v>
      </c>
      <c r="M51" s="45"/>
      <c r="N51" s="44">
        <f t="shared" si="3"/>
        <v>83</v>
      </c>
    </row>
    <row r="52" spans="1:14" x14ac:dyDescent="0.3">
      <c r="A52" s="43"/>
      <c r="B52" s="43"/>
      <c r="C52" s="43"/>
      <c r="D52" s="43"/>
      <c r="E52" s="43"/>
      <c r="F52" s="43"/>
      <c r="G52" s="43" t="s">
        <v>219</v>
      </c>
      <c r="H52" s="44">
        <v>1595</v>
      </c>
      <c r="I52" s="45"/>
      <c r="J52" s="44">
        <v>2040</v>
      </c>
      <c r="K52" s="45"/>
      <c r="L52" s="44">
        <v>512</v>
      </c>
      <c r="M52" s="45"/>
      <c r="N52" s="44">
        <f t="shared" si="3"/>
        <v>4147</v>
      </c>
    </row>
    <row r="53" spans="1:14" x14ac:dyDescent="0.3">
      <c r="A53" s="43"/>
      <c r="B53" s="43"/>
      <c r="C53" s="43"/>
      <c r="D53" s="43"/>
      <c r="E53" s="43"/>
      <c r="F53" s="43"/>
      <c r="G53" s="43" t="s">
        <v>375</v>
      </c>
      <c r="H53" s="44">
        <v>0</v>
      </c>
      <c r="I53" s="45"/>
      <c r="J53" s="44">
        <v>0</v>
      </c>
      <c r="K53" s="45"/>
      <c r="L53" s="44">
        <v>143</v>
      </c>
      <c r="M53" s="45"/>
      <c r="N53" s="44">
        <f t="shared" si="3"/>
        <v>143</v>
      </c>
    </row>
    <row r="54" spans="1:14" x14ac:dyDescent="0.3">
      <c r="A54" s="43"/>
      <c r="B54" s="43"/>
      <c r="C54" s="43"/>
      <c r="D54" s="43"/>
      <c r="E54" s="43"/>
      <c r="F54" s="43"/>
      <c r="G54" s="43" t="s">
        <v>485</v>
      </c>
      <c r="H54" s="44">
        <v>472</v>
      </c>
      <c r="I54" s="45"/>
      <c r="J54" s="44">
        <v>409</v>
      </c>
      <c r="K54" s="45"/>
      <c r="L54" s="44">
        <v>0</v>
      </c>
      <c r="M54" s="45"/>
      <c r="N54" s="44">
        <f t="shared" si="3"/>
        <v>881</v>
      </c>
    </row>
    <row r="55" spans="1:14" ht="15" thickBot="1" x14ac:dyDescent="0.35">
      <c r="A55" s="43"/>
      <c r="B55" s="43"/>
      <c r="C55" s="43"/>
      <c r="D55" s="43"/>
      <c r="E55" s="43"/>
      <c r="F55" s="43"/>
      <c r="G55" s="43" t="s">
        <v>330</v>
      </c>
      <c r="H55" s="46">
        <v>444</v>
      </c>
      <c r="I55" s="45"/>
      <c r="J55" s="46">
        <v>493</v>
      </c>
      <c r="K55" s="45"/>
      <c r="L55" s="46">
        <v>352</v>
      </c>
      <c r="M55" s="45"/>
      <c r="N55" s="46">
        <f t="shared" si="3"/>
        <v>1289</v>
      </c>
    </row>
    <row r="56" spans="1:14" x14ac:dyDescent="0.3">
      <c r="A56" s="43"/>
      <c r="B56" s="43"/>
      <c r="C56" s="43"/>
      <c r="D56" s="43"/>
      <c r="E56" s="43"/>
      <c r="F56" s="43" t="s">
        <v>223</v>
      </c>
      <c r="G56" s="43"/>
      <c r="H56" s="44">
        <f>ROUND(SUM(H48:H55),5)</f>
        <v>4460</v>
      </c>
      <c r="I56" s="45"/>
      <c r="J56" s="44">
        <f>ROUND(SUM(J48:J55),5)</f>
        <v>3735</v>
      </c>
      <c r="K56" s="45"/>
      <c r="L56" s="44">
        <f>ROUND(SUM(L48:L55),5)</f>
        <v>2431</v>
      </c>
      <c r="M56" s="45"/>
      <c r="N56" s="44">
        <f t="shared" si="3"/>
        <v>10626</v>
      </c>
    </row>
    <row r="57" spans="1:14" ht="30" customHeight="1" x14ac:dyDescent="0.3">
      <c r="A57" s="43"/>
      <c r="B57" s="43"/>
      <c r="C57" s="43"/>
      <c r="D57" s="43"/>
      <c r="E57" s="43"/>
      <c r="F57" s="43" t="s">
        <v>486</v>
      </c>
      <c r="G57" s="43"/>
      <c r="H57" s="44"/>
      <c r="I57" s="45"/>
      <c r="J57" s="44"/>
      <c r="K57" s="45"/>
      <c r="L57" s="44"/>
      <c r="M57" s="45"/>
      <c r="N57" s="44"/>
    </row>
    <row r="58" spans="1:14" x14ac:dyDescent="0.3">
      <c r="A58" s="43"/>
      <c r="B58" s="43"/>
      <c r="C58" s="43"/>
      <c r="D58" s="43"/>
      <c r="E58" s="43"/>
      <c r="F58" s="43"/>
      <c r="G58" s="43" t="s">
        <v>225</v>
      </c>
      <c r="H58" s="44">
        <v>0</v>
      </c>
      <c r="I58" s="45"/>
      <c r="J58" s="44">
        <v>81</v>
      </c>
      <c r="K58" s="45"/>
      <c r="L58" s="44">
        <v>0</v>
      </c>
      <c r="M58" s="45"/>
      <c r="N58" s="44">
        <f>ROUND(SUM(H58:L58),5)</f>
        <v>81</v>
      </c>
    </row>
    <row r="59" spans="1:14" ht="15" thickBot="1" x14ac:dyDescent="0.35">
      <c r="A59" s="43"/>
      <c r="B59" s="43"/>
      <c r="C59" s="43"/>
      <c r="D59" s="43"/>
      <c r="E59" s="43"/>
      <c r="F59" s="43"/>
      <c r="G59" s="43" t="s">
        <v>487</v>
      </c>
      <c r="H59" s="46">
        <v>122</v>
      </c>
      <c r="I59" s="45"/>
      <c r="J59" s="46">
        <v>506</v>
      </c>
      <c r="K59" s="45"/>
      <c r="L59" s="46">
        <v>320</v>
      </c>
      <c r="M59" s="45"/>
      <c r="N59" s="46">
        <f>ROUND(SUM(H59:L59),5)</f>
        <v>948</v>
      </c>
    </row>
    <row r="60" spans="1:14" x14ac:dyDescent="0.3">
      <c r="A60" s="43"/>
      <c r="B60" s="43"/>
      <c r="C60" s="43"/>
      <c r="D60" s="43"/>
      <c r="E60" s="43"/>
      <c r="F60" s="43" t="s">
        <v>488</v>
      </c>
      <c r="G60" s="43"/>
      <c r="H60" s="44">
        <f>ROUND(SUM(H57:H59),5)</f>
        <v>122</v>
      </c>
      <c r="I60" s="45"/>
      <c r="J60" s="44">
        <f>ROUND(SUM(J57:J59),5)</f>
        <v>587</v>
      </c>
      <c r="K60" s="45"/>
      <c r="L60" s="44">
        <f>ROUND(SUM(L57:L59),5)</f>
        <v>320</v>
      </c>
      <c r="M60" s="45"/>
      <c r="N60" s="44">
        <f>ROUND(SUM(H60:L60),5)</f>
        <v>1029</v>
      </c>
    </row>
    <row r="61" spans="1:14" ht="30" customHeight="1" x14ac:dyDescent="0.3">
      <c r="A61" s="43"/>
      <c r="B61" s="43"/>
      <c r="C61" s="43"/>
      <c r="D61" s="43"/>
      <c r="E61" s="43"/>
      <c r="F61" s="43" t="s">
        <v>228</v>
      </c>
      <c r="G61" s="43"/>
      <c r="H61" s="44"/>
      <c r="I61" s="45"/>
      <c r="J61" s="44"/>
      <c r="K61" s="45"/>
      <c r="L61" s="44"/>
      <c r="M61" s="45"/>
      <c r="N61" s="44"/>
    </row>
    <row r="62" spans="1:14" x14ac:dyDescent="0.3">
      <c r="A62" s="43"/>
      <c r="B62" s="43"/>
      <c r="C62" s="43"/>
      <c r="D62" s="43"/>
      <c r="E62" s="43"/>
      <c r="F62" s="43"/>
      <c r="G62" s="43" t="s">
        <v>229</v>
      </c>
      <c r="H62" s="44">
        <v>502</v>
      </c>
      <c r="I62" s="45"/>
      <c r="J62" s="44">
        <v>512</v>
      </c>
      <c r="K62" s="45"/>
      <c r="L62" s="44">
        <v>630</v>
      </c>
      <c r="M62" s="45"/>
      <c r="N62" s="44">
        <f>ROUND(SUM(H62:L62),5)</f>
        <v>1644</v>
      </c>
    </row>
    <row r="63" spans="1:14" ht="15" thickBot="1" x14ac:dyDescent="0.35">
      <c r="A63" s="43"/>
      <c r="B63" s="43"/>
      <c r="C63" s="43"/>
      <c r="D63" s="43"/>
      <c r="E63" s="43"/>
      <c r="F63" s="43"/>
      <c r="G63" s="43" t="s">
        <v>336</v>
      </c>
      <c r="H63" s="46">
        <v>863</v>
      </c>
      <c r="I63" s="45"/>
      <c r="J63" s="46">
        <v>1118</v>
      </c>
      <c r="K63" s="45"/>
      <c r="L63" s="46">
        <v>1535</v>
      </c>
      <c r="M63" s="45"/>
      <c r="N63" s="46">
        <f>ROUND(SUM(H63:L63),5)</f>
        <v>3516</v>
      </c>
    </row>
    <row r="64" spans="1:14" x14ac:dyDescent="0.3">
      <c r="A64" s="43"/>
      <c r="B64" s="43"/>
      <c r="C64" s="43"/>
      <c r="D64" s="43"/>
      <c r="E64" s="43"/>
      <c r="F64" s="43" t="s">
        <v>232</v>
      </c>
      <c r="G64" s="43"/>
      <c r="H64" s="44">
        <f>ROUND(SUM(H61:H63),5)</f>
        <v>1365</v>
      </c>
      <c r="I64" s="45"/>
      <c r="J64" s="44">
        <f>ROUND(SUM(J61:J63),5)</f>
        <v>1630</v>
      </c>
      <c r="K64" s="45"/>
      <c r="L64" s="44">
        <f>ROUND(SUM(L61:L63),5)</f>
        <v>2165</v>
      </c>
      <c r="M64" s="45"/>
      <c r="N64" s="44">
        <f>ROUND(SUM(H64:L64),5)</f>
        <v>5160</v>
      </c>
    </row>
    <row r="65" spans="1:14" ht="30" customHeight="1" x14ac:dyDescent="0.3">
      <c r="A65" s="43"/>
      <c r="B65" s="43"/>
      <c r="C65" s="43"/>
      <c r="D65" s="43"/>
      <c r="E65" s="43"/>
      <c r="F65" s="43" t="s">
        <v>233</v>
      </c>
      <c r="G65" s="43"/>
      <c r="H65" s="44"/>
      <c r="I65" s="45"/>
      <c r="J65" s="44"/>
      <c r="K65" s="45"/>
      <c r="L65" s="44"/>
      <c r="M65" s="45"/>
      <c r="N65" s="44"/>
    </row>
    <row r="66" spans="1:14" x14ac:dyDescent="0.3">
      <c r="A66" s="43"/>
      <c r="B66" s="43"/>
      <c r="C66" s="43"/>
      <c r="D66" s="43"/>
      <c r="E66" s="43"/>
      <c r="F66" s="43"/>
      <c r="G66" s="43" t="s">
        <v>234</v>
      </c>
      <c r="H66" s="44">
        <v>50</v>
      </c>
      <c r="I66" s="45"/>
      <c r="J66" s="44">
        <v>0</v>
      </c>
      <c r="K66" s="45"/>
      <c r="L66" s="44">
        <v>0</v>
      </c>
      <c r="M66" s="45"/>
      <c r="N66" s="44">
        <f>ROUND(SUM(H66:L66),5)</f>
        <v>50</v>
      </c>
    </row>
    <row r="67" spans="1:14" x14ac:dyDescent="0.3">
      <c r="A67" s="43"/>
      <c r="B67" s="43"/>
      <c r="C67" s="43"/>
      <c r="D67" s="43"/>
      <c r="E67" s="43"/>
      <c r="F67" s="43"/>
      <c r="G67" s="43" t="s">
        <v>235</v>
      </c>
      <c r="H67" s="44">
        <v>0</v>
      </c>
      <c r="I67" s="45"/>
      <c r="J67" s="44">
        <v>31</v>
      </c>
      <c r="K67" s="45"/>
      <c r="L67" s="44">
        <v>157</v>
      </c>
      <c r="M67" s="45"/>
      <c r="N67" s="44">
        <f>ROUND(SUM(H67:L67),5)</f>
        <v>188</v>
      </c>
    </row>
    <row r="68" spans="1:14" ht="15" thickBot="1" x14ac:dyDescent="0.35">
      <c r="A68" s="43"/>
      <c r="B68" s="43"/>
      <c r="C68" s="43"/>
      <c r="D68" s="43"/>
      <c r="E68" s="43"/>
      <c r="F68" s="43"/>
      <c r="G68" s="43" t="s">
        <v>236</v>
      </c>
      <c r="H68" s="46">
        <v>1190</v>
      </c>
      <c r="I68" s="45"/>
      <c r="J68" s="46">
        <v>38</v>
      </c>
      <c r="K68" s="45"/>
      <c r="L68" s="46">
        <v>1002</v>
      </c>
      <c r="M68" s="45"/>
      <c r="N68" s="46">
        <f>ROUND(SUM(H68:L68),5)</f>
        <v>2230</v>
      </c>
    </row>
    <row r="69" spans="1:14" x14ac:dyDescent="0.3">
      <c r="A69" s="43"/>
      <c r="B69" s="43"/>
      <c r="C69" s="43"/>
      <c r="D69" s="43"/>
      <c r="E69" s="43"/>
      <c r="F69" s="43" t="s">
        <v>237</v>
      </c>
      <c r="G69" s="43"/>
      <c r="H69" s="44">
        <f>ROUND(SUM(H65:H68),5)</f>
        <v>1240</v>
      </c>
      <c r="I69" s="45"/>
      <c r="J69" s="44">
        <f>ROUND(SUM(J65:J68),5)</f>
        <v>69</v>
      </c>
      <c r="K69" s="45"/>
      <c r="L69" s="44">
        <f>ROUND(SUM(L65:L68),5)</f>
        <v>1159</v>
      </c>
      <c r="M69" s="45"/>
      <c r="N69" s="44">
        <f>ROUND(SUM(H69:L69),5)</f>
        <v>2468</v>
      </c>
    </row>
    <row r="70" spans="1:14" ht="30" customHeight="1" x14ac:dyDescent="0.3">
      <c r="A70" s="43"/>
      <c r="B70" s="43"/>
      <c r="C70" s="43"/>
      <c r="D70" s="43"/>
      <c r="E70" s="43"/>
      <c r="F70" s="43" t="s">
        <v>377</v>
      </c>
      <c r="G70" s="43"/>
      <c r="H70" s="44">
        <v>0</v>
      </c>
      <c r="I70" s="45"/>
      <c r="J70" s="44">
        <v>0</v>
      </c>
      <c r="K70" s="45"/>
      <c r="L70" s="44">
        <v>2880</v>
      </c>
      <c r="M70" s="45"/>
      <c r="N70" s="44">
        <f>ROUND(SUM(H70:L70),5)</f>
        <v>2880</v>
      </c>
    </row>
    <row r="71" spans="1:14" x14ac:dyDescent="0.3">
      <c r="A71" s="43"/>
      <c r="B71" s="43"/>
      <c r="C71" s="43"/>
      <c r="D71" s="43"/>
      <c r="E71" s="43"/>
      <c r="F71" s="43" t="s">
        <v>412</v>
      </c>
      <c r="G71" s="43"/>
      <c r="H71" s="44"/>
      <c r="I71" s="45"/>
      <c r="J71" s="44"/>
      <c r="K71" s="45"/>
      <c r="L71" s="44"/>
      <c r="M71" s="45"/>
      <c r="N71" s="44"/>
    </row>
    <row r="72" spans="1:14" ht="15" thickBot="1" x14ac:dyDescent="0.35">
      <c r="A72" s="43"/>
      <c r="B72" s="43"/>
      <c r="C72" s="43"/>
      <c r="D72" s="43"/>
      <c r="E72" s="43"/>
      <c r="F72" s="43"/>
      <c r="G72" s="43" t="s">
        <v>338</v>
      </c>
      <c r="H72" s="46">
        <v>619</v>
      </c>
      <c r="I72" s="45"/>
      <c r="J72" s="46">
        <v>140</v>
      </c>
      <c r="K72" s="45"/>
      <c r="L72" s="46">
        <v>696</v>
      </c>
      <c r="M72" s="45"/>
      <c r="N72" s="46">
        <f>ROUND(SUM(H72:L72),5)</f>
        <v>1455</v>
      </c>
    </row>
    <row r="73" spans="1:14" x14ac:dyDescent="0.3">
      <c r="A73" s="43"/>
      <c r="B73" s="43"/>
      <c r="C73" s="43"/>
      <c r="D73" s="43"/>
      <c r="E73" s="43"/>
      <c r="F73" s="43" t="s">
        <v>413</v>
      </c>
      <c r="G73" s="43"/>
      <c r="H73" s="44">
        <f>ROUND(SUM(H71:H72),5)</f>
        <v>619</v>
      </c>
      <c r="I73" s="45"/>
      <c r="J73" s="44">
        <f>ROUND(SUM(J71:J72),5)</f>
        <v>140</v>
      </c>
      <c r="K73" s="45"/>
      <c r="L73" s="44">
        <f>ROUND(SUM(L71:L72),5)</f>
        <v>696</v>
      </c>
      <c r="M73" s="45"/>
      <c r="N73" s="44">
        <f>ROUND(SUM(H73:L73),5)</f>
        <v>1455</v>
      </c>
    </row>
    <row r="74" spans="1:14" ht="30" customHeight="1" x14ac:dyDescent="0.3">
      <c r="A74" s="43"/>
      <c r="B74" s="43"/>
      <c r="C74" s="43"/>
      <c r="D74" s="43"/>
      <c r="E74" s="43"/>
      <c r="F74" s="43" t="s">
        <v>245</v>
      </c>
      <c r="G74" s="43"/>
      <c r="H74" s="44">
        <v>1916</v>
      </c>
      <c r="I74" s="45"/>
      <c r="J74" s="44">
        <v>3484</v>
      </c>
      <c r="K74" s="45"/>
      <c r="L74" s="44">
        <v>3713</v>
      </c>
      <c r="M74" s="45"/>
      <c r="N74" s="44">
        <f>ROUND(SUM(H74:L74),5)</f>
        <v>9113</v>
      </c>
    </row>
    <row r="75" spans="1:14" x14ac:dyDescent="0.3">
      <c r="A75" s="43"/>
      <c r="B75" s="43"/>
      <c r="C75" s="43"/>
      <c r="D75" s="43"/>
      <c r="E75" s="43"/>
      <c r="F75" s="43" t="s">
        <v>489</v>
      </c>
      <c r="G75" s="43"/>
      <c r="H75" s="44"/>
      <c r="I75" s="45"/>
      <c r="J75" s="44"/>
      <c r="K75" s="45"/>
      <c r="L75" s="44"/>
      <c r="M75" s="45"/>
      <c r="N75" s="44"/>
    </row>
    <row r="76" spans="1:14" x14ac:dyDescent="0.3">
      <c r="A76" s="43"/>
      <c r="B76" s="43"/>
      <c r="C76" s="43"/>
      <c r="D76" s="43"/>
      <c r="E76" s="43"/>
      <c r="F76" s="43"/>
      <c r="G76" s="43" t="s">
        <v>247</v>
      </c>
      <c r="H76" s="44">
        <v>151</v>
      </c>
      <c r="I76" s="45"/>
      <c r="J76" s="44">
        <v>86</v>
      </c>
      <c r="K76" s="45"/>
      <c r="L76" s="44">
        <v>0</v>
      </c>
      <c r="M76" s="45"/>
      <c r="N76" s="44">
        <f>ROUND(SUM(H76:L76),5)</f>
        <v>237</v>
      </c>
    </row>
    <row r="77" spans="1:14" ht="15" thickBot="1" x14ac:dyDescent="0.35">
      <c r="A77" s="43"/>
      <c r="B77" s="43"/>
      <c r="C77" s="43"/>
      <c r="D77" s="43"/>
      <c r="E77" s="43"/>
      <c r="F77" s="43"/>
      <c r="G77" s="43" t="s">
        <v>491</v>
      </c>
      <c r="H77" s="46">
        <v>1062</v>
      </c>
      <c r="I77" s="45"/>
      <c r="J77" s="46">
        <v>1161</v>
      </c>
      <c r="K77" s="45"/>
      <c r="L77" s="46">
        <v>768</v>
      </c>
      <c r="M77" s="45"/>
      <c r="N77" s="46">
        <f>ROUND(SUM(H77:L77),5)</f>
        <v>2991</v>
      </c>
    </row>
    <row r="78" spans="1:14" x14ac:dyDescent="0.3">
      <c r="A78" s="43"/>
      <c r="B78" s="43"/>
      <c r="C78" s="43"/>
      <c r="D78" s="43"/>
      <c r="E78" s="43"/>
      <c r="F78" s="43" t="s">
        <v>492</v>
      </c>
      <c r="G78" s="43"/>
      <c r="H78" s="44">
        <f>ROUND(SUM(H75:H77),5)</f>
        <v>1213</v>
      </c>
      <c r="I78" s="45"/>
      <c r="J78" s="44">
        <f>ROUND(SUM(J75:J77),5)</f>
        <v>1247</v>
      </c>
      <c r="K78" s="45"/>
      <c r="L78" s="44">
        <f>ROUND(SUM(L75:L77),5)</f>
        <v>768</v>
      </c>
      <c r="M78" s="45"/>
      <c r="N78" s="44">
        <f>ROUND(SUM(H78:L78),5)</f>
        <v>3228</v>
      </c>
    </row>
    <row r="79" spans="1:14" ht="30" customHeight="1" x14ac:dyDescent="0.3">
      <c r="A79" s="43"/>
      <c r="B79" s="43"/>
      <c r="C79" s="43"/>
      <c r="D79" s="43"/>
      <c r="E79" s="43"/>
      <c r="F79" s="43" t="s">
        <v>250</v>
      </c>
      <c r="G79" s="43"/>
      <c r="H79" s="44"/>
      <c r="I79" s="45"/>
      <c r="J79" s="44"/>
      <c r="K79" s="45"/>
      <c r="L79" s="44"/>
      <c r="M79" s="45"/>
      <c r="N79" s="44"/>
    </row>
    <row r="80" spans="1:14" x14ac:dyDescent="0.3">
      <c r="A80" s="43"/>
      <c r="B80" s="43"/>
      <c r="C80" s="43"/>
      <c r="D80" s="43"/>
      <c r="E80" s="43"/>
      <c r="F80" s="43"/>
      <c r="G80" s="43" t="s">
        <v>251</v>
      </c>
      <c r="H80" s="44">
        <v>100</v>
      </c>
      <c r="I80" s="45"/>
      <c r="J80" s="44">
        <v>384</v>
      </c>
      <c r="K80" s="45"/>
      <c r="L80" s="44">
        <v>53</v>
      </c>
      <c r="M80" s="45"/>
      <c r="N80" s="44">
        <f>ROUND(SUM(H80:L80),5)</f>
        <v>537</v>
      </c>
    </row>
    <row r="81" spans="1:14" x14ac:dyDescent="0.3">
      <c r="A81" s="43"/>
      <c r="B81" s="43"/>
      <c r="C81" s="43"/>
      <c r="D81" s="43"/>
      <c r="E81" s="43"/>
      <c r="F81" s="43"/>
      <c r="G81" s="43" t="s">
        <v>343</v>
      </c>
      <c r="H81" s="44">
        <v>202</v>
      </c>
      <c r="I81" s="45"/>
      <c r="J81" s="44">
        <v>0</v>
      </c>
      <c r="K81" s="45"/>
      <c r="L81" s="44">
        <v>175</v>
      </c>
      <c r="M81" s="45"/>
      <c r="N81" s="44">
        <f>ROUND(SUM(H81:L81),5)</f>
        <v>377</v>
      </c>
    </row>
    <row r="82" spans="1:14" ht="15" thickBot="1" x14ac:dyDescent="0.35">
      <c r="A82" s="43"/>
      <c r="B82" s="43"/>
      <c r="C82" s="43"/>
      <c r="D82" s="43"/>
      <c r="E82" s="43"/>
      <c r="F82" s="43"/>
      <c r="G82" s="43" t="s">
        <v>252</v>
      </c>
      <c r="H82" s="46">
        <v>210</v>
      </c>
      <c r="I82" s="45"/>
      <c r="J82" s="46">
        <v>457</v>
      </c>
      <c r="K82" s="45"/>
      <c r="L82" s="46">
        <v>415</v>
      </c>
      <c r="M82" s="45"/>
      <c r="N82" s="46">
        <f>ROUND(SUM(H82:L82),5)</f>
        <v>1082</v>
      </c>
    </row>
    <row r="83" spans="1:14" x14ac:dyDescent="0.3">
      <c r="A83" s="43"/>
      <c r="B83" s="43"/>
      <c r="C83" s="43"/>
      <c r="D83" s="43"/>
      <c r="E83" s="43"/>
      <c r="F83" s="43" t="s">
        <v>253</v>
      </c>
      <c r="G83" s="43"/>
      <c r="H83" s="44">
        <f>ROUND(SUM(H79:H82),5)</f>
        <v>512</v>
      </c>
      <c r="I83" s="45"/>
      <c r="J83" s="44">
        <f>ROUND(SUM(J79:J82),5)</f>
        <v>841</v>
      </c>
      <c r="K83" s="45"/>
      <c r="L83" s="44">
        <f>ROUND(SUM(L79:L82),5)</f>
        <v>643</v>
      </c>
      <c r="M83" s="45"/>
      <c r="N83" s="44">
        <f>ROUND(SUM(H83:L83),5)</f>
        <v>1996</v>
      </c>
    </row>
    <row r="84" spans="1:14" ht="30" customHeight="1" x14ac:dyDescent="0.3">
      <c r="A84" s="43"/>
      <c r="B84" s="43"/>
      <c r="C84" s="43"/>
      <c r="D84" s="43"/>
      <c r="E84" s="43"/>
      <c r="F84" s="43" t="s">
        <v>254</v>
      </c>
      <c r="G84" s="43"/>
      <c r="H84" s="44"/>
      <c r="I84" s="45"/>
      <c r="J84" s="44"/>
      <c r="K84" s="45"/>
      <c r="L84" s="44"/>
      <c r="M84" s="45"/>
      <c r="N84" s="44"/>
    </row>
    <row r="85" spans="1:14" x14ac:dyDescent="0.3">
      <c r="A85" s="43"/>
      <c r="B85" s="43"/>
      <c r="C85" s="43"/>
      <c r="D85" s="43"/>
      <c r="E85" s="43"/>
      <c r="F85" s="43"/>
      <c r="G85" s="43" t="s">
        <v>255</v>
      </c>
      <c r="H85" s="44">
        <v>115</v>
      </c>
      <c r="I85" s="45"/>
      <c r="J85" s="44">
        <v>31</v>
      </c>
      <c r="K85" s="45"/>
      <c r="L85" s="44">
        <v>175</v>
      </c>
      <c r="M85" s="45"/>
      <c r="N85" s="44">
        <f t="shared" ref="N85:N93" si="4">ROUND(SUM(H85:L85),5)</f>
        <v>321</v>
      </c>
    </row>
    <row r="86" spans="1:14" x14ac:dyDescent="0.3">
      <c r="A86" s="43"/>
      <c r="B86" s="43"/>
      <c r="C86" s="43"/>
      <c r="D86" s="43"/>
      <c r="E86" s="43"/>
      <c r="F86" s="43"/>
      <c r="G86" s="43" t="s">
        <v>256</v>
      </c>
      <c r="H86" s="44">
        <v>24</v>
      </c>
      <c r="I86" s="45"/>
      <c r="J86" s="44">
        <v>173</v>
      </c>
      <c r="K86" s="45"/>
      <c r="L86" s="44">
        <v>75</v>
      </c>
      <c r="M86" s="45"/>
      <c r="N86" s="44">
        <f t="shared" si="4"/>
        <v>272</v>
      </c>
    </row>
    <row r="87" spans="1:14" x14ac:dyDescent="0.3">
      <c r="A87" s="43"/>
      <c r="B87" s="43"/>
      <c r="C87" s="43"/>
      <c r="D87" s="43"/>
      <c r="E87" s="43"/>
      <c r="F87" s="43"/>
      <c r="G87" s="43" t="s">
        <v>257</v>
      </c>
      <c r="H87" s="44">
        <v>0</v>
      </c>
      <c r="I87" s="45"/>
      <c r="J87" s="44">
        <v>177</v>
      </c>
      <c r="K87" s="45"/>
      <c r="L87" s="44">
        <v>399</v>
      </c>
      <c r="M87" s="45"/>
      <c r="N87" s="44">
        <f t="shared" si="4"/>
        <v>576</v>
      </c>
    </row>
    <row r="88" spans="1:14" x14ac:dyDescent="0.3">
      <c r="A88" s="43"/>
      <c r="B88" s="43"/>
      <c r="C88" s="43"/>
      <c r="D88" s="43"/>
      <c r="E88" s="43"/>
      <c r="F88" s="43"/>
      <c r="G88" s="43" t="s">
        <v>258</v>
      </c>
      <c r="H88" s="44">
        <v>0</v>
      </c>
      <c r="I88" s="45"/>
      <c r="J88" s="44">
        <v>113</v>
      </c>
      <c r="K88" s="45"/>
      <c r="L88" s="44">
        <v>285</v>
      </c>
      <c r="M88" s="45"/>
      <c r="N88" s="44">
        <f t="shared" si="4"/>
        <v>398</v>
      </c>
    </row>
    <row r="89" spans="1:14" x14ac:dyDescent="0.3">
      <c r="A89" s="43"/>
      <c r="B89" s="43"/>
      <c r="C89" s="43"/>
      <c r="D89" s="43"/>
      <c r="E89" s="43"/>
      <c r="F89" s="43"/>
      <c r="G89" s="43" t="s">
        <v>259</v>
      </c>
      <c r="H89" s="44">
        <v>26</v>
      </c>
      <c r="I89" s="45"/>
      <c r="J89" s="44">
        <v>0</v>
      </c>
      <c r="K89" s="45"/>
      <c r="L89" s="44">
        <v>0</v>
      </c>
      <c r="M89" s="45"/>
      <c r="N89" s="44">
        <f t="shared" si="4"/>
        <v>26</v>
      </c>
    </row>
    <row r="90" spans="1:14" ht="15" thickBot="1" x14ac:dyDescent="0.35">
      <c r="A90" s="43"/>
      <c r="B90" s="43"/>
      <c r="C90" s="43"/>
      <c r="D90" s="43"/>
      <c r="E90" s="43"/>
      <c r="F90" s="43"/>
      <c r="G90" s="43" t="s">
        <v>260</v>
      </c>
      <c r="H90" s="46">
        <v>0</v>
      </c>
      <c r="I90" s="45"/>
      <c r="J90" s="46">
        <v>0</v>
      </c>
      <c r="K90" s="45"/>
      <c r="L90" s="46">
        <v>1017</v>
      </c>
      <c r="M90" s="45"/>
      <c r="N90" s="46">
        <f t="shared" si="4"/>
        <v>1017</v>
      </c>
    </row>
    <row r="91" spans="1:14" x14ac:dyDescent="0.3">
      <c r="A91" s="43"/>
      <c r="B91" s="43"/>
      <c r="C91" s="43"/>
      <c r="D91" s="43"/>
      <c r="E91" s="43"/>
      <c r="F91" s="43" t="s">
        <v>261</v>
      </c>
      <c r="G91" s="43"/>
      <c r="H91" s="44">
        <f>ROUND(SUM(H84:H90),5)</f>
        <v>165</v>
      </c>
      <c r="I91" s="45"/>
      <c r="J91" s="44">
        <f>ROUND(SUM(J84:J90),5)</f>
        <v>494</v>
      </c>
      <c r="K91" s="45"/>
      <c r="L91" s="44">
        <f>ROUND(SUM(L84:L90),5)</f>
        <v>1951</v>
      </c>
      <c r="M91" s="45"/>
      <c r="N91" s="44">
        <f t="shared" si="4"/>
        <v>2610</v>
      </c>
    </row>
    <row r="92" spans="1:14" ht="30" customHeight="1" thickBot="1" x14ac:dyDescent="0.35">
      <c r="A92" s="43"/>
      <c r="B92" s="43"/>
      <c r="C92" s="43"/>
      <c r="D92" s="43"/>
      <c r="E92" s="43"/>
      <c r="F92" s="43" t="s">
        <v>496</v>
      </c>
      <c r="G92" s="43"/>
      <c r="H92" s="46">
        <v>0</v>
      </c>
      <c r="I92" s="45"/>
      <c r="J92" s="46">
        <v>0</v>
      </c>
      <c r="K92" s="45"/>
      <c r="L92" s="46">
        <v>0</v>
      </c>
      <c r="M92" s="45"/>
      <c r="N92" s="46">
        <f t="shared" si="4"/>
        <v>0</v>
      </c>
    </row>
    <row r="93" spans="1:14" x14ac:dyDescent="0.3">
      <c r="A93" s="43"/>
      <c r="B93" s="43"/>
      <c r="C93" s="43"/>
      <c r="D93" s="43"/>
      <c r="E93" s="43" t="s">
        <v>270</v>
      </c>
      <c r="F93" s="43"/>
      <c r="G93" s="43"/>
      <c r="H93" s="44">
        <f>ROUND(H47+H56+H60+H64+SUM(H69:H70)+SUM(H73:H74)+H78+H83+SUM(H91:H92),5)</f>
        <v>11612</v>
      </c>
      <c r="I93" s="45"/>
      <c r="J93" s="44">
        <f>ROUND(J47+J56+J60+J64+SUM(J69:J70)+SUM(J73:J74)+J78+J83+SUM(J91:J92),5)</f>
        <v>12227</v>
      </c>
      <c r="K93" s="45"/>
      <c r="L93" s="44">
        <f>ROUND(L47+L56+L60+L64+SUM(L69:L70)+SUM(L73:L74)+L78+L83+SUM(L91:L92),5)</f>
        <v>16726</v>
      </c>
      <c r="M93" s="45"/>
      <c r="N93" s="44">
        <f t="shared" si="4"/>
        <v>40565</v>
      </c>
    </row>
    <row r="94" spans="1:14" ht="30" customHeight="1" x14ac:dyDescent="0.3">
      <c r="A94" s="43"/>
      <c r="B94" s="43"/>
      <c r="C94" s="43"/>
      <c r="D94" s="43"/>
      <c r="E94" s="43" t="s">
        <v>271</v>
      </c>
      <c r="F94" s="43"/>
      <c r="G94" s="43"/>
      <c r="H94" s="44"/>
      <c r="I94" s="45"/>
      <c r="J94" s="44"/>
      <c r="K94" s="45"/>
      <c r="L94" s="44"/>
      <c r="M94" s="45"/>
      <c r="N94" s="44"/>
    </row>
    <row r="95" spans="1:14" ht="15" thickBot="1" x14ac:dyDescent="0.35">
      <c r="A95" s="43"/>
      <c r="B95" s="43"/>
      <c r="C95" s="43"/>
      <c r="D95" s="43"/>
      <c r="E95" s="43"/>
      <c r="F95" s="43" t="s">
        <v>416</v>
      </c>
      <c r="G95" s="43"/>
      <c r="H95" s="46">
        <v>4443</v>
      </c>
      <c r="I95" s="45"/>
      <c r="J95" s="46">
        <v>8727</v>
      </c>
      <c r="K95" s="45"/>
      <c r="L95" s="46">
        <v>6333</v>
      </c>
      <c r="M95" s="45"/>
      <c r="N95" s="46">
        <f>ROUND(SUM(H95:L95),5)</f>
        <v>19503</v>
      </c>
    </row>
    <row r="96" spans="1:14" x14ac:dyDescent="0.3">
      <c r="A96" s="43"/>
      <c r="B96" s="43"/>
      <c r="C96" s="43"/>
      <c r="D96" s="43"/>
      <c r="E96" s="43" t="s">
        <v>417</v>
      </c>
      <c r="F96" s="43"/>
      <c r="G96" s="43"/>
      <c r="H96" s="44">
        <f>ROUND(SUM(H94:H95),5)</f>
        <v>4443</v>
      </c>
      <c r="I96" s="45"/>
      <c r="J96" s="44">
        <f>ROUND(SUM(J94:J95),5)</f>
        <v>8727</v>
      </c>
      <c r="K96" s="45"/>
      <c r="L96" s="44">
        <f>ROUND(SUM(L94:L95),5)</f>
        <v>6333</v>
      </c>
      <c r="M96" s="45"/>
      <c r="N96" s="44">
        <f>ROUND(SUM(H96:L96),5)</f>
        <v>19503</v>
      </c>
    </row>
    <row r="97" spans="1:14" ht="30" customHeight="1" x14ac:dyDescent="0.3">
      <c r="A97" s="43"/>
      <c r="B97" s="43"/>
      <c r="C97" s="43"/>
      <c r="D97" s="43"/>
      <c r="E97" s="43" t="s">
        <v>272</v>
      </c>
      <c r="F97" s="43"/>
      <c r="G97" s="43"/>
      <c r="H97" s="44"/>
      <c r="I97" s="45"/>
      <c r="J97" s="44"/>
      <c r="K97" s="45"/>
      <c r="L97" s="44"/>
      <c r="M97" s="45"/>
      <c r="N97" s="44"/>
    </row>
    <row r="98" spans="1:14" x14ac:dyDescent="0.3">
      <c r="A98" s="43"/>
      <c r="B98" s="43"/>
      <c r="C98" s="43"/>
      <c r="D98" s="43"/>
      <c r="E98" s="43"/>
      <c r="F98" s="43" t="s">
        <v>384</v>
      </c>
      <c r="G98" s="43"/>
      <c r="H98" s="44">
        <v>0</v>
      </c>
      <c r="I98" s="45"/>
      <c r="J98" s="44">
        <v>0</v>
      </c>
      <c r="K98" s="45"/>
      <c r="L98" s="44">
        <v>-9866</v>
      </c>
      <c r="M98" s="45"/>
      <c r="N98" s="44">
        <f t="shared" ref="N98:N105" si="5">ROUND(SUM(H98:L98),5)</f>
        <v>-9866</v>
      </c>
    </row>
    <row r="99" spans="1:14" ht="15" thickBot="1" x14ac:dyDescent="0.35">
      <c r="A99" s="43"/>
      <c r="B99" s="43"/>
      <c r="C99" s="43"/>
      <c r="D99" s="43"/>
      <c r="E99" s="43"/>
      <c r="F99" s="43" t="s">
        <v>275</v>
      </c>
      <c r="G99" s="43"/>
      <c r="H99" s="46">
        <v>46300</v>
      </c>
      <c r="I99" s="45"/>
      <c r="J99" s="46">
        <v>52193</v>
      </c>
      <c r="K99" s="45"/>
      <c r="L99" s="46">
        <v>56659</v>
      </c>
      <c r="M99" s="45"/>
      <c r="N99" s="46">
        <f t="shared" si="5"/>
        <v>155152</v>
      </c>
    </row>
    <row r="100" spans="1:14" x14ac:dyDescent="0.3">
      <c r="A100" s="43"/>
      <c r="B100" s="43"/>
      <c r="C100" s="43"/>
      <c r="D100" s="43"/>
      <c r="E100" s="43" t="s">
        <v>277</v>
      </c>
      <c r="F100" s="43"/>
      <c r="G100" s="43"/>
      <c r="H100" s="44">
        <f>ROUND(SUM(H97:H99),5)</f>
        <v>46300</v>
      </c>
      <c r="I100" s="45"/>
      <c r="J100" s="44">
        <f>ROUND(SUM(J97:J99),5)</f>
        <v>52193</v>
      </c>
      <c r="K100" s="45"/>
      <c r="L100" s="44">
        <f>ROUND(SUM(L97:L99),5)</f>
        <v>46793</v>
      </c>
      <c r="M100" s="45"/>
      <c r="N100" s="44">
        <f t="shared" si="5"/>
        <v>145286</v>
      </c>
    </row>
    <row r="101" spans="1:14" ht="30" customHeight="1" x14ac:dyDescent="0.3">
      <c r="A101" s="43"/>
      <c r="B101" s="43"/>
      <c r="C101" s="43"/>
      <c r="D101" s="43"/>
      <c r="E101" s="43" t="s">
        <v>278</v>
      </c>
      <c r="F101" s="43"/>
      <c r="G101" s="43"/>
      <c r="H101" s="44">
        <v>106764</v>
      </c>
      <c r="I101" s="45"/>
      <c r="J101" s="44">
        <v>88109</v>
      </c>
      <c r="K101" s="45"/>
      <c r="L101" s="44">
        <v>79642</v>
      </c>
      <c r="M101" s="45"/>
      <c r="N101" s="44">
        <f t="shared" si="5"/>
        <v>274515</v>
      </c>
    </row>
    <row r="102" spans="1:14" x14ac:dyDescent="0.3">
      <c r="A102" s="43"/>
      <c r="B102" s="43"/>
      <c r="C102" s="43"/>
      <c r="D102" s="43"/>
      <c r="E102" s="43" t="s">
        <v>350</v>
      </c>
      <c r="F102" s="43"/>
      <c r="G102" s="43"/>
      <c r="H102" s="44">
        <v>11395</v>
      </c>
      <c r="I102" s="45"/>
      <c r="J102" s="44">
        <v>11395</v>
      </c>
      <c r="K102" s="45"/>
      <c r="L102" s="44">
        <v>9480</v>
      </c>
      <c r="M102" s="45"/>
      <c r="N102" s="44">
        <f t="shared" si="5"/>
        <v>32270</v>
      </c>
    </row>
    <row r="103" spans="1:14" ht="15" thickBot="1" x14ac:dyDescent="0.35">
      <c r="A103" s="43"/>
      <c r="B103" s="43"/>
      <c r="C103" s="43"/>
      <c r="D103" s="43"/>
      <c r="E103" s="43" t="s">
        <v>284</v>
      </c>
      <c r="F103" s="43"/>
      <c r="G103" s="43"/>
      <c r="H103" s="44">
        <v>91096</v>
      </c>
      <c r="I103" s="45"/>
      <c r="J103" s="44">
        <v>61608</v>
      </c>
      <c r="K103" s="45"/>
      <c r="L103" s="44">
        <v>46011</v>
      </c>
      <c r="M103" s="45"/>
      <c r="N103" s="44">
        <f t="shared" si="5"/>
        <v>198715</v>
      </c>
    </row>
    <row r="104" spans="1:14" ht="15" thickBot="1" x14ac:dyDescent="0.35">
      <c r="A104" s="43"/>
      <c r="B104" s="43"/>
      <c r="C104" s="43"/>
      <c r="D104" s="43" t="s">
        <v>287</v>
      </c>
      <c r="E104" s="43"/>
      <c r="F104" s="43"/>
      <c r="G104" s="43"/>
      <c r="H104" s="47">
        <f>ROUND(H14+H30+H46+H93+H96+SUM(H100:H103),5)</f>
        <v>321783</v>
      </c>
      <c r="I104" s="45"/>
      <c r="J104" s="47">
        <f>ROUND(J14+J30+J46+J93+J96+SUM(J100:J103),5)</f>
        <v>266604</v>
      </c>
      <c r="K104" s="45"/>
      <c r="L104" s="47">
        <f>ROUND(L14+L30+L46+L93+L96+SUM(L100:L103),5)</f>
        <v>236332</v>
      </c>
      <c r="M104" s="45"/>
      <c r="N104" s="47">
        <f t="shared" si="5"/>
        <v>824719</v>
      </c>
    </row>
    <row r="105" spans="1:14" ht="30" customHeight="1" x14ac:dyDescent="0.3">
      <c r="A105" s="43"/>
      <c r="B105" s="43" t="s">
        <v>288</v>
      </c>
      <c r="C105" s="43"/>
      <c r="D105" s="43"/>
      <c r="E105" s="43"/>
      <c r="F105" s="43"/>
      <c r="G105" s="43"/>
      <c r="H105" s="44">
        <f>ROUND(H2+H13-H104,5)</f>
        <v>164648</v>
      </c>
      <c r="I105" s="45"/>
      <c r="J105" s="44">
        <f>ROUND(J2+J13-J104,5)</f>
        <v>565442</v>
      </c>
      <c r="K105" s="45"/>
      <c r="L105" s="44">
        <f>ROUND(L2+L13-L104,5)</f>
        <v>187120</v>
      </c>
      <c r="M105" s="45"/>
      <c r="N105" s="44">
        <f t="shared" si="5"/>
        <v>917210</v>
      </c>
    </row>
    <row r="106" spans="1:14" ht="30" customHeight="1" x14ac:dyDescent="0.3">
      <c r="A106" s="43"/>
      <c r="B106" s="43" t="s">
        <v>289</v>
      </c>
      <c r="C106" s="43"/>
      <c r="D106" s="43"/>
      <c r="E106" s="43"/>
      <c r="F106" s="43"/>
      <c r="G106" s="43"/>
      <c r="H106" s="44"/>
      <c r="I106" s="45"/>
      <c r="J106" s="44"/>
      <c r="K106" s="45"/>
      <c r="L106" s="44"/>
      <c r="M106" s="45"/>
      <c r="N106" s="44"/>
    </row>
    <row r="107" spans="1:14" x14ac:dyDescent="0.3">
      <c r="A107" s="43"/>
      <c r="B107" s="43"/>
      <c r="C107" s="43" t="s">
        <v>293</v>
      </c>
      <c r="D107" s="43"/>
      <c r="E107" s="43"/>
      <c r="F107" s="43"/>
      <c r="G107" s="43"/>
      <c r="H107" s="44"/>
      <c r="I107" s="45"/>
      <c r="J107" s="44"/>
      <c r="K107" s="45"/>
      <c r="L107" s="44"/>
      <c r="M107" s="45"/>
      <c r="N107" s="44"/>
    </row>
    <row r="108" spans="1:14" ht="15" thickBot="1" x14ac:dyDescent="0.35">
      <c r="A108" s="43"/>
      <c r="B108" s="43"/>
      <c r="C108" s="43"/>
      <c r="D108" s="43" t="s">
        <v>511</v>
      </c>
      <c r="E108" s="43"/>
      <c r="F108" s="43"/>
      <c r="G108" s="43"/>
      <c r="H108" s="44">
        <v>58563</v>
      </c>
      <c r="I108" s="45"/>
      <c r="J108" s="44">
        <v>0</v>
      </c>
      <c r="K108" s="45"/>
      <c r="L108" s="44">
        <v>0</v>
      </c>
      <c r="M108" s="45"/>
      <c r="N108" s="44">
        <f>ROUND(SUM(H108:L108),5)</f>
        <v>58563</v>
      </c>
    </row>
    <row r="109" spans="1:14" ht="15" thickBot="1" x14ac:dyDescent="0.35">
      <c r="A109" s="43"/>
      <c r="B109" s="43"/>
      <c r="C109" s="43" t="s">
        <v>295</v>
      </c>
      <c r="D109" s="43"/>
      <c r="E109" s="43"/>
      <c r="F109" s="43"/>
      <c r="G109" s="43"/>
      <c r="H109" s="48">
        <f>ROUND(SUM(H107:H108),5)</f>
        <v>58563</v>
      </c>
      <c r="I109" s="45"/>
      <c r="J109" s="48">
        <f>ROUND(SUM(J107:J108),5)</f>
        <v>0</v>
      </c>
      <c r="K109" s="45"/>
      <c r="L109" s="48">
        <f>ROUND(SUM(L107:L108),5)</f>
        <v>0</v>
      </c>
      <c r="M109" s="45"/>
      <c r="N109" s="48">
        <f>ROUND(SUM(H109:L109),5)</f>
        <v>58563</v>
      </c>
    </row>
    <row r="110" spans="1:14" ht="30" customHeight="1" thickBot="1" x14ac:dyDescent="0.35">
      <c r="A110" s="43"/>
      <c r="B110" s="43" t="s">
        <v>296</v>
      </c>
      <c r="C110" s="43"/>
      <c r="D110" s="43"/>
      <c r="E110" s="43"/>
      <c r="F110" s="43"/>
      <c r="G110" s="43"/>
      <c r="H110" s="48">
        <f>ROUND(H106-H109,5)</f>
        <v>-58563</v>
      </c>
      <c r="I110" s="45"/>
      <c r="J110" s="48">
        <f>ROUND(J106-J109,5)</f>
        <v>0</v>
      </c>
      <c r="K110" s="45"/>
      <c r="L110" s="48">
        <f>ROUND(L106-L109,5)</f>
        <v>0</v>
      </c>
      <c r="M110" s="45"/>
      <c r="N110" s="48">
        <f>ROUND(SUM(H110:L110),5)</f>
        <v>-58563</v>
      </c>
    </row>
    <row r="111" spans="1:14" s="50" customFormat="1" ht="30" customHeight="1" thickBot="1" x14ac:dyDescent="0.25">
      <c r="A111" s="43" t="s">
        <v>165</v>
      </c>
      <c r="B111" s="43"/>
      <c r="C111" s="43"/>
      <c r="D111" s="43"/>
      <c r="E111" s="43"/>
      <c r="F111" s="43"/>
      <c r="G111" s="43"/>
      <c r="H111" s="49">
        <f>ROUND(H105+H110,5)</f>
        <v>106085</v>
      </c>
      <c r="I111" s="43"/>
      <c r="J111" s="49">
        <f>ROUND(J105+J110,5)</f>
        <v>565442</v>
      </c>
      <c r="K111" s="43"/>
      <c r="L111" s="49">
        <f>ROUND(L105+L110,5)</f>
        <v>187120</v>
      </c>
      <c r="M111" s="43"/>
      <c r="N111" s="49">
        <f>ROUND(SUM(H111:L111),5)</f>
        <v>858647</v>
      </c>
    </row>
    <row r="112" spans="1:14" ht="15" thickTop="1" x14ac:dyDescent="0.3"/>
    <row r="113" spans="7:14" x14ac:dyDescent="0.3">
      <c r="G113" s="43" t="s">
        <v>987</v>
      </c>
      <c r="H113" s="44">
        <f>H104-H18-H101-H102-H103</f>
        <v>92140</v>
      </c>
      <c r="I113" s="45"/>
      <c r="J113" s="44">
        <f>J104-J18-J101-J102-J103</f>
        <v>105492</v>
      </c>
      <c r="K113" s="45"/>
      <c r="L113" s="44">
        <f>L104-L18-L101-L102-L103</f>
        <v>101199</v>
      </c>
      <c r="M113" s="45"/>
      <c r="N113" s="44">
        <f>(N104-N18-N101-N102-N103)/3</f>
        <v>99610.333333333328</v>
      </c>
    </row>
  </sheetData>
  <pageMargins left="0.7" right="0.7" top="0.75" bottom="0.75" header="0.25" footer="0.3"/>
  <pageSetup orientation="portrait" r:id="rId1"/>
  <headerFooter>
    <oddHeader>&amp;L&amp;"Arial,Bold"&amp;8 8:32 AM
&amp;"Arial,Bold"&amp;8 02/18/14
&amp;"Arial,Bold"&amp;8 Accrual Basis&amp;C&amp;"Arial,Bold"&amp;12 NR6, LLC
&amp;"Arial,Bold"&amp;14 3 Yr Detail Comparative Statement of Income - Retail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765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7650" r:id="rId4" name="HEADER"/>
      </mc:Fallback>
    </mc:AlternateContent>
    <mc:AlternateContent xmlns:mc="http://schemas.openxmlformats.org/markup-compatibility/2006">
      <mc:Choice Requires="x14">
        <control shapeId="2764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7649" r:id="rId6" name="FILTER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0"/>
  <sheetViews>
    <sheetView showGridLines="0" workbookViewId="0"/>
  </sheetViews>
  <sheetFormatPr defaultColWidth="9.33203125" defaultRowHeight="14.4" x14ac:dyDescent="0.3"/>
  <cols>
    <col min="1" max="9" width="12.6640625" style="5" customWidth="1"/>
    <col min="10" max="16384" width="9.33203125" style="5"/>
  </cols>
  <sheetData>
    <row r="1" spans="1:11" ht="15" thickBot="1" x14ac:dyDescent="0.35">
      <c r="A1" s="3" t="s">
        <v>104</v>
      </c>
      <c r="B1" s="4"/>
      <c r="C1" s="4"/>
      <c r="D1" s="4"/>
      <c r="E1" s="4"/>
      <c r="F1" s="4"/>
      <c r="G1" s="4"/>
      <c r="H1" s="4"/>
    </row>
    <row r="2" spans="1:11" x14ac:dyDescent="0.3">
      <c r="A2" s="6" t="s">
        <v>26</v>
      </c>
    </row>
    <row r="3" spans="1:11" x14ac:dyDescent="0.3">
      <c r="A3" s="7"/>
      <c r="E3" s="8"/>
    </row>
    <row r="4" spans="1:11" ht="15" customHeight="1" x14ac:dyDescent="0.3">
      <c r="A4" s="5" t="s">
        <v>27</v>
      </c>
      <c r="C4" s="19">
        <f>Analysis!C9*Analysis!C13</f>
        <v>0</v>
      </c>
      <c r="D4" s="8"/>
      <c r="E4"/>
      <c r="F4"/>
      <c r="G4"/>
      <c r="H4"/>
    </row>
    <row r="5" spans="1:11" ht="15" customHeight="1" x14ac:dyDescent="0.3">
      <c r="A5"/>
      <c r="B5"/>
      <c r="C5"/>
      <c r="D5" s="1"/>
      <c r="E5"/>
      <c r="F5"/>
      <c r="G5"/>
      <c r="H5"/>
    </row>
    <row r="6" spans="1:11" ht="15" customHeight="1" x14ac:dyDescent="0.3">
      <c r="A6" s="5" t="s">
        <v>29</v>
      </c>
      <c r="C6" s="20">
        <f>Analysis!C14</f>
        <v>0</v>
      </c>
      <c r="D6" s="1"/>
      <c r="E6"/>
      <c r="F6"/>
      <c r="G6"/>
      <c r="H6"/>
    </row>
    <row r="7" spans="1:11" ht="15" customHeight="1" x14ac:dyDescent="0.3">
      <c r="A7" s="7"/>
      <c r="D7" s="1"/>
      <c r="E7"/>
      <c r="F7"/>
      <c r="G7"/>
      <c r="H7"/>
    </row>
    <row r="8" spans="1:11" ht="15" customHeight="1" x14ac:dyDescent="0.3">
      <c r="A8" s="5" t="s">
        <v>30</v>
      </c>
      <c r="C8" s="21">
        <f>Analysis!C10*12</f>
        <v>60</v>
      </c>
      <c r="D8" s="1"/>
      <c r="E8"/>
      <c r="F8"/>
      <c r="G8"/>
      <c r="H8"/>
    </row>
    <row r="9" spans="1:11" ht="15" customHeight="1" x14ac:dyDescent="0.3">
      <c r="A9" s="7"/>
      <c r="D9" s="8"/>
      <c r="E9"/>
      <c r="F9"/>
      <c r="G9"/>
      <c r="H9"/>
    </row>
    <row r="10" spans="1:11" ht="15" customHeight="1" x14ac:dyDescent="0.3">
      <c r="A10" s="9" t="s">
        <v>28</v>
      </c>
      <c r="C10" s="21">
        <f>Analysis!C9</f>
        <v>79290</v>
      </c>
      <c r="D10" s="8"/>
      <c r="E10"/>
      <c r="F10"/>
      <c r="G10"/>
      <c r="H10"/>
      <c r="I10" s="10"/>
    </row>
    <row r="11" spans="1:11" ht="15" customHeight="1" x14ac:dyDescent="0.3">
      <c r="D11" s="8"/>
      <c r="E11"/>
      <c r="F11"/>
      <c r="G11"/>
      <c r="H11"/>
      <c r="K11" s="10"/>
    </row>
    <row r="12" spans="1:11" ht="15" customHeight="1" x14ac:dyDescent="0.3">
      <c r="A12" s="7"/>
      <c r="D12" s="8"/>
      <c r="F12" s="9"/>
    </row>
    <row r="13" spans="1:11" ht="15" customHeight="1" x14ac:dyDescent="0.3">
      <c r="B13" s="11" t="s">
        <v>31</v>
      </c>
      <c r="F13" s="11" t="s">
        <v>32</v>
      </c>
    </row>
    <row r="14" spans="1:11" ht="15" customHeight="1" x14ac:dyDescent="0.3">
      <c r="A14" s="11" t="s">
        <v>33</v>
      </c>
      <c r="B14" s="11" t="s">
        <v>34</v>
      </c>
      <c r="C14" s="12" t="s">
        <v>33</v>
      </c>
      <c r="D14" s="12"/>
      <c r="E14" s="13"/>
      <c r="F14" s="11" t="s">
        <v>34</v>
      </c>
    </row>
    <row r="15" spans="1:11" ht="15" customHeight="1" x14ac:dyDescent="0.3">
      <c r="A15" s="11"/>
      <c r="B15" s="11"/>
      <c r="C15" s="14" t="s">
        <v>35</v>
      </c>
      <c r="D15" s="14"/>
      <c r="E15" s="14"/>
      <c r="F15" s="11"/>
    </row>
    <row r="16" spans="1:11" ht="15" customHeight="1" x14ac:dyDescent="0.3">
      <c r="A16" s="11" t="s">
        <v>36</v>
      </c>
      <c r="B16" s="11" t="s">
        <v>37</v>
      </c>
      <c r="C16" s="11" t="s">
        <v>38</v>
      </c>
      <c r="D16" s="11" t="s">
        <v>34</v>
      </c>
      <c r="E16" s="11" t="s">
        <v>39</v>
      </c>
      <c r="F16" s="11" t="s">
        <v>37</v>
      </c>
      <c r="G16" s="11" t="s">
        <v>40</v>
      </c>
    </row>
    <row r="17" spans="1:13" ht="15" customHeight="1" x14ac:dyDescent="0.3">
      <c r="A17" s="14" t="s">
        <v>35</v>
      </c>
      <c r="B17" s="14" t="s">
        <v>35</v>
      </c>
      <c r="C17" s="14" t="s">
        <v>35</v>
      </c>
      <c r="D17" s="14" t="s">
        <v>35</v>
      </c>
      <c r="E17" s="14" t="s">
        <v>35</v>
      </c>
      <c r="F17" s="14" t="s">
        <v>35</v>
      </c>
      <c r="G17" s="14" t="s">
        <v>35</v>
      </c>
    </row>
    <row r="18" spans="1:13" ht="15" customHeight="1" x14ac:dyDescent="0.3">
      <c r="A18" s="14"/>
      <c r="B18" s="14"/>
      <c r="C18" s="14"/>
      <c r="D18" s="14"/>
      <c r="E18" s="14"/>
      <c r="F18" s="14"/>
    </row>
    <row r="19" spans="1:13" ht="15" customHeight="1" x14ac:dyDescent="0.3">
      <c r="A19" s="16">
        <v>1</v>
      </c>
      <c r="B19" s="17">
        <f>C4</f>
        <v>0</v>
      </c>
      <c r="C19" s="15">
        <f t="shared" ref="C19:C50" si="0">IF(ISERROR(IPMT(C$6/12,A19,$C$8,-$B$19,0)),0,IPMT(C$6/12,A19,$C$8,-$B$19,0))</f>
        <v>0</v>
      </c>
      <c r="D19" s="15">
        <f t="shared" ref="D19:D50" si="1">IF(ISERROR(PPMT($C$6/12,$A19,$C$8,-$B$19,0)),0,PPMT($C$6/12,$A19,$C$8,-$B$19,0))</f>
        <v>0</v>
      </c>
      <c r="E19" s="15">
        <f t="shared" ref="E19:E82" si="2">+C19+D19</f>
        <v>0</v>
      </c>
      <c r="F19" s="15">
        <f t="shared" ref="F19:F82" si="3">+B19-D19</f>
        <v>0</v>
      </c>
      <c r="G19" s="15">
        <f t="shared" ref="G19:G50" si="4">E19/$C$10</f>
        <v>0</v>
      </c>
    </row>
    <row r="20" spans="1:13" ht="15" customHeight="1" x14ac:dyDescent="0.3">
      <c r="A20" s="16">
        <f>A19+1</f>
        <v>2</v>
      </c>
      <c r="B20" s="2">
        <f t="shared" ref="B20:B83" si="5">+F19</f>
        <v>0</v>
      </c>
      <c r="C20" s="2">
        <f t="shared" si="0"/>
        <v>0</v>
      </c>
      <c r="D20" s="2">
        <f t="shared" si="1"/>
        <v>0</v>
      </c>
      <c r="E20" s="2">
        <f t="shared" si="2"/>
        <v>0</v>
      </c>
      <c r="F20" s="2">
        <f t="shared" si="3"/>
        <v>0</v>
      </c>
      <c r="G20" s="18">
        <f t="shared" si="4"/>
        <v>0</v>
      </c>
    </row>
    <row r="21" spans="1:13" ht="15" customHeight="1" x14ac:dyDescent="0.3">
      <c r="A21" s="16">
        <f t="shared" ref="A21:A84" si="6">A20+1</f>
        <v>3</v>
      </c>
      <c r="B21" s="2">
        <f t="shared" si="5"/>
        <v>0</v>
      </c>
      <c r="C21" s="2">
        <f t="shared" si="0"/>
        <v>0</v>
      </c>
      <c r="D21" s="2">
        <f t="shared" si="1"/>
        <v>0</v>
      </c>
      <c r="E21" s="2">
        <f t="shared" si="2"/>
        <v>0</v>
      </c>
      <c r="F21" s="2">
        <f t="shared" si="3"/>
        <v>0</v>
      </c>
      <c r="G21" s="18">
        <f t="shared" si="4"/>
        <v>0</v>
      </c>
    </row>
    <row r="22" spans="1:13" x14ac:dyDescent="0.3">
      <c r="A22" s="16">
        <f t="shared" si="6"/>
        <v>4</v>
      </c>
      <c r="B22" s="2">
        <f t="shared" si="5"/>
        <v>0</v>
      </c>
      <c r="C22" s="2">
        <f t="shared" si="0"/>
        <v>0</v>
      </c>
      <c r="D22" s="2">
        <f t="shared" si="1"/>
        <v>0</v>
      </c>
      <c r="E22" s="2">
        <f t="shared" si="2"/>
        <v>0</v>
      </c>
      <c r="F22" s="2">
        <f t="shared" si="3"/>
        <v>0</v>
      </c>
      <c r="G22" s="18">
        <f t="shared" si="4"/>
        <v>0</v>
      </c>
      <c r="M22" s="10"/>
    </row>
    <row r="23" spans="1:13" x14ac:dyDescent="0.3">
      <c r="A23" s="16">
        <f t="shared" si="6"/>
        <v>5</v>
      </c>
      <c r="B23" s="2">
        <f t="shared" si="5"/>
        <v>0</v>
      </c>
      <c r="C23" s="2">
        <f t="shared" si="0"/>
        <v>0</v>
      </c>
      <c r="D23" s="2">
        <f t="shared" si="1"/>
        <v>0</v>
      </c>
      <c r="E23" s="2">
        <f t="shared" si="2"/>
        <v>0</v>
      </c>
      <c r="F23" s="2">
        <f t="shared" si="3"/>
        <v>0</v>
      </c>
      <c r="G23" s="18">
        <f t="shared" si="4"/>
        <v>0</v>
      </c>
    </row>
    <row r="24" spans="1:13" x14ac:dyDescent="0.3">
      <c r="A24" s="16">
        <f t="shared" si="6"/>
        <v>6</v>
      </c>
      <c r="B24" s="2">
        <f t="shared" si="5"/>
        <v>0</v>
      </c>
      <c r="C24" s="2">
        <f t="shared" si="0"/>
        <v>0</v>
      </c>
      <c r="D24" s="2">
        <f t="shared" si="1"/>
        <v>0</v>
      </c>
      <c r="E24" s="2">
        <f t="shared" si="2"/>
        <v>0</v>
      </c>
      <c r="F24" s="2">
        <f t="shared" si="3"/>
        <v>0</v>
      </c>
      <c r="G24" s="18">
        <f t="shared" si="4"/>
        <v>0</v>
      </c>
    </row>
    <row r="25" spans="1:13" x14ac:dyDescent="0.3">
      <c r="A25" s="16">
        <f t="shared" si="6"/>
        <v>7</v>
      </c>
      <c r="B25" s="2">
        <f t="shared" si="5"/>
        <v>0</v>
      </c>
      <c r="C25" s="2">
        <f t="shared" si="0"/>
        <v>0</v>
      </c>
      <c r="D25" s="2">
        <f t="shared" si="1"/>
        <v>0</v>
      </c>
      <c r="E25" s="2">
        <f t="shared" si="2"/>
        <v>0</v>
      </c>
      <c r="F25" s="2">
        <f t="shared" si="3"/>
        <v>0</v>
      </c>
      <c r="G25" s="18">
        <f t="shared" si="4"/>
        <v>0</v>
      </c>
    </row>
    <row r="26" spans="1:13" x14ac:dyDescent="0.3">
      <c r="A26" s="16">
        <f t="shared" si="6"/>
        <v>8</v>
      </c>
      <c r="B26" s="2">
        <f t="shared" si="5"/>
        <v>0</v>
      </c>
      <c r="C26" s="2">
        <f t="shared" si="0"/>
        <v>0</v>
      </c>
      <c r="D26" s="2">
        <f t="shared" si="1"/>
        <v>0</v>
      </c>
      <c r="E26" s="2">
        <f t="shared" si="2"/>
        <v>0</v>
      </c>
      <c r="F26" s="2">
        <f t="shared" si="3"/>
        <v>0</v>
      </c>
      <c r="G26" s="18">
        <f t="shared" si="4"/>
        <v>0</v>
      </c>
    </row>
    <row r="27" spans="1:13" x14ac:dyDescent="0.3">
      <c r="A27" s="16">
        <f t="shared" si="6"/>
        <v>9</v>
      </c>
      <c r="B27" s="2">
        <f t="shared" si="5"/>
        <v>0</v>
      </c>
      <c r="C27" s="2">
        <f t="shared" si="0"/>
        <v>0</v>
      </c>
      <c r="D27" s="2">
        <f t="shared" si="1"/>
        <v>0</v>
      </c>
      <c r="E27" s="2">
        <f t="shared" si="2"/>
        <v>0</v>
      </c>
      <c r="F27" s="2">
        <f t="shared" si="3"/>
        <v>0</v>
      </c>
      <c r="G27" s="18">
        <f t="shared" si="4"/>
        <v>0</v>
      </c>
    </row>
    <row r="28" spans="1:13" x14ac:dyDescent="0.3">
      <c r="A28" s="16">
        <f t="shared" si="6"/>
        <v>10</v>
      </c>
      <c r="B28" s="2">
        <f t="shared" si="5"/>
        <v>0</v>
      </c>
      <c r="C28" s="2">
        <f t="shared" si="0"/>
        <v>0</v>
      </c>
      <c r="D28" s="2">
        <f t="shared" si="1"/>
        <v>0</v>
      </c>
      <c r="E28" s="2">
        <f t="shared" si="2"/>
        <v>0</v>
      </c>
      <c r="F28" s="2">
        <f t="shared" si="3"/>
        <v>0</v>
      </c>
      <c r="G28" s="18">
        <f t="shared" si="4"/>
        <v>0</v>
      </c>
    </row>
    <row r="29" spans="1:13" x14ac:dyDescent="0.3">
      <c r="A29" s="16">
        <f t="shared" si="6"/>
        <v>11</v>
      </c>
      <c r="B29" s="2">
        <f t="shared" si="5"/>
        <v>0</v>
      </c>
      <c r="C29" s="2">
        <f t="shared" si="0"/>
        <v>0</v>
      </c>
      <c r="D29" s="2">
        <f t="shared" si="1"/>
        <v>0</v>
      </c>
      <c r="E29" s="2">
        <f t="shared" si="2"/>
        <v>0</v>
      </c>
      <c r="F29" s="2">
        <f t="shared" si="3"/>
        <v>0</v>
      </c>
      <c r="G29" s="18">
        <f t="shared" si="4"/>
        <v>0</v>
      </c>
    </row>
    <row r="30" spans="1:13" x14ac:dyDescent="0.3">
      <c r="A30" s="16">
        <f t="shared" si="6"/>
        <v>12</v>
      </c>
      <c r="B30" s="2">
        <f t="shared" si="5"/>
        <v>0</v>
      </c>
      <c r="C30" s="2">
        <f t="shared" si="0"/>
        <v>0</v>
      </c>
      <c r="D30" s="2">
        <f t="shared" si="1"/>
        <v>0</v>
      </c>
      <c r="E30" s="2">
        <f t="shared" si="2"/>
        <v>0</v>
      </c>
      <c r="F30" s="2">
        <f t="shared" si="3"/>
        <v>0</v>
      </c>
      <c r="G30" s="18">
        <f t="shared" si="4"/>
        <v>0</v>
      </c>
    </row>
    <row r="31" spans="1:13" x14ac:dyDescent="0.3">
      <c r="A31" s="16">
        <f t="shared" si="6"/>
        <v>13</v>
      </c>
      <c r="B31" s="2">
        <f t="shared" si="5"/>
        <v>0</v>
      </c>
      <c r="C31" s="2">
        <f t="shared" si="0"/>
        <v>0</v>
      </c>
      <c r="D31" s="2">
        <f t="shared" si="1"/>
        <v>0</v>
      </c>
      <c r="E31" s="2">
        <f t="shared" si="2"/>
        <v>0</v>
      </c>
      <c r="F31" s="2">
        <f t="shared" si="3"/>
        <v>0</v>
      </c>
      <c r="G31" s="18">
        <f t="shared" si="4"/>
        <v>0</v>
      </c>
    </row>
    <row r="32" spans="1:13" x14ac:dyDescent="0.3">
      <c r="A32" s="16">
        <f t="shared" si="6"/>
        <v>14</v>
      </c>
      <c r="B32" s="2">
        <f t="shared" si="5"/>
        <v>0</v>
      </c>
      <c r="C32" s="2">
        <f t="shared" si="0"/>
        <v>0</v>
      </c>
      <c r="D32" s="2">
        <f t="shared" si="1"/>
        <v>0</v>
      </c>
      <c r="E32" s="2">
        <f t="shared" si="2"/>
        <v>0</v>
      </c>
      <c r="F32" s="2">
        <f t="shared" si="3"/>
        <v>0</v>
      </c>
      <c r="G32" s="18">
        <f t="shared" si="4"/>
        <v>0</v>
      </c>
    </row>
    <row r="33" spans="1:7" x14ac:dyDescent="0.3">
      <c r="A33" s="16">
        <f t="shared" si="6"/>
        <v>15</v>
      </c>
      <c r="B33" s="2">
        <f t="shared" si="5"/>
        <v>0</v>
      </c>
      <c r="C33" s="2">
        <f t="shared" si="0"/>
        <v>0</v>
      </c>
      <c r="D33" s="2">
        <f t="shared" si="1"/>
        <v>0</v>
      </c>
      <c r="E33" s="2">
        <f t="shared" si="2"/>
        <v>0</v>
      </c>
      <c r="F33" s="2">
        <f t="shared" si="3"/>
        <v>0</v>
      </c>
      <c r="G33" s="18">
        <f t="shared" si="4"/>
        <v>0</v>
      </c>
    </row>
    <row r="34" spans="1:7" x14ac:dyDescent="0.3">
      <c r="A34" s="16">
        <f t="shared" si="6"/>
        <v>16</v>
      </c>
      <c r="B34" s="2">
        <f t="shared" si="5"/>
        <v>0</v>
      </c>
      <c r="C34" s="2">
        <f t="shared" si="0"/>
        <v>0</v>
      </c>
      <c r="D34" s="2">
        <f t="shared" si="1"/>
        <v>0</v>
      </c>
      <c r="E34" s="2">
        <f t="shared" si="2"/>
        <v>0</v>
      </c>
      <c r="F34" s="2">
        <f t="shared" si="3"/>
        <v>0</v>
      </c>
      <c r="G34" s="18">
        <f t="shared" si="4"/>
        <v>0</v>
      </c>
    </row>
    <row r="35" spans="1:7" x14ac:dyDescent="0.3">
      <c r="A35" s="16">
        <f t="shared" si="6"/>
        <v>17</v>
      </c>
      <c r="B35" s="2">
        <f t="shared" si="5"/>
        <v>0</v>
      </c>
      <c r="C35" s="2">
        <f t="shared" si="0"/>
        <v>0</v>
      </c>
      <c r="D35" s="2">
        <f t="shared" si="1"/>
        <v>0</v>
      </c>
      <c r="E35" s="2">
        <f t="shared" si="2"/>
        <v>0</v>
      </c>
      <c r="F35" s="2">
        <f t="shared" si="3"/>
        <v>0</v>
      </c>
      <c r="G35" s="18">
        <f t="shared" si="4"/>
        <v>0</v>
      </c>
    </row>
    <row r="36" spans="1:7" x14ac:dyDescent="0.3">
      <c r="A36" s="16">
        <f t="shared" si="6"/>
        <v>18</v>
      </c>
      <c r="B36" s="2">
        <f t="shared" si="5"/>
        <v>0</v>
      </c>
      <c r="C36" s="2">
        <f t="shared" si="0"/>
        <v>0</v>
      </c>
      <c r="D36" s="2">
        <f t="shared" si="1"/>
        <v>0</v>
      </c>
      <c r="E36" s="2">
        <f t="shared" si="2"/>
        <v>0</v>
      </c>
      <c r="F36" s="2">
        <f t="shared" si="3"/>
        <v>0</v>
      </c>
      <c r="G36" s="18">
        <f t="shared" si="4"/>
        <v>0</v>
      </c>
    </row>
    <row r="37" spans="1:7" x14ac:dyDescent="0.3">
      <c r="A37" s="16">
        <f t="shared" si="6"/>
        <v>19</v>
      </c>
      <c r="B37" s="2">
        <f t="shared" si="5"/>
        <v>0</v>
      </c>
      <c r="C37" s="2">
        <f t="shared" si="0"/>
        <v>0</v>
      </c>
      <c r="D37" s="2">
        <f t="shared" si="1"/>
        <v>0</v>
      </c>
      <c r="E37" s="2">
        <f t="shared" si="2"/>
        <v>0</v>
      </c>
      <c r="F37" s="2">
        <f t="shared" si="3"/>
        <v>0</v>
      </c>
      <c r="G37" s="18">
        <f t="shared" si="4"/>
        <v>0</v>
      </c>
    </row>
    <row r="38" spans="1:7" x14ac:dyDescent="0.3">
      <c r="A38" s="16">
        <f t="shared" si="6"/>
        <v>20</v>
      </c>
      <c r="B38" s="2">
        <f t="shared" si="5"/>
        <v>0</v>
      </c>
      <c r="C38" s="2">
        <f t="shared" si="0"/>
        <v>0</v>
      </c>
      <c r="D38" s="2">
        <f t="shared" si="1"/>
        <v>0</v>
      </c>
      <c r="E38" s="2">
        <f t="shared" si="2"/>
        <v>0</v>
      </c>
      <c r="F38" s="2">
        <f t="shared" si="3"/>
        <v>0</v>
      </c>
      <c r="G38" s="18">
        <f t="shared" si="4"/>
        <v>0</v>
      </c>
    </row>
    <row r="39" spans="1:7" x14ac:dyDescent="0.3">
      <c r="A39" s="16">
        <f t="shared" si="6"/>
        <v>21</v>
      </c>
      <c r="B39" s="2">
        <f t="shared" si="5"/>
        <v>0</v>
      </c>
      <c r="C39" s="2">
        <f t="shared" si="0"/>
        <v>0</v>
      </c>
      <c r="D39" s="2">
        <f t="shared" si="1"/>
        <v>0</v>
      </c>
      <c r="E39" s="2">
        <f t="shared" si="2"/>
        <v>0</v>
      </c>
      <c r="F39" s="2">
        <f t="shared" si="3"/>
        <v>0</v>
      </c>
      <c r="G39" s="18">
        <f t="shared" si="4"/>
        <v>0</v>
      </c>
    </row>
    <row r="40" spans="1:7" x14ac:dyDescent="0.3">
      <c r="A40" s="16">
        <f t="shared" si="6"/>
        <v>22</v>
      </c>
      <c r="B40" s="2">
        <f t="shared" si="5"/>
        <v>0</v>
      </c>
      <c r="C40" s="2">
        <f t="shared" si="0"/>
        <v>0</v>
      </c>
      <c r="D40" s="2">
        <f t="shared" si="1"/>
        <v>0</v>
      </c>
      <c r="E40" s="2">
        <f t="shared" si="2"/>
        <v>0</v>
      </c>
      <c r="F40" s="2">
        <f t="shared" si="3"/>
        <v>0</v>
      </c>
      <c r="G40" s="18">
        <f t="shared" si="4"/>
        <v>0</v>
      </c>
    </row>
    <row r="41" spans="1:7" x14ac:dyDescent="0.3">
      <c r="A41" s="16">
        <f t="shared" si="6"/>
        <v>23</v>
      </c>
      <c r="B41" s="2">
        <f t="shared" si="5"/>
        <v>0</v>
      </c>
      <c r="C41" s="2">
        <f t="shared" si="0"/>
        <v>0</v>
      </c>
      <c r="D41" s="2">
        <f t="shared" si="1"/>
        <v>0</v>
      </c>
      <c r="E41" s="2">
        <f t="shared" si="2"/>
        <v>0</v>
      </c>
      <c r="F41" s="2">
        <f t="shared" si="3"/>
        <v>0</v>
      </c>
      <c r="G41" s="18">
        <f t="shared" si="4"/>
        <v>0</v>
      </c>
    </row>
    <row r="42" spans="1:7" x14ac:dyDescent="0.3">
      <c r="A42" s="16">
        <f t="shared" si="6"/>
        <v>24</v>
      </c>
      <c r="B42" s="2">
        <f t="shared" si="5"/>
        <v>0</v>
      </c>
      <c r="C42" s="2">
        <f t="shared" si="0"/>
        <v>0</v>
      </c>
      <c r="D42" s="2">
        <f t="shared" si="1"/>
        <v>0</v>
      </c>
      <c r="E42" s="2">
        <f t="shared" si="2"/>
        <v>0</v>
      </c>
      <c r="F42" s="2">
        <f t="shared" si="3"/>
        <v>0</v>
      </c>
      <c r="G42" s="18">
        <f t="shared" si="4"/>
        <v>0</v>
      </c>
    </row>
    <row r="43" spans="1:7" x14ac:dyDescent="0.3">
      <c r="A43" s="16">
        <f t="shared" si="6"/>
        <v>25</v>
      </c>
      <c r="B43" s="2">
        <f t="shared" si="5"/>
        <v>0</v>
      </c>
      <c r="C43" s="2">
        <f t="shared" si="0"/>
        <v>0</v>
      </c>
      <c r="D43" s="2">
        <f t="shared" si="1"/>
        <v>0</v>
      </c>
      <c r="E43" s="2">
        <f t="shared" si="2"/>
        <v>0</v>
      </c>
      <c r="F43" s="2">
        <f t="shared" si="3"/>
        <v>0</v>
      </c>
      <c r="G43" s="18">
        <f t="shared" si="4"/>
        <v>0</v>
      </c>
    </row>
    <row r="44" spans="1:7" x14ac:dyDescent="0.3">
      <c r="A44" s="16">
        <f t="shared" si="6"/>
        <v>26</v>
      </c>
      <c r="B44" s="2">
        <f t="shared" si="5"/>
        <v>0</v>
      </c>
      <c r="C44" s="2">
        <f t="shared" si="0"/>
        <v>0</v>
      </c>
      <c r="D44" s="2">
        <f t="shared" si="1"/>
        <v>0</v>
      </c>
      <c r="E44" s="2">
        <f t="shared" si="2"/>
        <v>0</v>
      </c>
      <c r="F44" s="2">
        <f t="shared" si="3"/>
        <v>0</v>
      </c>
      <c r="G44" s="18">
        <f t="shared" si="4"/>
        <v>0</v>
      </c>
    </row>
    <row r="45" spans="1:7" x14ac:dyDescent="0.3">
      <c r="A45" s="16">
        <f t="shared" si="6"/>
        <v>27</v>
      </c>
      <c r="B45" s="2">
        <f t="shared" si="5"/>
        <v>0</v>
      </c>
      <c r="C45" s="2">
        <f t="shared" si="0"/>
        <v>0</v>
      </c>
      <c r="D45" s="2">
        <f t="shared" si="1"/>
        <v>0</v>
      </c>
      <c r="E45" s="2">
        <f t="shared" si="2"/>
        <v>0</v>
      </c>
      <c r="F45" s="2">
        <f t="shared" si="3"/>
        <v>0</v>
      </c>
      <c r="G45" s="18">
        <f t="shared" si="4"/>
        <v>0</v>
      </c>
    </row>
    <row r="46" spans="1:7" x14ac:dyDescent="0.3">
      <c r="A46" s="16">
        <f t="shared" si="6"/>
        <v>28</v>
      </c>
      <c r="B46" s="2">
        <f t="shared" si="5"/>
        <v>0</v>
      </c>
      <c r="C46" s="2">
        <f t="shared" si="0"/>
        <v>0</v>
      </c>
      <c r="D46" s="2">
        <f t="shared" si="1"/>
        <v>0</v>
      </c>
      <c r="E46" s="2">
        <f t="shared" si="2"/>
        <v>0</v>
      </c>
      <c r="F46" s="2">
        <f t="shared" si="3"/>
        <v>0</v>
      </c>
      <c r="G46" s="18">
        <f t="shared" si="4"/>
        <v>0</v>
      </c>
    </row>
    <row r="47" spans="1:7" x14ac:dyDescent="0.3">
      <c r="A47" s="16">
        <f t="shared" si="6"/>
        <v>29</v>
      </c>
      <c r="B47" s="2">
        <f t="shared" si="5"/>
        <v>0</v>
      </c>
      <c r="C47" s="2">
        <f t="shared" si="0"/>
        <v>0</v>
      </c>
      <c r="D47" s="2">
        <f t="shared" si="1"/>
        <v>0</v>
      </c>
      <c r="E47" s="2">
        <f t="shared" si="2"/>
        <v>0</v>
      </c>
      <c r="F47" s="2">
        <f t="shared" si="3"/>
        <v>0</v>
      </c>
      <c r="G47" s="18">
        <f t="shared" si="4"/>
        <v>0</v>
      </c>
    </row>
    <row r="48" spans="1:7" x14ac:dyDescent="0.3">
      <c r="A48" s="16">
        <f t="shared" si="6"/>
        <v>30</v>
      </c>
      <c r="B48" s="2">
        <f t="shared" si="5"/>
        <v>0</v>
      </c>
      <c r="C48" s="2">
        <f t="shared" si="0"/>
        <v>0</v>
      </c>
      <c r="D48" s="2">
        <f t="shared" si="1"/>
        <v>0</v>
      </c>
      <c r="E48" s="2">
        <f t="shared" si="2"/>
        <v>0</v>
      </c>
      <c r="F48" s="2">
        <f t="shared" si="3"/>
        <v>0</v>
      </c>
      <c r="G48" s="18">
        <f t="shared" si="4"/>
        <v>0</v>
      </c>
    </row>
    <row r="49" spans="1:7" x14ac:dyDescent="0.3">
      <c r="A49" s="16">
        <f t="shared" si="6"/>
        <v>31</v>
      </c>
      <c r="B49" s="2">
        <f t="shared" si="5"/>
        <v>0</v>
      </c>
      <c r="C49" s="2">
        <f t="shared" si="0"/>
        <v>0</v>
      </c>
      <c r="D49" s="2">
        <f t="shared" si="1"/>
        <v>0</v>
      </c>
      <c r="E49" s="2">
        <f t="shared" si="2"/>
        <v>0</v>
      </c>
      <c r="F49" s="2">
        <f t="shared" si="3"/>
        <v>0</v>
      </c>
      <c r="G49" s="18">
        <f t="shared" si="4"/>
        <v>0</v>
      </c>
    </row>
    <row r="50" spans="1:7" x14ac:dyDescent="0.3">
      <c r="A50" s="16">
        <f t="shared" si="6"/>
        <v>32</v>
      </c>
      <c r="B50" s="2">
        <f t="shared" si="5"/>
        <v>0</v>
      </c>
      <c r="C50" s="2">
        <f t="shared" si="0"/>
        <v>0</v>
      </c>
      <c r="D50" s="2">
        <f t="shared" si="1"/>
        <v>0</v>
      </c>
      <c r="E50" s="2">
        <f t="shared" si="2"/>
        <v>0</v>
      </c>
      <c r="F50" s="2">
        <f t="shared" si="3"/>
        <v>0</v>
      </c>
      <c r="G50" s="18">
        <f t="shared" si="4"/>
        <v>0</v>
      </c>
    </row>
    <row r="51" spans="1:7" x14ac:dyDescent="0.3">
      <c r="A51" s="16">
        <f t="shared" si="6"/>
        <v>33</v>
      </c>
      <c r="B51" s="2">
        <f t="shared" si="5"/>
        <v>0</v>
      </c>
      <c r="C51" s="2">
        <f t="shared" ref="C51:C82" si="7">IF(ISERROR(IPMT(C$6/12,A51,$C$8,-$B$19,0)),0,IPMT(C$6/12,A51,$C$8,-$B$19,0))</f>
        <v>0</v>
      </c>
      <c r="D51" s="2">
        <f t="shared" ref="D51:D82" si="8">IF(ISERROR(PPMT($C$6/12,$A51,$C$8,-$B$19,0)),0,PPMT($C$6/12,$A51,$C$8,-$B$19,0))</f>
        <v>0</v>
      </c>
      <c r="E51" s="2">
        <f t="shared" si="2"/>
        <v>0</v>
      </c>
      <c r="F51" s="2">
        <f t="shared" si="3"/>
        <v>0</v>
      </c>
      <c r="G51" s="18">
        <f t="shared" ref="G51:G82" si="9">E51/$C$10</f>
        <v>0</v>
      </c>
    </row>
    <row r="52" spans="1:7" x14ac:dyDescent="0.3">
      <c r="A52" s="16">
        <f t="shared" si="6"/>
        <v>34</v>
      </c>
      <c r="B52" s="2">
        <f t="shared" si="5"/>
        <v>0</v>
      </c>
      <c r="C52" s="2">
        <f t="shared" si="7"/>
        <v>0</v>
      </c>
      <c r="D52" s="2">
        <f t="shared" si="8"/>
        <v>0</v>
      </c>
      <c r="E52" s="2">
        <f t="shared" si="2"/>
        <v>0</v>
      </c>
      <c r="F52" s="2">
        <f t="shared" si="3"/>
        <v>0</v>
      </c>
      <c r="G52" s="18">
        <f t="shared" si="9"/>
        <v>0</v>
      </c>
    </row>
    <row r="53" spans="1:7" x14ac:dyDescent="0.3">
      <c r="A53" s="16">
        <f t="shared" si="6"/>
        <v>35</v>
      </c>
      <c r="B53" s="2">
        <f t="shared" si="5"/>
        <v>0</v>
      </c>
      <c r="C53" s="2">
        <f t="shared" si="7"/>
        <v>0</v>
      </c>
      <c r="D53" s="2">
        <f t="shared" si="8"/>
        <v>0</v>
      </c>
      <c r="E53" s="2">
        <f t="shared" si="2"/>
        <v>0</v>
      </c>
      <c r="F53" s="2">
        <f t="shared" si="3"/>
        <v>0</v>
      </c>
      <c r="G53" s="18">
        <f t="shared" si="9"/>
        <v>0</v>
      </c>
    </row>
    <row r="54" spans="1:7" x14ac:dyDescent="0.3">
      <c r="A54" s="16">
        <f t="shared" si="6"/>
        <v>36</v>
      </c>
      <c r="B54" s="2">
        <f t="shared" si="5"/>
        <v>0</v>
      </c>
      <c r="C54" s="2">
        <f t="shared" si="7"/>
        <v>0</v>
      </c>
      <c r="D54" s="2">
        <f t="shared" si="8"/>
        <v>0</v>
      </c>
      <c r="E54" s="2">
        <f t="shared" si="2"/>
        <v>0</v>
      </c>
      <c r="F54" s="2">
        <f t="shared" si="3"/>
        <v>0</v>
      </c>
      <c r="G54" s="18">
        <f t="shared" si="9"/>
        <v>0</v>
      </c>
    </row>
    <row r="55" spans="1:7" x14ac:dyDescent="0.3">
      <c r="A55" s="16">
        <f t="shared" si="6"/>
        <v>37</v>
      </c>
      <c r="B55" s="2">
        <f t="shared" si="5"/>
        <v>0</v>
      </c>
      <c r="C55" s="2">
        <f t="shared" si="7"/>
        <v>0</v>
      </c>
      <c r="D55" s="2">
        <f t="shared" si="8"/>
        <v>0</v>
      </c>
      <c r="E55" s="2">
        <f t="shared" si="2"/>
        <v>0</v>
      </c>
      <c r="F55" s="2">
        <f t="shared" si="3"/>
        <v>0</v>
      </c>
      <c r="G55" s="18">
        <f t="shared" si="9"/>
        <v>0</v>
      </c>
    </row>
    <row r="56" spans="1:7" x14ac:dyDescent="0.3">
      <c r="A56" s="16">
        <f t="shared" si="6"/>
        <v>38</v>
      </c>
      <c r="B56" s="2">
        <f t="shared" si="5"/>
        <v>0</v>
      </c>
      <c r="C56" s="2">
        <f t="shared" si="7"/>
        <v>0</v>
      </c>
      <c r="D56" s="2">
        <f t="shared" si="8"/>
        <v>0</v>
      </c>
      <c r="E56" s="2">
        <f t="shared" si="2"/>
        <v>0</v>
      </c>
      <c r="F56" s="2">
        <f t="shared" si="3"/>
        <v>0</v>
      </c>
      <c r="G56" s="18">
        <f t="shared" si="9"/>
        <v>0</v>
      </c>
    </row>
    <row r="57" spans="1:7" x14ac:dyDescent="0.3">
      <c r="A57" s="16">
        <f t="shared" si="6"/>
        <v>39</v>
      </c>
      <c r="B57" s="2">
        <f t="shared" si="5"/>
        <v>0</v>
      </c>
      <c r="C57" s="2">
        <f t="shared" si="7"/>
        <v>0</v>
      </c>
      <c r="D57" s="2">
        <f t="shared" si="8"/>
        <v>0</v>
      </c>
      <c r="E57" s="2">
        <f t="shared" si="2"/>
        <v>0</v>
      </c>
      <c r="F57" s="2">
        <f t="shared" si="3"/>
        <v>0</v>
      </c>
      <c r="G57" s="18">
        <f t="shared" si="9"/>
        <v>0</v>
      </c>
    </row>
    <row r="58" spans="1:7" x14ac:dyDescent="0.3">
      <c r="A58" s="16">
        <f t="shared" si="6"/>
        <v>40</v>
      </c>
      <c r="B58" s="2">
        <f t="shared" si="5"/>
        <v>0</v>
      </c>
      <c r="C58" s="2">
        <f t="shared" si="7"/>
        <v>0</v>
      </c>
      <c r="D58" s="2">
        <f t="shared" si="8"/>
        <v>0</v>
      </c>
      <c r="E58" s="2">
        <f t="shared" si="2"/>
        <v>0</v>
      </c>
      <c r="F58" s="2">
        <f t="shared" si="3"/>
        <v>0</v>
      </c>
      <c r="G58" s="18">
        <f t="shared" si="9"/>
        <v>0</v>
      </c>
    </row>
    <row r="59" spans="1:7" x14ac:dyDescent="0.3">
      <c r="A59" s="16">
        <f t="shared" si="6"/>
        <v>41</v>
      </c>
      <c r="B59" s="2">
        <f t="shared" si="5"/>
        <v>0</v>
      </c>
      <c r="C59" s="2">
        <f t="shared" si="7"/>
        <v>0</v>
      </c>
      <c r="D59" s="2">
        <f t="shared" si="8"/>
        <v>0</v>
      </c>
      <c r="E59" s="2">
        <f t="shared" si="2"/>
        <v>0</v>
      </c>
      <c r="F59" s="2">
        <f t="shared" si="3"/>
        <v>0</v>
      </c>
      <c r="G59" s="18">
        <f t="shared" si="9"/>
        <v>0</v>
      </c>
    </row>
    <row r="60" spans="1:7" x14ac:dyDescent="0.3">
      <c r="A60" s="16">
        <f t="shared" si="6"/>
        <v>42</v>
      </c>
      <c r="B60" s="2">
        <f t="shared" si="5"/>
        <v>0</v>
      </c>
      <c r="C60" s="2">
        <f t="shared" si="7"/>
        <v>0</v>
      </c>
      <c r="D60" s="2">
        <f t="shared" si="8"/>
        <v>0</v>
      </c>
      <c r="E60" s="2">
        <f t="shared" si="2"/>
        <v>0</v>
      </c>
      <c r="F60" s="2">
        <f t="shared" si="3"/>
        <v>0</v>
      </c>
      <c r="G60" s="18">
        <f t="shared" si="9"/>
        <v>0</v>
      </c>
    </row>
    <row r="61" spans="1:7" x14ac:dyDescent="0.3">
      <c r="A61" s="16">
        <f t="shared" si="6"/>
        <v>43</v>
      </c>
      <c r="B61" s="2">
        <f t="shared" si="5"/>
        <v>0</v>
      </c>
      <c r="C61" s="2">
        <f t="shared" si="7"/>
        <v>0</v>
      </c>
      <c r="D61" s="2">
        <f t="shared" si="8"/>
        <v>0</v>
      </c>
      <c r="E61" s="2">
        <f t="shared" si="2"/>
        <v>0</v>
      </c>
      <c r="F61" s="2">
        <f t="shared" si="3"/>
        <v>0</v>
      </c>
      <c r="G61" s="18">
        <f t="shared" si="9"/>
        <v>0</v>
      </c>
    </row>
    <row r="62" spans="1:7" x14ac:dyDescent="0.3">
      <c r="A62" s="16">
        <f t="shared" si="6"/>
        <v>44</v>
      </c>
      <c r="B62" s="2">
        <f t="shared" si="5"/>
        <v>0</v>
      </c>
      <c r="C62" s="2">
        <f t="shared" si="7"/>
        <v>0</v>
      </c>
      <c r="D62" s="2">
        <f t="shared" si="8"/>
        <v>0</v>
      </c>
      <c r="E62" s="2">
        <f t="shared" si="2"/>
        <v>0</v>
      </c>
      <c r="F62" s="2">
        <f t="shared" si="3"/>
        <v>0</v>
      </c>
      <c r="G62" s="18">
        <f t="shared" si="9"/>
        <v>0</v>
      </c>
    </row>
    <row r="63" spans="1:7" x14ac:dyDescent="0.3">
      <c r="A63" s="16">
        <f t="shared" si="6"/>
        <v>45</v>
      </c>
      <c r="B63" s="2">
        <f t="shared" si="5"/>
        <v>0</v>
      </c>
      <c r="C63" s="2">
        <f t="shared" si="7"/>
        <v>0</v>
      </c>
      <c r="D63" s="2">
        <f t="shared" si="8"/>
        <v>0</v>
      </c>
      <c r="E63" s="2">
        <f t="shared" si="2"/>
        <v>0</v>
      </c>
      <c r="F63" s="2">
        <f t="shared" si="3"/>
        <v>0</v>
      </c>
      <c r="G63" s="18">
        <f t="shared" si="9"/>
        <v>0</v>
      </c>
    </row>
    <row r="64" spans="1:7" x14ac:dyDescent="0.3">
      <c r="A64" s="16">
        <f t="shared" si="6"/>
        <v>46</v>
      </c>
      <c r="B64" s="2">
        <f t="shared" si="5"/>
        <v>0</v>
      </c>
      <c r="C64" s="2">
        <f t="shared" si="7"/>
        <v>0</v>
      </c>
      <c r="D64" s="2">
        <f t="shared" si="8"/>
        <v>0</v>
      </c>
      <c r="E64" s="2">
        <f t="shared" si="2"/>
        <v>0</v>
      </c>
      <c r="F64" s="2">
        <f t="shared" si="3"/>
        <v>0</v>
      </c>
      <c r="G64" s="18">
        <f t="shared" si="9"/>
        <v>0</v>
      </c>
    </row>
    <row r="65" spans="1:7" x14ac:dyDescent="0.3">
      <c r="A65" s="16">
        <f t="shared" si="6"/>
        <v>47</v>
      </c>
      <c r="B65" s="2">
        <f t="shared" si="5"/>
        <v>0</v>
      </c>
      <c r="C65" s="2">
        <f t="shared" si="7"/>
        <v>0</v>
      </c>
      <c r="D65" s="2">
        <f t="shared" si="8"/>
        <v>0</v>
      </c>
      <c r="E65" s="2">
        <f t="shared" si="2"/>
        <v>0</v>
      </c>
      <c r="F65" s="2">
        <f t="shared" si="3"/>
        <v>0</v>
      </c>
      <c r="G65" s="18">
        <f t="shared" si="9"/>
        <v>0</v>
      </c>
    </row>
    <row r="66" spans="1:7" x14ac:dyDescent="0.3">
      <c r="A66" s="16">
        <f t="shared" si="6"/>
        <v>48</v>
      </c>
      <c r="B66" s="2">
        <f t="shared" si="5"/>
        <v>0</v>
      </c>
      <c r="C66" s="2">
        <f t="shared" si="7"/>
        <v>0</v>
      </c>
      <c r="D66" s="2">
        <f t="shared" si="8"/>
        <v>0</v>
      </c>
      <c r="E66" s="2">
        <f t="shared" si="2"/>
        <v>0</v>
      </c>
      <c r="F66" s="2">
        <f t="shared" si="3"/>
        <v>0</v>
      </c>
      <c r="G66" s="18">
        <f t="shared" si="9"/>
        <v>0</v>
      </c>
    </row>
    <row r="67" spans="1:7" x14ac:dyDescent="0.3">
      <c r="A67" s="16">
        <f t="shared" si="6"/>
        <v>49</v>
      </c>
      <c r="B67" s="2">
        <f t="shared" si="5"/>
        <v>0</v>
      </c>
      <c r="C67" s="2">
        <f t="shared" si="7"/>
        <v>0</v>
      </c>
      <c r="D67" s="2">
        <f t="shared" si="8"/>
        <v>0</v>
      </c>
      <c r="E67" s="2">
        <f t="shared" si="2"/>
        <v>0</v>
      </c>
      <c r="F67" s="2">
        <f t="shared" si="3"/>
        <v>0</v>
      </c>
      <c r="G67" s="18">
        <f t="shared" si="9"/>
        <v>0</v>
      </c>
    </row>
    <row r="68" spans="1:7" x14ac:dyDescent="0.3">
      <c r="A68" s="16">
        <f t="shared" si="6"/>
        <v>50</v>
      </c>
      <c r="B68" s="2">
        <f t="shared" si="5"/>
        <v>0</v>
      </c>
      <c r="C68" s="2">
        <f t="shared" si="7"/>
        <v>0</v>
      </c>
      <c r="D68" s="2">
        <f t="shared" si="8"/>
        <v>0</v>
      </c>
      <c r="E68" s="2">
        <f t="shared" si="2"/>
        <v>0</v>
      </c>
      <c r="F68" s="2">
        <f t="shared" si="3"/>
        <v>0</v>
      </c>
      <c r="G68" s="18">
        <f t="shared" si="9"/>
        <v>0</v>
      </c>
    </row>
    <row r="69" spans="1:7" x14ac:dyDescent="0.3">
      <c r="A69" s="16">
        <f t="shared" si="6"/>
        <v>51</v>
      </c>
      <c r="B69" s="2">
        <f t="shared" si="5"/>
        <v>0</v>
      </c>
      <c r="C69" s="2">
        <f t="shared" si="7"/>
        <v>0</v>
      </c>
      <c r="D69" s="2">
        <f t="shared" si="8"/>
        <v>0</v>
      </c>
      <c r="E69" s="2">
        <f t="shared" si="2"/>
        <v>0</v>
      </c>
      <c r="F69" s="2">
        <f t="shared" si="3"/>
        <v>0</v>
      </c>
      <c r="G69" s="18">
        <f t="shared" si="9"/>
        <v>0</v>
      </c>
    </row>
    <row r="70" spans="1:7" x14ac:dyDescent="0.3">
      <c r="A70" s="16">
        <f t="shared" si="6"/>
        <v>52</v>
      </c>
      <c r="B70" s="2">
        <f t="shared" si="5"/>
        <v>0</v>
      </c>
      <c r="C70" s="2">
        <f t="shared" si="7"/>
        <v>0</v>
      </c>
      <c r="D70" s="2">
        <f t="shared" si="8"/>
        <v>0</v>
      </c>
      <c r="E70" s="2">
        <f t="shared" si="2"/>
        <v>0</v>
      </c>
      <c r="F70" s="2">
        <f t="shared" si="3"/>
        <v>0</v>
      </c>
      <c r="G70" s="18">
        <f t="shared" si="9"/>
        <v>0</v>
      </c>
    </row>
    <row r="71" spans="1:7" x14ac:dyDescent="0.3">
      <c r="A71" s="16">
        <f t="shared" si="6"/>
        <v>53</v>
      </c>
      <c r="B71" s="2">
        <f t="shared" si="5"/>
        <v>0</v>
      </c>
      <c r="C71" s="2">
        <f t="shared" si="7"/>
        <v>0</v>
      </c>
      <c r="D71" s="2">
        <f t="shared" si="8"/>
        <v>0</v>
      </c>
      <c r="E71" s="2">
        <f t="shared" si="2"/>
        <v>0</v>
      </c>
      <c r="F71" s="2">
        <f t="shared" si="3"/>
        <v>0</v>
      </c>
      <c r="G71" s="18">
        <f t="shared" si="9"/>
        <v>0</v>
      </c>
    </row>
    <row r="72" spans="1:7" x14ac:dyDescent="0.3">
      <c r="A72" s="16">
        <f t="shared" si="6"/>
        <v>54</v>
      </c>
      <c r="B72" s="2">
        <f t="shared" si="5"/>
        <v>0</v>
      </c>
      <c r="C72" s="2">
        <f t="shared" si="7"/>
        <v>0</v>
      </c>
      <c r="D72" s="2">
        <f t="shared" si="8"/>
        <v>0</v>
      </c>
      <c r="E72" s="2">
        <f t="shared" si="2"/>
        <v>0</v>
      </c>
      <c r="F72" s="2">
        <f t="shared" si="3"/>
        <v>0</v>
      </c>
      <c r="G72" s="18">
        <f t="shared" si="9"/>
        <v>0</v>
      </c>
    </row>
    <row r="73" spans="1:7" x14ac:dyDescent="0.3">
      <c r="A73" s="16">
        <f t="shared" si="6"/>
        <v>55</v>
      </c>
      <c r="B73" s="2">
        <f t="shared" si="5"/>
        <v>0</v>
      </c>
      <c r="C73" s="2">
        <f t="shared" si="7"/>
        <v>0</v>
      </c>
      <c r="D73" s="2">
        <f t="shared" si="8"/>
        <v>0</v>
      </c>
      <c r="E73" s="2">
        <f t="shared" si="2"/>
        <v>0</v>
      </c>
      <c r="F73" s="2">
        <f t="shared" si="3"/>
        <v>0</v>
      </c>
      <c r="G73" s="18">
        <f t="shared" si="9"/>
        <v>0</v>
      </c>
    </row>
    <row r="74" spans="1:7" x14ac:dyDescent="0.3">
      <c r="A74" s="16">
        <f t="shared" si="6"/>
        <v>56</v>
      </c>
      <c r="B74" s="2">
        <f t="shared" si="5"/>
        <v>0</v>
      </c>
      <c r="C74" s="2">
        <f t="shared" si="7"/>
        <v>0</v>
      </c>
      <c r="D74" s="2">
        <f t="shared" si="8"/>
        <v>0</v>
      </c>
      <c r="E74" s="2">
        <f t="shared" si="2"/>
        <v>0</v>
      </c>
      <c r="F74" s="2">
        <f t="shared" si="3"/>
        <v>0</v>
      </c>
      <c r="G74" s="18">
        <f t="shared" si="9"/>
        <v>0</v>
      </c>
    </row>
    <row r="75" spans="1:7" x14ac:dyDescent="0.3">
      <c r="A75" s="16">
        <f t="shared" si="6"/>
        <v>57</v>
      </c>
      <c r="B75" s="2">
        <f t="shared" si="5"/>
        <v>0</v>
      </c>
      <c r="C75" s="2">
        <f t="shared" si="7"/>
        <v>0</v>
      </c>
      <c r="D75" s="2">
        <f t="shared" si="8"/>
        <v>0</v>
      </c>
      <c r="E75" s="2">
        <f t="shared" si="2"/>
        <v>0</v>
      </c>
      <c r="F75" s="2">
        <f t="shared" si="3"/>
        <v>0</v>
      </c>
      <c r="G75" s="18">
        <f t="shared" si="9"/>
        <v>0</v>
      </c>
    </row>
    <row r="76" spans="1:7" x14ac:dyDescent="0.3">
      <c r="A76" s="16">
        <f t="shared" si="6"/>
        <v>58</v>
      </c>
      <c r="B76" s="2">
        <f t="shared" si="5"/>
        <v>0</v>
      </c>
      <c r="C76" s="2">
        <f t="shared" si="7"/>
        <v>0</v>
      </c>
      <c r="D76" s="2">
        <f t="shared" si="8"/>
        <v>0</v>
      </c>
      <c r="E76" s="2">
        <f t="shared" si="2"/>
        <v>0</v>
      </c>
      <c r="F76" s="2">
        <f t="shared" si="3"/>
        <v>0</v>
      </c>
      <c r="G76" s="18">
        <f t="shared" si="9"/>
        <v>0</v>
      </c>
    </row>
    <row r="77" spans="1:7" x14ac:dyDescent="0.3">
      <c r="A77" s="16">
        <f t="shared" si="6"/>
        <v>59</v>
      </c>
      <c r="B77" s="2">
        <f t="shared" si="5"/>
        <v>0</v>
      </c>
      <c r="C77" s="2">
        <f t="shared" si="7"/>
        <v>0</v>
      </c>
      <c r="D77" s="2">
        <f t="shared" si="8"/>
        <v>0</v>
      </c>
      <c r="E77" s="2">
        <f t="shared" si="2"/>
        <v>0</v>
      </c>
      <c r="F77" s="2">
        <f t="shared" si="3"/>
        <v>0</v>
      </c>
      <c r="G77" s="18">
        <f t="shared" si="9"/>
        <v>0</v>
      </c>
    </row>
    <row r="78" spans="1:7" x14ac:dyDescent="0.3">
      <c r="A78" s="16">
        <f t="shared" si="6"/>
        <v>60</v>
      </c>
      <c r="B78" s="2">
        <f t="shared" si="5"/>
        <v>0</v>
      </c>
      <c r="C78" s="2">
        <f t="shared" si="7"/>
        <v>0</v>
      </c>
      <c r="D78" s="2">
        <f t="shared" si="8"/>
        <v>0</v>
      </c>
      <c r="E78" s="2">
        <f t="shared" si="2"/>
        <v>0</v>
      </c>
      <c r="F78" s="2">
        <f t="shared" si="3"/>
        <v>0</v>
      </c>
      <c r="G78" s="18">
        <f t="shared" si="9"/>
        <v>0</v>
      </c>
    </row>
    <row r="79" spans="1:7" x14ac:dyDescent="0.3">
      <c r="A79" s="16">
        <f t="shared" si="6"/>
        <v>61</v>
      </c>
      <c r="B79" s="2">
        <f t="shared" si="5"/>
        <v>0</v>
      </c>
      <c r="C79" s="2">
        <f t="shared" si="7"/>
        <v>0</v>
      </c>
      <c r="D79" s="2">
        <f t="shared" si="8"/>
        <v>0</v>
      </c>
      <c r="E79" s="2">
        <f t="shared" si="2"/>
        <v>0</v>
      </c>
      <c r="F79" s="2">
        <f t="shared" si="3"/>
        <v>0</v>
      </c>
      <c r="G79" s="18">
        <f t="shared" si="9"/>
        <v>0</v>
      </c>
    </row>
    <row r="80" spans="1:7" x14ac:dyDescent="0.3">
      <c r="A80" s="16">
        <f t="shared" si="6"/>
        <v>62</v>
      </c>
      <c r="B80" s="2">
        <f t="shared" si="5"/>
        <v>0</v>
      </c>
      <c r="C80" s="2">
        <f t="shared" si="7"/>
        <v>0</v>
      </c>
      <c r="D80" s="2">
        <f t="shared" si="8"/>
        <v>0</v>
      </c>
      <c r="E80" s="2">
        <f t="shared" si="2"/>
        <v>0</v>
      </c>
      <c r="F80" s="2">
        <f t="shared" si="3"/>
        <v>0</v>
      </c>
      <c r="G80" s="18">
        <f t="shared" si="9"/>
        <v>0</v>
      </c>
    </row>
    <row r="81" spans="1:7" x14ac:dyDescent="0.3">
      <c r="A81" s="16">
        <f t="shared" si="6"/>
        <v>63</v>
      </c>
      <c r="B81" s="2">
        <f t="shared" si="5"/>
        <v>0</v>
      </c>
      <c r="C81" s="2">
        <f t="shared" si="7"/>
        <v>0</v>
      </c>
      <c r="D81" s="2">
        <f t="shared" si="8"/>
        <v>0</v>
      </c>
      <c r="E81" s="2">
        <f t="shared" si="2"/>
        <v>0</v>
      </c>
      <c r="F81" s="2">
        <f t="shared" si="3"/>
        <v>0</v>
      </c>
      <c r="G81" s="18">
        <f t="shared" si="9"/>
        <v>0</v>
      </c>
    </row>
    <row r="82" spans="1:7" x14ac:dyDescent="0.3">
      <c r="A82" s="16">
        <f t="shared" si="6"/>
        <v>64</v>
      </c>
      <c r="B82" s="2">
        <f t="shared" si="5"/>
        <v>0</v>
      </c>
      <c r="C82" s="2">
        <f t="shared" si="7"/>
        <v>0</v>
      </c>
      <c r="D82" s="2">
        <f t="shared" si="8"/>
        <v>0</v>
      </c>
      <c r="E82" s="2">
        <f t="shared" si="2"/>
        <v>0</v>
      </c>
      <c r="F82" s="2">
        <f t="shared" si="3"/>
        <v>0</v>
      </c>
      <c r="G82" s="18">
        <f t="shared" si="9"/>
        <v>0</v>
      </c>
    </row>
    <row r="83" spans="1:7" x14ac:dyDescent="0.3">
      <c r="A83" s="16">
        <f t="shared" si="6"/>
        <v>65</v>
      </c>
      <c r="B83" s="2">
        <f t="shared" si="5"/>
        <v>0</v>
      </c>
      <c r="C83" s="2">
        <f t="shared" ref="C83:C114" si="10">IF(ISERROR(IPMT(C$6/12,A83,$C$8,-$B$19,0)),0,IPMT(C$6/12,A83,$C$8,-$B$19,0))</f>
        <v>0</v>
      </c>
      <c r="D83" s="2">
        <f t="shared" ref="D83:D114" si="11">IF(ISERROR(PPMT($C$6/12,$A83,$C$8,-$B$19,0)),0,PPMT($C$6/12,$A83,$C$8,-$B$19,0))</f>
        <v>0</v>
      </c>
      <c r="E83" s="2">
        <f t="shared" ref="E83:E146" si="12">+C83+D83</f>
        <v>0</v>
      </c>
      <c r="F83" s="2">
        <f t="shared" ref="F83:F146" si="13">+B83-D83</f>
        <v>0</v>
      </c>
      <c r="G83" s="18">
        <f t="shared" ref="G83:G114" si="14">E83/$C$10</f>
        <v>0</v>
      </c>
    </row>
    <row r="84" spans="1:7" x14ac:dyDescent="0.3">
      <c r="A84" s="16">
        <f t="shared" si="6"/>
        <v>66</v>
      </c>
      <c r="B84" s="2">
        <f t="shared" ref="B84:B147" si="15">+F83</f>
        <v>0</v>
      </c>
      <c r="C84" s="2">
        <f t="shared" si="10"/>
        <v>0</v>
      </c>
      <c r="D84" s="2">
        <f t="shared" si="11"/>
        <v>0</v>
      </c>
      <c r="E84" s="2">
        <f t="shared" si="12"/>
        <v>0</v>
      </c>
      <c r="F84" s="2">
        <f t="shared" si="13"/>
        <v>0</v>
      </c>
      <c r="G84" s="18">
        <f t="shared" si="14"/>
        <v>0</v>
      </c>
    </row>
    <row r="85" spans="1:7" x14ac:dyDescent="0.3">
      <c r="A85" s="16">
        <f t="shared" ref="A85:A148" si="16">A84+1</f>
        <v>67</v>
      </c>
      <c r="B85" s="2">
        <f t="shared" si="15"/>
        <v>0</v>
      </c>
      <c r="C85" s="2">
        <f t="shared" si="10"/>
        <v>0</v>
      </c>
      <c r="D85" s="2">
        <f t="shared" si="11"/>
        <v>0</v>
      </c>
      <c r="E85" s="2">
        <f t="shared" si="12"/>
        <v>0</v>
      </c>
      <c r="F85" s="2">
        <f t="shared" si="13"/>
        <v>0</v>
      </c>
      <c r="G85" s="18">
        <f t="shared" si="14"/>
        <v>0</v>
      </c>
    </row>
    <row r="86" spans="1:7" x14ac:dyDescent="0.3">
      <c r="A86" s="16">
        <f t="shared" si="16"/>
        <v>68</v>
      </c>
      <c r="B86" s="2">
        <f t="shared" si="15"/>
        <v>0</v>
      </c>
      <c r="C86" s="2">
        <f t="shared" si="10"/>
        <v>0</v>
      </c>
      <c r="D86" s="2">
        <f t="shared" si="11"/>
        <v>0</v>
      </c>
      <c r="E86" s="2">
        <f t="shared" si="12"/>
        <v>0</v>
      </c>
      <c r="F86" s="2">
        <f t="shared" si="13"/>
        <v>0</v>
      </c>
      <c r="G86" s="18">
        <f t="shared" si="14"/>
        <v>0</v>
      </c>
    </row>
    <row r="87" spans="1:7" x14ac:dyDescent="0.3">
      <c r="A87" s="16">
        <f t="shared" si="16"/>
        <v>69</v>
      </c>
      <c r="B87" s="2">
        <f t="shared" si="15"/>
        <v>0</v>
      </c>
      <c r="C87" s="2">
        <f t="shared" si="10"/>
        <v>0</v>
      </c>
      <c r="D87" s="2">
        <f t="shared" si="11"/>
        <v>0</v>
      </c>
      <c r="E87" s="2">
        <f t="shared" si="12"/>
        <v>0</v>
      </c>
      <c r="F87" s="2">
        <f t="shared" si="13"/>
        <v>0</v>
      </c>
      <c r="G87" s="18">
        <f t="shared" si="14"/>
        <v>0</v>
      </c>
    </row>
    <row r="88" spans="1:7" x14ac:dyDescent="0.3">
      <c r="A88" s="16">
        <f t="shared" si="16"/>
        <v>70</v>
      </c>
      <c r="B88" s="2">
        <f t="shared" si="15"/>
        <v>0</v>
      </c>
      <c r="C88" s="2">
        <f t="shared" si="10"/>
        <v>0</v>
      </c>
      <c r="D88" s="2">
        <f t="shared" si="11"/>
        <v>0</v>
      </c>
      <c r="E88" s="2">
        <f t="shared" si="12"/>
        <v>0</v>
      </c>
      <c r="F88" s="2">
        <f t="shared" si="13"/>
        <v>0</v>
      </c>
      <c r="G88" s="18">
        <f t="shared" si="14"/>
        <v>0</v>
      </c>
    </row>
    <row r="89" spans="1:7" x14ac:dyDescent="0.3">
      <c r="A89" s="16">
        <f t="shared" si="16"/>
        <v>71</v>
      </c>
      <c r="B89" s="2">
        <f t="shared" si="15"/>
        <v>0</v>
      </c>
      <c r="C89" s="2">
        <f t="shared" si="10"/>
        <v>0</v>
      </c>
      <c r="D89" s="2">
        <f t="shared" si="11"/>
        <v>0</v>
      </c>
      <c r="E89" s="2">
        <f t="shared" si="12"/>
        <v>0</v>
      </c>
      <c r="F89" s="2">
        <f t="shared" si="13"/>
        <v>0</v>
      </c>
      <c r="G89" s="18">
        <f t="shared" si="14"/>
        <v>0</v>
      </c>
    </row>
    <row r="90" spans="1:7" x14ac:dyDescent="0.3">
      <c r="A90" s="16">
        <f t="shared" si="16"/>
        <v>72</v>
      </c>
      <c r="B90" s="2">
        <f t="shared" si="15"/>
        <v>0</v>
      </c>
      <c r="C90" s="2">
        <f t="shared" si="10"/>
        <v>0</v>
      </c>
      <c r="D90" s="2">
        <f t="shared" si="11"/>
        <v>0</v>
      </c>
      <c r="E90" s="2">
        <f t="shared" si="12"/>
        <v>0</v>
      </c>
      <c r="F90" s="2">
        <f t="shared" si="13"/>
        <v>0</v>
      </c>
      <c r="G90" s="18">
        <f t="shared" si="14"/>
        <v>0</v>
      </c>
    </row>
    <row r="91" spans="1:7" x14ac:dyDescent="0.3">
      <c r="A91" s="16">
        <f t="shared" si="16"/>
        <v>73</v>
      </c>
      <c r="B91" s="2">
        <f t="shared" si="15"/>
        <v>0</v>
      </c>
      <c r="C91" s="2">
        <f t="shared" si="10"/>
        <v>0</v>
      </c>
      <c r="D91" s="2">
        <f t="shared" si="11"/>
        <v>0</v>
      </c>
      <c r="E91" s="2">
        <f t="shared" si="12"/>
        <v>0</v>
      </c>
      <c r="F91" s="2">
        <f t="shared" si="13"/>
        <v>0</v>
      </c>
      <c r="G91" s="18">
        <f t="shared" si="14"/>
        <v>0</v>
      </c>
    </row>
    <row r="92" spans="1:7" x14ac:dyDescent="0.3">
      <c r="A92" s="16">
        <f t="shared" si="16"/>
        <v>74</v>
      </c>
      <c r="B92" s="2">
        <f t="shared" si="15"/>
        <v>0</v>
      </c>
      <c r="C92" s="2">
        <f t="shared" si="10"/>
        <v>0</v>
      </c>
      <c r="D92" s="2">
        <f t="shared" si="11"/>
        <v>0</v>
      </c>
      <c r="E92" s="2">
        <f t="shared" si="12"/>
        <v>0</v>
      </c>
      <c r="F92" s="2">
        <f t="shared" si="13"/>
        <v>0</v>
      </c>
      <c r="G92" s="18">
        <f t="shared" si="14"/>
        <v>0</v>
      </c>
    </row>
    <row r="93" spans="1:7" x14ac:dyDescent="0.3">
      <c r="A93" s="16">
        <f t="shared" si="16"/>
        <v>75</v>
      </c>
      <c r="B93" s="2">
        <f t="shared" si="15"/>
        <v>0</v>
      </c>
      <c r="C93" s="2">
        <f t="shared" si="10"/>
        <v>0</v>
      </c>
      <c r="D93" s="2">
        <f t="shared" si="11"/>
        <v>0</v>
      </c>
      <c r="E93" s="2">
        <f t="shared" si="12"/>
        <v>0</v>
      </c>
      <c r="F93" s="2">
        <f t="shared" si="13"/>
        <v>0</v>
      </c>
      <c r="G93" s="18">
        <f t="shared" si="14"/>
        <v>0</v>
      </c>
    </row>
    <row r="94" spans="1:7" x14ac:dyDescent="0.3">
      <c r="A94" s="16">
        <f t="shared" si="16"/>
        <v>76</v>
      </c>
      <c r="B94" s="2">
        <f t="shared" si="15"/>
        <v>0</v>
      </c>
      <c r="C94" s="2">
        <f t="shared" si="10"/>
        <v>0</v>
      </c>
      <c r="D94" s="2">
        <f t="shared" si="11"/>
        <v>0</v>
      </c>
      <c r="E94" s="2">
        <f t="shared" si="12"/>
        <v>0</v>
      </c>
      <c r="F94" s="2">
        <f t="shared" si="13"/>
        <v>0</v>
      </c>
      <c r="G94" s="18">
        <f t="shared" si="14"/>
        <v>0</v>
      </c>
    </row>
    <row r="95" spans="1:7" x14ac:dyDescent="0.3">
      <c r="A95" s="16">
        <f t="shared" si="16"/>
        <v>77</v>
      </c>
      <c r="B95" s="2">
        <f t="shared" si="15"/>
        <v>0</v>
      </c>
      <c r="C95" s="2">
        <f t="shared" si="10"/>
        <v>0</v>
      </c>
      <c r="D95" s="2">
        <f t="shared" si="11"/>
        <v>0</v>
      </c>
      <c r="E95" s="2">
        <f t="shared" si="12"/>
        <v>0</v>
      </c>
      <c r="F95" s="2">
        <f t="shared" si="13"/>
        <v>0</v>
      </c>
      <c r="G95" s="18">
        <f t="shared" si="14"/>
        <v>0</v>
      </c>
    </row>
    <row r="96" spans="1:7" x14ac:dyDescent="0.3">
      <c r="A96" s="16">
        <f t="shared" si="16"/>
        <v>78</v>
      </c>
      <c r="B96" s="2">
        <f t="shared" si="15"/>
        <v>0</v>
      </c>
      <c r="C96" s="2">
        <f t="shared" si="10"/>
        <v>0</v>
      </c>
      <c r="D96" s="2">
        <f t="shared" si="11"/>
        <v>0</v>
      </c>
      <c r="E96" s="2">
        <f t="shared" si="12"/>
        <v>0</v>
      </c>
      <c r="F96" s="2">
        <f t="shared" si="13"/>
        <v>0</v>
      </c>
      <c r="G96" s="18">
        <f t="shared" si="14"/>
        <v>0</v>
      </c>
    </row>
    <row r="97" spans="1:7" x14ac:dyDescent="0.3">
      <c r="A97" s="16">
        <f t="shared" si="16"/>
        <v>79</v>
      </c>
      <c r="B97" s="2">
        <f t="shared" si="15"/>
        <v>0</v>
      </c>
      <c r="C97" s="2">
        <f t="shared" si="10"/>
        <v>0</v>
      </c>
      <c r="D97" s="2">
        <f t="shared" si="11"/>
        <v>0</v>
      </c>
      <c r="E97" s="2">
        <f t="shared" si="12"/>
        <v>0</v>
      </c>
      <c r="F97" s="2">
        <f t="shared" si="13"/>
        <v>0</v>
      </c>
      <c r="G97" s="18">
        <f t="shared" si="14"/>
        <v>0</v>
      </c>
    </row>
    <row r="98" spans="1:7" x14ac:dyDescent="0.3">
      <c r="A98" s="16">
        <f t="shared" si="16"/>
        <v>80</v>
      </c>
      <c r="B98" s="2">
        <f t="shared" si="15"/>
        <v>0</v>
      </c>
      <c r="C98" s="2">
        <f t="shared" si="10"/>
        <v>0</v>
      </c>
      <c r="D98" s="2">
        <f t="shared" si="11"/>
        <v>0</v>
      </c>
      <c r="E98" s="2">
        <f t="shared" si="12"/>
        <v>0</v>
      </c>
      <c r="F98" s="2">
        <f t="shared" si="13"/>
        <v>0</v>
      </c>
      <c r="G98" s="18">
        <f t="shared" si="14"/>
        <v>0</v>
      </c>
    </row>
    <row r="99" spans="1:7" x14ac:dyDescent="0.3">
      <c r="A99" s="16">
        <f t="shared" si="16"/>
        <v>81</v>
      </c>
      <c r="B99" s="2">
        <f t="shared" si="15"/>
        <v>0</v>
      </c>
      <c r="C99" s="2">
        <f t="shared" si="10"/>
        <v>0</v>
      </c>
      <c r="D99" s="2">
        <f t="shared" si="11"/>
        <v>0</v>
      </c>
      <c r="E99" s="2">
        <f t="shared" si="12"/>
        <v>0</v>
      </c>
      <c r="F99" s="2">
        <f t="shared" si="13"/>
        <v>0</v>
      </c>
      <c r="G99" s="18">
        <f t="shared" si="14"/>
        <v>0</v>
      </c>
    </row>
    <row r="100" spans="1:7" x14ac:dyDescent="0.3">
      <c r="A100" s="16">
        <f t="shared" si="16"/>
        <v>82</v>
      </c>
      <c r="B100" s="2">
        <f t="shared" si="15"/>
        <v>0</v>
      </c>
      <c r="C100" s="2">
        <f t="shared" si="10"/>
        <v>0</v>
      </c>
      <c r="D100" s="2">
        <f t="shared" si="11"/>
        <v>0</v>
      </c>
      <c r="E100" s="2">
        <f t="shared" si="12"/>
        <v>0</v>
      </c>
      <c r="F100" s="2">
        <f t="shared" si="13"/>
        <v>0</v>
      </c>
      <c r="G100" s="18">
        <f t="shared" si="14"/>
        <v>0</v>
      </c>
    </row>
    <row r="101" spans="1:7" x14ac:dyDescent="0.3">
      <c r="A101" s="16">
        <f t="shared" si="16"/>
        <v>83</v>
      </c>
      <c r="B101" s="2">
        <f t="shared" si="15"/>
        <v>0</v>
      </c>
      <c r="C101" s="2">
        <f t="shared" si="10"/>
        <v>0</v>
      </c>
      <c r="D101" s="2">
        <f t="shared" si="11"/>
        <v>0</v>
      </c>
      <c r="E101" s="2">
        <f t="shared" si="12"/>
        <v>0</v>
      </c>
      <c r="F101" s="2">
        <f t="shared" si="13"/>
        <v>0</v>
      </c>
      <c r="G101" s="18">
        <f t="shared" si="14"/>
        <v>0</v>
      </c>
    </row>
    <row r="102" spans="1:7" x14ac:dyDescent="0.3">
      <c r="A102" s="16">
        <f t="shared" si="16"/>
        <v>84</v>
      </c>
      <c r="B102" s="2">
        <f t="shared" si="15"/>
        <v>0</v>
      </c>
      <c r="C102" s="2">
        <f t="shared" si="10"/>
        <v>0</v>
      </c>
      <c r="D102" s="2">
        <f t="shared" si="11"/>
        <v>0</v>
      </c>
      <c r="E102" s="2">
        <f t="shared" si="12"/>
        <v>0</v>
      </c>
      <c r="F102" s="2">
        <f t="shared" si="13"/>
        <v>0</v>
      </c>
      <c r="G102" s="18">
        <f t="shared" si="14"/>
        <v>0</v>
      </c>
    </row>
    <row r="103" spans="1:7" x14ac:dyDescent="0.3">
      <c r="A103" s="16">
        <f t="shared" si="16"/>
        <v>85</v>
      </c>
      <c r="B103" s="2">
        <f t="shared" si="15"/>
        <v>0</v>
      </c>
      <c r="C103" s="2">
        <f t="shared" si="10"/>
        <v>0</v>
      </c>
      <c r="D103" s="2">
        <f t="shared" si="11"/>
        <v>0</v>
      </c>
      <c r="E103" s="2">
        <f t="shared" si="12"/>
        <v>0</v>
      </c>
      <c r="F103" s="2">
        <f t="shared" si="13"/>
        <v>0</v>
      </c>
      <c r="G103" s="18">
        <f t="shared" si="14"/>
        <v>0</v>
      </c>
    </row>
    <row r="104" spans="1:7" x14ac:dyDescent="0.3">
      <c r="A104" s="16">
        <f t="shared" si="16"/>
        <v>86</v>
      </c>
      <c r="B104" s="2">
        <f t="shared" si="15"/>
        <v>0</v>
      </c>
      <c r="C104" s="2">
        <f t="shared" si="10"/>
        <v>0</v>
      </c>
      <c r="D104" s="2">
        <f t="shared" si="11"/>
        <v>0</v>
      </c>
      <c r="E104" s="2">
        <f t="shared" si="12"/>
        <v>0</v>
      </c>
      <c r="F104" s="2">
        <f t="shared" si="13"/>
        <v>0</v>
      </c>
      <c r="G104" s="18">
        <f t="shared" si="14"/>
        <v>0</v>
      </c>
    </row>
    <row r="105" spans="1:7" x14ac:dyDescent="0.3">
      <c r="A105" s="16">
        <f t="shared" si="16"/>
        <v>87</v>
      </c>
      <c r="B105" s="2">
        <f t="shared" si="15"/>
        <v>0</v>
      </c>
      <c r="C105" s="2">
        <f t="shared" si="10"/>
        <v>0</v>
      </c>
      <c r="D105" s="2">
        <f t="shared" si="11"/>
        <v>0</v>
      </c>
      <c r="E105" s="2">
        <f t="shared" si="12"/>
        <v>0</v>
      </c>
      <c r="F105" s="2">
        <f t="shared" si="13"/>
        <v>0</v>
      </c>
      <c r="G105" s="18">
        <f t="shared" si="14"/>
        <v>0</v>
      </c>
    </row>
    <row r="106" spans="1:7" x14ac:dyDescent="0.3">
      <c r="A106" s="16">
        <f t="shared" si="16"/>
        <v>88</v>
      </c>
      <c r="B106" s="2">
        <f t="shared" si="15"/>
        <v>0</v>
      </c>
      <c r="C106" s="2">
        <f t="shared" si="10"/>
        <v>0</v>
      </c>
      <c r="D106" s="2">
        <f t="shared" si="11"/>
        <v>0</v>
      </c>
      <c r="E106" s="2">
        <f t="shared" si="12"/>
        <v>0</v>
      </c>
      <c r="F106" s="2">
        <f t="shared" si="13"/>
        <v>0</v>
      </c>
      <c r="G106" s="18">
        <f t="shared" si="14"/>
        <v>0</v>
      </c>
    </row>
    <row r="107" spans="1:7" x14ac:dyDescent="0.3">
      <c r="A107" s="16">
        <f t="shared" si="16"/>
        <v>89</v>
      </c>
      <c r="B107" s="2">
        <f t="shared" si="15"/>
        <v>0</v>
      </c>
      <c r="C107" s="2">
        <f t="shared" si="10"/>
        <v>0</v>
      </c>
      <c r="D107" s="2">
        <f t="shared" si="11"/>
        <v>0</v>
      </c>
      <c r="E107" s="2">
        <f t="shared" si="12"/>
        <v>0</v>
      </c>
      <c r="F107" s="2">
        <f t="shared" si="13"/>
        <v>0</v>
      </c>
      <c r="G107" s="18">
        <f t="shared" si="14"/>
        <v>0</v>
      </c>
    </row>
    <row r="108" spans="1:7" x14ac:dyDescent="0.3">
      <c r="A108" s="16">
        <f t="shared" si="16"/>
        <v>90</v>
      </c>
      <c r="B108" s="2">
        <f t="shared" si="15"/>
        <v>0</v>
      </c>
      <c r="C108" s="2">
        <f t="shared" si="10"/>
        <v>0</v>
      </c>
      <c r="D108" s="2">
        <f t="shared" si="11"/>
        <v>0</v>
      </c>
      <c r="E108" s="2">
        <f t="shared" si="12"/>
        <v>0</v>
      </c>
      <c r="F108" s="2">
        <f t="shared" si="13"/>
        <v>0</v>
      </c>
      <c r="G108" s="18">
        <f t="shared" si="14"/>
        <v>0</v>
      </c>
    </row>
    <row r="109" spans="1:7" x14ac:dyDescent="0.3">
      <c r="A109" s="16">
        <f t="shared" si="16"/>
        <v>91</v>
      </c>
      <c r="B109" s="2">
        <f t="shared" si="15"/>
        <v>0</v>
      </c>
      <c r="C109" s="2">
        <f t="shared" si="10"/>
        <v>0</v>
      </c>
      <c r="D109" s="2">
        <f t="shared" si="11"/>
        <v>0</v>
      </c>
      <c r="E109" s="2">
        <f t="shared" si="12"/>
        <v>0</v>
      </c>
      <c r="F109" s="2">
        <f t="shared" si="13"/>
        <v>0</v>
      </c>
      <c r="G109" s="18">
        <f t="shared" si="14"/>
        <v>0</v>
      </c>
    </row>
    <row r="110" spans="1:7" x14ac:dyDescent="0.3">
      <c r="A110" s="16">
        <f t="shared" si="16"/>
        <v>92</v>
      </c>
      <c r="B110" s="2">
        <f t="shared" si="15"/>
        <v>0</v>
      </c>
      <c r="C110" s="2">
        <f t="shared" si="10"/>
        <v>0</v>
      </c>
      <c r="D110" s="2">
        <f t="shared" si="11"/>
        <v>0</v>
      </c>
      <c r="E110" s="2">
        <f t="shared" si="12"/>
        <v>0</v>
      </c>
      <c r="F110" s="2">
        <f t="shared" si="13"/>
        <v>0</v>
      </c>
      <c r="G110" s="18">
        <f t="shared" si="14"/>
        <v>0</v>
      </c>
    </row>
    <row r="111" spans="1:7" x14ac:dyDescent="0.3">
      <c r="A111" s="16">
        <f t="shared" si="16"/>
        <v>93</v>
      </c>
      <c r="B111" s="2">
        <f t="shared" si="15"/>
        <v>0</v>
      </c>
      <c r="C111" s="2">
        <f t="shared" si="10"/>
        <v>0</v>
      </c>
      <c r="D111" s="2">
        <f t="shared" si="11"/>
        <v>0</v>
      </c>
      <c r="E111" s="2">
        <f t="shared" si="12"/>
        <v>0</v>
      </c>
      <c r="F111" s="2">
        <f t="shared" si="13"/>
        <v>0</v>
      </c>
      <c r="G111" s="18">
        <f t="shared" si="14"/>
        <v>0</v>
      </c>
    </row>
    <row r="112" spans="1:7" x14ac:dyDescent="0.3">
      <c r="A112" s="16">
        <f t="shared" si="16"/>
        <v>94</v>
      </c>
      <c r="B112" s="2">
        <f t="shared" si="15"/>
        <v>0</v>
      </c>
      <c r="C112" s="2">
        <f t="shared" si="10"/>
        <v>0</v>
      </c>
      <c r="D112" s="2">
        <f t="shared" si="11"/>
        <v>0</v>
      </c>
      <c r="E112" s="2">
        <f t="shared" si="12"/>
        <v>0</v>
      </c>
      <c r="F112" s="2">
        <f t="shared" si="13"/>
        <v>0</v>
      </c>
      <c r="G112" s="18">
        <f t="shared" si="14"/>
        <v>0</v>
      </c>
    </row>
    <row r="113" spans="1:7" x14ac:dyDescent="0.3">
      <c r="A113" s="16">
        <f t="shared" si="16"/>
        <v>95</v>
      </c>
      <c r="B113" s="2">
        <f t="shared" si="15"/>
        <v>0</v>
      </c>
      <c r="C113" s="2">
        <f t="shared" si="10"/>
        <v>0</v>
      </c>
      <c r="D113" s="2">
        <f t="shared" si="11"/>
        <v>0</v>
      </c>
      <c r="E113" s="2">
        <f t="shared" si="12"/>
        <v>0</v>
      </c>
      <c r="F113" s="2">
        <f t="shared" si="13"/>
        <v>0</v>
      </c>
      <c r="G113" s="18">
        <f t="shared" si="14"/>
        <v>0</v>
      </c>
    </row>
    <row r="114" spans="1:7" x14ac:dyDescent="0.3">
      <c r="A114" s="16">
        <f t="shared" si="16"/>
        <v>96</v>
      </c>
      <c r="B114" s="2">
        <f t="shared" si="15"/>
        <v>0</v>
      </c>
      <c r="C114" s="2">
        <f t="shared" si="10"/>
        <v>0</v>
      </c>
      <c r="D114" s="2">
        <f t="shared" si="11"/>
        <v>0</v>
      </c>
      <c r="E114" s="2">
        <f t="shared" si="12"/>
        <v>0</v>
      </c>
      <c r="F114" s="2">
        <f t="shared" si="13"/>
        <v>0</v>
      </c>
      <c r="G114" s="18">
        <f t="shared" si="14"/>
        <v>0</v>
      </c>
    </row>
    <row r="115" spans="1:7" x14ac:dyDescent="0.3">
      <c r="A115" s="16">
        <f t="shared" si="16"/>
        <v>97</v>
      </c>
      <c r="B115" s="2">
        <f t="shared" si="15"/>
        <v>0</v>
      </c>
      <c r="C115" s="2">
        <f t="shared" ref="C115:C150" si="17">IF(ISERROR(IPMT(C$6/12,A115,$C$8,-$B$19,0)),0,IPMT(C$6/12,A115,$C$8,-$B$19,0))</f>
        <v>0</v>
      </c>
      <c r="D115" s="2">
        <f t="shared" ref="D115:D150" si="18">IF(ISERROR(PPMT($C$6/12,$A115,$C$8,-$B$19,0)),0,PPMT($C$6/12,$A115,$C$8,-$B$19,0))</f>
        <v>0</v>
      </c>
      <c r="E115" s="2">
        <f t="shared" si="12"/>
        <v>0</v>
      </c>
      <c r="F115" s="2">
        <f t="shared" si="13"/>
        <v>0</v>
      </c>
      <c r="G115" s="18">
        <f t="shared" ref="G115:G150" si="19">E115/$C$10</f>
        <v>0</v>
      </c>
    </row>
    <row r="116" spans="1:7" x14ac:dyDescent="0.3">
      <c r="A116" s="16">
        <f t="shared" si="16"/>
        <v>98</v>
      </c>
      <c r="B116" s="2">
        <f t="shared" si="15"/>
        <v>0</v>
      </c>
      <c r="C116" s="2">
        <f t="shared" si="17"/>
        <v>0</v>
      </c>
      <c r="D116" s="2">
        <f t="shared" si="18"/>
        <v>0</v>
      </c>
      <c r="E116" s="2">
        <f t="shared" si="12"/>
        <v>0</v>
      </c>
      <c r="F116" s="2">
        <f t="shared" si="13"/>
        <v>0</v>
      </c>
      <c r="G116" s="18">
        <f t="shared" si="19"/>
        <v>0</v>
      </c>
    </row>
    <row r="117" spans="1:7" x14ac:dyDescent="0.3">
      <c r="A117" s="16">
        <f t="shared" si="16"/>
        <v>99</v>
      </c>
      <c r="B117" s="2">
        <f t="shared" si="15"/>
        <v>0</v>
      </c>
      <c r="C117" s="2">
        <f t="shared" si="17"/>
        <v>0</v>
      </c>
      <c r="D117" s="2">
        <f t="shared" si="18"/>
        <v>0</v>
      </c>
      <c r="E117" s="2">
        <f t="shared" si="12"/>
        <v>0</v>
      </c>
      <c r="F117" s="2">
        <f t="shared" si="13"/>
        <v>0</v>
      </c>
      <c r="G117" s="18">
        <f t="shared" si="19"/>
        <v>0</v>
      </c>
    </row>
    <row r="118" spans="1:7" x14ac:dyDescent="0.3">
      <c r="A118" s="16">
        <f t="shared" si="16"/>
        <v>100</v>
      </c>
      <c r="B118" s="2">
        <f t="shared" si="15"/>
        <v>0</v>
      </c>
      <c r="C118" s="2">
        <f t="shared" si="17"/>
        <v>0</v>
      </c>
      <c r="D118" s="2">
        <f t="shared" si="18"/>
        <v>0</v>
      </c>
      <c r="E118" s="2">
        <f t="shared" si="12"/>
        <v>0</v>
      </c>
      <c r="F118" s="2">
        <f t="shared" si="13"/>
        <v>0</v>
      </c>
      <c r="G118" s="18">
        <f t="shared" si="19"/>
        <v>0</v>
      </c>
    </row>
    <row r="119" spans="1:7" x14ac:dyDescent="0.3">
      <c r="A119" s="16">
        <f t="shared" si="16"/>
        <v>101</v>
      </c>
      <c r="B119" s="2">
        <f t="shared" si="15"/>
        <v>0</v>
      </c>
      <c r="C119" s="2">
        <f t="shared" si="17"/>
        <v>0</v>
      </c>
      <c r="D119" s="2">
        <f t="shared" si="18"/>
        <v>0</v>
      </c>
      <c r="E119" s="2">
        <f t="shared" si="12"/>
        <v>0</v>
      </c>
      <c r="F119" s="2">
        <f t="shared" si="13"/>
        <v>0</v>
      </c>
      <c r="G119" s="18">
        <f t="shared" si="19"/>
        <v>0</v>
      </c>
    </row>
    <row r="120" spans="1:7" x14ac:dyDescent="0.3">
      <c r="A120" s="16">
        <f t="shared" si="16"/>
        <v>102</v>
      </c>
      <c r="B120" s="2">
        <f t="shared" si="15"/>
        <v>0</v>
      </c>
      <c r="C120" s="2">
        <f t="shared" si="17"/>
        <v>0</v>
      </c>
      <c r="D120" s="2">
        <f t="shared" si="18"/>
        <v>0</v>
      </c>
      <c r="E120" s="2">
        <f t="shared" si="12"/>
        <v>0</v>
      </c>
      <c r="F120" s="2">
        <f t="shared" si="13"/>
        <v>0</v>
      </c>
      <c r="G120" s="18">
        <f t="shared" si="19"/>
        <v>0</v>
      </c>
    </row>
    <row r="121" spans="1:7" x14ac:dyDescent="0.3">
      <c r="A121" s="16">
        <f t="shared" si="16"/>
        <v>103</v>
      </c>
      <c r="B121" s="2">
        <f t="shared" si="15"/>
        <v>0</v>
      </c>
      <c r="C121" s="2">
        <f t="shared" si="17"/>
        <v>0</v>
      </c>
      <c r="D121" s="2">
        <f t="shared" si="18"/>
        <v>0</v>
      </c>
      <c r="E121" s="2">
        <f t="shared" si="12"/>
        <v>0</v>
      </c>
      <c r="F121" s="2">
        <f t="shared" si="13"/>
        <v>0</v>
      </c>
      <c r="G121" s="18">
        <f t="shared" si="19"/>
        <v>0</v>
      </c>
    </row>
    <row r="122" spans="1:7" x14ac:dyDescent="0.3">
      <c r="A122" s="16">
        <f t="shared" si="16"/>
        <v>104</v>
      </c>
      <c r="B122" s="2">
        <f t="shared" si="15"/>
        <v>0</v>
      </c>
      <c r="C122" s="2">
        <f t="shared" si="17"/>
        <v>0</v>
      </c>
      <c r="D122" s="2">
        <f t="shared" si="18"/>
        <v>0</v>
      </c>
      <c r="E122" s="2">
        <f t="shared" si="12"/>
        <v>0</v>
      </c>
      <c r="F122" s="2">
        <f t="shared" si="13"/>
        <v>0</v>
      </c>
      <c r="G122" s="18">
        <f t="shared" si="19"/>
        <v>0</v>
      </c>
    </row>
    <row r="123" spans="1:7" x14ac:dyDescent="0.3">
      <c r="A123" s="16">
        <f t="shared" si="16"/>
        <v>105</v>
      </c>
      <c r="B123" s="2">
        <f t="shared" si="15"/>
        <v>0</v>
      </c>
      <c r="C123" s="2">
        <f t="shared" si="17"/>
        <v>0</v>
      </c>
      <c r="D123" s="2">
        <f t="shared" si="18"/>
        <v>0</v>
      </c>
      <c r="E123" s="2">
        <f t="shared" si="12"/>
        <v>0</v>
      </c>
      <c r="F123" s="2">
        <f t="shared" si="13"/>
        <v>0</v>
      </c>
      <c r="G123" s="18">
        <f t="shared" si="19"/>
        <v>0</v>
      </c>
    </row>
    <row r="124" spans="1:7" x14ac:dyDescent="0.3">
      <c r="A124" s="16">
        <f t="shared" si="16"/>
        <v>106</v>
      </c>
      <c r="B124" s="2">
        <f t="shared" si="15"/>
        <v>0</v>
      </c>
      <c r="C124" s="2">
        <f t="shared" si="17"/>
        <v>0</v>
      </c>
      <c r="D124" s="2">
        <f t="shared" si="18"/>
        <v>0</v>
      </c>
      <c r="E124" s="2">
        <f t="shared" si="12"/>
        <v>0</v>
      </c>
      <c r="F124" s="2">
        <f t="shared" si="13"/>
        <v>0</v>
      </c>
      <c r="G124" s="18">
        <f t="shared" si="19"/>
        <v>0</v>
      </c>
    </row>
    <row r="125" spans="1:7" x14ac:dyDescent="0.3">
      <c r="A125" s="16">
        <f t="shared" si="16"/>
        <v>107</v>
      </c>
      <c r="B125" s="2">
        <f t="shared" si="15"/>
        <v>0</v>
      </c>
      <c r="C125" s="2">
        <f t="shared" si="17"/>
        <v>0</v>
      </c>
      <c r="D125" s="2">
        <f t="shared" si="18"/>
        <v>0</v>
      </c>
      <c r="E125" s="2">
        <f t="shared" si="12"/>
        <v>0</v>
      </c>
      <c r="F125" s="2">
        <f t="shared" si="13"/>
        <v>0</v>
      </c>
      <c r="G125" s="18">
        <f t="shared" si="19"/>
        <v>0</v>
      </c>
    </row>
    <row r="126" spans="1:7" x14ac:dyDescent="0.3">
      <c r="A126" s="16">
        <f t="shared" si="16"/>
        <v>108</v>
      </c>
      <c r="B126" s="2">
        <f t="shared" si="15"/>
        <v>0</v>
      </c>
      <c r="C126" s="2">
        <f t="shared" si="17"/>
        <v>0</v>
      </c>
      <c r="D126" s="2">
        <f t="shared" si="18"/>
        <v>0</v>
      </c>
      <c r="E126" s="2">
        <f t="shared" si="12"/>
        <v>0</v>
      </c>
      <c r="F126" s="2">
        <f t="shared" si="13"/>
        <v>0</v>
      </c>
      <c r="G126" s="18">
        <f t="shared" si="19"/>
        <v>0</v>
      </c>
    </row>
    <row r="127" spans="1:7" x14ac:dyDescent="0.3">
      <c r="A127" s="16">
        <f t="shared" si="16"/>
        <v>109</v>
      </c>
      <c r="B127" s="2">
        <f t="shared" si="15"/>
        <v>0</v>
      </c>
      <c r="C127" s="2">
        <f t="shared" si="17"/>
        <v>0</v>
      </c>
      <c r="D127" s="2">
        <f t="shared" si="18"/>
        <v>0</v>
      </c>
      <c r="E127" s="2">
        <f t="shared" si="12"/>
        <v>0</v>
      </c>
      <c r="F127" s="2">
        <f t="shared" si="13"/>
        <v>0</v>
      </c>
      <c r="G127" s="18">
        <f t="shared" si="19"/>
        <v>0</v>
      </c>
    </row>
    <row r="128" spans="1:7" x14ac:dyDescent="0.3">
      <c r="A128" s="16">
        <f t="shared" si="16"/>
        <v>110</v>
      </c>
      <c r="B128" s="2">
        <f t="shared" si="15"/>
        <v>0</v>
      </c>
      <c r="C128" s="2">
        <f t="shared" si="17"/>
        <v>0</v>
      </c>
      <c r="D128" s="2">
        <f t="shared" si="18"/>
        <v>0</v>
      </c>
      <c r="E128" s="2">
        <f t="shared" si="12"/>
        <v>0</v>
      </c>
      <c r="F128" s="2">
        <f t="shared" si="13"/>
        <v>0</v>
      </c>
      <c r="G128" s="18">
        <f t="shared" si="19"/>
        <v>0</v>
      </c>
    </row>
    <row r="129" spans="1:7" x14ac:dyDescent="0.3">
      <c r="A129" s="16">
        <f t="shared" si="16"/>
        <v>111</v>
      </c>
      <c r="B129" s="2">
        <f t="shared" si="15"/>
        <v>0</v>
      </c>
      <c r="C129" s="2">
        <f t="shared" si="17"/>
        <v>0</v>
      </c>
      <c r="D129" s="2">
        <f t="shared" si="18"/>
        <v>0</v>
      </c>
      <c r="E129" s="2">
        <f t="shared" si="12"/>
        <v>0</v>
      </c>
      <c r="F129" s="2">
        <f t="shared" si="13"/>
        <v>0</v>
      </c>
      <c r="G129" s="18">
        <f t="shared" si="19"/>
        <v>0</v>
      </c>
    </row>
    <row r="130" spans="1:7" x14ac:dyDescent="0.3">
      <c r="A130" s="16">
        <f t="shared" si="16"/>
        <v>112</v>
      </c>
      <c r="B130" s="2">
        <f t="shared" si="15"/>
        <v>0</v>
      </c>
      <c r="C130" s="2">
        <f t="shared" si="17"/>
        <v>0</v>
      </c>
      <c r="D130" s="2">
        <f t="shared" si="18"/>
        <v>0</v>
      </c>
      <c r="E130" s="2">
        <f t="shared" si="12"/>
        <v>0</v>
      </c>
      <c r="F130" s="2">
        <f t="shared" si="13"/>
        <v>0</v>
      </c>
      <c r="G130" s="18">
        <f t="shared" si="19"/>
        <v>0</v>
      </c>
    </row>
    <row r="131" spans="1:7" x14ac:dyDescent="0.3">
      <c r="A131" s="16">
        <f t="shared" si="16"/>
        <v>113</v>
      </c>
      <c r="B131" s="2">
        <f t="shared" si="15"/>
        <v>0</v>
      </c>
      <c r="C131" s="2">
        <f t="shared" si="17"/>
        <v>0</v>
      </c>
      <c r="D131" s="2">
        <f t="shared" si="18"/>
        <v>0</v>
      </c>
      <c r="E131" s="2">
        <f t="shared" si="12"/>
        <v>0</v>
      </c>
      <c r="F131" s="2">
        <f t="shared" si="13"/>
        <v>0</v>
      </c>
      <c r="G131" s="18">
        <f t="shared" si="19"/>
        <v>0</v>
      </c>
    </row>
    <row r="132" spans="1:7" x14ac:dyDescent="0.3">
      <c r="A132" s="16">
        <f t="shared" si="16"/>
        <v>114</v>
      </c>
      <c r="B132" s="2">
        <f t="shared" si="15"/>
        <v>0</v>
      </c>
      <c r="C132" s="2">
        <f t="shared" si="17"/>
        <v>0</v>
      </c>
      <c r="D132" s="2">
        <f t="shared" si="18"/>
        <v>0</v>
      </c>
      <c r="E132" s="2">
        <f t="shared" si="12"/>
        <v>0</v>
      </c>
      <c r="F132" s="2">
        <f t="shared" si="13"/>
        <v>0</v>
      </c>
      <c r="G132" s="18">
        <f t="shared" si="19"/>
        <v>0</v>
      </c>
    </row>
    <row r="133" spans="1:7" x14ac:dyDescent="0.3">
      <c r="A133" s="16">
        <f t="shared" si="16"/>
        <v>115</v>
      </c>
      <c r="B133" s="2">
        <f t="shared" si="15"/>
        <v>0</v>
      </c>
      <c r="C133" s="2">
        <f t="shared" si="17"/>
        <v>0</v>
      </c>
      <c r="D133" s="2">
        <f t="shared" si="18"/>
        <v>0</v>
      </c>
      <c r="E133" s="2">
        <f t="shared" si="12"/>
        <v>0</v>
      </c>
      <c r="F133" s="2">
        <f t="shared" si="13"/>
        <v>0</v>
      </c>
      <c r="G133" s="18">
        <f t="shared" si="19"/>
        <v>0</v>
      </c>
    </row>
    <row r="134" spans="1:7" x14ac:dyDescent="0.3">
      <c r="A134" s="16">
        <f t="shared" si="16"/>
        <v>116</v>
      </c>
      <c r="B134" s="2">
        <f t="shared" si="15"/>
        <v>0</v>
      </c>
      <c r="C134" s="2">
        <f t="shared" si="17"/>
        <v>0</v>
      </c>
      <c r="D134" s="2">
        <f t="shared" si="18"/>
        <v>0</v>
      </c>
      <c r="E134" s="2">
        <f t="shared" si="12"/>
        <v>0</v>
      </c>
      <c r="F134" s="2">
        <f t="shared" si="13"/>
        <v>0</v>
      </c>
      <c r="G134" s="18">
        <f t="shared" si="19"/>
        <v>0</v>
      </c>
    </row>
    <row r="135" spans="1:7" x14ac:dyDescent="0.3">
      <c r="A135" s="16">
        <f t="shared" si="16"/>
        <v>117</v>
      </c>
      <c r="B135" s="2">
        <f t="shared" si="15"/>
        <v>0</v>
      </c>
      <c r="C135" s="2">
        <f t="shared" si="17"/>
        <v>0</v>
      </c>
      <c r="D135" s="2">
        <f t="shared" si="18"/>
        <v>0</v>
      </c>
      <c r="E135" s="2">
        <f t="shared" si="12"/>
        <v>0</v>
      </c>
      <c r="F135" s="2">
        <f t="shared" si="13"/>
        <v>0</v>
      </c>
      <c r="G135" s="18">
        <f t="shared" si="19"/>
        <v>0</v>
      </c>
    </row>
    <row r="136" spans="1:7" x14ac:dyDescent="0.3">
      <c r="A136" s="16">
        <f t="shared" si="16"/>
        <v>118</v>
      </c>
      <c r="B136" s="2">
        <f t="shared" si="15"/>
        <v>0</v>
      </c>
      <c r="C136" s="2">
        <f t="shared" si="17"/>
        <v>0</v>
      </c>
      <c r="D136" s="2">
        <f t="shared" si="18"/>
        <v>0</v>
      </c>
      <c r="E136" s="2">
        <f t="shared" si="12"/>
        <v>0</v>
      </c>
      <c r="F136" s="2">
        <f t="shared" si="13"/>
        <v>0</v>
      </c>
      <c r="G136" s="18">
        <f t="shared" si="19"/>
        <v>0</v>
      </c>
    </row>
    <row r="137" spans="1:7" x14ac:dyDescent="0.3">
      <c r="A137" s="16">
        <f t="shared" si="16"/>
        <v>119</v>
      </c>
      <c r="B137" s="2">
        <f t="shared" si="15"/>
        <v>0</v>
      </c>
      <c r="C137" s="2">
        <f t="shared" si="17"/>
        <v>0</v>
      </c>
      <c r="D137" s="2">
        <f t="shared" si="18"/>
        <v>0</v>
      </c>
      <c r="E137" s="2">
        <f t="shared" si="12"/>
        <v>0</v>
      </c>
      <c r="F137" s="2">
        <f t="shared" si="13"/>
        <v>0</v>
      </c>
      <c r="G137" s="18">
        <f t="shared" si="19"/>
        <v>0</v>
      </c>
    </row>
    <row r="138" spans="1:7" x14ac:dyDescent="0.3">
      <c r="A138" s="16">
        <f t="shared" si="16"/>
        <v>120</v>
      </c>
      <c r="B138" s="2">
        <f t="shared" si="15"/>
        <v>0</v>
      </c>
      <c r="C138" s="2">
        <f t="shared" si="17"/>
        <v>0</v>
      </c>
      <c r="D138" s="2">
        <f t="shared" si="18"/>
        <v>0</v>
      </c>
      <c r="E138" s="2">
        <f t="shared" si="12"/>
        <v>0</v>
      </c>
      <c r="F138" s="2">
        <f t="shared" si="13"/>
        <v>0</v>
      </c>
      <c r="G138" s="18">
        <f t="shared" si="19"/>
        <v>0</v>
      </c>
    </row>
    <row r="139" spans="1:7" x14ac:dyDescent="0.3">
      <c r="A139" s="16">
        <f t="shared" si="16"/>
        <v>121</v>
      </c>
      <c r="B139" s="2">
        <f t="shared" si="15"/>
        <v>0</v>
      </c>
      <c r="C139" s="2">
        <f t="shared" si="17"/>
        <v>0</v>
      </c>
      <c r="D139" s="2">
        <f t="shared" si="18"/>
        <v>0</v>
      </c>
      <c r="E139" s="2">
        <f t="shared" si="12"/>
        <v>0</v>
      </c>
      <c r="F139" s="2">
        <f t="shared" si="13"/>
        <v>0</v>
      </c>
      <c r="G139" s="18">
        <f t="shared" si="19"/>
        <v>0</v>
      </c>
    </row>
    <row r="140" spans="1:7" x14ac:dyDescent="0.3">
      <c r="A140" s="16">
        <f t="shared" si="16"/>
        <v>122</v>
      </c>
      <c r="B140" s="2">
        <f t="shared" si="15"/>
        <v>0</v>
      </c>
      <c r="C140" s="2">
        <f t="shared" si="17"/>
        <v>0</v>
      </c>
      <c r="D140" s="2">
        <f t="shared" si="18"/>
        <v>0</v>
      </c>
      <c r="E140" s="2">
        <f t="shared" si="12"/>
        <v>0</v>
      </c>
      <c r="F140" s="2">
        <f t="shared" si="13"/>
        <v>0</v>
      </c>
      <c r="G140" s="18">
        <f t="shared" si="19"/>
        <v>0</v>
      </c>
    </row>
    <row r="141" spans="1:7" x14ac:dyDescent="0.3">
      <c r="A141" s="16">
        <f t="shared" si="16"/>
        <v>123</v>
      </c>
      <c r="B141" s="2">
        <f t="shared" si="15"/>
        <v>0</v>
      </c>
      <c r="C141" s="2">
        <f t="shared" si="17"/>
        <v>0</v>
      </c>
      <c r="D141" s="2">
        <f t="shared" si="18"/>
        <v>0</v>
      </c>
      <c r="E141" s="2">
        <f t="shared" si="12"/>
        <v>0</v>
      </c>
      <c r="F141" s="2">
        <f t="shared" si="13"/>
        <v>0</v>
      </c>
      <c r="G141" s="18">
        <f t="shared" si="19"/>
        <v>0</v>
      </c>
    </row>
    <row r="142" spans="1:7" x14ac:dyDescent="0.3">
      <c r="A142" s="16">
        <f t="shared" si="16"/>
        <v>124</v>
      </c>
      <c r="B142" s="2">
        <f t="shared" si="15"/>
        <v>0</v>
      </c>
      <c r="C142" s="2">
        <f t="shared" si="17"/>
        <v>0</v>
      </c>
      <c r="D142" s="2">
        <f t="shared" si="18"/>
        <v>0</v>
      </c>
      <c r="E142" s="2">
        <f t="shared" si="12"/>
        <v>0</v>
      </c>
      <c r="F142" s="2">
        <f t="shared" si="13"/>
        <v>0</v>
      </c>
      <c r="G142" s="18">
        <f t="shared" si="19"/>
        <v>0</v>
      </c>
    </row>
    <row r="143" spans="1:7" x14ac:dyDescent="0.3">
      <c r="A143" s="16">
        <f t="shared" si="16"/>
        <v>125</v>
      </c>
      <c r="B143" s="2">
        <f t="shared" si="15"/>
        <v>0</v>
      </c>
      <c r="C143" s="2">
        <f t="shared" si="17"/>
        <v>0</v>
      </c>
      <c r="D143" s="2">
        <f t="shared" si="18"/>
        <v>0</v>
      </c>
      <c r="E143" s="2">
        <f t="shared" si="12"/>
        <v>0</v>
      </c>
      <c r="F143" s="2">
        <f t="shared" si="13"/>
        <v>0</v>
      </c>
      <c r="G143" s="18">
        <f t="shared" si="19"/>
        <v>0</v>
      </c>
    </row>
    <row r="144" spans="1:7" x14ac:dyDescent="0.3">
      <c r="A144" s="16">
        <f t="shared" si="16"/>
        <v>126</v>
      </c>
      <c r="B144" s="2">
        <f t="shared" si="15"/>
        <v>0</v>
      </c>
      <c r="C144" s="2">
        <f t="shared" si="17"/>
        <v>0</v>
      </c>
      <c r="D144" s="2">
        <f t="shared" si="18"/>
        <v>0</v>
      </c>
      <c r="E144" s="2">
        <f t="shared" si="12"/>
        <v>0</v>
      </c>
      <c r="F144" s="2">
        <f t="shared" si="13"/>
        <v>0</v>
      </c>
      <c r="G144" s="18">
        <f t="shared" si="19"/>
        <v>0</v>
      </c>
    </row>
    <row r="145" spans="1:7" x14ac:dyDescent="0.3">
      <c r="A145" s="16">
        <f t="shared" si="16"/>
        <v>127</v>
      </c>
      <c r="B145" s="2">
        <f t="shared" si="15"/>
        <v>0</v>
      </c>
      <c r="C145" s="2">
        <f t="shared" si="17"/>
        <v>0</v>
      </c>
      <c r="D145" s="2">
        <f t="shared" si="18"/>
        <v>0</v>
      </c>
      <c r="E145" s="2">
        <f t="shared" si="12"/>
        <v>0</v>
      </c>
      <c r="F145" s="2">
        <f t="shared" si="13"/>
        <v>0</v>
      </c>
      <c r="G145" s="18">
        <f t="shared" si="19"/>
        <v>0</v>
      </c>
    </row>
    <row r="146" spans="1:7" x14ac:dyDescent="0.3">
      <c r="A146" s="16">
        <f t="shared" si="16"/>
        <v>128</v>
      </c>
      <c r="B146" s="2">
        <f t="shared" si="15"/>
        <v>0</v>
      </c>
      <c r="C146" s="2">
        <f t="shared" si="17"/>
        <v>0</v>
      </c>
      <c r="D146" s="2">
        <f t="shared" si="18"/>
        <v>0</v>
      </c>
      <c r="E146" s="2">
        <f t="shared" si="12"/>
        <v>0</v>
      </c>
      <c r="F146" s="2">
        <f t="shared" si="13"/>
        <v>0</v>
      </c>
      <c r="G146" s="18">
        <f t="shared" si="19"/>
        <v>0</v>
      </c>
    </row>
    <row r="147" spans="1:7" x14ac:dyDescent="0.3">
      <c r="A147" s="16">
        <f t="shared" si="16"/>
        <v>129</v>
      </c>
      <c r="B147" s="2">
        <f t="shared" si="15"/>
        <v>0</v>
      </c>
      <c r="C147" s="2">
        <f t="shared" si="17"/>
        <v>0</v>
      </c>
      <c r="D147" s="2">
        <f t="shared" si="18"/>
        <v>0</v>
      </c>
      <c r="E147" s="2">
        <f t="shared" ref="E147:E150" si="20">+C147+D147</f>
        <v>0</v>
      </c>
      <c r="F147" s="2">
        <f t="shared" ref="F147:F150" si="21">+B147-D147</f>
        <v>0</v>
      </c>
      <c r="G147" s="18">
        <f t="shared" si="19"/>
        <v>0</v>
      </c>
    </row>
    <row r="148" spans="1:7" x14ac:dyDescent="0.3">
      <c r="A148" s="16">
        <f t="shared" si="16"/>
        <v>130</v>
      </c>
      <c r="B148" s="2">
        <f t="shared" ref="B148:B150" si="22">+F147</f>
        <v>0</v>
      </c>
      <c r="C148" s="2">
        <f t="shared" si="17"/>
        <v>0</v>
      </c>
      <c r="D148" s="2">
        <f t="shared" si="18"/>
        <v>0</v>
      </c>
      <c r="E148" s="2">
        <f t="shared" si="20"/>
        <v>0</v>
      </c>
      <c r="F148" s="2">
        <f t="shared" si="21"/>
        <v>0</v>
      </c>
      <c r="G148" s="18">
        <f t="shared" si="19"/>
        <v>0</v>
      </c>
    </row>
    <row r="149" spans="1:7" x14ac:dyDescent="0.3">
      <c r="A149" s="16">
        <f t="shared" ref="A149:A150" si="23">A148+1</f>
        <v>131</v>
      </c>
      <c r="B149" s="2">
        <f t="shared" si="22"/>
        <v>0</v>
      </c>
      <c r="C149" s="2">
        <f t="shared" si="17"/>
        <v>0</v>
      </c>
      <c r="D149" s="2">
        <f t="shared" si="18"/>
        <v>0</v>
      </c>
      <c r="E149" s="2">
        <f t="shared" si="20"/>
        <v>0</v>
      </c>
      <c r="F149" s="2">
        <f t="shared" si="21"/>
        <v>0</v>
      </c>
      <c r="G149" s="18">
        <f t="shared" si="19"/>
        <v>0</v>
      </c>
    </row>
    <row r="150" spans="1:7" x14ac:dyDescent="0.3">
      <c r="A150" s="16">
        <f t="shared" si="23"/>
        <v>132</v>
      </c>
      <c r="B150" s="2">
        <f t="shared" si="22"/>
        <v>0</v>
      </c>
      <c r="C150" s="2">
        <f t="shared" si="17"/>
        <v>0</v>
      </c>
      <c r="D150" s="2">
        <f t="shared" si="18"/>
        <v>0</v>
      </c>
      <c r="E150" s="2">
        <f t="shared" si="20"/>
        <v>0</v>
      </c>
      <c r="F150" s="2">
        <f t="shared" si="21"/>
        <v>0</v>
      </c>
      <c r="G150" s="18">
        <f t="shared" si="19"/>
        <v>0</v>
      </c>
    </row>
  </sheetData>
  <pageMargins left="0.5" right="0.5" top="0.5" bottom="0.5" header="0.5" footer="0.5"/>
  <pageSetup scale="90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2"/>
  <dimension ref="A1:J50"/>
  <sheetViews>
    <sheetView workbookViewId="0">
      <pane xSplit="5" ySplit="1" topLeftCell="F24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3.441406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114</v>
      </c>
      <c r="D4" s="43"/>
      <c r="E4" s="43"/>
      <c r="F4" s="44"/>
      <c r="G4" s="45"/>
      <c r="H4" s="44"/>
      <c r="I4" s="45"/>
      <c r="J4" s="44"/>
    </row>
    <row r="5" spans="1:10" ht="15" thickBot="1" x14ac:dyDescent="0.35">
      <c r="A5" s="43"/>
      <c r="B5" s="43"/>
      <c r="C5" s="43"/>
      <c r="D5" s="43" t="s">
        <v>74</v>
      </c>
      <c r="E5" s="43"/>
      <c r="F5" s="46">
        <v>0</v>
      </c>
      <c r="G5" s="45"/>
      <c r="H5" s="46">
        <v>111179</v>
      </c>
      <c r="I5" s="45"/>
      <c r="J5" s="46">
        <v>40875</v>
      </c>
    </row>
    <row r="6" spans="1:10" x14ac:dyDescent="0.3">
      <c r="A6" s="43"/>
      <c r="B6" s="43"/>
      <c r="C6" s="43" t="s">
        <v>117</v>
      </c>
      <c r="D6" s="43"/>
      <c r="E6" s="43"/>
      <c r="F6" s="44">
        <f>ROUND(SUM(F4:F5),5)</f>
        <v>0</v>
      </c>
      <c r="G6" s="45"/>
      <c r="H6" s="44">
        <f>ROUND(SUM(H4:H5),5)</f>
        <v>111179</v>
      </c>
      <c r="I6" s="45"/>
      <c r="J6" s="44">
        <f>ROUND(SUM(J4:J5),5)</f>
        <v>40875</v>
      </c>
    </row>
    <row r="7" spans="1:10" ht="30" customHeight="1" x14ac:dyDescent="0.3">
      <c r="A7" s="43"/>
      <c r="B7" s="43"/>
      <c r="C7" s="43" t="s">
        <v>120</v>
      </c>
      <c r="D7" s="43"/>
      <c r="E7" s="43"/>
      <c r="F7" s="44"/>
      <c r="G7" s="45"/>
      <c r="H7" s="44"/>
      <c r="I7" s="45"/>
      <c r="J7" s="44"/>
    </row>
    <row r="8" spans="1:10" x14ac:dyDescent="0.3">
      <c r="A8" s="43"/>
      <c r="B8" s="43"/>
      <c r="C8" s="43"/>
      <c r="D8" s="43" t="s">
        <v>512</v>
      </c>
      <c r="E8" s="43"/>
      <c r="F8" s="44">
        <v>0</v>
      </c>
      <c r="G8" s="45"/>
      <c r="H8" s="44">
        <v>34332</v>
      </c>
      <c r="I8" s="45"/>
      <c r="J8" s="44">
        <v>34332</v>
      </c>
    </row>
    <row r="9" spans="1:10" ht="15" thickBot="1" x14ac:dyDescent="0.35">
      <c r="A9" s="43"/>
      <c r="B9" s="43"/>
      <c r="C9" s="43"/>
      <c r="D9" s="43" t="s">
        <v>122</v>
      </c>
      <c r="E9" s="43"/>
      <c r="F9" s="44">
        <v>0</v>
      </c>
      <c r="G9" s="45"/>
      <c r="H9" s="44">
        <v>11207</v>
      </c>
      <c r="I9" s="45"/>
      <c r="J9" s="44">
        <v>11714</v>
      </c>
    </row>
    <row r="10" spans="1:10" ht="15" thickBot="1" x14ac:dyDescent="0.35">
      <c r="A10" s="43"/>
      <c r="B10" s="43"/>
      <c r="C10" s="43" t="s">
        <v>124</v>
      </c>
      <c r="D10" s="43"/>
      <c r="E10" s="43"/>
      <c r="F10" s="47">
        <f>ROUND(SUM(F7:F9),5)</f>
        <v>0</v>
      </c>
      <c r="G10" s="45"/>
      <c r="H10" s="47">
        <f>ROUND(SUM(H7:H9),5)</f>
        <v>45539</v>
      </c>
      <c r="I10" s="45"/>
      <c r="J10" s="47">
        <f>ROUND(SUM(J7:J9),5)</f>
        <v>46046</v>
      </c>
    </row>
    <row r="11" spans="1:10" ht="30" customHeight="1" x14ac:dyDescent="0.3">
      <c r="A11" s="43"/>
      <c r="B11" s="43" t="s">
        <v>125</v>
      </c>
      <c r="C11" s="43"/>
      <c r="D11" s="43"/>
      <c r="E11" s="43"/>
      <c r="F11" s="44">
        <f>ROUND(F3+F6+F10,5)</f>
        <v>0</v>
      </c>
      <c r="G11" s="45"/>
      <c r="H11" s="44">
        <f>ROUND(H3+H6+H10,5)</f>
        <v>156718</v>
      </c>
      <c r="I11" s="45"/>
      <c r="J11" s="44">
        <f>ROUND(J3+J6+J10,5)</f>
        <v>86921</v>
      </c>
    </row>
    <row r="12" spans="1:10" ht="30" customHeight="1" x14ac:dyDescent="0.3">
      <c r="A12" s="43"/>
      <c r="B12" s="43" t="s">
        <v>126</v>
      </c>
      <c r="C12" s="43"/>
      <c r="D12" s="43"/>
      <c r="E12" s="43"/>
      <c r="F12" s="44"/>
      <c r="G12" s="45"/>
      <c r="H12" s="44"/>
      <c r="I12" s="45"/>
      <c r="J12" s="44"/>
    </row>
    <row r="13" spans="1:10" x14ac:dyDescent="0.3">
      <c r="A13" s="43"/>
      <c r="B13" s="43"/>
      <c r="C13" s="43" t="s">
        <v>426</v>
      </c>
      <c r="D13" s="43"/>
      <c r="E13" s="43"/>
      <c r="F13" s="44">
        <v>0</v>
      </c>
      <c r="G13" s="45"/>
      <c r="H13" s="44">
        <v>0</v>
      </c>
      <c r="I13" s="45"/>
      <c r="J13" s="44">
        <v>4771</v>
      </c>
    </row>
    <row r="14" spans="1:10" x14ac:dyDescent="0.3">
      <c r="A14" s="43"/>
      <c r="B14" s="43"/>
      <c r="C14" s="43" t="s">
        <v>127</v>
      </c>
      <c r="D14" s="43"/>
      <c r="E14" s="43"/>
      <c r="F14" s="44">
        <v>0</v>
      </c>
      <c r="G14" s="45"/>
      <c r="H14" s="44">
        <v>331649</v>
      </c>
      <c r="I14" s="45"/>
      <c r="J14" s="44">
        <v>331649</v>
      </c>
    </row>
    <row r="15" spans="1:10" x14ac:dyDescent="0.3">
      <c r="A15" s="43"/>
      <c r="B15" s="43"/>
      <c r="C15" s="43" t="s">
        <v>135</v>
      </c>
      <c r="D15" s="43"/>
      <c r="E15" s="43"/>
      <c r="F15" s="44">
        <v>0</v>
      </c>
      <c r="G15" s="45"/>
      <c r="H15" s="44">
        <v>-46180</v>
      </c>
      <c r="I15" s="45"/>
      <c r="J15" s="44">
        <v>-92361</v>
      </c>
    </row>
    <row r="16" spans="1:10" ht="15" thickBot="1" x14ac:dyDescent="0.35">
      <c r="A16" s="43"/>
      <c r="B16" s="43"/>
      <c r="C16" s="43" t="s">
        <v>128</v>
      </c>
      <c r="D16" s="43"/>
      <c r="E16" s="43"/>
      <c r="F16" s="46">
        <v>0</v>
      </c>
      <c r="G16" s="45"/>
      <c r="H16" s="46">
        <v>1879342</v>
      </c>
      <c r="I16" s="45"/>
      <c r="J16" s="46">
        <v>1880706</v>
      </c>
    </row>
    <row r="17" spans="1:10" x14ac:dyDescent="0.3">
      <c r="A17" s="43"/>
      <c r="B17" s="43" t="s">
        <v>136</v>
      </c>
      <c r="C17" s="43"/>
      <c r="D17" s="43"/>
      <c r="E17" s="43"/>
      <c r="F17" s="44">
        <f>ROUND(SUM(F12:F16),5)</f>
        <v>0</v>
      </c>
      <c r="G17" s="45"/>
      <c r="H17" s="44">
        <f>ROUND(SUM(H12:H16),5)</f>
        <v>2164811</v>
      </c>
      <c r="I17" s="45"/>
      <c r="J17" s="44">
        <f>ROUND(SUM(J12:J16),5)</f>
        <v>2124765</v>
      </c>
    </row>
    <row r="18" spans="1:10" ht="30" customHeight="1" x14ac:dyDescent="0.3">
      <c r="A18" s="43"/>
      <c r="B18" s="43" t="s">
        <v>137</v>
      </c>
      <c r="C18" s="43"/>
      <c r="D18" s="43"/>
      <c r="E18" s="43"/>
      <c r="F18" s="44"/>
      <c r="G18" s="45"/>
      <c r="H18" s="44"/>
      <c r="I18" s="45"/>
      <c r="J18" s="44"/>
    </row>
    <row r="19" spans="1:10" x14ac:dyDescent="0.3">
      <c r="A19" s="43"/>
      <c r="B19" s="43"/>
      <c r="C19" s="43" t="s">
        <v>513</v>
      </c>
      <c r="D19" s="43"/>
      <c r="E19" s="43"/>
      <c r="F19" s="44">
        <v>0</v>
      </c>
      <c r="G19" s="45"/>
      <c r="H19" s="44">
        <v>5340</v>
      </c>
      <c r="I19" s="45"/>
      <c r="J19" s="44">
        <v>325</v>
      </c>
    </row>
    <row r="20" spans="1:10" x14ac:dyDescent="0.3">
      <c r="A20" s="43"/>
      <c r="B20" s="43"/>
      <c r="C20" s="43" t="s">
        <v>138</v>
      </c>
      <c r="D20" s="43"/>
      <c r="E20" s="43"/>
      <c r="F20" s="44">
        <v>0</v>
      </c>
      <c r="G20" s="45"/>
      <c r="H20" s="44">
        <v>6637</v>
      </c>
      <c r="I20" s="45"/>
      <c r="J20" s="44">
        <v>6637</v>
      </c>
    </row>
    <row r="21" spans="1:10" ht="15" thickBot="1" x14ac:dyDescent="0.35">
      <c r="A21" s="43"/>
      <c r="B21" s="43"/>
      <c r="C21" s="43" t="s">
        <v>355</v>
      </c>
      <c r="D21" s="43"/>
      <c r="E21" s="43"/>
      <c r="F21" s="44">
        <v>0</v>
      </c>
      <c r="G21" s="45"/>
      <c r="H21" s="44">
        <v>-20484</v>
      </c>
      <c r="I21" s="45"/>
      <c r="J21" s="44">
        <v>-40968</v>
      </c>
    </row>
    <row r="22" spans="1:10" ht="15" thickBot="1" x14ac:dyDescent="0.35">
      <c r="A22" s="43"/>
      <c r="B22" s="43" t="s">
        <v>141</v>
      </c>
      <c r="C22" s="43"/>
      <c r="D22" s="43"/>
      <c r="E22" s="43"/>
      <c r="F22" s="48">
        <f>ROUND(SUM(F18:F21),5)</f>
        <v>0</v>
      </c>
      <c r="G22" s="45"/>
      <c r="H22" s="48">
        <f>ROUND(SUM(H18:H21),5)</f>
        <v>-8507</v>
      </c>
      <c r="I22" s="45"/>
      <c r="J22" s="48">
        <f>ROUND(SUM(J18:J21),5)</f>
        <v>-34006</v>
      </c>
    </row>
    <row r="23" spans="1:10" s="50" customFormat="1" ht="30" customHeight="1" thickBot="1" x14ac:dyDescent="0.25">
      <c r="A23" s="43" t="s">
        <v>142</v>
      </c>
      <c r="B23" s="43"/>
      <c r="C23" s="43"/>
      <c r="D23" s="43"/>
      <c r="E23" s="43"/>
      <c r="F23" s="49">
        <f>ROUND(F2+F11+F17+F22,5)</f>
        <v>0</v>
      </c>
      <c r="G23" s="43"/>
      <c r="H23" s="49">
        <f>ROUND(H2+H11+H17+H22,5)</f>
        <v>2313022</v>
      </c>
      <c r="I23" s="43"/>
      <c r="J23" s="49">
        <f>ROUND(J2+J11+J17+J22,5)</f>
        <v>2177680</v>
      </c>
    </row>
    <row r="24" spans="1:10" ht="31.5" customHeight="1" thickTop="1" x14ac:dyDescent="0.3">
      <c r="A24" s="43" t="s">
        <v>143</v>
      </c>
      <c r="B24" s="43"/>
      <c r="C24" s="43"/>
      <c r="D24" s="43"/>
      <c r="E24" s="43"/>
      <c r="F24" s="44"/>
      <c r="G24" s="45"/>
      <c r="H24" s="44"/>
      <c r="I24" s="45"/>
      <c r="J24" s="44"/>
    </row>
    <row r="25" spans="1:10" x14ac:dyDescent="0.3">
      <c r="A25" s="43"/>
      <c r="B25" s="43" t="s">
        <v>144</v>
      </c>
      <c r="C25" s="43"/>
      <c r="D25" s="43"/>
      <c r="E25" s="43"/>
      <c r="F25" s="44"/>
      <c r="G25" s="45"/>
      <c r="H25" s="44"/>
      <c r="I25" s="45"/>
      <c r="J25" s="44"/>
    </row>
    <row r="26" spans="1:10" x14ac:dyDescent="0.3">
      <c r="A26" s="43"/>
      <c r="B26" s="43"/>
      <c r="C26" s="43" t="s">
        <v>145</v>
      </c>
      <c r="D26" s="43"/>
      <c r="E26" s="43"/>
      <c r="F26" s="44"/>
      <c r="G26" s="45"/>
      <c r="H26" s="44"/>
      <c r="I26" s="45"/>
      <c r="J26" s="44"/>
    </row>
    <row r="27" spans="1:10" x14ac:dyDescent="0.3">
      <c r="A27" s="43"/>
      <c r="B27" s="43"/>
      <c r="C27" s="43"/>
      <c r="D27" s="43" t="s">
        <v>146</v>
      </c>
      <c r="E27" s="43"/>
      <c r="F27" s="44"/>
      <c r="G27" s="45"/>
      <c r="H27" s="44"/>
      <c r="I27" s="45"/>
      <c r="J27" s="44"/>
    </row>
    <row r="28" spans="1:10" ht="15" thickBot="1" x14ac:dyDescent="0.35">
      <c r="A28" s="43"/>
      <c r="B28" s="43"/>
      <c r="C28" s="43"/>
      <c r="D28" s="43"/>
      <c r="E28" s="43" t="s">
        <v>146</v>
      </c>
      <c r="F28" s="46">
        <v>0</v>
      </c>
      <c r="G28" s="45"/>
      <c r="H28" s="46">
        <v>35353</v>
      </c>
      <c r="I28" s="45"/>
      <c r="J28" s="46">
        <v>53037</v>
      </c>
    </row>
    <row r="29" spans="1:10" x14ac:dyDescent="0.3">
      <c r="A29" s="43"/>
      <c r="B29" s="43"/>
      <c r="C29" s="43"/>
      <c r="D29" s="43" t="s">
        <v>147</v>
      </c>
      <c r="E29" s="43"/>
      <c r="F29" s="44">
        <f>ROUND(SUM(F27:F28),5)</f>
        <v>0</v>
      </c>
      <c r="G29" s="45"/>
      <c r="H29" s="44">
        <f>ROUND(SUM(H27:H28),5)</f>
        <v>35353</v>
      </c>
      <c r="I29" s="45"/>
      <c r="J29" s="44">
        <f>ROUND(SUM(J27:J28),5)</f>
        <v>53037</v>
      </c>
    </row>
    <row r="30" spans="1:10" ht="30" customHeight="1" x14ac:dyDescent="0.3">
      <c r="A30" s="43"/>
      <c r="B30" s="43"/>
      <c r="C30" s="43"/>
      <c r="D30" s="43" t="s">
        <v>148</v>
      </c>
      <c r="E30" s="43"/>
      <c r="F30" s="44"/>
      <c r="G30" s="45"/>
      <c r="H30" s="44"/>
      <c r="I30" s="45"/>
      <c r="J30" s="44"/>
    </row>
    <row r="31" spans="1:10" x14ac:dyDescent="0.3">
      <c r="A31" s="43"/>
      <c r="B31" s="43"/>
      <c r="C31" s="43"/>
      <c r="D31" s="43"/>
      <c r="E31" s="43" t="s">
        <v>514</v>
      </c>
      <c r="F31" s="44">
        <v>0</v>
      </c>
      <c r="G31" s="45"/>
      <c r="H31" s="44">
        <v>33171</v>
      </c>
      <c r="I31" s="45"/>
      <c r="J31" s="44">
        <v>27141</v>
      </c>
    </row>
    <row r="32" spans="1:10" ht="15" thickBot="1" x14ac:dyDescent="0.35">
      <c r="A32" s="43"/>
      <c r="B32" s="43"/>
      <c r="C32" s="43"/>
      <c r="D32" s="43"/>
      <c r="E32" s="43" t="s">
        <v>515</v>
      </c>
      <c r="F32" s="44">
        <v>0</v>
      </c>
      <c r="G32" s="45"/>
      <c r="H32" s="44">
        <v>0</v>
      </c>
      <c r="I32" s="45"/>
      <c r="J32" s="44">
        <v>25000</v>
      </c>
    </row>
    <row r="33" spans="1:10" ht="15" thickBot="1" x14ac:dyDescent="0.35">
      <c r="A33" s="43"/>
      <c r="B33" s="43"/>
      <c r="C33" s="43"/>
      <c r="D33" s="43" t="s">
        <v>152</v>
      </c>
      <c r="E33" s="43"/>
      <c r="F33" s="47">
        <f>ROUND(SUM(F30:F32),5)</f>
        <v>0</v>
      </c>
      <c r="G33" s="45"/>
      <c r="H33" s="47">
        <f>ROUND(SUM(H30:H32),5)</f>
        <v>33171</v>
      </c>
      <c r="I33" s="45"/>
      <c r="J33" s="47">
        <f>ROUND(SUM(J30:J32),5)</f>
        <v>52141</v>
      </c>
    </row>
    <row r="34" spans="1:10" ht="30" customHeight="1" x14ac:dyDescent="0.3">
      <c r="A34" s="43"/>
      <c r="B34" s="43"/>
      <c r="C34" s="43" t="s">
        <v>153</v>
      </c>
      <c r="D34" s="43"/>
      <c r="E34" s="43"/>
      <c r="F34" s="44">
        <f>ROUND(F26+F29+F33,5)</f>
        <v>0</v>
      </c>
      <c r="G34" s="45"/>
      <c r="H34" s="44">
        <f>ROUND(H26+H29+H33,5)</f>
        <v>68524</v>
      </c>
      <c r="I34" s="45"/>
      <c r="J34" s="44">
        <f>ROUND(J26+J29+J33,5)</f>
        <v>105178</v>
      </c>
    </row>
    <row r="35" spans="1:10" ht="30" customHeight="1" x14ac:dyDescent="0.3">
      <c r="A35" s="43"/>
      <c r="B35" s="43"/>
      <c r="C35" s="43" t="s">
        <v>154</v>
      </c>
      <c r="D35" s="43"/>
      <c r="E35" s="43"/>
      <c r="F35" s="44"/>
      <c r="G35" s="45"/>
      <c r="H35" s="44"/>
      <c r="I35" s="45"/>
      <c r="J35" s="44"/>
    </row>
    <row r="36" spans="1:10" ht="15" thickBot="1" x14ac:dyDescent="0.35">
      <c r="A36" s="43"/>
      <c r="B36" s="43"/>
      <c r="C36" s="43"/>
      <c r="D36" s="43" t="s">
        <v>516</v>
      </c>
      <c r="E36" s="43"/>
      <c r="F36" s="44">
        <v>0</v>
      </c>
      <c r="G36" s="45"/>
      <c r="H36" s="44">
        <v>1697094</v>
      </c>
      <c r="I36" s="45"/>
      <c r="J36" s="51">
        <v>1647778</v>
      </c>
    </row>
    <row r="37" spans="1:10" ht="15" thickBot="1" x14ac:dyDescent="0.35">
      <c r="A37" s="43"/>
      <c r="B37" s="43"/>
      <c r="C37" s="43" t="s">
        <v>157</v>
      </c>
      <c r="D37" s="43"/>
      <c r="E37" s="43"/>
      <c r="F37" s="47">
        <f>ROUND(SUM(F35:F36),5)</f>
        <v>0</v>
      </c>
      <c r="G37" s="45"/>
      <c r="H37" s="47">
        <f>ROUND(SUM(H35:H36),5)</f>
        <v>1697094</v>
      </c>
      <c r="I37" s="45"/>
      <c r="J37" s="47">
        <f>ROUND(SUM(J35:J36),5)</f>
        <v>1647778</v>
      </c>
    </row>
    <row r="38" spans="1:10" ht="30" customHeight="1" x14ac:dyDescent="0.3">
      <c r="A38" s="43"/>
      <c r="B38" s="43" t="s">
        <v>158</v>
      </c>
      <c r="C38" s="43"/>
      <c r="D38" s="43"/>
      <c r="E38" s="43"/>
      <c r="F38" s="44">
        <f>ROUND(F25+F34+F37,5)</f>
        <v>0</v>
      </c>
      <c r="G38" s="45"/>
      <c r="H38" s="44">
        <f>ROUND(H25+H34+H37,5)</f>
        <v>1765618</v>
      </c>
      <c r="I38" s="45"/>
      <c r="J38" s="44">
        <f>ROUND(J25+J34+J37,5)</f>
        <v>1752956</v>
      </c>
    </row>
    <row r="39" spans="1:10" ht="30" customHeight="1" x14ac:dyDescent="0.3">
      <c r="A39" s="43"/>
      <c r="B39" s="43" t="s">
        <v>159</v>
      </c>
      <c r="C39" s="43"/>
      <c r="D39" s="43"/>
      <c r="E39" s="43"/>
      <c r="F39" s="44"/>
      <c r="G39" s="45"/>
      <c r="H39" s="44"/>
      <c r="I39" s="45"/>
      <c r="J39" s="44"/>
    </row>
    <row r="40" spans="1:10" x14ac:dyDescent="0.3">
      <c r="A40" s="43"/>
      <c r="B40" s="43"/>
      <c r="C40" s="43" t="s">
        <v>517</v>
      </c>
      <c r="D40" s="43"/>
      <c r="E40" s="43"/>
      <c r="F40" s="44">
        <v>0</v>
      </c>
      <c r="G40" s="45"/>
      <c r="H40" s="44">
        <v>199629</v>
      </c>
      <c r="I40" s="45"/>
      <c r="J40" s="44">
        <v>199629</v>
      </c>
    </row>
    <row r="41" spans="1:10" x14ac:dyDescent="0.3">
      <c r="A41" s="43"/>
      <c r="B41" s="43"/>
      <c r="C41" s="43" t="s">
        <v>518</v>
      </c>
      <c r="D41" s="43"/>
      <c r="E41" s="43"/>
      <c r="F41" s="44">
        <v>0</v>
      </c>
      <c r="G41" s="45"/>
      <c r="H41" s="44">
        <v>95814</v>
      </c>
      <c r="I41" s="45"/>
      <c r="J41" s="44">
        <v>95814</v>
      </c>
    </row>
    <row r="42" spans="1:10" x14ac:dyDescent="0.3">
      <c r="A42" s="43"/>
      <c r="B42" s="43"/>
      <c r="C42" s="43" t="s">
        <v>519</v>
      </c>
      <c r="D42" s="43"/>
      <c r="E42" s="43"/>
      <c r="F42" s="44">
        <v>0</v>
      </c>
      <c r="G42" s="45"/>
      <c r="H42" s="44">
        <v>-37545</v>
      </c>
      <c r="I42" s="45"/>
      <c r="J42" s="44">
        <v>-37545</v>
      </c>
    </row>
    <row r="43" spans="1:10" x14ac:dyDescent="0.3">
      <c r="A43" s="43"/>
      <c r="B43" s="43"/>
      <c r="C43" s="43" t="s">
        <v>520</v>
      </c>
      <c r="D43" s="43"/>
      <c r="E43" s="43"/>
      <c r="F43" s="44">
        <v>0</v>
      </c>
      <c r="G43" s="45"/>
      <c r="H43" s="44">
        <v>95814</v>
      </c>
      <c r="I43" s="45"/>
      <c r="J43" s="44">
        <v>95814</v>
      </c>
    </row>
    <row r="44" spans="1:10" x14ac:dyDescent="0.3">
      <c r="A44" s="43"/>
      <c r="B44" s="43"/>
      <c r="C44" s="43" t="s">
        <v>521</v>
      </c>
      <c r="D44" s="43"/>
      <c r="E44" s="43"/>
      <c r="F44" s="44">
        <v>0</v>
      </c>
      <c r="G44" s="45"/>
      <c r="H44" s="44">
        <v>-2122</v>
      </c>
      <c r="I44" s="45"/>
      <c r="J44" s="44">
        <v>-2122</v>
      </c>
    </row>
    <row r="45" spans="1:10" x14ac:dyDescent="0.3">
      <c r="A45" s="43"/>
      <c r="B45" s="43"/>
      <c r="C45" s="43" t="s">
        <v>522</v>
      </c>
      <c r="D45" s="43"/>
      <c r="E45" s="43"/>
      <c r="F45" s="44">
        <v>0</v>
      </c>
      <c r="G45" s="45"/>
      <c r="H45" s="44">
        <v>195814</v>
      </c>
      <c r="I45" s="45"/>
      <c r="J45" s="44">
        <v>195814</v>
      </c>
    </row>
    <row r="46" spans="1:10" x14ac:dyDescent="0.3">
      <c r="A46" s="43"/>
      <c r="B46" s="43"/>
      <c r="C46" s="43" t="s">
        <v>164</v>
      </c>
      <c r="D46" s="43"/>
      <c r="E46" s="43"/>
      <c r="F46" s="44">
        <v>0</v>
      </c>
      <c r="G46" s="45"/>
      <c r="H46" s="44">
        <v>-15776</v>
      </c>
      <c r="I46" s="45"/>
      <c r="J46" s="44">
        <v>0</v>
      </c>
    </row>
    <row r="47" spans="1:10" ht="15" thickBot="1" x14ac:dyDescent="0.35">
      <c r="A47" s="43"/>
      <c r="B47" s="43"/>
      <c r="C47" s="43" t="s">
        <v>165</v>
      </c>
      <c r="D47" s="43"/>
      <c r="E47" s="43"/>
      <c r="F47" s="44">
        <v>0</v>
      </c>
      <c r="G47" s="45"/>
      <c r="H47" s="44">
        <v>15776</v>
      </c>
      <c r="I47" s="45"/>
      <c r="J47" s="44">
        <v>-122680</v>
      </c>
    </row>
    <row r="48" spans="1:10" ht="15" thickBot="1" x14ac:dyDescent="0.35">
      <c r="A48" s="43"/>
      <c r="B48" s="43" t="s">
        <v>166</v>
      </c>
      <c r="C48" s="43"/>
      <c r="D48" s="43"/>
      <c r="E48" s="43"/>
      <c r="F48" s="48">
        <f>ROUND(SUM(F39:F47),5)</f>
        <v>0</v>
      </c>
      <c r="G48" s="45"/>
      <c r="H48" s="48">
        <f>ROUND(SUM(H39:H47),5)</f>
        <v>547404</v>
      </c>
      <c r="I48" s="45"/>
      <c r="J48" s="48">
        <f>ROUND(SUM(J39:J47),5)</f>
        <v>424724</v>
      </c>
    </row>
    <row r="49" spans="1:10" s="50" customFormat="1" ht="30" customHeight="1" thickBot="1" x14ac:dyDescent="0.25">
      <c r="A49" s="43" t="s">
        <v>167</v>
      </c>
      <c r="B49" s="43"/>
      <c r="C49" s="43"/>
      <c r="D49" s="43"/>
      <c r="E49" s="43"/>
      <c r="F49" s="49">
        <f>ROUND(F24+F38+F48,5)</f>
        <v>0</v>
      </c>
      <c r="G49" s="43"/>
      <c r="H49" s="49">
        <f>ROUND(H24+H38+H48,5)</f>
        <v>2313022</v>
      </c>
      <c r="I49" s="43"/>
      <c r="J49" s="49">
        <f>ROUND(J24+J38+J48,5)</f>
        <v>2177680</v>
      </c>
    </row>
    <row r="50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11:20 AM
&amp;"Arial,Bold"&amp;8 02/17/14
&amp;"Arial,Bold"&amp;8 Accrual Basis&amp;C&amp;"Arial,Bold"&amp;12 NR 14, LLC.
&amp;"Arial,Bold"&amp;14 Comparative Balance Sheet
&amp;"Arial,Bold"&amp;10 As of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8674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8674" r:id="rId4" name="HEADER"/>
      </mc:Fallback>
    </mc:AlternateContent>
    <mc:AlternateContent xmlns:mc="http://schemas.openxmlformats.org/markup-compatibility/2006">
      <mc:Choice Requires="x14">
        <control shapeId="28673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8673" r:id="rId6" name="FILTER"/>
      </mc:Fallback>
    </mc:AlternateContent>
  </control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4"/>
  <dimension ref="A1:M77"/>
  <sheetViews>
    <sheetView workbookViewId="0">
      <pane xSplit="6" ySplit="1" topLeftCell="G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5" width="3" style="50" customWidth="1"/>
    <col min="6" max="6" width="30.88671875" style="50" customWidth="1"/>
    <col min="7" max="7" width="10.109375" bestFit="1" customWidth="1"/>
    <col min="8" max="8" width="2.33203125" customWidth="1"/>
    <col min="9" max="9" width="10.109375" bestFit="1" customWidth="1"/>
    <col min="10" max="10" width="2.33203125" customWidth="1"/>
    <col min="11" max="11" width="10.109375" bestFit="1" customWidth="1"/>
    <col min="12" max="12" width="2.33203125" customWidth="1"/>
    <col min="13" max="13" width="9.33203125" bestFit="1" customWidth="1"/>
  </cols>
  <sheetData>
    <row r="1" spans="1:13" s="39" customFormat="1" ht="15" thickBot="1" x14ac:dyDescent="0.35">
      <c r="A1" s="40"/>
      <c r="B1" s="40"/>
      <c r="C1" s="40"/>
      <c r="D1" s="40"/>
      <c r="E1" s="40"/>
      <c r="F1" s="40"/>
      <c r="G1" s="41" t="s">
        <v>168</v>
      </c>
      <c r="H1" s="42"/>
      <c r="I1" s="41" t="s">
        <v>169</v>
      </c>
      <c r="J1" s="42"/>
      <c r="K1" s="41" t="s">
        <v>170</v>
      </c>
      <c r="L1" s="42"/>
      <c r="M1" s="41" t="s">
        <v>171</v>
      </c>
    </row>
    <row r="2" spans="1:13" ht="15" thickTop="1" x14ac:dyDescent="0.3">
      <c r="A2" s="43"/>
      <c r="B2" s="43" t="s">
        <v>172</v>
      </c>
      <c r="C2" s="43"/>
      <c r="D2" s="43"/>
      <c r="E2" s="43"/>
      <c r="F2" s="43"/>
      <c r="G2" s="52"/>
      <c r="H2" s="45"/>
      <c r="I2" s="52"/>
      <c r="J2" s="45"/>
      <c r="K2" s="52"/>
      <c r="L2" s="45"/>
      <c r="M2" s="52"/>
    </row>
    <row r="3" spans="1:13" x14ac:dyDescent="0.3">
      <c r="A3" s="43"/>
      <c r="B3" s="43"/>
      <c r="C3" s="43" t="s">
        <v>173</v>
      </c>
      <c r="D3" s="43"/>
      <c r="E3" s="43"/>
      <c r="F3" s="43"/>
      <c r="G3" s="52"/>
      <c r="H3" s="45"/>
      <c r="I3" s="52"/>
      <c r="J3" s="45"/>
      <c r="K3" s="52"/>
      <c r="L3" s="45"/>
      <c r="M3" s="52"/>
    </row>
    <row r="4" spans="1:13" x14ac:dyDescent="0.3">
      <c r="A4" s="43"/>
      <c r="B4" s="43"/>
      <c r="C4" s="43"/>
      <c r="D4" s="43" t="s">
        <v>523</v>
      </c>
      <c r="E4" s="43"/>
      <c r="F4" s="43"/>
      <c r="G4" s="52">
        <v>0</v>
      </c>
      <c r="H4" s="45"/>
      <c r="I4" s="52">
        <v>141146.48000000001</v>
      </c>
      <c r="J4" s="45"/>
      <c r="K4" s="52">
        <v>157945.12</v>
      </c>
      <c r="L4" s="45"/>
      <c r="M4" s="52">
        <f>ROUND(SUM(G4:K4),5)</f>
        <v>299091.59999999998</v>
      </c>
    </row>
    <row r="5" spans="1:13" x14ac:dyDescent="0.3">
      <c r="A5" s="43"/>
      <c r="B5" s="43"/>
      <c r="C5" s="43"/>
      <c r="D5" s="43" t="s">
        <v>176</v>
      </c>
      <c r="E5" s="43"/>
      <c r="F5" s="43"/>
      <c r="G5" s="52">
        <v>0</v>
      </c>
      <c r="H5" s="45"/>
      <c r="I5" s="52">
        <v>94027.07</v>
      </c>
      <c r="J5" s="45"/>
      <c r="K5" s="52">
        <v>-10869.49</v>
      </c>
      <c r="L5" s="45"/>
      <c r="M5" s="52">
        <f>ROUND(SUM(G5:K5),5)</f>
        <v>83157.58</v>
      </c>
    </row>
    <row r="6" spans="1:13" x14ac:dyDescent="0.3">
      <c r="A6" s="43"/>
      <c r="B6" s="43"/>
      <c r="C6" s="43"/>
      <c r="D6" s="43" t="s">
        <v>177</v>
      </c>
      <c r="E6" s="43"/>
      <c r="F6" s="43"/>
      <c r="G6" s="52">
        <v>0</v>
      </c>
      <c r="H6" s="45"/>
      <c r="I6" s="52">
        <v>19191.84</v>
      </c>
      <c r="J6" s="45"/>
      <c r="K6" s="52">
        <v>-2226.16</v>
      </c>
      <c r="L6" s="45"/>
      <c r="M6" s="52">
        <f>ROUND(SUM(G6:K6),5)</f>
        <v>16965.68</v>
      </c>
    </row>
    <row r="7" spans="1:13" ht="15" thickBot="1" x14ac:dyDescent="0.35">
      <c r="A7" s="43"/>
      <c r="B7" s="43"/>
      <c r="C7" s="43"/>
      <c r="D7" s="43" t="s">
        <v>524</v>
      </c>
      <c r="E7" s="43"/>
      <c r="F7" s="43"/>
      <c r="G7" s="54">
        <v>0</v>
      </c>
      <c r="H7" s="45"/>
      <c r="I7" s="54">
        <v>14094.85</v>
      </c>
      <c r="J7" s="45"/>
      <c r="K7" s="54">
        <v>0</v>
      </c>
      <c r="L7" s="45"/>
      <c r="M7" s="54">
        <f>ROUND(SUM(G7:K7),5)</f>
        <v>14094.85</v>
      </c>
    </row>
    <row r="8" spans="1:13" x14ac:dyDescent="0.3">
      <c r="A8" s="43"/>
      <c r="B8" s="43"/>
      <c r="C8" s="43" t="s">
        <v>180</v>
      </c>
      <c r="D8" s="43"/>
      <c r="E8" s="43"/>
      <c r="F8" s="43"/>
      <c r="G8" s="52">
        <f>ROUND(SUM(G3:G7),5)</f>
        <v>0</v>
      </c>
      <c r="H8" s="45"/>
      <c r="I8" s="52">
        <f>ROUND(SUM(I3:I7),5)</f>
        <v>268460.24</v>
      </c>
      <c r="J8" s="45"/>
      <c r="K8" s="52">
        <f>ROUND(SUM(K3:K7),5)</f>
        <v>144849.47</v>
      </c>
      <c r="L8" s="45"/>
      <c r="M8" s="52">
        <f>ROUND(SUM(G8:K8),5)</f>
        <v>413309.71</v>
      </c>
    </row>
    <row r="9" spans="1:13" ht="30" customHeight="1" x14ac:dyDescent="0.3">
      <c r="A9" s="43"/>
      <c r="B9" s="43"/>
      <c r="C9" s="43" t="s">
        <v>182</v>
      </c>
      <c r="D9" s="43"/>
      <c r="E9" s="43"/>
      <c r="F9" s="43"/>
      <c r="G9" s="52"/>
      <c r="H9" s="45"/>
      <c r="I9" s="52"/>
      <c r="J9" s="45"/>
      <c r="K9" s="52"/>
      <c r="L9" s="45"/>
      <c r="M9" s="52"/>
    </row>
    <row r="10" spans="1:13" x14ac:dyDescent="0.3">
      <c r="A10" s="43"/>
      <c r="B10" s="43"/>
      <c r="C10" s="43"/>
      <c r="D10" s="43" t="s">
        <v>525</v>
      </c>
      <c r="E10" s="43"/>
      <c r="F10" s="43"/>
      <c r="G10" s="52">
        <v>0</v>
      </c>
      <c r="H10" s="45"/>
      <c r="I10" s="52">
        <v>0</v>
      </c>
      <c r="J10" s="45"/>
      <c r="K10" s="52">
        <v>1400</v>
      </c>
      <c r="L10" s="45"/>
      <c r="M10" s="52">
        <f>ROUND(SUM(G10:K10),5)</f>
        <v>1400</v>
      </c>
    </row>
    <row r="11" spans="1:13" x14ac:dyDescent="0.3">
      <c r="A11" s="43"/>
      <c r="B11" s="43"/>
      <c r="C11" s="43"/>
      <c r="D11" s="43" t="s">
        <v>526</v>
      </c>
      <c r="E11" s="43"/>
      <c r="F11" s="43"/>
      <c r="G11" s="52">
        <v>0</v>
      </c>
      <c r="H11" s="45"/>
      <c r="I11" s="52">
        <v>10.45</v>
      </c>
      <c r="J11" s="45"/>
      <c r="K11" s="52">
        <v>51.78</v>
      </c>
      <c r="L11" s="45"/>
      <c r="M11" s="52">
        <f>ROUND(SUM(G11:K11),5)</f>
        <v>62.23</v>
      </c>
    </row>
    <row r="12" spans="1:13" x14ac:dyDescent="0.3">
      <c r="A12" s="43"/>
      <c r="B12" s="43"/>
      <c r="C12" s="43"/>
      <c r="D12" s="43" t="s">
        <v>214</v>
      </c>
      <c r="E12" s="43"/>
      <c r="F12" s="43"/>
      <c r="G12" s="52"/>
      <c r="H12" s="45"/>
      <c r="I12" s="52"/>
      <c r="J12" s="45"/>
      <c r="K12" s="52"/>
      <c r="L12" s="45"/>
      <c r="M12" s="52"/>
    </row>
    <row r="13" spans="1:13" x14ac:dyDescent="0.3">
      <c r="A13" s="43"/>
      <c r="B13" s="43"/>
      <c r="C13" s="43"/>
      <c r="D13" s="43"/>
      <c r="E13" s="43" t="s">
        <v>130</v>
      </c>
      <c r="F13" s="43"/>
      <c r="G13" s="52"/>
      <c r="H13" s="45"/>
      <c r="I13" s="52"/>
      <c r="J13" s="45"/>
      <c r="K13" s="52"/>
      <c r="L13" s="45"/>
      <c r="M13" s="52"/>
    </row>
    <row r="14" spans="1:13" x14ac:dyDescent="0.3">
      <c r="A14" s="43"/>
      <c r="B14" s="43"/>
      <c r="C14" s="43"/>
      <c r="D14" s="43"/>
      <c r="E14" s="43"/>
      <c r="F14" s="43" t="s">
        <v>217</v>
      </c>
      <c r="G14" s="52">
        <v>0</v>
      </c>
      <c r="H14" s="45"/>
      <c r="I14" s="52">
        <v>0</v>
      </c>
      <c r="J14" s="45"/>
      <c r="K14" s="52">
        <v>135.44999999999999</v>
      </c>
      <c r="L14" s="45"/>
      <c r="M14" s="52">
        <f t="shared" ref="M14:M24" si="0">ROUND(SUM(G14:K14),5)</f>
        <v>135.44999999999999</v>
      </c>
    </row>
    <row r="15" spans="1:13" x14ac:dyDescent="0.3">
      <c r="A15" s="43"/>
      <c r="B15" s="43"/>
      <c r="C15" s="43"/>
      <c r="D15" s="43"/>
      <c r="E15" s="43"/>
      <c r="F15" s="43" t="s">
        <v>527</v>
      </c>
      <c r="G15" s="52">
        <v>0</v>
      </c>
      <c r="H15" s="45"/>
      <c r="I15" s="52">
        <v>0</v>
      </c>
      <c r="J15" s="45"/>
      <c r="K15" s="52">
        <v>822.5</v>
      </c>
      <c r="L15" s="45"/>
      <c r="M15" s="52">
        <f t="shared" si="0"/>
        <v>822.5</v>
      </c>
    </row>
    <row r="16" spans="1:13" x14ac:dyDescent="0.3">
      <c r="A16" s="43"/>
      <c r="B16" s="43"/>
      <c r="C16" s="43"/>
      <c r="D16" s="43"/>
      <c r="E16" s="43"/>
      <c r="F16" s="43" t="s">
        <v>528</v>
      </c>
      <c r="G16" s="52">
        <v>0</v>
      </c>
      <c r="H16" s="45"/>
      <c r="I16" s="52">
        <v>0</v>
      </c>
      <c r="J16" s="45"/>
      <c r="K16" s="52">
        <v>52.5</v>
      </c>
      <c r="L16" s="45"/>
      <c r="M16" s="52">
        <f t="shared" si="0"/>
        <v>52.5</v>
      </c>
    </row>
    <row r="17" spans="1:13" ht="15" thickBot="1" x14ac:dyDescent="0.35">
      <c r="A17" s="43"/>
      <c r="B17" s="43"/>
      <c r="C17" s="43"/>
      <c r="D17" s="43"/>
      <c r="E17" s="43"/>
      <c r="F17" s="43" t="s">
        <v>219</v>
      </c>
      <c r="G17" s="54">
        <v>0</v>
      </c>
      <c r="H17" s="45"/>
      <c r="I17" s="54">
        <v>0</v>
      </c>
      <c r="J17" s="45"/>
      <c r="K17" s="54">
        <v>376</v>
      </c>
      <c r="L17" s="45"/>
      <c r="M17" s="54">
        <f t="shared" si="0"/>
        <v>376</v>
      </c>
    </row>
    <row r="18" spans="1:13" x14ac:dyDescent="0.3">
      <c r="A18" s="43"/>
      <c r="B18" s="43"/>
      <c r="C18" s="43"/>
      <c r="D18" s="43"/>
      <c r="E18" s="43" t="s">
        <v>529</v>
      </c>
      <c r="F18" s="43"/>
      <c r="G18" s="52">
        <f>ROUND(SUM(G13:G17),5)</f>
        <v>0</v>
      </c>
      <c r="H18" s="45"/>
      <c r="I18" s="52">
        <f>ROUND(SUM(I13:I17),5)</f>
        <v>0</v>
      </c>
      <c r="J18" s="45"/>
      <c r="K18" s="52">
        <f>ROUND(SUM(K13:K17),5)</f>
        <v>1386.45</v>
      </c>
      <c r="L18" s="45"/>
      <c r="M18" s="52">
        <f t="shared" si="0"/>
        <v>1386.45</v>
      </c>
    </row>
    <row r="19" spans="1:13" ht="30" customHeight="1" x14ac:dyDescent="0.3">
      <c r="A19" s="43"/>
      <c r="B19" s="43"/>
      <c r="C19" s="43"/>
      <c r="D19" s="43"/>
      <c r="E19" s="43" t="s">
        <v>242</v>
      </c>
      <c r="F19" s="43"/>
      <c r="G19" s="52">
        <v>0</v>
      </c>
      <c r="H19" s="45"/>
      <c r="I19" s="52">
        <v>0</v>
      </c>
      <c r="J19" s="45"/>
      <c r="K19" s="52">
        <v>358.75</v>
      </c>
      <c r="L19" s="45"/>
      <c r="M19" s="52">
        <f t="shared" si="0"/>
        <v>358.75</v>
      </c>
    </row>
    <row r="20" spans="1:13" x14ac:dyDescent="0.3">
      <c r="A20" s="43"/>
      <c r="B20" s="43"/>
      <c r="C20" s="43"/>
      <c r="D20" s="43"/>
      <c r="E20" s="43" t="s">
        <v>230</v>
      </c>
      <c r="F20" s="43"/>
      <c r="G20" s="52">
        <v>0</v>
      </c>
      <c r="H20" s="45"/>
      <c r="I20" s="52">
        <v>0</v>
      </c>
      <c r="J20" s="45"/>
      <c r="K20" s="52">
        <v>761.25</v>
      </c>
      <c r="L20" s="45"/>
      <c r="M20" s="52">
        <f t="shared" si="0"/>
        <v>761.25</v>
      </c>
    </row>
    <row r="21" spans="1:13" x14ac:dyDescent="0.3">
      <c r="A21" s="43"/>
      <c r="B21" s="43"/>
      <c r="C21" s="43"/>
      <c r="D21" s="43"/>
      <c r="E21" s="43" t="s">
        <v>530</v>
      </c>
      <c r="F21" s="43"/>
      <c r="G21" s="52">
        <v>0</v>
      </c>
      <c r="H21" s="45"/>
      <c r="I21" s="52">
        <v>0</v>
      </c>
      <c r="J21" s="45"/>
      <c r="K21" s="52">
        <v>60.1</v>
      </c>
      <c r="L21" s="45"/>
      <c r="M21" s="52">
        <f t="shared" si="0"/>
        <v>60.1</v>
      </c>
    </row>
    <row r="22" spans="1:13" x14ac:dyDescent="0.3">
      <c r="A22" s="43"/>
      <c r="B22" s="43"/>
      <c r="C22" s="43"/>
      <c r="D22" s="43"/>
      <c r="E22" s="43" t="s">
        <v>531</v>
      </c>
      <c r="F22" s="43"/>
      <c r="G22" s="52">
        <v>0</v>
      </c>
      <c r="H22" s="45"/>
      <c r="I22" s="52">
        <v>0</v>
      </c>
      <c r="J22" s="45"/>
      <c r="K22" s="52">
        <v>257.01</v>
      </c>
      <c r="L22" s="45"/>
      <c r="M22" s="52">
        <f t="shared" si="0"/>
        <v>257.01</v>
      </c>
    </row>
    <row r="23" spans="1:13" x14ac:dyDescent="0.3">
      <c r="A23" s="43"/>
      <c r="B23" s="43"/>
      <c r="C23" s="43"/>
      <c r="D23" s="43"/>
      <c r="E23" s="43" t="s">
        <v>532</v>
      </c>
      <c r="F23" s="43"/>
      <c r="G23" s="52">
        <v>0</v>
      </c>
      <c r="H23" s="45"/>
      <c r="I23" s="52">
        <v>0</v>
      </c>
      <c r="J23" s="45"/>
      <c r="K23" s="52">
        <v>938.05</v>
      </c>
      <c r="L23" s="45"/>
      <c r="M23" s="52">
        <f t="shared" si="0"/>
        <v>938.05</v>
      </c>
    </row>
    <row r="24" spans="1:13" x14ac:dyDescent="0.3">
      <c r="A24" s="43"/>
      <c r="B24" s="43"/>
      <c r="C24" s="43"/>
      <c r="D24" s="43"/>
      <c r="E24" s="43" t="s">
        <v>533</v>
      </c>
      <c r="F24" s="43"/>
      <c r="G24" s="52">
        <v>0</v>
      </c>
      <c r="H24" s="45"/>
      <c r="I24" s="52">
        <v>0</v>
      </c>
      <c r="J24" s="45"/>
      <c r="K24" s="52">
        <v>89.95</v>
      </c>
      <c r="L24" s="45"/>
      <c r="M24" s="52">
        <f t="shared" si="0"/>
        <v>89.95</v>
      </c>
    </row>
    <row r="25" spans="1:13" x14ac:dyDescent="0.3">
      <c r="A25" s="43"/>
      <c r="B25" s="43"/>
      <c r="C25" s="43"/>
      <c r="D25" s="43"/>
      <c r="E25" s="43" t="s">
        <v>534</v>
      </c>
      <c r="F25" s="43"/>
      <c r="G25" s="52"/>
      <c r="H25" s="45"/>
      <c r="I25" s="52"/>
      <c r="J25" s="45"/>
      <c r="K25" s="52"/>
      <c r="L25" s="45"/>
      <c r="M25" s="52"/>
    </row>
    <row r="26" spans="1:13" x14ac:dyDescent="0.3">
      <c r="A26" s="43"/>
      <c r="B26" s="43"/>
      <c r="C26" s="43"/>
      <c r="D26" s="43"/>
      <c r="E26" s="43"/>
      <c r="F26" s="43" t="s">
        <v>535</v>
      </c>
      <c r="G26" s="52">
        <v>0</v>
      </c>
      <c r="H26" s="45"/>
      <c r="I26" s="52">
        <v>0</v>
      </c>
      <c r="J26" s="45"/>
      <c r="K26" s="52">
        <v>52.36</v>
      </c>
      <c r="L26" s="45"/>
      <c r="M26" s="52">
        <f>ROUND(SUM(G26:K26),5)</f>
        <v>52.36</v>
      </c>
    </row>
    <row r="27" spans="1:13" ht="15" thickBot="1" x14ac:dyDescent="0.35">
      <c r="A27" s="43"/>
      <c r="B27" s="43"/>
      <c r="C27" s="43"/>
      <c r="D27" s="43"/>
      <c r="E27" s="43"/>
      <c r="F27" s="43" t="s">
        <v>536</v>
      </c>
      <c r="G27" s="52">
        <v>0</v>
      </c>
      <c r="H27" s="45"/>
      <c r="I27" s="52">
        <v>642.32000000000005</v>
      </c>
      <c r="J27" s="45"/>
      <c r="K27" s="52">
        <v>1187.49</v>
      </c>
      <c r="L27" s="45"/>
      <c r="M27" s="52">
        <f>ROUND(SUM(G27:K27),5)</f>
        <v>1829.81</v>
      </c>
    </row>
    <row r="28" spans="1:13" ht="15" thickBot="1" x14ac:dyDescent="0.35">
      <c r="A28" s="43"/>
      <c r="B28" s="43"/>
      <c r="C28" s="43"/>
      <c r="D28" s="43"/>
      <c r="E28" s="43" t="s">
        <v>537</v>
      </c>
      <c r="F28" s="43"/>
      <c r="G28" s="53">
        <f>ROUND(SUM(G25:G27),5)</f>
        <v>0</v>
      </c>
      <c r="H28" s="45"/>
      <c r="I28" s="53">
        <f>ROUND(SUM(I25:I27),5)</f>
        <v>642.32000000000005</v>
      </c>
      <c r="J28" s="45"/>
      <c r="K28" s="53">
        <f>ROUND(SUM(K25:K27),5)</f>
        <v>1239.8499999999999</v>
      </c>
      <c r="L28" s="45"/>
      <c r="M28" s="53">
        <f>ROUND(SUM(G28:K28),5)</f>
        <v>1882.17</v>
      </c>
    </row>
    <row r="29" spans="1:13" ht="30" customHeight="1" x14ac:dyDescent="0.3">
      <c r="A29" s="43"/>
      <c r="B29" s="43"/>
      <c r="C29" s="43"/>
      <c r="D29" s="43" t="s">
        <v>270</v>
      </c>
      <c r="E29" s="43"/>
      <c r="F29" s="43"/>
      <c r="G29" s="52">
        <f>ROUND(G12+SUM(G18:G24)+G28,5)</f>
        <v>0</v>
      </c>
      <c r="H29" s="45"/>
      <c r="I29" s="52">
        <f>ROUND(I12+SUM(I18:I24)+I28,5)</f>
        <v>642.32000000000005</v>
      </c>
      <c r="J29" s="45"/>
      <c r="K29" s="52">
        <f>ROUND(K12+SUM(K18:K24)+K28,5)</f>
        <v>5091.41</v>
      </c>
      <c r="L29" s="45"/>
      <c r="M29" s="52">
        <f>ROUND(SUM(G29:K29),5)</f>
        <v>5733.73</v>
      </c>
    </row>
    <row r="30" spans="1:13" ht="30" customHeight="1" x14ac:dyDescent="0.3">
      <c r="A30" s="43"/>
      <c r="B30" s="43"/>
      <c r="C30" s="43"/>
      <c r="D30" s="43" t="s">
        <v>538</v>
      </c>
      <c r="E30" s="43"/>
      <c r="F30" s="43"/>
      <c r="G30" s="52">
        <v>0</v>
      </c>
      <c r="H30" s="45"/>
      <c r="I30" s="52">
        <v>55</v>
      </c>
      <c r="J30" s="45"/>
      <c r="K30" s="52">
        <v>0</v>
      </c>
      <c r="L30" s="45"/>
      <c r="M30" s="52">
        <f>ROUND(SUM(G30:K30),5)</f>
        <v>55</v>
      </c>
    </row>
    <row r="31" spans="1:13" x14ac:dyDescent="0.3">
      <c r="A31" s="43"/>
      <c r="B31" s="43"/>
      <c r="C31" s="43"/>
      <c r="D31" s="43" t="s">
        <v>539</v>
      </c>
      <c r="E31" s="43"/>
      <c r="F31" s="43"/>
      <c r="G31" s="52"/>
      <c r="H31" s="45"/>
      <c r="I31" s="52"/>
      <c r="J31" s="45"/>
      <c r="K31" s="52"/>
      <c r="L31" s="45"/>
      <c r="M31" s="52"/>
    </row>
    <row r="32" spans="1:13" x14ac:dyDescent="0.3">
      <c r="A32" s="43"/>
      <c r="B32" s="43"/>
      <c r="C32" s="43"/>
      <c r="D32" s="43"/>
      <c r="E32" s="43" t="s">
        <v>540</v>
      </c>
      <c r="F32" s="43"/>
      <c r="G32" s="52"/>
      <c r="H32" s="45"/>
      <c r="I32" s="52"/>
      <c r="J32" s="45"/>
      <c r="K32" s="52"/>
      <c r="L32" s="45"/>
      <c r="M32" s="52"/>
    </row>
    <row r="33" spans="1:13" ht="15" thickBot="1" x14ac:dyDescent="0.35">
      <c r="A33" s="43"/>
      <c r="B33" s="43"/>
      <c r="C33" s="43"/>
      <c r="D33" s="43"/>
      <c r="E33" s="43"/>
      <c r="F33" s="43" t="s">
        <v>541</v>
      </c>
      <c r="G33" s="54">
        <v>0</v>
      </c>
      <c r="H33" s="45"/>
      <c r="I33" s="54">
        <v>0</v>
      </c>
      <c r="J33" s="45"/>
      <c r="K33" s="54">
        <v>420</v>
      </c>
      <c r="L33" s="45"/>
      <c r="M33" s="54">
        <f t="shared" ref="M33:M40" si="1">ROUND(SUM(G33:K33),5)</f>
        <v>420</v>
      </c>
    </row>
    <row r="34" spans="1:13" x14ac:dyDescent="0.3">
      <c r="A34" s="43"/>
      <c r="B34" s="43"/>
      <c r="C34" s="43"/>
      <c r="D34" s="43"/>
      <c r="E34" s="43" t="s">
        <v>542</v>
      </c>
      <c r="F34" s="43"/>
      <c r="G34" s="52">
        <f>ROUND(SUM(G32:G33),5)</f>
        <v>0</v>
      </c>
      <c r="H34" s="45"/>
      <c r="I34" s="52">
        <f>ROUND(SUM(I32:I33),5)</f>
        <v>0</v>
      </c>
      <c r="J34" s="45"/>
      <c r="K34" s="52">
        <f>ROUND(SUM(K32:K33),5)</f>
        <v>420</v>
      </c>
      <c r="L34" s="45"/>
      <c r="M34" s="52">
        <f t="shared" si="1"/>
        <v>420</v>
      </c>
    </row>
    <row r="35" spans="1:13" ht="30" customHeight="1" x14ac:dyDescent="0.3">
      <c r="A35" s="43"/>
      <c r="B35" s="43"/>
      <c r="C35" s="43"/>
      <c r="D35" s="43"/>
      <c r="E35" s="43" t="s">
        <v>190</v>
      </c>
      <c r="F35" s="43"/>
      <c r="G35" s="52">
        <v>0</v>
      </c>
      <c r="H35" s="45"/>
      <c r="I35" s="52">
        <v>189.27</v>
      </c>
      <c r="J35" s="45"/>
      <c r="K35" s="52">
        <v>16689.900000000001</v>
      </c>
      <c r="L35" s="45"/>
      <c r="M35" s="52">
        <f t="shared" si="1"/>
        <v>16879.169999999998</v>
      </c>
    </row>
    <row r="36" spans="1:13" x14ac:dyDescent="0.3">
      <c r="A36" s="43"/>
      <c r="B36" s="43"/>
      <c r="C36" s="43"/>
      <c r="D36" s="43"/>
      <c r="E36" s="43" t="s">
        <v>431</v>
      </c>
      <c r="F36" s="43"/>
      <c r="G36" s="52">
        <v>0</v>
      </c>
      <c r="H36" s="45"/>
      <c r="I36" s="52">
        <v>38.76</v>
      </c>
      <c r="J36" s="45"/>
      <c r="K36" s="52">
        <v>0.48</v>
      </c>
      <c r="L36" s="45"/>
      <c r="M36" s="52">
        <f t="shared" si="1"/>
        <v>39.24</v>
      </c>
    </row>
    <row r="37" spans="1:13" x14ac:dyDescent="0.3">
      <c r="A37" s="43"/>
      <c r="B37" s="43"/>
      <c r="C37" s="43"/>
      <c r="D37" s="43"/>
      <c r="E37" s="43" t="s">
        <v>192</v>
      </c>
      <c r="F37" s="43"/>
      <c r="G37" s="52">
        <v>0</v>
      </c>
      <c r="H37" s="45"/>
      <c r="I37" s="52">
        <v>37.03</v>
      </c>
      <c r="J37" s="45"/>
      <c r="K37" s="52">
        <v>52</v>
      </c>
      <c r="L37" s="45"/>
      <c r="M37" s="52">
        <f t="shared" si="1"/>
        <v>89.03</v>
      </c>
    </row>
    <row r="38" spans="1:13" x14ac:dyDescent="0.3">
      <c r="A38" s="43"/>
      <c r="B38" s="43"/>
      <c r="C38" s="43"/>
      <c r="D38" s="43"/>
      <c r="E38" s="43" t="s">
        <v>543</v>
      </c>
      <c r="F38" s="43"/>
      <c r="G38" s="52">
        <v>0</v>
      </c>
      <c r="H38" s="45"/>
      <c r="I38" s="52">
        <v>44.4</v>
      </c>
      <c r="J38" s="45"/>
      <c r="K38" s="52">
        <v>48.84</v>
      </c>
      <c r="L38" s="45"/>
      <c r="M38" s="52">
        <f t="shared" si="1"/>
        <v>93.24</v>
      </c>
    </row>
    <row r="39" spans="1:13" x14ac:dyDescent="0.3">
      <c r="A39" s="43"/>
      <c r="B39" s="43"/>
      <c r="C39" s="43"/>
      <c r="D39" s="43"/>
      <c r="E39" s="43" t="s">
        <v>194</v>
      </c>
      <c r="F39" s="43"/>
      <c r="G39" s="52">
        <v>0</v>
      </c>
      <c r="H39" s="45"/>
      <c r="I39" s="52">
        <v>0</v>
      </c>
      <c r="J39" s="45"/>
      <c r="K39" s="52">
        <v>0</v>
      </c>
      <c r="L39" s="45"/>
      <c r="M39" s="52">
        <f t="shared" si="1"/>
        <v>0</v>
      </c>
    </row>
    <row r="40" spans="1:13" x14ac:dyDescent="0.3">
      <c r="A40" s="43"/>
      <c r="B40" s="43"/>
      <c r="C40" s="43"/>
      <c r="D40" s="43"/>
      <c r="E40" s="43" t="s">
        <v>544</v>
      </c>
      <c r="F40" s="43"/>
      <c r="G40" s="52">
        <v>0</v>
      </c>
      <c r="H40" s="45"/>
      <c r="I40" s="52">
        <v>0</v>
      </c>
      <c r="J40" s="45"/>
      <c r="K40" s="52">
        <v>25</v>
      </c>
      <c r="L40" s="45"/>
      <c r="M40" s="52">
        <f t="shared" si="1"/>
        <v>25</v>
      </c>
    </row>
    <row r="41" spans="1:13" x14ac:dyDescent="0.3">
      <c r="A41" s="43"/>
      <c r="B41" s="43"/>
      <c r="C41" s="43"/>
      <c r="D41" s="43"/>
      <c r="E41" s="43" t="s">
        <v>195</v>
      </c>
      <c r="F41" s="43"/>
      <c r="G41" s="52"/>
      <c r="H41" s="45"/>
      <c r="I41" s="52"/>
      <c r="J41" s="45"/>
      <c r="K41" s="52"/>
      <c r="L41" s="45"/>
      <c r="M41" s="52"/>
    </row>
    <row r="42" spans="1:13" x14ac:dyDescent="0.3">
      <c r="A42" s="43"/>
      <c r="B42" s="43"/>
      <c r="C42" s="43"/>
      <c r="D42" s="43"/>
      <c r="E42" s="43"/>
      <c r="F42" s="43" t="s">
        <v>197</v>
      </c>
      <c r="G42" s="52">
        <v>0</v>
      </c>
      <c r="H42" s="45"/>
      <c r="I42" s="52">
        <v>0</v>
      </c>
      <c r="J42" s="45"/>
      <c r="K42" s="52">
        <v>1170</v>
      </c>
      <c r="L42" s="45"/>
      <c r="M42" s="52">
        <f t="shared" ref="M42:M47" si="2">ROUND(SUM(G42:K42),5)</f>
        <v>1170</v>
      </c>
    </row>
    <row r="43" spans="1:13" x14ac:dyDescent="0.3">
      <c r="A43" s="43"/>
      <c r="B43" s="43"/>
      <c r="C43" s="43"/>
      <c r="D43" s="43"/>
      <c r="E43" s="43"/>
      <c r="F43" s="43" t="s">
        <v>545</v>
      </c>
      <c r="G43" s="52">
        <v>0</v>
      </c>
      <c r="H43" s="45"/>
      <c r="I43" s="52">
        <v>4250</v>
      </c>
      <c r="J43" s="45"/>
      <c r="K43" s="52">
        <v>4992.5</v>
      </c>
      <c r="L43" s="45"/>
      <c r="M43" s="52">
        <f t="shared" si="2"/>
        <v>9242.5</v>
      </c>
    </row>
    <row r="44" spans="1:13" x14ac:dyDescent="0.3">
      <c r="A44" s="43"/>
      <c r="B44" s="43"/>
      <c r="C44" s="43"/>
      <c r="D44" s="43"/>
      <c r="E44" s="43"/>
      <c r="F44" s="43" t="s">
        <v>369</v>
      </c>
      <c r="G44" s="52">
        <v>0</v>
      </c>
      <c r="H44" s="45"/>
      <c r="I44" s="52">
        <v>6872</v>
      </c>
      <c r="J44" s="45"/>
      <c r="K44" s="52">
        <v>12715.24</v>
      </c>
      <c r="L44" s="45"/>
      <c r="M44" s="52">
        <f t="shared" si="2"/>
        <v>19587.240000000002</v>
      </c>
    </row>
    <row r="45" spans="1:13" ht="15" thickBot="1" x14ac:dyDescent="0.35">
      <c r="A45" s="43"/>
      <c r="B45" s="43"/>
      <c r="C45" s="43"/>
      <c r="D45" s="43"/>
      <c r="E45" s="43"/>
      <c r="F45" s="43" t="s">
        <v>199</v>
      </c>
      <c r="G45" s="52">
        <v>0</v>
      </c>
      <c r="H45" s="45"/>
      <c r="I45" s="52">
        <v>167.58</v>
      </c>
      <c r="J45" s="45"/>
      <c r="K45" s="52">
        <v>168.85</v>
      </c>
      <c r="L45" s="45"/>
      <c r="M45" s="52">
        <f t="shared" si="2"/>
        <v>336.43</v>
      </c>
    </row>
    <row r="46" spans="1:13" ht="15" thickBot="1" x14ac:dyDescent="0.35">
      <c r="A46" s="43"/>
      <c r="B46" s="43"/>
      <c r="C46" s="43"/>
      <c r="D46" s="43"/>
      <c r="E46" s="43" t="s">
        <v>200</v>
      </c>
      <c r="F46" s="43"/>
      <c r="G46" s="53">
        <f>ROUND(SUM(G41:G45),5)</f>
        <v>0</v>
      </c>
      <c r="H46" s="45"/>
      <c r="I46" s="53">
        <f>ROUND(SUM(I41:I45),5)</f>
        <v>11289.58</v>
      </c>
      <c r="J46" s="45"/>
      <c r="K46" s="53">
        <f>ROUND(SUM(K41:K45),5)</f>
        <v>19046.59</v>
      </c>
      <c r="L46" s="45"/>
      <c r="M46" s="53">
        <f t="shared" si="2"/>
        <v>30336.17</v>
      </c>
    </row>
    <row r="47" spans="1:13" ht="30" customHeight="1" x14ac:dyDescent="0.3">
      <c r="A47" s="43"/>
      <c r="B47" s="43"/>
      <c r="C47" s="43"/>
      <c r="D47" s="43" t="s">
        <v>546</v>
      </c>
      <c r="E47" s="43"/>
      <c r="F47" s="43"/>
      <c r="G47" s="52">
        <f>ROUND(G31+SUM(G34:G40)+G46,5)</f>
        <v>0</v>
      </c>
      <c r="H47" s="45"/>
      <c r="I47" s="52">
        <f>ROUND(I31+SUM(I34:I40)+I46,5)</f>
        <v>11599.04</v>
      </c>
      <c r="J47" s="45"/>
      <c r="K47" s="52">
        <f>ROUND(K31+SUM(K34:K40)+K46,5)</f>
        <v>36282.81</v>
      </c>
      <c r="L47" s="45"/>
      <c r="M47" s="52">
        <f t="shared" si="2"/>
        <v>47881.85</v>
      </c>
    </row>
    <row r="48" spans="1:13" ht="30" customHeight="1" x14ac:dyDescent="0.3">
      <c r="A48" s="43"/>
      <c r="B48" s="43"/>
      <c r="C48" s="43"/>
      <c r="D48" s="43" t="s">
        <v>203</v>
      </c>
      <c r="E48" s="43"/>
      <c r="F48" s="43"/>
      <c r="G48" s="52"/>
      <c r="H48" s="45"/>
      <c r="I48" s="52"/>
      <c r="J48" s="45"/>
      <c r="K48" s="52"/>
      <c r="L48" s="45"/>
      <c r="M48" s="52"/>
    </row>
    <row r="49" spans="1:13" x14ac:dyDescent="0.3">
      <c r="A49" s="43"/>
      <c r="B49" s="43"/>
      <c r="C49" s="43"/>
      <c r="D49" s="43"/>
      <c r="E49" s="43" t="s">
        <v>547</v>
      </c>
      <c r="F49" s="43"/>
      <c r="G49" s="52">
        <v>0</v>
      </c>
      <c r="H49" s="45"/>
      <c r="I49" s="52">
        <v>0</v>
      </c>
      <c r="J49" s="45"/>
      <c r="K49" s="52">
        <v>4548.1499999999996</v>
      </c>
      <c r="L49" s="45"/>
      <c r="M49" s="52">
        <f t="shared" ref="M49:M54" si="3">ROUND(SUM(G49:K49),5)</f>
        <v>4548.1499999999996</v>
      </c>
    </row>
    <row r="50" spans="1:13" x14ac:dyDescent="0.3">
      <c r="A50" s="43"/>
      <c r="B50" s="43"/>
      <c r="C50" s="43"/>
      <c r="D50" s="43"/>
      <c r="E50" s="43" t="s">
        <v>548</v>
      </c>
      <c r="F50" s="43"/>
      <c r="G50" s="52">
        <v>0</v>
      </c>
      <c r="H50" s="45"/>
      <c r="I50" s="52">
        <v>271.83</v>
      </c>
      <c r="J50" s="45"/>
      <c r="K50" s="52">
        <v>4728.5200000000004</v>
      </c>
      <c r="L50" s="45"/>
      <c r="M50" s="52">
        <f t="shared" si="3"/>
        <v>5000.3500000000004</v>
      </c>
    </row>
    <row r="51" spans="1:13" x14ac:dyDescent="0.3">
      <c r="A51" s="43"/>
      <c r="B51" s="43"/>
      <c r="C51" s="43"/>
      <c r="D51" s="43"/>
      <c r="E51" s="43" t="s">
        <v>549</v>
      </c>
      <c r="F51" s="43"/>
      <c r="G51" s="52">
        <v>0</v>
      </c>
      <c r="H51" s="45"/>
      <c r="I51" s="52">
        <v>4590.97</v>
      </c>
      <c r="J51" s="45"/>
      <c r="K51" s="52">
        <v>13383.36</v>
      </c>
      <c r="L51" s="45"/>
      <c r="M51" s="52">
        <f t="shared" si="3"/>
        <v>17974.330000000002</v>
      </c>
    </row>
    <row r="52" spans="1:13" ht="15" thickBot="1" x14ac:dyDescent="0.35">
      <c r="A52" s="43"/>
      <c r="B52" s="43"/>
      <c r="C52" s="43"/>
      <c r="D52" s="43"/>
      <c r="E52" s="43" t="s">
        <v>370</v>
      </c>
      <c r="F52" s="43"/>
      <c r="G52" s="54">
        <v>0</v>
      </c>
      <c r="H52" s="45"/>
      <c r="I52" s="54">
        <v>10</v>
      </c>
      <c r="J52" s="45"/>
      <c r="K52" s="54">
        <v>78.69</v>
      </c>
      <c r="L52" s="45"/>
      <c r="M52" s="54">
        <f t="shared" si="3"/>
        <v>88.69</v>
      </c>
    </row>
    <row r="53" spans="1:13" x14ac:dyDescent="0.3">
      <c r="A53" s="43"/>
      <c r="B53" s="43"/>
      <c r="C53" s="43"/>
      <c r="D53" s="43" t="s">
        <v>213</v>
      </c>
      <c r="E53" s="43"/>
      <c r="F53" s="43"/>
      <c r="G53" s="52">
        <f>ROUND(SUM(G48:G52),5)</f>
        <v>0</v>
      </c>
      <c r="H53" s="45"/>
      <c r="I53" s="52">
        <f>ROUND(SUM(I48:I52),5)</f>
        <v>4872.8</v>
      </c>
      <c r="J53" s="45"/>
      <c r="K53" s="52">
        <f>ROUND(SUM(K48:K52),5)</f>
        <v>22738.720000000001</v>
      </c>
      <c r="L53" s="45"/>
      <c r="M53" s="52">
        <f t="shared" si="3"/>
        <v>27611.52</v>
      </c>
    </row>
    <row r="54" spans="1:13" ht="30" customHeight="1" x14ac:dyDescent="0.3">
      <c r="A54" s="43"/>
      <c r="B54" s="43"/>
      <c r="C54" s="43"/>
      <c r="D54" s="43" t="s">
        <v>434</v>
      </c>
      <c r="E54" s="43"/>
      <c r="F54" s="43"/>
      <c r="G54" s="52">
        <v>0</v>
      </c>
      <c r="H54" s="45"/>
      <c r="I54" s="52">
        <v>17971.54</v>
      </c>
      <c r="J54" s="45"/>
      <c r="K54" s="52">
        <v>15111.09</v>
      </c>
      <c r="L54" s="45"/>
      <c r="M54" s="52">
        <f t="shared" si="3"/>
        <v>33082.629999999997</v>
      </c>
    </row>
    <row r="55" spans="1:13" x14ac:dyDescent="0.3">
      <c r="A55" s="43"/>
      <c r="B55" s="43"/>
      <c r="C55" s="43"/>
      <c r="D55" s="43" t="s">
        <v>272</v>
      </c>
      <c r="E55" s="43"/>
      <c r="F55" s="43"/>
      <c r="G55" s="52"/>
      <c r="H55" s="45"/>
      <c r="I55" s="52"/>
      <c r="J55" s="45"/>
      <c r="K55" s="52"/>
      <c r="L55" s="45"/>
      <c r="M55" s="52"/>
    </row>
    <row r="56" spans="1:13" x14ac:dyDescent="0.3">
      <c r="A56" s="43"/>
      <c r="B56" s="43"/>
      <c r="C56" s="43"/>
      <c r="D56" s="43"/>
      <c r="E56" s="43" t="s">
        <v>550</v>
      </c>
      <c r="F56" s="43"/>
      <c r="G56" s="52">
        <v>0</v>
      </c>
      <c r="H56" s="45"/>
      <c r="I56" s="52">
        <v>0</v>
      </c>
      <c r="J56" s="45"/>
      <c r="K56" s="52">
        <v>-12060.24</v>
      </c>
      <c r="L56" s="45"/>
      <c r="M56" s="52">
        <f t="shared" ref="M56:M62" si="4">ROUND(SUM(G56:K56),5)</f>
        <v>-12060.24</v>
      </c>
    </row>
    <row r="57" spans="1:13" x14ac:dyDescent="0.3">
      <c r="A57" s="43"/>
      <c r="B57" s="43"/>
      <c r="C57" s="43"/>
      <c r="D57" s="43"/>
      <c r="E57" s="43" t="s">
        <v>551</v>
      </c>
      <c r="F57" s="43"/>
      <c r="G57" s="52">
        <v>0</v>
      </c>
      <c r="H57" s="45"/>
      <c r="I57" s="52">
        <v>0</v>
      </c>
      <c r="J57" s="45"/>
      <c r="K57" s="52">
        <v>50</v>
      </c>
      <c r="L57" s="45"/>
      <c r="M57" s="52">
        <f t="shared" si="4"/>
        <v>50</v>
      </c>
    </row>
    <row r="58" spans="1:13" x14ac:dyDescent="0.3">
      <c r="A58" s="43"/>
      <c r="B58" s="43"/>
      <c r="C58" s="43"/>
      <c r="D58" s="43"/>
      <c r="E58" s="43" t="s">
        <v>552</v>
      </c>
      <c r="F58" s="43"/>
      <c r="G58" s="52">
        <v>0</v>
      </c>
      <c r="H58" s="45"/>
      <c r="I58" s="52">
        <v>1500</v>
      </c>
      <c r="J58" s="45"/>
      <c r="K58" s="52">
        <v>0</v>
      </c>
      <c r="L58" s="45"/>
      <c r="M58" s="52">
        <f t="shared" si="4"/>
        <v>1500</v>
      </c>
    </row>
    <row r="59" spans="1:13" ht="15" thickBot="1" x14ac:dyDescent="0.35">
      <c r="A59" s="43"/>
      <c r="B59" s="43"/>
      <c r="C59" s="43"/>
      <c r="D59" s="43"/>
      <c r="E59" s="43" t="s">
        <v>275</v>
      </c>
      <c r="F59" s="43"/>
      <c r="G59" s="54">
        <v>0</v>
      </c>
      <c r="H59" s="45"/>
      <c r="I59" s="54">
        <v>63433.31</v>
      </c>
      <c r="J59" s="45"/>
      <c r="K59" s="54">
        <v>54282</v>
      </c>
      <c r="L59" s="45"/>
      <c r="M59" s="54">
        <f t="shared" si="4"/>
        <v>117715.31</v>
      </c>
    </row>
    <row r="60" spans="1:13" x14ac:dyDescent="0.3">
      <c r="A60" s="43"/>
      <c r="B60" s="43"/>
      <c r="C60" s="43"/>
      <c r="D60" s="43" t="s">
        <v>277</v>
      </c>
      <c r="E60" s="43"/>
      <c r="F60" s="43"/>
      <c r="G60" s="52">
        <f>ROUND(SUM(G55:G59),5)</f>
        <v>0</v>
      </c>
      <c r="H60" s="45"/>
      <c r="I60" s="52">
        <f>ROUND(SUM(I55:I59),5)</f>
        <v>64933.31</v>
      </c>
      <c r="J60" s="45"/>
      <c r="K60" s="52">
        <f>ROUND(SUM(K55:K59),5)</f>
        <v>42271.76</v>
      </c>
      <c r="L60" s="45"/>
      <c r="M60" s="52">
        <f t="shared" si="4"/>
        <v>107205.07</v>
      </c>
    </row>
    <row r="61" spans="1:13" ht="30" customHeight="1" x14ac:dyDescent="0.3">
      <c r="A61" s="43"/>
      <c r="B61" s="43"/>
      <c r="C61" s="43"/>
      <c r="D61" s="43" t="s">
        <v>284</v>
      </c>
      <c r="E61" s="43"/>
      <c r="F61" s="43"/>
      <c r="G61" s="52">
        <v>0</v>
      </c>
      <c r="H61" s="45"/>
      <c r="I61" s="52">
        <v>46180.4</v>
      </c>
      <c r="J61" s="45"/>
      <c r="K61" s="52">
        <v>46180.44</v>
      </c>
      <c r="L61" s="45"/>
      <c r="M61" s="52">
        <f t="shared" si="4"/>
        <v>92360.84</v>
      </c>
    </row>
    <row r="62" spans="1:13" x14ac:dyDescent="0.3">
      <c r="A62" s="43"/>
      <c r="B62" s="43"/>
      <c r="C62" s="43"/>
      <c r="D62" s="43" t="s">
        <v>553</v>
      </c>
      <c r="E62" s="43"/>
      <c r="F62" s="43"/>
      <c r="G62" s="52">
        <v>0</v>
      </c>
      <c r="H62" s="45"/>
      <c r="I62" s="52">
        <v>20484.13</v>
      </c>
      <c r="J62" s="45"/>
      <c r="K62" s="52">
        <v>20484.12</v>
      </c>
      <c r="L62" s="45"/>
      <c r="M62" s="52">
        <f t="shared" si="4"/>
        <v>40968.25</v>
      </c>
    </row>
    <row r="63" spans="1:13" x14ac:dyDescent="0.3">
      <c r="A63" s="43"/>
      <c r="B63" s="43"/>
      <c r="C63" s="43"/>
      <c r="D63" s="43" t="s">
        <v>278</v>
      </c>
      <c r="E63" s="43"/>
      <c r="F63" s="43"/>
      <c r="G63" s="52"/>
      <c r="H63" s="45"/>
      <c r="I63" s="52"/>
      <c r="J63" s="45"/>
      <c r="K63" s="52"/>
      <c r="L63" s="45"/>
      <c r="M63" s="52"/>
    </row>
    <row r="64" spans="1:13" x14ac:dyDescent="0.3">
      <c r="A64" s="43"/>
      <c r="B64" s="43"/>
      <c r="C64" s="43"/>
      <c r="D64" s="43"/>
      <c r="E64" s="43" t="s">
        <v>554</v>
      </c>
      <c r="F64" s="43"/>
      <c r="G64" s="52">
        <v>0</v>
      </c>
      <c r="H64" s="45"/>
      <c r="I64" s="52">
        <v>85935.67</v>
      </c>
      <c r="J64" s="45"/>
      <c r="K64" s="52">
        <v>77012</v>
      </c>
      <c r="L64" s="45"/>
      <c r="M64" s="52">
        <f>ROUND(SUM(G64:K64),5)</f>
        <v>162947.67000000001</v>
      </c>
    </row>
    <row r="65" spans="1:13" ht="15" thickBot="1" x14ac:dyDescent="0.35">
      <c r="A65" s="43"/>
      <c r="B65" s="43"/>
      <c r="C65" s="43"/>
      <c r="D65" s="43"/>
      <c r="E65" s="43" t="s">
        <v>282</v>
      </c>
      <c r="F65" s="43"/>
      <c r="G65" s="52">
        <v>0</v>
      </c>
      <c r="H65" s="45"/>
      <c r="I65" s="52">
        <v>0</v>
      </c>
      <c r="J65" s="45"/>
      <c r="K65" s="52">
        <v>944.69</v>
      </c>
      <c r="L65" s="45"/>
      <c r="M65" s="52">
        <f>ROUND(SUM(G65:K65),5)</f>
        <v>944.69</v>
      </c>
    </row>
    <row r="66" spans="1:13" ht="15" thickBot="1" x14ac:dyDescent="0.35">
      <c r="A66" s="43"/>
      <c r="B66" s="43"/>
      <c r="C66" s="43"/>
      <c r="D66" s="43" t="s">
        <v>283</v>
      </c>
      <c r="E66" s="43"/>
      <c r="F66" s="43"/>
      <c r="G66" s="55">
        <f>ROUND(SUM(G63:G65),5)</f>
        <v>0</v>
      </c>
      <c r="H66" s="45"/>
      <c r="I66" s="55">
        <f>ROUND(SUM(I63:I65),5)</f>
        <v>85935.67</v>
      </c>
      <c r="J66" s="45"/>
      <c r="K66" s="55">
        <f>ROUND(SUM(K63:K65),5)</f>
        <v>77956.69</v>
      </c>
      <c r="L66" s="45"/>
      <c r="M66" s="55">
        <f>ROUND(SUM(G66:K66),5)</f>
        <v>163892.35999999999</v>
      </c>
    </row>
    <row r="67" spans="1:13" ht="30" customHeight="1" thickBot="1" x14ac:dyDescent="0.35">
      <c r="A67" s="43"/>
      <c r="B67" s="43"/>
      <c r="C67" s="43" t="s">
        <v>287</v>
      </c>
      <c r="D67" s="43"/>
      <c r="E67" s="43"/>
      <c r="F67" s="43"/>
      <c r="G67" s="53">
        <f>ROUND(SUM(G9:G11)+SUM(G29:G30)+G47+SUM(G53:G54)+SUM(G60:G62)+G66,5)</f>
        <v>0</v>
      </c>
      <c r="H67" s="45"/>
      <c r="I67" s="53">
        <f>ROUND(SUM(I9:I11)+SUM(I29:I30)+I47+SUM(I53:I54)+SUM(I60:I62)+I66,5)</f>
        <v>252684.66</v>
      </c>
      <c r="J67" s="45"/>
      <c r="K67" s="53">
        <f>ROUND(SUM(K9:K11)+SUM(K29:K30)+K47+SUM(K53:K54)+SUM(K60:K62)+K66,5)</f>
        <v>267568.82</v>
      </c>
      <c r="L67" s="45"/>
      <c r="M67" s="53">
        <f>ROUND(SUM(G67:K67),5)</f>
        <v>520253.48</v>
      </c>
    </row>
    <row r="68" spans="1:13" ht="30" customHeight="1" x14ac:dyDescent="0.3">
      <c r="A68" s="43"/>
      <c r="B68" s="43" t="s">
        <v>288</v>
      </c>
      <c r="C68" s="43"/>
      <c r="D68" s="43"/>
      <c r="E68" s="43"/>
      <c r="F68" s="43"/>
      <c r="G68" s="52">
        <f>ROUND(G2+G8-G67,5)</f>
        <v>0</v>
      </c>
      <c r="H68" s="45"/>
      <c r="I68" s="52">
        <f>ROUND(I2+I8-I67,5)</f>
        <v>15775.58</v>
      </c>
      <c r="J68" s="45"/>
      <c r="K68" s="52">
        <f>ROUND(K2+K8-K67,5)</f>
        <v>-122719.35</v>
      </c>
      <c r="L68" s="45"/>
      <c r="M68" s="52">
        <f>ROUND(SUM(G68:K68),5)</f>
        <v>-106943.77</v>
      </c>
    </row>
    <row r="69" spans="1:13" ht="30" customHeight="1" x14ac:dyDescent="0.3">
      <c r="A69" s="43"/>
      <c r="B69" s="43" t="s">
        <v>289</v>
      </c>
      <c r="C69" s="43"/>
      <c r="D69" s="43"/>
      <c r="E69" s="43"/>
      <c r="F69" s="43"/>
      <c r="G69" s="52"/>
      <c r="H69" s="45"/>
      <c r="I69" s="52"/>
      <c r="J69" s="45"/>
      <c r="K69" s="52"/>
      <c r="L69" s="45"/>
      <c r="M69" s="52"/>
    </row>
    <row r="70" spans="1:13" x14ac:dyDescent="0.3">
      <c r="A70" s="43"/>
      <c r="B70" s="43"/>
      <c r="C70" s="43" t="s">
        <v>290</v>
      </c>
      <c r="D70" s="43"/>
      <c r="E70" s="43"/>
      <c r="F70" s="43"/>
      <c r="G70" s="52"/>
      <c r="H70" s="45"/>
      <c r="I70" s="52"/>
      <c r="J70" s="45"/>
      <c r="K70" s="52"/>
      <c r="L70" s="45"/>
      <c r="M70" s="52"/>
    </row>
    <row r="71" spans="1:13" x14ac:dyDescent="0.3">
      <c r="A71" s="43"/>
      <c r="B71" s="43"/>
      <c r="C71" s="43"/>
      <c r="D71" s="43" t="s">
        <v>291</v>
      </c>
      <c r="E71" s="43"/>
      <c r="F71" s="43"/>
      <c r="G71" s="52"/>
      <c r="H71" s="45"/>
      <c r="I71" s="52"/>
      <c r="J71" s="45"/>
      <c r="K71" s="52"/>
      <c r="L71" s="45"/>
      <c r="M71" s="52"/>
    </row>
    <row r="72" spans="1:13" ht="15" thickBot="1" x14ac:dyDescent="0.35">
      <c r="A72" s="43"/>
      <c r="B72" s="43"/>
      <c r="C72" s="43"/>
      <c r="D72" s="43"/>
      <c r="E72" s="43" t="s">
        <v>508</v>
      </c>
      <c r="F72" s="43"/>
      <c r="G72" s="52">
        <v>0</v>
      </c>
      <c r="H72" s="45"/>
      <c r="I72" s="52">
        <v>0</v>
      </c>
      <c r="J72" s="45"/>
      <c r="K72" s="52">
        <v>39.200000000000003</v>
      </c>
      <c r="L72" s="45"/>
      <c r="M72" s="52">
        <f>ROUND(SUM(G72:K72),5)</f>
        <v>39.200000000000003</v>
      </c>
    </row>
    <row r="73" spans="1:13" ht="15" thickBot="1" x14ac:dyDescent="0.35">
      <c r="A73" s="43"/>
      <c r="B73" s="43"/>
      <c r="C73" s="43"/>
      <c r="D73" s="43" t="s">
        <v>509</v>
      </c>
      <c r="E73" s="43"/>
      <c r="F73" s="43"/>
      <c r="G73" s="55">
        <f>ROUND(SUM(G71:G72),5)</f>
        <v>0</v>
      </c>
      <c r="H73" s="45"/>
      <c r="I73" s="55">
        <f>ROUND(SUM(I71:I72),5)</f>
        <v>0</v>
      </c>
      <c r="J73" s="45"/>
      <c r="K73" s="55">
        <f>ROUND(SUM(K71:K72),5)</f>
        <v>39.200000000000003</v>
      </c>
      <c r="L73" s="45"/>
      <c r="M73" s="55">
        <f>ROUND(SUM(G73:K73),5)</f>
        <v>39.200000000000003</v>
      </c>
    </row>
    <row r="74" spans="1:13" ht="30" customHeight="1" thickBot="1" x14ac:dyDescent="0.35">
      <c r="A74" s="43"/>
      <c r="B74" s="43"/>
      <c r="C74" s="43" t="s">
        <v>292</v>
      </c>
      <c r="D74" s="43"/>
      <c r="E74" s="43"/>
      <c r="F74" s="43"/>
      <c r="G74" s="55">
        <f>ROUND(G70+G73,5)</f>
        <v>0</v>
      </c>
      <c r="H74" s="45"/>
      <c r="I74" s="55">
        <f>ROUND(I70+I73,5)</f>
        <v>0</v>
      </c>
      <c r="J74" s="45"/>
      <c r="K74" s="55">
        <f>ROUND(K70+K73,5)</f>
        <v>39.200000000000003</v>
      </c>
      <c r="L74" s="45"/>
      <c r="M74" s="55">
        <f>ROUND(SUM(G74:K74),5)</f>
        <v>39.200000000000003</v>
      </c>
    </row>
    <row r="75" spans="1:13" ht="30" customHeight="1" thickBot="1" x14ac:dyDescent="0.35">
      <c r="A75" s="43"/>
      <c r="B75" s="43" t="s">
        <v>296</v>
      </c>
      <c r="C75" s="43"/>
      <c r="D75" s="43"/>
      <c r="E75" s="43"/>
      <c r="F75" s="43"/>
      <c r="G75" s="55">
        <f>ROUND(G69+G74,5)</f>
        <v>0</v>
      </c>
      <c r="H75" s="45"/>
      <c r="I75" s="55">
        <f>ROUND(I69+I74,5)</f>
        <v>0</v>
      </c>
      <c r="J75" s="45"/>
      <c r="K75" s="55">
        <f>ROUND(K69+K74,5)</f>
        <v>39.200000000000003</v>
      </c>
      <c r="L75" s="45"/>
      <c r="M75" s="55">
        <f>ROUND(SUM(G75:K75),5)</f>
        <v>39.200000000000003</v>
      </c>
    </row>
    <row r="76" spans="1:13" s="50" customFormat="1" ht="30" customHeight="1" thickBot="1" x14ac:dyDescent="0.25">
      <c r="A76" s="43" t="s">
        <v>165</v>
      </c>
      <c r="B76" s="43"/>
      <c r="C76" s="43"/>
      <c r="D76" s="43"/>
      <c r="E76" s="43"/>
      <c r="F76" s="43"/>
      <c r="G76" s="56">
        <f>ROUND(G68+G75,5)</f>
        <v>0</v>
      </c>
      <c r="H76" s="43"/>
      <c r="I76" s="56">
        <f>ROUND(I68+I75,5)</f>
        <v>15775.58</v>
      </c>
      <c r="J76" s="43"/>
      <c r="K76" s="56">
        <f>ROUND(K68+K75,5)</f>
        <v>-122680.15</v>
      </c>
      <c r="L76" s="43"/>
      <c r="M76" s="56">
        <f>ROUND(SUM(G76:K76),5)</f>
        <v>-106904.57</v>
      </c>
    </row>
    <row r="77" spans="1:13" ht="15" thickTop="1" x14ac:dyDescent="0.3"/>
  </sheetData>
  <pageMargins left="0.7" right="0.7" top="0.75" bottom="0.75" header="0.25" footer="0.3"/>
  <pageSetup orientation="portrait" r:id="rId1"/>
  <headerFooter>
    <oddHeader>&amp;L&amp;"Arial,Bold"&amp;8 8:53 AM
&amp;"Arial,Bold"&amp;8 02/18/14
&amp;"Arial,Bold"&amp;8 Accrual Basis&amp;C&amp;"Arial,Bold"&amp;12 NR 14, LLC.
&amp;"Arial,Bold"&amp;14 Comparative Statement of Income
&amp;"Arial,Bold"&amp;10 For the One Month Ending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969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9698" r:id="rId4" name="HEADER"/>
      </mc:Fallback>
    </mc:AlternateContent>
    <mc:AlternateContent xmlns:mc="http://schemas.openxmlformats.org/markup-compatibility/2006">
      <mc:Choice Requires="x14">
        <control shapeId="2969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9697" r:id="rId6" name="FILTER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0"/>
  <dimension ref="A1:J60"/>
  <sheetViews>
    <sheetView workbookViewId="0">
      <pane xSplit="5" ySplit="1" topLeftCell="F26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3.88671875" style="50" customWidth="1"/>
    <col min="6" max="6" width="9" bestFit="1" customWidth="1"/>
    <col min="7" max="7" width="2.33203125" customWidth="1"/>
    <col min="8" max="8" width="9" bestFit="1" customWidth="1"/>
    <col min="9" max="9" width="2.33203125" customWidth="1"/>
    <col min="10" max="10" width="9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7"/>
      <c r="G2" s="45"/>
      <c r="H2" s="57"/>
      <c r="I2" s="45"/>
      <c r="J2" s="57"/>
    </row>
    <row r="3" spans="1:10" x14ac:dyDescent="0.3">
      <c r="A3" s="43"/>
      <c r="B3" s="43" t="s">
        <v>113</v>
      </c>
      <c r="C3" s="43"/>
      <c r="D3" s="43"/>
      <c r="E3" s="43"/>
      <c r="F3" s="57"/>
      <c r="G3" s="45"/>
      <c r="H3" s="57"/>
      <c r="I3" s="45"/>
      <c r="J3" s="57"/>
    </row>
    <row r="4" spans="1:10" x14ac:dyDescent="0.3">
      <c r="A4" s="43"/>
      <c r="B4" s="43"/>
      <c r="C4" s="43" t="s">
        <v>114</v>
      </c>
      <c r="D4" s="43"/>
      <c r="E4" s="43"/>
      <c r="F4" s="57"/>
      <c r="G4" s="45"/>
      <c r="H4" s="57"/>
      <c r="I4" s="45"/>
      <c r="J4" s="57"/>
    </row>
    <row r="5" spans="1:10" x14ac:dyDescent="0.3">
      <c r="A5" s="43"/>
      <c r="B5" s="43"/>
      <c r="C5" s="43"/>
      <c r="D5" s="43" t="s">
        <v>79</v>
      </c>
      <c r="E5" s="43"/>
      <c r="F5" s="57">
        <v>15832</v>
      </c>
      <c r="G5" s="45"/>
      <c r="H5" s="57">
        <v>20034</v>
      </c>
      <c r="I5" s="45"/>
      <c r="J5" s="57">
        <v>8373</v>
      </c>
    </row>
    <row r="6" spans="1:10" ht="15" thickBot="1" x14ac:dyDescent="0.35">
      <c r="A6" s="43"/>
      <c r="B6" s="43"/>
      <c r="C6" s="43"/>
      <c r="D6" s="43" t="s">
        <v>555</v>
      </c>
      <c r="E6" s="43"/>
      <c r="F6" s="58">
        <v>101397</v>
      </c>
      <c r="G6" s="45"/>
      <c r="H6" s="58">
        <v>47849</v>
      </c>
      <c r="I6" s="45"/>
      <c r="J6" s="58">
        <v>39506</v>
      </c>
    </row>
    <row r="7" spans="1:10" x14ac:dyDescent="0.3">
      <c r="A7" s="43"/>
      <c r="B7" s="43"/>
      <c r="C7" s="43" t="s">
        <v>117</v>
      </c>
      <c r="D7" s="43"/>
      <c r="E7" s="43"/>
      <c r="F7" s="57">
        <f>ROUND(SUM(F4:F6),5)</f>
        <v>117229</v>
      </c>
      <c r="G7" s="45"/>
      <c r="H7" s="57">
        <f>ROUND(SUM(H4:H6),5)</f>
        <v>67883</v>
      </c>
      <c r="I7" s="45"/>
      <c r="J7" s="57">
        <f>ROUND(SUM(J4:J6),5)</f>
        <v>47879</v>
      </c>
    </row>
    <row r="8" spans="1:10" ht="30" customHeight="1" x14ac:dyDescent="0.3">
      <c r="A8" s="43"/>
      <c r="B8" s="43"/>
      <c r="C8" s="43" t="s">
        <v>118</v>
      </c>
      <c r="D8" s="43"/>
      <c r="E8" s="43"/>
      <c r="F8" s="57"/>
      <c r="G8" s="45"/>
      <c r="H8" s="57"/>
      <c r="I8" s="45"/>
      <c r="J8" s="57"/>
    </row>
    <row r="9" spans="1:10" ht="15" thickBot="1" x14ac:dyDescent="0.35">
      <c r="A9" s="43"/>
      <c r="B9" s="43"/>
      <c r="C9" s="43"/>
      <c r="D9" s="43" t="s">
        <v>118</v>
      </c>
      <c r="E9" s="43"/>
      <c r="F9" s="58">
        <v>-12100</v>
      </c>
      <c r="G9" s="45"/>
      <c r="H9" s="58">
        <v>13103</v>
      </c>
      <c r="I9" s="45"/>
      <c r="J9" s="58">
        <v>-17649</v>
      </c>
    </row>
    <row r="10" spans="1:10" x14ac:dyDescent="0.3">
      <c r="A10" s="43"/>
      <c r="B10" s="43"/>
      <c r="C10" s="43" t="s">
        <v>119</v>
      </c>
      <c r="D10" s="43"/>
      <c r="E10" s="43"/>
      <c r="F10" s="57">
        <f>ROUND(SUM(F8:F9),5)</f>
        <v>-12100</v>
      </c>
      <c r="G10" s="45"/>
      <c r="H10" s="57">
        <f>ROUND(SUM(H8:H9),5)</f>
        <v>13103</v>
      </c>
      <c r="I10" s="45"/>
      <c r="J10" s="57">
        <f>ROUND(SUM(J8:J9),5)</f>
        <v>-17649</v>
      </c>
    </row>
    <row r="11" spans="1:10" ht="30" customHeight="1" x14ac:dyDescent="0.3">
      <c r="A11" s="43"/>
      <c r="B11" s="43"/>
      <c r="C11" s="43" t="s">
        <v>120</v>
      </c>
      <c r="D11" s="43"/>
      <c r="E11" s="43"/>
      <c r="F11" s="57"/>
      <c r="G11" s="45"/>
      <c r="H11" s="57"/>
      <c r="I11" s="45"/>
      <c r="J11" s="57"/>
    </row>
    <row r="12" spans="1:10" x14ac:dyDescent="0.3">
      <c r="A12" s="43"/>
      <c r="B12" s="43"/>
      <c r="C12" s="43"/>
      <c r="D12" s="43" t="s">
        <v>556</v>
      </c>
      <c r="E12" s="43"/>
      <c r="F12" s="57">
        <v>0</v>
      </c>
      <c r="G12" s="45"/>
      <c r="H12" s="57">
        <v>0</v>
      </c>
      <c r="I12" s="45"/>
      <c r="J12" s="57">
        <v>82801</v>
      </c>
    </row>
    <row r="13" spans="1:10" ht="15" thickBot="1" x14ac:dyDescent="0.35">
      <c r="A13" s="43"/>
      <c r="B13" s="43"/>
      <c r="C13" s="43"/>
      <c r="D13" s="43" t="s">
        <v>122</v>
      </c>
      <c r="E13" s="43"/>
      <c r="F13" s="57">
        <v>13840</v>
      </c>
      <c r="G13" s="45"/>
      <c r="H13" s="57">
        <v>15280</v>
      </c>
      <c r="I13" s="45"/>
      <c r="J13" s="57">
        <v>15378</v>
      </c>
    </row>
    <row r="14" spans="1:10" ht="15" thickBot="1" x14ac:dyDescent="0.35">
      <c r="A14" s="43"/>
      <c r="B14" s="43"/>
      <c r="C14" s="43" t="s">
        <v>124</v>
      </c>
      <c r="D14" s="43"/>
      <c r="E14" s="43"/>
      <c r="F14" s="59">
        <f>ROUND(SUM(F11:F13),5)</f>
        <v>13840</v>
      </c>
      <c r="G14" s="45"/>
      <c r="H14" s="59">
        <f>ROUND(SUM(H11:H13),5)</f>
        <v>15280</v>
      </c>
      <c r="I14" s="45"/>
      <c r="J14" s="59">
        <f>ROUND(SUM(J11:J13),5)</f>
        <v>98179</v>
      </c>
    </row>
    <row r="15" spans="1:10" ht="30" customHeight="1" x14ac:dyDescent="0.3">
      <c r="A15" s="43"/>
      <c r="B15" s="43" t="s">
        <v>125</v>
      </c>
      <c r="C15" s="43"/>
      <c r="D15" s="43"/>
      <c r="E15" s="43"/>
      <c r="F15" s="57">
        <f>ROUND(F3+F7+F10+F14,5)</f>
        <v>118969</v>
      </c>
      <c r="G15" s="45"/>
      <c r="H15" s="57">
        <f>ROUND(H3+H7+H10+H14,5)</f>
        <v>96266</v>
      </c>
      <c r="I15" s="45"/>
      <c r="J15" s="57">
        <f>ROUND(J3+J7+J10+J14,5)</f>
        <v>128409</v>
      </c>
    </row>
    <row r="16" spans="1:10" ht="30" customHeight="1" x14ac:dyDescent="0.3">
      <c r="A16" s="43"/>
      <c r="B16" s="43" t="s">
        <v>126</v>
      </c>
      <c r="C16" s="43"/>
      <c r="D16" s="43"/>
      <c r="E16" s="43"/>
      <c r="F16" s="57"/>
      <c r="G16" s="45"/>
      <c r="H16" s="57"/>
      <c r="I16" s="45"/>
      <c r="J16" s="57"/>
    </row>
    <row r="17" spans="1:10" x14ac:dyDescent="0.3">
      <c r="A17" s="43"/>
      <c r="B17" s="43"/>
      <c r="C17" s="43" t="s">
        <v>127</v>
      </c>
      <c r="D17" s="43"/>
      <c r="E17" s="43"/>
      <c r="F17" s="57">
        <v>198000</v>
      </c>
      <c r="G17" s="45"/>
      <c r="H17" s="57">
        <v>198000</v>
      </c>
      <c r="I17" s="45"/>
      <c r="J17" s="57">
        <v>198000</v>
      </c>
    </row>
    <row r="18" spans="1:10" x14ac:dyDescent="0.3">
      <c r="A18" s="43"/>
      <c r="B18" s="43"/>
      <c r="C18" s="43" t="s">
        <v>557</v>
      </c>
      <c r="D18" s="43"/>
      <c r="E18" s="43"/>
      <c r="F18" s="57">
        <v>4260520</v>
      </c>
      <c r="G18" s="45"/>
      <c r="H18" s="57">
        <v>4260520</v>
      </c>
      <c r="I18" s="45"/>
      <c r="J18" s="57">
        <v>4260520</v>
      </c>
    </row>
    <row r="19" spans="1:10" x14ac:dyDescent="0.3">
      <c r="A19" s="43"/>
      <c r="B19" s="43"/>
      <c r="C19" s="43" t="s">
        <v>558</v>
      </c>
      <c r="D19" s="43"/>
      <c r="E19" s="43"/>
      <c r="F19" s="57">
        <v>502641</v>
      </c>
      <c r="G19" s="45"/>
      <c r="H19" s="57">
        <v>502641</v>
      </c>
      <c r="I19" s="45"/>
      <c r="J19" s="57">
        <v>502641</v>
      </c>
    </row>
    <row r="20" spans="1:10" x14ac:dyDescent="0.3">
      <c r="A20" s="43"/>
      <c r="B20" s="43"/>
      <c r="C20" s="43" t="s">
        <v>353</v>
      </c>
      <c r="D20" s="43"/>
      <c r="E20" s="43"/>
      <c r="F20" s="57">
        <v>223744</v>
      </c>
      <c r="G20" s="45"/>
      <c r="H20" s="57">
        <v>223744</v>
      </c>
      <c r="I20" s="45"/>
      <c r="J20" s="57">
        <v>223744</v>
      </c>
    </row>
    <row r="21" spans="1:10" x14ac:dyDescent="0.3">
      <c r="A21" s="43"/>
      <c r="B21" s="43"/>
      <c r="C21" s="43" t="s">
        <v>559</v>
      </c>
      <c r="D21" s="43"/>
      <c r="E21" s="43"/>
      <c r="F21" s="57">
        <v>47077</v>
      </c>
      <c r="G21" s="45"/>
      <c r="H21" s="57">
        <v>47077</v>
      </c>
      <c r="I21" s="45"/>
      <c r="J21" s="57">
        <v>47077</v>
      </c>
    </row>
    <row r="22" spans="1:10" x14ac:dyDescent="0.3">
      <c r="A22" s="43"/>
      <c r="B22" s="43"/>
      <c r="C22" s="43" t="s">
        <v>130</v>
      </c>
      <c r="D22" s="43"/>
      <c r="E22" s="43"/>
      <c r="F22" s="57">
        <v>36006</v>
      </c>
      <c r="G22" s="45"/>
      <c r="H22" s="57">
        <v>36006</v>
      </c>
      <c r="I22" s="45"/>
      <c r="J22" s="57">
        <v>36006</v>
      </c>
    </row>
    <row r="23" spans="1:10" x14ac:dyDescent="0.3">
      <c r="A23" s="43"/>
      <c r="B23" s="43"/>
      <c r="C23" s="43" t="s">
        <v>560</v>
      </c>
      <c r="D23" s="43"/>
      <c r="E23" s="43"/>
      <c r="F23" s="57">
        <v>138754</v>
      </c>
      <c r="G23" s="45"/>
      <c r="H23" s="57">
        <v>145829</v>
      </c>
      <c r="I23" s="45"/>
      <c r="J23" s="57">
        <v>145829</v>
      </c>
    </row>
    <row r="24" spans="1:10" x14ac:dyDescent="0.3">
      <c r="A24" s="43"/>
      <c r="B24" s="43"/>
      <c r="C24" s="43" t="s">
        <v>561</v>
      </c>
      <c r="D24" s="43"/>
      <c r="E24" s="43"/>
      <c r="F24" s="57">
        <v>75976</v>
      </c>
      <c r="G24" s="45"/>
      <c r="H24" s="57">
        <v>81066</v>
      </c>
      <c r="I24" s="45"/>
      <c r="J24" s="57">
        <v>81066</v>
      </c>
    </row>
    <row r="25" spans="1:10" ht="15" thickBot="1" x14ac:dyDescent="0.35">
      <c r="A25" s="43"/>
      <c r="B25" s="43"/>
      <c r="C25" s="43" t="s">
        <v>562</v>
      </c>
      <c r="D25" s="43"/>
      <c r="E25" s="43"/>
      <c r="F25" s="58">
        <v>-2240457</v>
      </c>
      <c r="G25" s="45"/>
      <c r="H25" s="58">
        <v>-2395880</v>
      </c>
      <c r="I25" s="45"/>
      <c r="J25" s="58">
        <v>-2551304</v>
      </c>
    </row>
    <row r="26" spans="1:10" x14ac:dyDescent="0.3">
      <c r="A26" s="43"/>
      <c r="B26" s="43" t="s">
        <v>136</v>
      </c>
      <c r="C26" s="43"/>
      <c r="D26" s="43"/>
      <c r="E26" s="43"/>
      <c r="F26" s="57">
        <f>ROUND(SUM(F16:F25),5)</f>
        <v>3242261</v>
      </c>
      <c r="G26" s="45"/>
      <c r="H26" s="57">
        <f>ROUND(SUM(H16:H25),5)</f>
        <v>3099003</v>
      </c>
      <c r="I26" s="45"/>
      <c r="J26" s="57">
        <f>ROUND(SUM(J16:J25),5)</f>
        <v>2943579</v>
      </c>
    </row>
    <row r="27" spans="1:10" ht="30" customHeight="1" x14ac:dyDescent="0.3">
      <c r="A27" s="43"/>
      <c r="B27" s="43" t="s">
        <v>137</v>
      </c>
      <c r="C27" s="43"/>
      <c r="D27" s="43"/>
      <c r="E27" s="43"/>
      <c r="F27" s="57"/>
      <c r="G27" s="45"/>
      <c r="H27" s="57"/>
      <c r="I27" s="45"/>
      <c r="J27" s="57"/>
    </row>
    <row r="28" spans="1:10" x14ac:dyDescent="0.3">
      <c r="A28" s="43"/>
      <c r="B28" s="43"/>
      <c r="C28" s="43" t="s">
        <v>563</v>
      </c>
      <c r="D28" s="43"/>
      <c r="E28" s="43"/>
      <c r="F28" s="57">
        <v>67684</v>
      </c>
      <c r="G28" s="45"/>
      <c r="H28" s="57">
        <v>67684</v>
      </c>
      <c r="I28" s="45"/>
      <c r="J28" s="57">
        <v>67684</v>
      </c>
    </row>
    <row r="29" spans="1:10" ht="15" thickBot="1" x14ac:dyDescent="0.35">
      <c r="A29" s="43"/>
      <c r="B29" s="43"/>
      <c r="C29" s="43" t="s">
        <v>564</v>
      </c>
      <c r="D29" s="43"/>
      <c r="E29" s="43"/>
      <c r="F29" s="57">
        <v>-18425</v>
      </c>
      <c r="G29" s="45"/>
      <c r="H29" s="57">
        <v>-22937</v>
      </c>
      <c r="I29" s="45"/>
      <c r="J29" s="57">
        <v>-27449</v>
      </c>
    </row>
    <row r="30" spans="1:10" ht="15" thickBot="1" x14ac:dyDescent="0.35">
      <c r="A30" s="43"/>
      <c r="B30" s="43" t="s">
        <v>141</v>
      </c>
      <c r="C30" s="43"/>
      <c r="D30" s="43"/>
      <c r="E30" s="43"/>
      <c r="F30" s="60">
        <f>ROUND(SUM(F27:F29),5)</f>
        <v>49259</v>
      </c>
      <c r="G30" s="45"/>
      <c r="H30" s="60">
        <f>ROUND(SUM(H27:H29),5)</f>
        <v>44747</v>
      </c>
      <c r="I30" s="45"/>
      <c r="J30" s="60">
        <f>ROUND(SUM(J27:J29),5)</f>
        <v>40235</v>
      </c>
    </row>
    <row r="31" spans="1:10" s="50" customFormat="1" ht="30" customHeight="1" thickBot="1" x14ac:dyDescent="0.25">
      <c r="A31" s="43" t="s">
        <v>142</v>
      </c>
      <c r="B31" s="43"/>
      <c r="C31" s="43"/>
      <c r="D31" s="43"/>
      <c r="E31" s="43"/>
      <c r="F31" s="61">
        <f>ROUND(F2+F15+F26+F30,5)</f>
        <v>3410489</v>
      </c>
      <c r="G31" s="43"/>
      <c r="H31" s="61">
        <f>ROUND(H2+H15+H26+H30,5)</f>
        <v>3240016</v>
      </c>
      <c r="I31" s="43"/>
      <c r="J31" s="61">
        <f>ROUND(J2+J15+J26+J30,5)</f>
        <v>3112223</v>
      </c>
    </row>
    <row r="32" spans="1:10" ht="31.5" customHeight="1" thickTop="1" x14ac:dyDescent="0.3">
      <c r="A32" s="43" t="s">
        <v>143</v>
      </c>
      <c r="B32" s="43"/>
      <c r="C32" s="43"/>
      <c r="D32" s="43"/>
      <c r="E32" s="43"/>
      <c r="F32" s="57"/>
      <c r="G32" s="45"/>
      <c r="H32" s="57"/>
      <c r="I32" s="45"/>
      <c r="J32" s="57"/>
    </row>
    <row r="33" spans="1:10" x14ac:dyDescent="0.3">
      <c r="A33" s="43"/>
      <c r="B33" s="43" t="s">
        <v>144</v>
      </c>
      <c r="C33" s="43"/>
      <c r="D33" s="43"/>
      <c r="E33" s="43"/>
      <c r="F33" s="57"/>
      <c r="G33" s="45"/>
      <c r="H33" s="57"/>
      <c r="I33" s="45"/>
      <c r="J33" s="57"/>
    </row>
    <row r="34" spans="1:10" x14ac:dyDescent="0.3">
      <c r="A34" s="43"/>
      <c r="B34" s="43"/>
      <c r="C34" s="43" t="s">
        <v>145</v>
      </c>
      <c r="D34" s="43"/>
      <c r="E34" s="43"/>
      <c r="F34" s="57"/>
      <c r="G34" s="45"/>
      <c r="H34" s="57"/>
      <c r="I34" s="45"/>
      <c r="J34" s="57"/>
    </row>
    <row r="35" spans="1:10" x14ac:dyDescent="0.3">
      <c r="A35" s="43"/>
      <c r="B35" s="43"/>
      <c r="C35" s="43"/>
      <c r="D35" s="43" t="s">
        <v>146</v>
      </c>
      <c r="E35" s="43"/>
      <c r="F35" s="57"/>
      <c r="G35" s="45"/>
      <c r="H35" s="57"/>
      <c r="I35" s="45"/>
      <c r="J35" s="57"/>
    </row>
    <row r="36" spans="1:10" ht="15" thickBot="1" x14ac:dyDescent="0.35">
      <c r="A36" s="43"/>
      <c r="B36" s="43"/>
      <c r="C36" s="43"/>
      <c r="D36" s="43"/>
      <c r="E36" s="43" t="s">
        <v>146</v>
      </c>
      <c r="F36" s="58">
        <v>71082</v>
      </c>
      <c r="G36" s="45"/>
      <c r="H36" s="58">
        <v>39543</v>
      </c>
      <c r="I36" s="45"/>
      <c r="J36" s="58">
        <v>66323</v>
      </c>
    </row>
    <row r="37" spans="1:10" x14ac:dyDescent="0.3">
      <c r="A37" s="43"/>
      <c r="B37" s="43"/>
      <c r="C37" s="43"/>
      <c r="D37" s="43" t="s">
        <v>147</v>
      </c>
      <c r="E37" s="43"/>
      <c r="F37" s="57">
        <f>ROUND(SUM(F35:F36),5)</f>
        <v>71082</v>
      </c>
      <c r="G37" s="45"/>
      <c r="H37" s="57">
        <f>ROUND(SUM(H35:H36),5)</f>
        <v>39543</v>
      </c>
      <c r="I37" s="45"/>
      <c r="J37" s="57">
        <f>ROUND(SUM(J35:J36),5)</f>
        <v>66323</v>
      </c>
    </row>
    <row r="38" spans="1:10" ht="30" customHeight="1" x14ac:dyDescent="0.3">
      <c r="A38" s="43"/>
      <c r="B38" s="43"/>
      <c r="C38" s="43"/>
      <c r="D38" s="43" t="s">
        <v>148</v>
      </c>
      <c r="E38" s="43"/>
      <c r="F38" s="57"/>
      <c r="G38" s="45"/>
      <c r="H38" s="57"/>
      <c r="I38" s="45"/>
      <c r="J38" s="57"/>
    </row>
    <row r="39" spans="1:10" x14ac:dyDescent="0.3">
      <c r="A39" s="43"/>
      <c r="B39" s="43"/>
      <c r="C39" s="43"/>
      <c r="D39" s="43"/>
      <c r="E39" s="43" t="s">
        <v>151</v>
      </c>
      <c r="F39" s="57">
        <v>45758</v>
      </c>
      <c r="G39" s="45"/>
      <c r="H39" s="57">
        <v>49052</v>
      </c>
      <c r="I39" s="45"/>
      <c r="J39" s="57">
        <v>55901</v>
      </c>
    </row>
    <row r="40" spans="1:10" ht="15" thickBot="1" x14ac:dyDescent="0.35">
      <c r="A40" s="43"/>
      <c r="B40" s="43"/>
      <c r="C40" s="43"/>
      <c r="D40" s="43"/>
      <c r="E40" s="43" t="s">
        <v>565</v>
      </c>
      <c r="F40" s="57">
        <v>69708</v>
      </c>
      <c r="G40" s="45"/>
      <c r="H40" s="57">
        <v>64837</v>
      </c>
      <c r="I40" s="45"/>
      <c r="J40" s="57">
        <v>66888</v>
      </c>
    </row>
    <row r="41" spans="1:10" ht="15" thickBot="1" x14ac:dyDescent="0.35">
      <c r="A41" s="43"/>
      <c r="B41" s="43"/>
      <c r="C41" s="43"/>
      <c r="D41" s="43" t="s">
        <v>152</v>
      </c>
      <c r="E41" s="43"/>
      <c r="F41" s="59">
        <f>ROUND(SUM(F38:F40),5)</f>
        <v>115466</v>
      </c>
      <c r="G41" s="45"/>
      <c r="H41" s="59">
        <f>ROUND(SUM(H38:H40),5)</f>
        <v>113889</v>
      </c>
      <c r="I41" s="45"/>
      <c r="J41" s="59">
        <f>ROUND(SUM(J38:J40),5)</f>
        <v>122789</v>
      </c>
    </row>
    <row r="42" spans="1:10" ht="30" customHeight="1" x14ac:dyDescent="0.3">
      <c r="A42" s="43"/>
      <c r="B42" s="43"/>
      <c r="C42" s="43" t="s">
        <v>153</v>
      </c>
      <c r="D42" s="43"/>
      <c r="E42" s="43"/>
      <c r="F42" s="57">
        <f>ROUND(F34+F37+F41,5)</f>
        <v>186548</v>
      </c>
      <c r="G42" s="45"/>
      <c r="H42" s="57">
        <f>ROUND(H34+H37+H41,5)</f>
        <v>153432</v>
      </c>
      <c r="I42" s="45"/>
      <c r="J42" s="57">
        <f>ROUND(J34+J37+J41,5)</f>
        <v>189112</v>
      </c>
    </row>
    <row r="43" spans="1:10" ht="30" customHeight="1" x14ac:dyDescent="0.3">
      <c r="A43" s="43"/>
      <c r="B43" s="43"/>
      <c r="C43" s="43" t="s">
        <v>154</v>
      </c>
      <c r="D43" s="43"/>
      <c r="E43" s="43"/>
      <c r="F43" s="57"/>
      <c r="G43" s="45"/>
      <c r="H43" s="57"/>
      <c r="I43" s="45"/>
      <c r="J43" s="57"/>
    </row>
    <row r="44" spans="1:10" ht="15" thickBot="1" x14ac:dyDescent="0.35">
      <c r="A44" s="43"/>
      <c r="B44" s="43"/>
      <c r="C44" s="43"/>
      <c r="D44" s="43" t="s">
        <v>310</v>
      </c>
      <c r="E44" s="43"/>
      <c r="F44" s="57">
        <v>3042017</v>
      </c>
      <c r="G44" s="45"/>
      <c r="H44" s="57">
        <v>2840059</v>
      </c>
      <c r="I44" s="45"/>
      <c r="J44" s="57">
        <v>2625195</v>
      </c>
    </row>
    <row r="45" spans="1:10" ht="15" thickBot="1" x14ac:dyDescent="0.35">
      <c r="A45" s="43"/>
      <c r="B45" s="43"/>
      <c r="C45" s="43" t="s">
        <v>157</v>
      </c>
      <c r="D45" s="43"/>
      <c r="E45" s="43"/>
      <c r="F45" s="59">
        <f>ROUND(SUM(F43:F44),5)</f>
        <v>3042017</v>
      </c>
      <c r="G45" s="45"/>
      <c r="H45" s="59">
        <f>ROUND(SUM(H43:H44),5)</f>
        <v>2840059</v>
      </c>
      <c r="I45" s="45"/>
      <c r="J45" s="59">
        <f>ROUND(SUM(J43:J44),5)</f>
        <v>2625195</v>
      </c>
    </row>
    <row r="46" spans="1:10" ht="30" customHeight="1" x14ac:dyDescent="0.3">
      <c r="A46" s="43"/>
      <c r="B46" s="43" t="s">
        <v>158</v>
      </c>
      <c r="C46" s="43"/>
      <c r="D46" s="43"/>
      <c r="E46" s="43"/>
      <c r="F46" s="57">
        <f>ROUND(F33+F42+F45,5)</f>
        <v>3228565</v>
      </c>
      <c r="G46" s="45"/>
      <c r="H46" s="57">
        <f>ROUND(H33+H42+H45,5)</f>
        <v>2993491</v>
      </c>
      <c r="I46" s="45"/>
      <c r="J46" s="57">
        <f>ROUND(J33+J42+J45,5)</f>
        <v>2814307</v>
      </c>
    </row>
    <row r="47" spans="1:10" ht="30" customHeight="1" x14ac:dyDescent="0.3">
      <c r="A47" s="43"/>
      <c r="B47" s="43" t="s">
        <v>159</v>
      </c>
      <c r="C47" s="43"/>
      <c r="D47" s="43"/>
      <c r="E47" s="43"/>
      <c r="F47" s="57"/>
      <c r="G47" s="45"/>
      <c r="H47" s="57"/>
      <c r="I47" s="45"/>
      <c r="J47" s="57"/>
    </row>
    <row r="48" spans="1:10" x14ac:dyDescent="0.3">
      <c r="A48" s="43"/>
      <c r="B48" s="43"/>
      <c r="C48" s="43" t="s">
        <v>566</v>
      </c>
      <c r="D48" s="43"/>
      <c r="E48" s="43"/>
      <c r="F48" s="57">
        <v>62985</v>
      </c>
      <c r="G48" s="45"/>
      <c r="H48" s="57">
        <v>69445</v>
      </c>
      <c r="I48" s="45"/>
      <c r="J48" s="57">
        <v>69445</v>
      </c>
    </row>
    <row r="49" spans="1:10" x14ac:dyDescent="0.3">
      <c r="A49" s="43"/>
      <c r="B49" s="43"/>
      <c r="C49" s="43" t="s">
        <v>567</v>
      </c>
      <c r="D49" s="43"/>
      <c r="E49" s="43"/>
      <c r="F49" s="57">
        <v>0</v>
      </c>
      <c r="G49" s="45"/>
      <c r="H49" s="57">
        <v>0</v>
      </c>
      <c r="I49" s="45"/>
      <c r="J49" s="57">
        <v>-16800</v>
      </c>
    </row>
    <row r="50" spans="1:10" x14ac:dyDescent="0.3">
      <c r="A50" s="43"/>
      <c r="B50" s="43"/>
      <c r="C50" s="43" t="s">
        <v>568</v>
      </c>
      <c r="D50" s="43"/>
      <c r="E50" s="43"/>
      <c r="F50" s="57">
        <v>19490</v>
      </c>
      <c r="G50" s="45"/>
      <c r="H50" s="57">
        <v>69550</v>
      </c>
      <c r="I50" s="45"/>
      <c r="J50" s="57">
        <v>69550</v>
      </c>
    </row>
    <row r="51" spans="1:10" x14ac:dyDescent="0.3">
      <c r="A51" s="43"/>
      <c r="B51" s="43"/>
      <c r="C51" s="43" t="s">
        <v>569</v>
      </c>
      <c r="D51" s="43"/>
      <c r="E51" s="43"/>
      <c r="F51" s="57">
        <v>0</v>
      </c>
      <c r="G51" s="45"/>
      <c r="H51" s="57">
        <v>0</v>
      </c>
      <c r="I51" s="45"/>
      <c r="J51" s="57">
        <v>-16800</v>
      </c>
    </row>
    <row r="52" spans="1:10" x14ac:dyDescent="0.3">
      <c r="A52" s="43"/>
      <c r="B52" s="43"/>
      <c r="C52" s="43" t="s">
        <v>570</v>
      </c>
      <c r="D52" s="43"/>
      <c r="E52" s="43"/>
      <c r="F52" s="57">
        <v>162896</v>
      </c>
      <c r="G52" s="45"/>
      <c r="H52" s="57">
        <v>132216</v>
      </c>
      <c r="I52" s="45"/>
      <c r="J52" s="57">
        <v>132216</v>
      </c>
    </row>
    <row r="53" spans="1:10" x14ac:dyDescent="0.3">
      <c r="A53" s="43"/>
      <c r="B53" s="43"/>
      <c r="C53" s="43" t="s">
        <v>571</v>
      </c>
      <c r="D53" s="43"/>
      <c r="E53" s="43"/>
      <c r="F53" s="57">
        <v>0</v>
      </c>
      <c r="G53" s="45"/>
      <c r="H53" s="57">
        <v>0</v>
      </c>
      <c r="I53" s="45"/>
      <c r="J53" s="57">
        <v>-33600</v>
      </c>
    </row>
    <row r="54" spans="1:10" x14ac:dyDescent="0.3">
      <c r="A54" s="43"/>
      <c r="B54" s="43"/>
      <c r="C54" s="43" t="s">
        <v>572</v>
      </c>
      <c r="D54" s="43"/>
      <c r="E54" s="43"/>
      <c r="F54" s="57">
        <v>-63448</v>
      </c>
      <c r="G54" s="45"/>
      <c r="H54" s="57">
        <v>-24687</v>
      </c>
      <c r="I54" s="45"/>
      <c r="J54" s="57">
        <v>-24687</v>
      </c>
    </row>
    <row r="55" spans="1:10" x14ac:dyDescent="0.3">
      <c r="A55" s="43"/>
      <c r="B55" s="43"/>
      <c r="C55" s="43" t="s">
        <v>573</v>
      </c>
      <c r="D55" s="43"/>
      <c r="E55" s="43"/>
      <c r="F55" s="57">
        <v>0</v>
      </c>
      <c r="G55" s="45"/>
      <c r="H55" s="57">
        <v>0</v>
      </c>
      <c r="I55" s="45"/>
      <c r="J55" s="57">
        <v>-100800</v>
      </c>
    </row>
    <row r="56" spans="1:10" x14ac:dyDescent="0.3">
      <c r="A56" s="43"/>
      <c r="B56" s="43"/>
      <c r="C56" s="43" t="s">
        <v>164</v>
      </c>
      <c r="D56" s="43"/>
      <c r="E56" s="43"/>
      <c r="F56" s="57">
        <v>-262487</v>
      </c>
      <c r="G56" s="45"/>
      <c r="H56" s="57">
        <v>-232601</v>
      </c>
      <c r="I56" s="45"/>
      <c r="J56" s="57">
        <v>0</v>
      </c>
    </row>
    <row r="57" spans="1:10" ht="15" thickBot="1" x14ac:dyDescent="0.35">
      <c r="A57" s="43"/>
      <c r="B57" s="43"/>
      <c r="C57" s="43" t="s">
        <v>165</v>
      </c>
      <c r="D57" s="43"/>
      <c r="E57" s="43"/>
      <c r="F57" s="57">
        <v>262487</v>
      </c>
      <c r="G57" s="45"/>
      <c r="H57" s="57">
        <v>232601</v>
      </c>
      <c r="I57" s="45"/>
      <c r="J57" s="57">
        <v>219392</v>
      </c>
    </row>
    <row r="58" spans="1:10" ht="15" thickBot="1" x14ac:dyDescent="0.35">
      <c r="A58" s="43"/>
      <c r="B58" s="43" t="s">
        <v>166</v>
      </c>
      <c r="C58" s="43"/>
      <c r="D58" s="43"/>
      <c r="E58" s="43"/>
      <c r="F58" s="60">
        <f>ROUND(SUM(F47:F57),5)</f>
        <v>181923</v>
      </c>
      <c r="G58" s="45"/>
      <c r="H58" s="60">
        <f>ROUND(SUM(H47:H57),5)</f>
        <v>246524</v>
      </c>
      <c r="I58" s="45"/>
      <c r="J58" s="60">
        <f>ROUND(SUM(J47:J57),5)</f>
        <v>297916</v>
      </c>
    </row>
    <row r="59" spans="1:10" s="50" customFormat="1" ht="30" customHeight="1" thickBot="1" x14ac:dyDescent="0.25">
      <c r="A59" s="43" t="s">
        <v>167</v>
      </c>
      <c r="B59" s="43"/>
      <c r="C59" s="43"/>
      <c r="D59" s="43"/>
      <c r="E59" s="43"/>
      <c r="F59" s="61">
        <f>ROUND(F32+F46+F58,5)</f>
        <v>3410488</v>
      </c>
      <c r="G59" s="43"/>
      <c r="H59" s="61">
        <f>ROUND(H32+H46+H58,5)</f>
        <v>3240015</v>
      </c>
      <c r="I59" s="43"/>
      <c r="J59" s="61">
        <f>ROUND(J32+J46+J58,5)</f>
        <v>3112223</v>
      </c>
    </row>
    <row r="60" spans="1:10" ht="15" thickTop="1" x14ac:dyDescent="0.3"/>
  </sheetData>
  <pageMargins left="0.7" right="0.7" top="0.75" bottom="0.75" header="0.25" footer="0.3"/>
  <pageSetup orientation="portrait" r:id="rId1"/>
  <headerFooter>
    <oddHeader>&amp;L&amp;"Arial,Bold"&amp;8 02/17/14
&amp;"Arial,Bold"&amp;8 Accrual Basis&amp;C&amp;"Arial,Bold"&amp;12 Northwest Centre, LLC
&amp;"Arial,Bold"&amp;14 Comparative Balance Sheet
&amp;"Arial,Bold"&amp;10 As of Jan 31, 2014 and 2013</oddHeader>
    <oddFooter>&amp;L&amp;"Arial,Bold"&amp;8 For Management Use Only</oddFooter>
  </headerFooter>
  <drawing r:id="rId2"/>
  <legacyDrawing r:id="rId3"/>
  <controls>
    <mc:AlternateContent xmlns:mc="http://schemas.openxmlformats.org/markup-compatibility/2006">
      <mc:Choice Requires="x14">
        <control shapeId="30722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0722" r:id="rId4" name="HEADER"/>
      </mc:Fallback>
    </mc:AlternateContent>
    <mc:AlternateContent xmlns:mc="http://schemas.openxmlformats.org/markup-compatibility/2006">
      <mc:Choice Requires="x14">
        <control shapeId="30721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0721" r:id="rId6" name="FILTER"/>
      </mc:Fallback>
    </mc:AlternateContent>
  </control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55"/>
  <dimension ref="A1:O206"/>
  <sheetViews>
    <sheetView workbookViewId="0">
      <pane xSplit="8" ySplit="1" topLeftCell="I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7" width="3" style="50" customWidth="1"/>
    <col min="8" max="8" width="26.5546875" style="50" customWidth="1"/>
    <col min="9" max="9" width="10.109375" bestFit="1" customWidth="1"/>
    <col min="10" max="10" width="2.33203125" customWidth="1"/>
    <col min="11" max="11" width="10.109375" bestFit="1" customWidth="1"/>
    <col min="12" max="12" width="2.33203125" customWidth="1"/>
    <col min="13" max="13" width="10.109375" bestFit="1" customWidth="1"/>
    <col min="14" max="14" width="2.33203125" customWidth="1"/>
    <col min="15" max="15" width="10" bestFit="1" customWidth="1"/>
  </cols>
  <sheetData>
    <row r="1" spans="1:15" s="39" customFormat="1" ht="15" thickBot="1" x14ac:dyDescent="0.35">
      <c r="A1" s="40"/>
      <c r="B1" s="40"/>
      <c r="C1" s="40"/>
      <c r="D1" s="40"/>
      <c r="E1" s="40"/>
      <c r="F1" s="40"/>
      <c r="G1" s="40"/>
      <c r="H1" s="40"/>
      <c r="I1" s="41" t="s">
        <v>168</v>
      </c>
      <c r="J1" s="42"/>
      <c r="K1" s="41" t="s">
        <v>169</v>
      </c>
      <c r="L1" s="42"/>
      <c r="M1" s="41" t="s">
        <v>170</v>
      </c>
      <c r="N1" s="42"/>
      <c r="O1" s="41" t="s">
        <v>171</v>
      </c>
    </row>
    <row r="2" spans="1:15" ht="15" thickTop="1" x14ac:dyDescent="0.3">
      <c r="A2" s="43"/>
      <c r="B2" s="43" t="s">
        <v>172</v>
      </c>
      <c r="C2" s="43"/>
      <c r="D2" s="43"/>
      <c r="E2" s="43"/>
      <c r="F2" s="43"/>
      <c r="G2" s="43"/>
      <c r="H2" s="43"/>
      <c r="I2" s="52"/>
      <c r="J2" s="45"/>
      <c r="K2" s="52"/>
      <c r="L2" s="45"/>
      <c r="M2" s="52"/>
      <c r="N2" s="45"/>
      <c r="O2" s="52"/>
    </row>
    <row r="3" spans="1:15" x14ac:dyDescent="0.3">
      <c r="A3" s="43"/>
      <c r="B3" s="43"/>
      <c r="C3" s="43" t="s">
        <v>173</v>
      </c>
      <c r="D3" s="43"/>
      <c r="E3" s="43"/>
      <c r="F3" s="43"/>
      <c r="G3" s="43"/>
      <c r="H3" s="43"/>
      <c r="I3" s="52"/>
      <c r="J3" s="45"/>
      <c r="K3" s="52"/>
      <c r="L3" s="45"/>
      <c r="M3" s="52"/>
      <c r="N3" s="45"/>
      <c r="O3" s="52"/>
    </row>
    <row r="4" spans="1:15" x14ac:dyDescent="0.3">
      <c r="A4" s="43"/>
      <c r="B4" s="43"/>
      <c r="C4" s="43"/>
      <c r="D4" s="43" t="s">
        <v>574</v>
      </c>
      <c r="E4" s="43"/>
      <c r="F4" s="43"/>
      <c r="G4" s="43"/>
      <c r="H4" s="43"/>
      <c r="I4" s="52">
        <v>592181.09</v>
      </c>
      <c r="J4" s="45"/>
      <c r="K4" s="52">
        <v>620994.84</v>
      </c>
      <c r="L4" s="45"/>
      <c r="M4" s="52">
        <v>627422.80000000005</v>
      </c>
      <c r="N4" s="45"/>
      <c r="O4" s="52">
        <f t="shared" ref="O4:O11" si="0">ROUND(SUM(I4:M4),5)</f>
        <v>1840598.73</v>
      </c>
    </row>
    <row r="5" spans="1:15" x14ac:dyDescent="0.3">
      <c r="A5" s="43"/>
      <c r="B5" s="43"/>
      <c r="C5" s="43"/>
      <c r="D5" s="43" t="s">
        <v>175</v>
      </c>
      <c r="E5" s="43"/>
      <c r="F5" s="43"/>
      <c r="G5" s="43"/>
      <c r="H5" s="43"/>
      <c r="I5" s="52">
        <v>142711.54999999999</v>
      </c>
      <c r="J5" s="45"/>
      <c r="K5" s="52">
        <v>133466.85</v>
      </c>
      <c r="L5" s="45"/>
      <c r="M5" s="52">
        <v>156141.5</v>
      </c>
      <c r="N5" s="45"/>
      <c r="O5" s="52">
        <f t="shared" si="0"/>
        <v>432319.9</v>
      </c>
    </row>
    <row r="6" spans="1:15" x14ac:dyDescent="0.3">
      <c r="A6" s="43"/>
      <c r="B6" s="43"/>
      <c r="C6" s="43"/>
      <c r="D6" s="43" t="s">
        <v>575</v>
      </c>
      <c r="E6" s="43"/>
      <c r="F6" s="43"/>
      <c r="G6" s="43"/>
      <c r="H6" s="43"/>
      <c r="I6" s="52">
        <v>99358.92</v>
      </c>
      <c r="J6" s="45"/>
      <c r="K6" s="52">
        <v>111283.9</v>
      </c>
      <c r="L6" s="45"/>
      <c r="M6" s="52">
        <v>105601.06</v>
      </c>
      <c r="N6" s="45"/>
      <c r="O6" s="52">
        <f t="shared" si="0"/>
        <v>316243.88</v>
      </c>
    </row>
    <row r="7" spans="1:15" x14ac:dyDescent="0.3">
      <c r="A7" s="43"/>
      <c r="B7" s="43"/>
      <c r="C7" s="43"/>
      <c r="D7" s="43" t="s">
        <v>177</v>
      </c>
      <c r="E7" s="43"/>
      <c r="F7" s="43"/>
      <c r="G7" s="43"/>
      <c r="H7" s="43"/>
      <c r="I7" s="52">
        <v>8346.0499999999993</v>
      </c>
      <c r="J7" s="45"/>
      <c r="K7" s="52">
        <v>14668.99</v>
      </c>
      <c r="L7" s="45"/>
      <c r="M7" s="52">
        <v>16844.599999999999</v>
      </c>
      <c r="N7" s="45"/>
      <c r="O7" s="52">
        <f t="shared" si="0"/>
        <v>39859.64</v>
      </c>
    </row>
    <row r="8" spans="1:15" x14ac:dyDescent="0.3">
      <c r="A8" s="43"/>
      <c r="B8" s="43"/>
      <c r="C8" s="43"/>
      <c r="D8" s="43" t="s">
        <v>179</v>
      </c>
      <c r="E8" s="43"/>
      <c r="F8" s="43"/>
      <c r="G8" s="43"/>
      <c r="H8" s="43"/>
      <c r="I8" s="52">
        <v>2000</v>
      </c>
      <c r="J8" s="45"/>
      <c r="K8" s="52">
        <v>0</v>
      </c>
      <c r="L8" s="45"/>
      <c r="M8" s="52">
        <v>1000</v>
      </c>
      <c r="N8" s="45"/>
      <c r="O8" s="52">
        <f t="shared" si="0"/>
        <v>3000</v>
      </c>
    </row>
    <row r="9" spans="1:15" x14ac:dyDescent="0.3">
      <c r="A9" s="43"/>
      <c r="B9" s="43"/>
      <c r="C9" s="43"/>
      <c r="D9" s="43" t="s">
        <v>576</v>
      </c>
      <c r="E9" s="43"/>
      <c r="F9" s="43"/>
      <c r="G9" s="43"/>
      <c r="H9" s="43"/>
      <c r="I9" s="52">
        <v>3921.86</v>
      </c>
      <c r="J9" s="45"/>
      <c r="K9" s="52">
        <v>2860</v>
      </c>
      <c r="L9" s="45"/>
      <c r="M9" s="52">
        <v>0</v>
      </c>
      <c r="N9" s="45"/>
      <c r="O9" s="52">
        <f t="shared" si="0"/>
        <v>6781.86</v>
      </c>
    </row>
    <row r="10" spans="1:15" ht="15" thickBot="1" x14ac:dyDescent="0.35">
      <c r="A10" s="43"/>
      <c r="B10" s="43"/>
      <c r="C10" s="43"/>
      <c r="D10" s="43" t="s">
        <v>315</v>
      </c>
      <c r="E10" s="43"/>
      <c r="F10" s="43"/>
      <c r="G10" s="43"/>
      <c r="H10" s="43"/>
      <c r="I10" s="54">
        <v>51.86</v>
      </c>
      <c r="J10" s="45"/>
      <c r="K10" s="54">
        <v>0</v>
      </c>
      <c r="L10" s="45"/>
      <c r="M10" s="54">
        <v>0</v>
      </c>
      <c r="N10" s="45"/>
      <c r="O10" s="54">
        <f t="shared" si="0"/>
        <v>51.86</v>
      </c>
    </row>
    <row r="11" spans="1:15" x14ac:dyDescent="0.3">
      <c r="A11" s="43"/>
      <c r="B11" s="43"/>
      <c r="C11" s="43" t="s">
        <v>180</v>
      </c>
      <c r="D11" s="43"/>
      <c r="E11" s="43"/>
      <c r="F11" s="43"/>
      <c r="G11" s="43"/>
      <c r="H11" s="43"/>
      <c r="I11" s="52">
        <f>ROUND(SUM(I3:I10),5)</f>
        <v>848571.33</v>
      </c>
      <c r="J11" s="45"/>
      <c r="K11" s="52">
        <f>ROUND(SUM(K3:K10),5)</f>
        <v>883274.58</v>
      </c>
      <c r="L11" s="45"/>
      <c r="M11" s="52">
        <f>ROUND(SUM(M3:M10),5)</f>
        <v>907009.96</v>
      </c>
      <c r="N11" s="45"/>
      <c r="O11" s="52">
        <f t="shared" si="0"/>
        <v>2638855.87</v>
      </c>
    </row>
    <row r="12" spans="1:15" ht="30" customHeight="1" x14ac:dyDescent="0.3">
      <c r="A12" s="43"/>
      <c r="B12" s="43"/>
      <c r="C12" s="43" t="s">
        <v>182</v>
      </c>
      <c r="D12" s="43"/>
      <c r="E12" s="43"/>
      <c r="F12" s="43"/>
      <c r="G12" s="43"/>
      <c r="H12" s="43"/>
      <c r="I12" s="52"/>
      <c r="J12" s="45"/>
      <c r="K12" s="52"/>
      <c r="L12" s="45"/>
      <c r="M12" s="52"/>
      <c r="N12" s="45"/>
      <c r="O12" s="52"/>
    </row>
    <row r="13" spans="1:15" x14ac:dyDescent="0.3">
      <c r="A13" s="43"/>
      <c r="B13" s="43"/>
      <c r="C13" s="43"/>
      <c r="D13" s="43" t="s">
        <v>184</v>
      </c>
      <c r="E13" s="43"/>
      <c r="F13" s="43"/>
      <c r="G13" s="43"/>
      <c r="H13" s="43"/>
      <c r="I13" s="52">
        <v>0</v>
      </c>
      <c r="J13" s="45"/>
      <c r="K13" s="52">
        <v>0.35</v>
      </c>
      <c r="L13" s="45"/>
      <c r="M13" s="52">
        <v>0</v>
      </c>
      <c r="N13" s="45"/>
      <c r="O13" s="52">
        <f>ROUND(SUM(I13:M13),5)</f>
        <v>0.35</v>
      </c>
    </row>
    <row r="14" spans="1:15" x14ac:dyDescent="0.3">
      <c r="A14" s="43"/>
      <c r="B14" s="43"/>
      <c r="C14" s="43"/>
      <c r="D14" s="43" t="s">
        <v>577</v>
      </c>
      <c r="E14" s="43"/>
      <c r="F14" s="43"/>
      <c r="G14" s="43"/>
      <c r="H14" s="43"/>
      <c r="I14" s="52"/>
      <c r="J14" s="45"/>
      <c r="K14" s="52"/>
      <c r="L14" s="45"/>
      <c r="M14" s="52"/>
      <c r="N14" s="45"/>
      <c r="O14" s="52"/>
    </row>
    <row r="15" spans="1:15" x14ac:dyDescent="0.3">
      <c r="A15" s="43"/>
      <c r="B15" s="43"/>
      <c r="C15" s="43"/>
      <c r="D15" s="43"/>
      <c r="E15" s="43" t="s">
        <v>578</v>
      </c>
      <c r="F15" s="43"/>
      <c r="G15" s="43"/>
      <c r="H15" s="43"/>
      <c r="I15" s="52"/>
      <c r="J15" s="45"/>
      <c r="K15" s="52"/>
      <c r="L15" s="45"/>
      <c r="M15" s="52"/>
      <c r="N15" s="45"/>
      <c r="O15" s="52"/>
    </row>
    <row r="16" spans="1:15" x14ac:dyDescent="0.3">
      <c r="A16" s="43"/>
      <c r="B16" s="43"/>
      <c r="C16" s="43"/>
      <c r="D16" s="43"/>
      <c r="E16" s="43"/>
      <c r="F16" s="43" t="s">
        <v>365</v>
      </c>
      <c r="G16" s="43"/>
      <c r="H16" s="43"/>
      <c r="I16" s="52">
        <v>9819.84</v>
      </c>
      <c r="J16" s="45"/>
      <c r="K16" s="52">
        <v>16239.06</v>
      </c>
      <c r="L16" s="45"/>
      <c r="M16" s="52">
        <v>17336.47</v>
      </c>
      <c r="N16" s="45"/>
      <c r="O16" s="52">
        <f t="shared" ref="O16:O23" si="1">ROUND(SUM(I16:M16),5)</f>
        <v>43395.37</v>
      </c>
    </row>
    <row r="17" spans="1:15" ht="15" thickBot="1" x14ac:dyDescent="0.35">
      <c r="A17" s="43"/>
      <c r="B17" s="43"/>
      <c r="C17" s="43"/>
      <c r="D17" s="43"/>
      <c r="E17" s="43"/>
      <c r="F17" s="43" t="s">
        <v>188</v>
      </c>
      <c r="G17" s="43"/>
      <c r="H17" s="43"/>
      <c r="I17" s="54">
        <v>13656.6</v>
      </c>
      <c r="J17" s="45"/>
      <c r="K17" s="54">
        <v>20908.28</v>
      </c>
      <c r="L17" s="45"/>
      <c r="M17" s="54">
        <v>22197.8</v>
      </c>
      <c r="N17" s="45"/>
      <c r="O17" s="54">
        <f t="shared" si="1"/>
        <v>56762.68</v>
      </c>
    </row>
    <row r="18" spans="1:15" x14ac:dyDescent="0.3">
      <c r="A18" s="43"/>
      <c r="B18" s="43"/>
      <c r="C18" s="43"/>
      <c r="D18" s="43"/>
      <c r="E18" s="43" t="s">
        <v>579</v>
      </c>
      <c r="F18" s="43"/>
      <c r="G18" s="43"/>
      <c r="H18" s="43"/>
      <c r="I18" s="52">
        <f>ROUND(SUM(I15:I17),5)</f>
        <v>23476.44</v>
      </c>
      <c r="J18" s="45"/>
      <c r="K18" s="52">
        <f>ROUND(SUM(K15:K17),5)</f>
        <v>37147.339999999997</v>
      </c>
      <c r="L18" s="45"/>
      <c r="M18" s="52">
        <f>ROUND(SUM(M15:M17),5)</f>
        <v>39534.269999999997</v>
      </c>
      <c r="N18" s="45"/>
      <c r="O18" s="52">
        <f t="shared" si="1"/>
        <v>100158.05</v>
      </c>
    </row>
    <row r="19" spans="1:15" ht="30" customHeight="1" x14ac:dyDescent="0.3">
      <c r="A19" s="43"/>
      <c r="B19" s="43"/>
      <c r="C19" s="43"/>
      <c r="D19" s="43"/>
      <c r="E19" s="43" t="s">
        <v>190</v>
      </c>
      <c r="F19" s="43"/>
      <c r="G19" s="43"/>
      <c r="H19" s="43"/>
      <c r="I19" s="52">
        <v>42428.57</v>
      </c>
      <c r="J19" s="45"/>
      <c r="K19" s="52">
        <v>43910.07</v>
      </c>
      <c r="L19" s="45"/>
      <c r="M19" s="52">
        <v>47529.35</v>
      </c>
      <c r="N19" s="45"/>
      <c r="O19" s="52">
        <f t="shared" si="1"/>
        <v>133867.99</v>
      </c>
    </row>
    <row r="20" spans="1:15" x14ac:dyDescent="0.3">
      <c r="A20" s="43"/>
      <c r="B20" s="43"/>
      <c r="C20" s="43"/>
      <c r="D20" s="43"/>
      <c r="E20" s="43" t="s">
        <v>191</v>
      </c>
      <c r="F20" s="43"/>
      <c r="G20" s="43"/>
      <c r="H20" s="43"/>
      <c r="I20" s="52">
        <v>97.9</v>
      </c>
      <c r="J20" s="45"/>
      <c r="K20" s="52">
        <v>134.5</v>
      </c>
      <c r="L20" s="45"/>
      <c r="M20" s="52">
        <v>145.34</v>
      </c>
      <c r="N20" s="45"/>
      <c r="O20" s="52">
        <f t="shared" si="1"/>
        <v>377.74</v>
      </c>
    </row>
    <row r="21" spans="1:15" x14ac:dyDescent="0.3">
      <c r="A21" s="43"/>
      <c r="B21" s="43"/>
      <c r="C21" s="43"/>
      <c r="D21" s="43"/>
      <c r="E21" s="43" t="s">
        <v>192</v>
      </c>
      <c r="F21" s="43"/>
      <c r="G21" s="43"/>
      <c r="H21" s="43"/>
      <c r="I21" s="52">
        <v>190.46</v>
      </c>
      <c r="J21" s="45"/>
      <c r="K21" s="52">
        <v>113.7</v>
      </c>
      <c r="L21" s="45"/>
      <c r="M21" s="52">
        <v>119.81</v>
      </c>
      <c r="N21" s="45"/>
      <c r="O21" s="52">
        <f t="shared" si="1"/>
        <v>423.97</v>
      </c>
    </row>
    <row r="22" spans="1:15" x14ac:dyDescent="0.3">
      <c r="A22" s="43"/>
      <c r="B22" s="43"/>
      <c r="C22" s="43"/>
      <c r="D22" s="43"/>
      <c r="E22" s="43" t="s">
        <v>193</v>
      </c>
      <c r="F22" s="43"/>
      <c r="G22" s="43"/>
      <c r="H22" s="43"/>
      <c r="I22" s="52">
        <v>386.06</v>
      </c>
      <c r="J22" s="45"/>
      <c r="K22" s="52">
        <v>136.41999999999999</v>
      </c>
      <c r="L22" s="45"/>
      <c r="M22" s="52">
        <v>27</v>
      </c>
      <c r="N22" s="45"/>
      <c r="O22" s="52">
        <f t="shared" si="1"/>
        <v>549.48</v>
      </c>
    </row>
    <row r="23" spans="1:15" x14ac:dyDescent="0.3">
      <c r="A23" s="43"/>
      <c r="B23" s="43"/>
      <c r="C23" s="43"/>
      <c r="D23" s="43"/>
      <c r="E23" s="43" t="s">
        <v>580</v>
      </c>
      <c r="F23" s="43"/>
      <c r="G23" s="43"/>
      <c r="H23" s="43"/>
      <c r="I23" s="52">
        <v>60</v>
      </c>
      <c r="J23" s="45"/>
      <c r="K23" s="52">
        <v>44.5</v>
      </c>
      <c r="L23" s="45"/>
      <c r="M23" s="52">
        <v>415</v>
      </c>
      <c r="N23" s="45"/>
      <c r="O23" s="52">
        <f t="shared" si="1"/>
        <v>519.5</v>
      </c>
    </row>
    <row r="24" spans="1:15" x14ac:dyDescent="0.3">
      <c r="A24" s="43"/>
      <c r="B24" s="43"/>
      <c r="C24" s="43"/>
      <c r="D24" s="43"/>
      <c r="E24" s="43" t="s">
        <v>195</v>
      </c>
      <c r="F24" s="43"/>
      <c r="G24" s="43"/>
      <c r="H24" s="43"/>
      <c r="I24" s="52"/>
      <c r="J24" s="45"/>
      <c r="K24" s="52"/>
      <c r="L24" s="45"/>
      <c r="M24" s="52"/>
      <c r="N24" s="45"/>
      <c r="O24" s="52"/>
    </row>
    <row r="25" spans="1:15" x14ac:dyDescent="0.3">
      <c r="A25" s="43"/>
      <c r="B25" s="43"/>
      <c r="C25" s="43"/>
      <c r="D25" s="43"/>
      <c r="E25" s="43"/>
      <c r="F25" s="43" t="s">
        <v>197</v>
      </c>
      <c r="G25" s="43"/>
      <c r="H25" s="43"/>
      <c r="I25" s="52">
        <v>1000</v>
      </c>
      <c r="J25" s="45"/>
      <c r="K25" s="52">
        <v>1030</v>
      </c>
      <c r="L25" s="45"/>
      <c r="M25" s="52">
        <v>1060</v>
      </c>
      <c r="N25" s="45"/>
      <c r="O25" s="52">
        <f t="shared" ref="O25:O32" si="2">ROUND(SUM(I25:M25),5)</f>
        <v>3090</v>
      </c>
    </row>
    <row r="26" spans="1:15" x14ac:dyDescent="0.3">
      <c r="A26" s="43"/>
      <c r="B26" s="43"/>
      <c r="C26" s="43"/>
      <c r="D26" s="43"/>
      <c r="E26" s="43"/>
      <c r="F26" s="43" t="s">
        <v>369</v>
      </c>
      <c r="G26" s="43"/>
      <c r="H26" s="43"/>
      <c r="I26" s="52">
        <v>0</v>
      </c>
      <c r="J26" s="45"/>
      <c r="K26" s="52">
        <v>0</v>
      </c>
      <c r="L26" s="45"/>
      <c r="M26" s="52">
        <v>0</v>
      </c>
      <c r="N26" s="45"/>
      <c r="O26" s="52">
        <f t="shared" si="2"/>
        <v>0</v>
      </c>
    </row>
    <row r="27" spans="1:15" x14ac:dyDescent="0.3">
      <c r="A27" s="43"/>
      <c r="B27" s="43"/>
      <c r="C27" s="43"/>
      <c r="D27" s="43"/>
      <c r="E27" s="43"/>
      <c r="F27" s="43" t="s">
        <v>581</v>
      </c>
      <c r="G27" s="43"/>
      <c r="H27" s="43"/>
      <c r="I27" s="52">
        <v>495</v>
      </c>
      <c r="J27" s="45"/>
      <c r="K27" s="52">
        <v>0</v>
      </c>
      <c r="L27" s="45"/>
      <c r="M27" s="52">
        <v>0</v>
      </c>
      <c r="N27" s="45"/>
      <c r="O27" s="52">
        <f t="shared" si="2"/>
        <v>495</v>
      </c>
    </row>
    <row r="28" spans="1:15" ht="15" thickBot="1" x14ac:dyDescent="0.35">
      <c r="A28" s="43"/>
      <c r="B28" s="43"/>
      <c r="C28" s="43"/>
      <c r="D28" s="43"/>
      <c r="E28" s="43"/>
      <c r="F28" s="43" t="s">
        <v>199</v>
      </c>
      <c r="G28" s="43"/>
      <c r="H28" s="43"/>
      <c r="I28" s="54">
        <v>220.68</v>
      </c>
      <c r="J28" s="45"/>
      <c r="K28" s="54">
        <v>184.99</v>
      </c>
      <c r="L28" s="45"/>
      <c r="M28" s="54">
        <v>168.85</v>
      </c>
      <c r="N28" s="45"/>
      <c r="O28" s="54">
        <f t="shared" si="2"/>
        <v>574.52</v>
      </c>
    </row>
    <row r="29" spans="1:15" x14ac:dyDescent="0.3">
      <c r="A29" s="43"/>
      <c r="B29" s="43"/>
      <c r="C29" s="43"/>
      <c r="D29" s="43"/>
      <c r="E29" s="43" t="s">
        <v>200</v>
      </c>
      <c r="F29" s="43"/>
      <c r="G29" s="43"/>
      <c r="H29" s="43"/>
      <c r="I29" s="52">
        <f>ROUND(SUM(I24:I28),5)</f>
        <v>1715.68</v>
      </c>
      <c r="J29" s="45"/>
      <c r="K29" s="52">
        <f>ROUND(SUM(K24:K28),5)</f>
        <v>1214.99</v>
      </c>
      <c r="L29" s="45"/>
      <c r="M29" s="52">
        <f>ROUND(SUM(M24:M28),5)</f>
        <v>1228.8499999999999</v>
      </c>
      <c r="N29" s="45"/>
      <c r="O29" s="52">
        <f t="shared" si="2"/>
        <v>4159.5200000000004</v>
      </c>
    </row>
    <row r="30" spans="1:15" ht="30" customHeight="1" x14ac:dyDescent="0.3">
      <c r="A30" s="43"/>
      <c r="B30" s="43"/>
      <c r="C30" s="43"/>
      <c r="D30" s="43"/>
      <c r="E30" s="43" t="s">
        <v>320</v>
      </c>
      <c r="F30" s="43"/>
      <c r="G30" s="43"/>
      <c r="H30" s="43"/>
      <c r="I30" s="52">
        <v>0</v>
      </c>
      <c r="J30" s="45"/>
      <c r="K30" s="52">
        <v>33.83</v>
      </c>
      <c r="L30" s="45"/>
      <c r="M30" s="52">
        <v>209.1</v>
      </c>
      <c r="N30" s="45"/>
      <c r="O30" s="52">
        <f t="shared" si="2"/>
        <v>242.93</v>
      </c>
    </row>
    <row r="31" spans="1:15" ht="15" thickBot="1" x14ac:dyDescent="0.35">
      <c r="A31" s="43"/>
      <c r="B31" s="43"/>
      <c r="C31" s="43"/>
      <c r="D31" s="43"/>
      <c r="E31" s="43" t="s">
        <v>201</v>
      </c>
      <c r="F31" s="43"/>
      <c r="G31" s="43"/>
      <c r="H31" s="43"/>
      <c r="I31" s="54">
        <v>0</v>
      </c>
      <c r="J31" s="45"/>
      <c r="K31" s="54">
        <v>18.54</v>
      </c>
      <c r="L31" s="45"/>
      <c r="M31" s="54">
        <v>113.53</v>
      </c>
      <c r="N31" s="45"/>
      <c r="O31" s="54">
        <f t="shared" si="2"/>
        <v>132.07</v>
      </c>
    </row>
    <row r="32" spans="1:15" x14ac:dyDescent="0.3">
      <c r="A32" s="43"/>
      <c r="B32" s="43"/>
      <c r="C32" s="43"/>
      <c r="D32" s="43" t="s">
        <v>582</v>
      </c>
      <c r="E32" s="43"/>
      <c r="F32" s="43"/>
      <c r="G32" s="43"/>
      <c r="H32" s="43"/>
      <c r="I32" s="52">
        <f>ROUND(I14+SUM(I18:I23)+SUM(I29:I31),5)</f>
        <v>68355.11</v>
      </c>
      <c r="J32" s="45"/>
      <c r="K32" s="52">
        <f>ROUND(K14+SUM(K18:K23)+SUM(K29:K31),5)</f>
        <v>82753.89</v>
      </c>
      <c r="L32" s="45"/>
      <c r="M32" s="52">
        <f>ROUND(M14+SUM(M18:M23)+SUM(M29:M31),5)</f>
        <v>89322.25</v>
      </c>
      <c r="N32" s="45"/>
      <c r="O32" s="52">
        <f t="shared" si="2"/>
        <v>240431.25</v>
      </c>
    </row>
    <row r="33" spans="1:15" ht="30" customHeight="1" x14ac:dyDescent="0.3">
      <c r="A33" s="43"/>
      <c r="B33" s="43"/>
      <c r="C33" s="43"/>
      <c r="D33" s="43" t="s">
        <v>203</v>
      </c>
      <c r="E33" s="43"/>
      <c r="F33" s="43"/>
      <c r="G33" s="43"/>
      <c r="H33" s="43"/>
      <c r="I33" s="52"/>
      <c r="J33" s="45"/>
      <c r="K33" s="52"/>
      <c r="L33" s="45"/>
      <c r="M33" s="52"/>
      <c r="N33" s="45"/>
      <c r="O33" s="52"/>
    </row>
    <row r="34" spans="1:15" x14ac:dyDescent="0.3">
      <c r="A34" s="43"/>
      <c r="B34" s="43"/>
      <c r="C34" s="43"/>
      <c r="D34" s="43"/>
      <c r="E34" s="43" t="s">
        <v>204</v>
      </c>
      <c r="F34" s="43"/>
      <c r="G34" s="43"/>
      <c r="H34" s="43"/>
      <c r="I34" s="52"/>
      <c r="J34" s="45"/>
      <c r="K34" s="52"/>
      <c r="L34" s="45"/>
      <c r="M34" s="52"/>
      <c r="N34" s="45"/>
      <c r="O34" s="52"/>
    </row>
    <row r="35" spans="1:15" x14ac:dyDescent="0.3">
      <c r="A35" s="43"/>
      <c r="B35" s="43"/>
      <c r="C35" s="43"/>
      <c r="D35" s="43"/>
      <c r="E35" s="43"/>
      <c r="F35" s="43" t="s">
        <v>583</v>
      </c>
      <c r="G35" s="43"/>
      <c r="H35" s="43"/>
      <c r="I35" s="52">
        <v>1102.04</v>
      </c>
      <c r="J35" s="45"/>
      <c r="K35" s="52">
        <v>931.69</v>
      </c>
      <c r="L35" s="45"/>
      <c r="M35" s="52">
        <v>966.42</v>
      </c>
      <c r="N35" s="45"/>
      <c r="O35" s="52">
        <f>ROUND(SUM(I35:M35),5)</f>
        <v>3000.15</v>
      </c>
    </row>
    <row r="36" spans="1:15" ht="15" thickBot="1" x14ac:dyDescent="0.35">
      <c r="A36" s="43"/>
      <c r="B36" s="43"/>
      <c r="C36" s="43"/>
      <c r="D36" s="43"/>
      <c r="E36" s="43"/>
      <c r="F36" s="43" t="s">
        <v>466</v>
      </c>
      <c r="G36" s="43"/>
      <c r="H36" s="43"/>
      <c r="I36" s="54">
        <v>943.07</v>
      </c>
      <c r="J36" s="45"/>
      <c r="K36" s="54">
        <v>999.85</v>
      </c>
      <c r="L36" s="45"/>
      <c r="M36" s="54">
        <v>1075.8900000000001</v>
      </c>
      <c r="N36" s="45"/>
      <c r="O36" s="54">
        <f>ROUND(SUM(I36:M36),5)</f>
        <v>3018.81</v>
      </c>
    </row>
    <row r="37" spans="1:15" x14ac:dyDescent="0.3">
      <c r="A37" s="43"/>
      <c r="B37" s="43"/>
      <c r="C37" s="43"/>
      <c r="D37" s="43"/>
      <c r="E37" s="43" t="s">
        <v>467</v>
      </c>
      <c r="F37" s="43"/>
      <c r="G37" s="43"/>
      <c r="H37" s="43"/>
      <c r="I37" s="52">
        <f>ROUND(SUM(I34:I36),5)</f>
        <v>2045.11</v>
      </c>
      <c r="J37" s="45"/>
      <c r="K37" s="52">
        <f>ROUND(SUM(K34:K36),5)</f>
        <v>1931.54</v>
      </c>
      <c r="L37" s="45"/>
      <c r="M37" s="52">
        <f>ROUND(SUM(M34:M36),5)</f>
        <v>2042.31</v>
      </c>
      <c r="N37" s="45"/>
      <c r="O37" s="52">
        <f>ROUND(SUM(I37:M37),5)</f>
        <v>6018.96</v>
      </c>
    </row>
    <row r="38" spans="1:15" ht="30" customHeight="1" x14ac:dyDescent="0.3">
      <c r="A38" s="43"/>
      <c r="B38" s="43"/>
      <c r="C38" s="43"/>
      <c r="D38" s="43"/>
      <c r="E38" s="43" t="s">
        <v>584</v>
      </c>
      <c r="F38" s="43"/>
      <c r="G38" s="43"/>
      <c r="H38" s="43"/>
      <c r="I38" s="52"/>
      <c r="J38" s="45"/>
      <c r="K38" s="52"/>
      <c r="L38" s="45"/>
      <c r="M38" s="52"/>
      <c r="N38" s="45"/>
      <c r="O38" s="52"/>
    </row>
    <row r="39" spans="1:15" x14ac:dyDescent="0.3">
      <c r="A39" s="43"/>
      <c r="B39" s="43"/>
      <c r="C39" s="43"/>
      <c r="D39" s="43"/>
      <c r="E39" s="43"/>
      <c r="F39" s="43" t="s">
        <v>585</v>
      </c>
      <c r="G39" s="43"/>
      <c r="H39" s="43"/>
      <c r="I39" s="52"/>
      <c r="J39" s="45"/>
      <c r="K39" s="52"/>
      <c r="L39" s="45"/>
      <c r="M39" s="52"/>
      <c r="N39" s="45"/>
      <c r="O39" s="52"/>
    </row>
    <row r="40" spans="1:15" x14ac:dyDescent="0.3">
      <c r="A40" s="43"/>
      <c r="B40" s="43"/>
      <c r="C40" s="43"/>
      <c r="D40" s="43"/>
      <c r="E40" s="43"/>
      <c r="F40" s="43"/>
      <c r="G40" s="43" t="s">
        <v>586</v>
      </c>
      <c r="H40" s="43"/>
      <c r="I40" s="52"/>
      <c r="J40" s="45"/>
      <c r="K40" s="52"/>
      <c r="L40" s="45"/>
      <c r="M40" s="52"/>
      <c r="N40" s="45"/>
      <c r="O40" s="52"/>
    </row>
    <row r="41" spans="1:15" ht="15" thickBot="1" x14ac:dyDescent="0.35">
      <c r="A41" s="43"/>
      <c r="B41" s="43"/>
      <c r="C41" s="43"/>
      <c r="D41" s="43"/>
      <c r="E41" s="43"/>
      <c r="F41" s="43"/>
      <c r="G41" s="43"/>
      <c r="H41" s="43" t="s">
        <v>587</v>
      </c>
      <c r="I41" s="54">
        <v>0</v>
      </c>
      <c r="J41" s="45"/>
      <c r="K41" s="54">
        <v>333.2</v>
      </c>
      <c r="L41" s="45"/>
      <c r="M41" s="54">
        <v>640.99</v>
      </c>
      <c r="N41" s="45"/>
      <c r="O41" s="54">
        <f>ROUND(SUM(I41:M41),5)</f>
        <v>974.19</v>
      </c>
    </row>
    <row r="42" spans="1:15" x14ac:dyDescent="0.3">
      <c r="A42" s="43"/>
      <c r="B42" s="43"/>
      <c r="C42" s="43"/>
      <c r="D42" s="43"/>
      <c r="E42" s="43"/>
      <c r="F42" s="43"/>
      <c r="G42" s="43" t="s">
        <v>588</v>
      </c>
      <c r="H42" s="43"/>
      <c r="I42" s="52">
        <f>ROUND(SUM(I40:I41),5)</f>
        <v>0</v>
      </c>
      <c r="J42" s="45"/>
      <c r="K42" s="52">
        <f>ROUND(SUM(K40:K41),5)</f>
        <v>333.2</v>
      </c>
      <c r="L42" s="45"/>
      <c r="M42" s="52">
        <f>ROUND(SUM(M40:M41),5)</f>
        <v>640.99</v>
      </c>
      <c r="N42" s="45"/>
      <c r="O42" s="52">
        <f>ROUND(SUM(I42:M42),5)</f>
        <v>974.19</v>
      </c>
    </row>
    <row r="43" spans="1:15" ht="30" customHeight="1" x14ac:dyDescent="0.3">
      <c r="A43" s="43"/>
      <c r="B43" s="43"/>
      <c r="C43" s="43"/>
      <c r="D43" s="43"/>
      <c r="E43" s="43"/>
      <c r="F43" s="43"/>
      <c r="G43" s="43" t="s">
        <v>589</v>
      </c>
      <c r="H43" s="43"/>
      <c r="I43" s="52"/>
      <c r="J43" s="45"/>
      <c r="K43" s="52"/>
      <c r="L43" s="45"/>
      <c r="M43" s="52"/>
      <c r="N43" s="45"/>
      <c r="O43" s="52"/>
    </row>
    <row r="44" spans="1:15" x14ac:dyDescent="0.3">
      <c r="A44" s="43"/>
      <c r="B44" s="43"/>
      <c r="C44" s="43"/>
      <c r="D44" s="43"/>
      <c r="E44" s="43"/>
      <c r="F44" s="43"/>
      <c r="G44" s="43"/>
      <c r="H44" s="43" t="s">
        <v>590</v>
      </c>
      <c r="I44" s="52">
        <v>0</v>
      </c>
      <c r="J44" s="45"/>
      <c r="K44" s="52">
        <v>0</v>
      </c>
      <c r="L44" s="45"/>
      <c r="M44" s="52">
        <v>800.35</v>
      </c>
      <c r="N44" s="45"/>
      <c r="O44" s="52">
        <f>ROUND(SUM(I44:M44),5)</f>
        <v>800.35</v>
      </c>
    </row>
    <row r="45" spans="1:15" x14ac:dyDescent="0.3">
      <c r="A45" s="43"/>
      <c r="B45" s="43"/>
      <c r="C45" s="43"/>
      <c r="D45" s="43"/>
      <c r="E45" s="43"/>
      <c r="F45" s="43"/>
      <c r="G45" s="43"/>
      <c r="H45" s="43" t="s">
        <v>591</v>
      </c>
      <c r="I45" s="52">
        <v>5.37</v>
      </c>
      <c r="J45" s="45"/>
      <c r="K45" s="52">
        <v>0</v>
      </c>
      <c r="L45" s="45"/>
      <c r="M45" s="52">
        <v>0</v>
      </c>
      <c r="N45" s="45"/>
      <c r="O45" s="52">
        <f>ROUND(SUM(I45:M45),5)</f>
        <v>5.37</v>
      </c>
    </row>
    <row r="46" spans="1:15" ht="15" thickBot="1" x14ac:dyDescent="0.35">
      <c r="A46" s="43"/>
      <c r="B46" s="43"/>
      <c r="C46" s="43"/>
      <c r="D46" s="43"/>
      <c r="E46" s="43"/>
      <c r="F46" s="43"/>
      <c r="G46" s="43"/>
      <c r="H46" s="43" t="s">
        <v>592</v>
      </c>
      <c r="I46" s="54">
        <v>512.95000000000005</v>
      </c>
      <c r="J46" s="45"/>
      <c r="K46" s="54">
        <v>344.43</v>
      </c>
      <c r="L46" s="45"/>
      <c r="M46" s="54">
        <v>0</v>
      </c>
      <c r="N46" s="45"/>
      <c r="O46" s="54">
        <f>ROUND(SUM(I46:M46),5)</f>
        <v>857.38</v>
      </c>
    </row>
    <row r="47" spans="1:15" x14ac:dyDescent="0.3">
      <c r="A47" s="43"/>
      <c r="B47" s="43"/>
      <c r="C47" s="43"/>
      <c r="D47" s="43"/>
      <c r="E47" s="43"/>
      <c r="F47" s="43"/>
      <c r="G47" s="43" t="s">
        <v>593</v>
      </c>
      <c r="H47" s="43"/>
      <c r="I47" s="52">
        <f>ROUND(SUM(I43:I46),5)</f>
        <v>518.32000000000005</v>
      </c>
      <c r="J47" s="45"/>
      <c r="K47" s="52">
        <f>ROUND(SUM(K43:K46),5)</f>
        <v>344.43</v>
      </c>
      <c r="L47" s="45"/>
      <c r="M47" s="52">
        <f>ROUND(SUM(M43:M46),5)</f>
        <v>800.35</v>
      </c>
      <c r="N47" s="45"/>
      <c r="O47" s="52">
        <f>ROUND(SUM(I47:M47),5)</f>
        <v>1663.1</v>
      </c>
    </row>
    <row r="48" spans="1:15" ht="30" customHeight="1" x14ac:dyDescent="0.3">
      <c r="A48" s="43"/>
      <c r="B48" s="43"/>
      <c r="C48" s="43"/>
      <c r="D48" s="43"/>
      <c r="E48" s="43"/>
      <c r="F48" s="43"/>
      <c r="G48" s="43" t="s">
        <v>594</v>
      </c>
      <c r="H48" s="43"/>
      <c r="I48" s="52"/>
      <c r="J48" s="45"/>
      <c r="K48" s="52"/>
      <c r="L48" s="45"/>
      <c r="M48" s="52"/>
      <c r="N48" s="45"/>
      <c r="O48" s="52"/>
    </row>
    <row r="49" spans="1:15" x14ac:dyDescent="0.3">
      <c r="A49" s="43"/>
      <c r="B49" s="43"/>
      <c r="C49" s="43"/>
      <c r="D49" s="43"/>
      <c r="E49" s="43"/>
      <c r="F49" s="43"/>
      <c r="G49" s="43"/>
      <c r="H49" s="43" t="s">
        <v>595</v>
      </c>
      <c r="I49" s="52">
        <v>0</v>
      </c>
      <c r="J49" s="45"/>
      <c r="K49" s="52">
        <v>0</v>
      </c>
      <c r="L49" s="45"/>
      <c r="M49" s="52">
        <v>0</v>
      </c>
      <c r="N49" s="45"/>
      <c r="O49" s="52">
        <f t="shared" ref="O49:O57" si="3">ROUND(SUM(I49:M49),5)</f>
        <v>0</v>
      </c>
    </row>
    <row r="50" spans="1:15" x14ac:dyDescent="0.3">
      <c r="A50" s="43"/>
      <c r="B50" s="43"/>
      <c r="C50" s="43"/>
      <c r="D50" s="43"/>
      <c r="E50" s="43"/>
      <c r="F50" s="43"/>
      <c r="G50" s="43"/>
      <c r="H50" s="43" t="s">
        <v>596</v>
      </c>
      <c r="I50" s="52">
        <v>1172.43</v>
      </c>
      <c r="J50" s="45"/>
      <c r="K50" s="52">
        <v>567.57000000000005</v>
      </c>
      <c r="L50" s="45"/>
      <c r="M50" s="52">
        <v>0</v>
      </c>
      <c r="N50" s="45"/>
      <c r="O50" s="52">
        <f t="shared" si="3"/>
        <v>1740</v>
      </c>
    </row>
    <row r="51" spans="1:15" x14ac:dyDescent="0.3">
      <c r="A51" s="43"/>
      <c r="B51" s="43"/>
      <c r="C51" s="43"/>
      <c r="D51" s="43"/>
      <c r="E51" s="43"/>
      <c r="F51" s="43"/>
      <c r="G51" s="43"/>
      <c r="H51" s="43" t="s">
        <v>597</v>
      </c>
      <c r="I51" s="52">
        <v>389.83</v>
      </c>
      <c r="J51" s="45"/>
      <c r="K51" s="52">
        <v>385.46</v>
      </c>
      <c r="L51" s="45"/>
      <c r="M51" s="52">
        <v>383.51</v>
      </c>
      <c r="N51" s="45"/>
      <c r="O51" s="52">
        <f t="shared" si="3"/>
        <v>1158.8</v>
      </c>
    </row>
    <row r="52" spans="1:15" x14ac:dyDescent="0.3">
      <c r="A52" s="43"/>
      <c r="B52" s="43"/>
      <c r="C52" s="43"/>
      <c r="D52" s="43"/>
      <c r="E52" s="43"/>
      <c r="F52" s="43"/>
      <c r="G52" s="43"/>
      <c r="H52" s="43" t="s">
        <v>598</v>
      </c>
      <c r="I52" s="52">
        <v>827.49</v>
      </c>
      <c r="J52" s="45"/>
      <c r="K52" s="52">
        <v>634.19000000000005</v>
      </c>
      <c r="L52" s="45"/>
      <c r="M52" s="52">
        <v>382.86</v>
      </c>
      <c r="N52" s="45"/>
      <c r="O52" s="52">
        <f t="shared" si="3"/>
        <v>1844.54</v>
      </c>
    </row>
    <row r="53" spans="1:15" x14ac:dyDescent="0.3">
      <c r="A53" s="43"/>
      <c r="B53" s="43"/>
      <c r="C53" s="43"/>
      <c r="D53" s="43"/>
      <c r="E53" s="43"/>
      <c r="F53" s="43"/>
      <c r="G53" s="43"/>
      <c r="H53" s="43" t="s">
        <v>599</v>
      </c>
      <c r="I53" s="52">
        <v>377.31</v>
      </c>
      <c r="J53" s="45"/>
      <c r="K53" s="52">
        <v>227.27</v>
      </c>
      <c r="L53" s="45"/>
      <c r="M53" s="52">
        <v>0</v>
      </c>
      <c r="N53" s="45"/>
      <c r="O53" s="52">
        <f t="shared" si="3"/>
        <v>604.58000000000004</v>
      </c>
    </row>
    <row r="54" spans="1:15" x14ac:dyDescent="0.3">
      <c r="A54" s="43"/>
      <c r="B54" s="43"/>
      <c r="C54" s="43"/>
      <c r="D54" s="43"/>
      <c r="E54" s="43"/>
      <c r="F54" s="43"/>
      <c r="G54" s="43"/>
      <c r="H54" s="43" t="s">
        <v>600</v>
      </c>
      <c r="I54" s="52">
        <v>0</v>
      </c>
      <c r="J54" s="45"/>
      <c r="K54" s="52">
        <v>57.07</v>
      </c>
      <c r="L54" s="45"/>
      <c r="M54" s="52">
        <v>780.28</v>
      </c>
      <c r="N54" s="45"/>
      <c r="O54" s="52">
        <f t="shared" si="3"/>
        <v>837.35</v>
      </c>
    </row>
    <row r="55" spans="1:15" x14ac:dyDescent="0.3">
      <c r="A55" s="43"/>
      <c r="B55" s="43"/>
      <c r="C55" s="43"/>
      <c r="D55" s="43"/>
      <c r="E55" s="43"/>
      <c r="F55" s="43"/>
      <c r="G55" s="43"/>
      <c r="H55" s="43" t="s">
        <v>601</v>
      </c>
      <c r="I55" s="52">
        <v>318.60000000000002</v>
      </c>
      <c r="J55" s="45"/>
      <c r="K55" s="52">
        <v>273.06</v>
      </c>
      <c r="L55" s="45"/>
      <c r="M55" s="52">
        <v>0</v>
      </c>
      <c r="N55" s="45"/>
      <c r="O55" s="52">
        <f t="shared" si="3"/>
        <v>591.66</v>
      </c>
    </row>
    <row r="56" spans="1:15" ht="15" thickBot="1" x14ac:dyDescent="0.35">
      <c r="A56" s="43"/>
      <c r="B56" s="43"/>
      <c r="C56" s="43"/>
      <c r="D56" s="43"/>
      <c r="E56" s="43"/>
      <c r="F56" s="43"/>
      <c r="G56" s="43"/>
      <c r="H56" s="43" t="s">
        <v>602</v>
      </c>
      <c r="I56" s="54">
        <v>318.60000000000002</v>
      </c>
      <c r="J56" s="45"/>
      <c r="K56" s="54">
        <v>299.04000000000002</v>
      </c>
      <c r="L56" s="45"/>
      <c r="M56" s="54">
        <v>671.8</v>
      </c>
      <c r="N56" s="45"/>
      <c r="O56" s="54">
        <f t="shared" si="3"/>
        <v>1289.44</v>
      </c>
    </row>
    <row r="57" spans="1:15" x14ac:dyDescent="0.3">
      <c r="A57" s="43"/>
      <c r="B57" s="43"/>
      <c r="C57" s="43"/>
      <c r="D57" s="43"/>
      <c r="E57" s="43"/>
      <c r="F57" s="43"/>
      <c r="G57" s="43" t="s">
        <v>603</v>
      </c>
      <c r="H57" s="43"/>
      <c r="I57" s="52">
        <f>ROUND(SUM(I48:I56),5)</f>
        <v>3404.26</v>
      </c>
      <c r="J57" s="45"/>
      <c r="K57" s="52">
        <f>ROUND(SUM(K48:K56),5)</f>
        <v>2443.66</v>
      </c>
      <c r="L57" s="45"/>
      <c r="M57" s="52">
        <f>ROUND(SUM(M48:M56),5)</f>
        <v>2218.4499999999998</v>
      </c>
      <c r="N57" s="45"/>
      <c r="O57" s="52">
        <f t="shared" si="3"/>
        <v>8066.37</v>
      </c>
    </row>
    <row r="58" spans="1:15" ht="30" customHeight="1" x14ac:dyDescent="0.3">
      <c r="A58" s="43"/>
      <c r="B58" s="43"/>
      <c r="C58" s="43"/>
      <c r="D58" s="43"/>
      <c r="E58" s="43"/>
      <c r="F58" s="43"/>
      <c r="G58" s="43" t="s">
        <v>604</v>
      </c>
      <c r="H58" s="43"/>
      <c r="I58" s="52"/>
      <c r="J58" s="45"/>
      <c r="K58" s="52"/>
      <c r="L58" s="45"/>
      <c r="M58" s="52"/>
      <c r="N58" s="45"/>
      <c r="O58" s="52"/>
    </row>
    <row r="59" spans="1:15" x14ac:dyDescent="0.3">
      <c r="A59" s="43"/>
      <c r="B59" s="43"/>
      <c r="C59" s="43"/>
      <c r="D59" s="43"/>
      <c r="E59" s="43"/>
      <c r="F59" s="43"/>
      <c r="G59" s="43"/>
      <c r="H59" s="43" t="s">
        <v>605</v>
      </c>
      <c r="I59" s="52">
        <v>0</v>
      </c>
      <c r="J59" s="45"/>
      <c r="K59" s="52">
        <v>0</v>
      </c>
      <c r="L59" s="45"/>
      <c r="M59" s="52">
        <v>249.65</v>
      </c>
      <c r="N59" s="45"/>
      <c r="O59" s="52">
        <f>ROUND(SUM(I59:M59),5)</f>
        <v>249.65</v>
      </c>
    </row>
    <row r="60" spans="1:15" x14ac:dyDescent="0.3">
      <c r="A60" s="43"/>
      <c r="B60" s="43"/>
      <c r="C60" s="43"/>
      <c r="D60" s="43"/>
      <c r="E60" s="43"/>
      <c r="F60" s="43"/>
      <c r="G60" s="43"/>
      <c r="H60" s="43" t="s">
        <v>606</v>
      </c>
      <c r="I60" s="52">
        <v>357.43</v>
      </c>
      <c r="J60" s="45"/>
      <c r="K60" s="52">
        <v>356.56</v>
      </c>
      <c r="L60" s="45"/>
      <c r="M60" s="52">
        <v>239.49</v>
      </c>
      <c r="N60" s="45"/>
      <c r="O60" s="52">
        <f>ROUND(SUM(I60:M60),5)</f>
        <v>953.48</v>
      </c>
    </row>
    <row r="61" spans="1:15" x14ac:dyDescent="0.3">
      <c r="A61" s="43"/>
      <c r="B61" s="43"/>
      <c r="C61" s="43"/>
      <c r="D61" s="43"/>
      <c r="E61" s="43"/>
      <c r="F61" s="43"/>
      <c r="G61" s="43"/>
      <c r="H61" s="43" t="s">
        <v>607</v>
      </c>
      <c r="I61" s="52">
        <v>387.7</v>
      </c>
      <c r="J61" s="45"/>
      <c r="K61" s="52">
        <v>609.94000000000005</v>
      </c>
      <c r="L61" s="45"/>
      <c r="M61" s="52">
        <v>605.66999999999996</v>
      </c>
      <c r="N61" s="45"/>
      <c r="O61" s="52">
        <f>ROUND(SUM(I61:M61),5)</f>
        <v>1603.31</v>
      </c>
    </row>
    <row r="62" spans="1:15" ht="15" thickBot="1" x14ac:dyDescent="0.35">
      <c r="A62" s="43"/>
      <c r="B62" s="43"/>
      <c r="C62" s="43"/>
      <c r="D62" s="43"/>
      <c r="E62" s="43"/>
      <c r="F62" s="43"/>
      <c r="G62" s="43"/>
      <c r="H62" s="43" t="s">
        <v>608</v>
      </c>
      <c r="I62" s="54">
        <v>221.67</v>
      </c>
      <c r="J62" s="45"/>
      <c r="K62" s="54">
        <v>0</v>
      </c>
      <c r="L62" s="45"/>
      <c r="M62" s="54">
        <v>10.74</v>
      </c>
      <c r="N62" s="45"/>
      <c r="O62" s="54">
        <f>ROUND(SUM(I62:M62),5)</f>
        <v>232.41</v>
      </c>
    </row>
    <row r="63" spans="1:15" x14ac:dyDescent="0.3">
      <c r="A63" s="43"/>
      <c r="B63" s="43"/>
      <c r="C63" s="43"/>
      <c r="D63" s="43"/>
      <c r="E63" s="43"/>
      <c r="F63" s="43"/>
      <c r="G63" s="43" t="s">
        <v>609</v>
      </c>
      <c r="H63" s="43"/>
      <c r="I63" s="52">
        <f>ROUND(SUM(I58:I62),5)</f>
        <v>966.8</v>
      </c>
      <c r="J63" s="45"/>
      <c r="K63" s="52">
        <f>ROUND(SUM(K58:K62),5)</f>
        <v>966.5</v>
      </c>
      <c r="L63" s="45"/>
      <c r="M63" s="52">
        <f>ROUND(SUM(M58:M62),5)</f>
        <v>1105.55</v>
      </c>
      <c r="N63" s="45"/>
      <c r="O63" s="52">
        <f>ROUND(SUM(I63:M63),5)</f>
        <v>3038.85</v>
      </c>
    </row>
    <row r="64" spans="1:15" ht="30" customHeight="1" x14ac:dyDescent="0.3">
      <c r="A64" s="43"/>
      <c r="B64" s="43"/>
      <c r="C64" s="43"/>
      <c r="D64" s="43"/>
      <c r="E64" s="43"/>
      <c r="F64" s="43"/>
      <c r="G64" s="43" t="s">
        <v>610</v>
      </c>
      <c r="H64" s="43"/>
      <c r="I64" s="52"/>
      <c r="J64" s="45"/>
      <c r="K64" s="52"/>
      <c r="L64" s="45"/>
      <c r="M64" s="52"/>
      <c r="N64" s="45"/>
      <c r="O64" s="52"/>
    </row>
    <row r="65" spans="1:15" ht="15" thickBot="1" x14ac:dyDescent="0.35">
      <c r="A65" s="43"/>
      <c r="B65" s="43"/>
      <c r="C65" s="43"/>
      <c r="D65" s="43"/>
      <c r="E65" s="43"/>
      <c r="F65" s="43"/>
      <c r="G65" s="43"/>
      <c r="H65" s="43" t="s">
        <v>611</v>
      </c>
      <c r="I65" s="52">
        <v>386.5</v>
      </c>
      <c r="J65" s="45"/>
      <c r="K65" s="52">
        <v>32.56</v>
      </c>
      <c r="L65" s="45"/>
      <c r="M65" s="52">
        <v>0</v>
      </c>
      <c r="N65" s="45"/>
      <c r="O65" s="52">
        <f t="shared" ref="O65:O71" si="4">ROUND(SUM(I65:M65),5)</f>
        <v>419.06</v>
      </c>
    </row>
    <row r="66" spans="1:15" ht="15" thickBot="1" x14ac:dyDescent="0.35">
      <c r="A66" s="43"/>
      <c r="B66" s="43"/>
      <c r="C66" s="43"/>
      <c r="D66" s="43"/>
      <c r="E66" s="43"/>
      <c r="F66" s="43"/>
      <c r="G66" s="43" t="s">
        <v>612</v>
      </c>
      <c r="H66" s="43"/>
      <c r="I66" s="53">
        <f>ROUND(SUM(I64:I65),5)</f>
        <v>386.5</v>
      </c>
      <c r="J66" s="45"/>
      <c r="K66" s="53">
        <f>ROUND(SUM(K64:K65),5)</f>
        <v>32.56</v>
      </c>
      <c r="L66" s="45"/>
      <c r="M66" s="53">
        <f>ROUND(SUM(M64:M65),5)</f>
        <v>0</v>
      </c>
      <c r="N66" s="45"/>
      <c r="O66" s="53">
        <f t="shared" si="4"/>
        <v>419.06</v>
      </c>
    </row>
    <row r="67" spans="1:15" ht="30" customHeight="1" x14ac:dyDescent="0.3">
      <c r="A67" s="43"/>
      <c r="B67" s="43"/>
      <c r="C67" s="43"/>
      <c r="D67" s="43"/>
      <c r="E67" s="43"/>
      <c r="F67" s="43" t="s">
        <v>613</v>
      </c>
      <c r="G67" s="43"/>
      <c r="H67" s="43"/>
      <c r="I67" s="52">
        <f>ROUND(I39+I42+I47+I57+I63+I66,5)</f>
        <v>5275.88</v>
      </c>
      <c r="J67" s="45"/>
      <c r="K67" s="52">
        <f>ROUND(K39+K42+K47+K57+K63+K66,5)</f>
        <v>4120.3500000000004</v>
      </c>
      <c r="L67" s="45"/>
      <c r="M67" s="52">
        <f>ROUND(M39+M42+M47+M57+M63+M66,5)</f>
        <v>4765.34</v>
      </c>
      <c r="N67" s="45"/>
      <c r="O67" s="52">
        <f t="shared" si="4"/>
        <v>14161.57</v>
      </c>
    </row>
    <row r="68" spans="1:15" ht="30" customHeight="1" x14ac:dyDescent="0.3">
      <c r="A68" s="43"/>
      <c r="B68" s="43"/>
      <c r="C68" s="43"/>
      <c r="D68" s="43"/>
      <c r="E68" s="43"/>
      <c r="F68" s="43" t="s">
        <v>614</v>
      </c>
      <c r="G68" s="43"/>
      <c r="H68" s="43"/>
      <c r="I68" s="52">
        <v>815.12</v>
      </c>
      <c r="J68" s="45"/>
      <c r="K68" s="52">
        <v>1596.33</v>
      </c>
      <c r="L68" s="45"/>
      <c r="M68" s="52">
        <v>1618.31</v>
      </c>
      <c r="N68" s="45"/>
      <c r="O68" s="52">
        <f t="shared" si="4"/>
        <v>4029.76</v>
      </c>
    </row>
    <row r="69" spans="1:15" x14ac:dyDescent="0.3">
      <c r="A69" s="43"/>
      <c r="B69" s="43"/>
      <c r="C69" s="43"/>
      <c r="D69" s="43"/>
      <c r="E69" s="43"/>
      <c r="F69" s="43" t="s">
        <v>615</v>
      </c>
      <c r="G69" s="43"/>
      <c r="H69" s="43"/>
      <c r="I69" s="52">
        <v>1106</v>
      </c>
      <c r="J69" s="45"/>
      <c r="K69" s="52">
        <v>1059.72</v>
      </c>
      <c r="L69" s="45"/>
      <c r="M69" s="52">
        <v>890.39</v>
      </c>
      <c r="N69" s="45"/>
      <c r="O69" s="52">
        <f t="shared" si="4"/>
        <v>3056.11</v>
      </c>
    </row>
    <row r="70" spans="1:15" x14ac:dyDescent="0.3">
      <c r="A70" s="43"/>
      <c r="B70" s="43"/>
      <c r="C70" s="43"/>
      <c r="D70" s="43"/>
      <c r="E70" s="43"/>
      <c r="F70" s="43" t="s">
        <v>616</v>
      </c>
      <c r="G70" s="43"/>
      <c r="H70" s="43"/>
      <c r="I70" s="52">
        <v>915.5</v>
      </c>
      <c r="J70" s="45"/>
      <c r="K70" s="52">
        <v>819.52</v>
      </c>
      <c r="L70" s="45"/>
      <c r="M70" s="52">
        <v>1002.01</v>
      </c>
      <c r="N70" s="45"/>
      <c r="O70" s="52">
        <f t="shared" si="4"/>
        <v>2737.03</v>
      </c>
    </row>
    <row r="71" spans="1:15" x14ac:dyDescent="0.3">
      <c r="A71" s="43"/>
      <c r="B71" s="43"/>
      <c r="C71" s="43"/>
      <c r="D71" s="43"/>
      <c r="E71" s="43"/>
      <c r="F71" s="43" t="s">
        <v>617</v>
      </c>
      <c r="G71" s="43"/>
      <c r="H71" s="43"/>
      <c r="I71" s="52">
        <v>13244.04</v>
      </c>
      <c r="J71" s="45"/>
      <c r="K71" s="52">
        <v>15356.28</v>
      </c>
      <c r="L71" s="45"/>
      <c r="M71" s="52">
        <v>16521.95</v>
      </c>
      <c r="N71" s="45"/>
      <c r="O71" s="52">
        <f t="shared" si="4"/>
        <v>45122.27</v>
      </c>
    </row>
    <row r="72" spans="1:15" x14ac:dyDescent="0.3">
      <c r="A72" s="43"/>
      <c r="B72" s="43"/>
      <c r="C72" s="43"/>
      <c r="D72" s="43"/>
      <c r="E72" s="43"/>
      <c r="F72" s="43" t="s">
        <v>472</v>
      </c>
      <c r="G72" s="43"/>
      <c r="H72" s="43"/>
      <c r="I72" s="52"/>
      <c r="J72" s="45"/>
      <c r="K72" s="52"/>
      <c r="L72" s="45"/>
      <c r="M72" s="52"/>
      <c r="N72" s="45"/>
      <c r="O72" s="52"/>
    </row>
    <row r="73" spans="1:15" x14ac:dyDescent="0.3">
      <c r="A73" s="43"/>
      <c r="B73" s="43"/>
      <c r="C73" s="43"/>
      <c r="D73" s="43"/>
      <c r="E73" s="43"/>
      <c r="F73" s="43"/>
      <c r="G73" s="43" t="s">
        <v>586</v>
      </c>
      <c r="H73" s="43"/>
      <c r="I73" s="52"/>
      <c r="J73" s="45"/>
      <c r="K73" s="52"/>
      <c r="L73" s="45"/>
      <c r="M73" s="52"/>
      <c r="N73" s="45"/>
      <c r="O73" s="52"/>
    </row>
    <row r="74" spans="1:15" ht="15" thickBot="1" x14ac:dyDescent="0.35">
      <c r="A74" s="43"/>
      <c r="B74" s="43"/>
      <c r="C74" s="43"/>
      <c r="D74" s="43"/>
      <c r="E74" s="43"/>
      <c r="F74" s="43"/>
      <c r="G74" s="43"/>
      <c r="H74" s="43" t="s">
        <v>618</v>
      </c>
      <c r="I74" s="54">
        <v>0</v>
      </c>
      <c r="J74" s="45"/>
      <c r="K74" s="54">
        <v>412.41</v>
      </c>
      <c r="L74" s="45"/>
      <c r="M74" s="54">
        <v>464.4</v>
      </c>
      <c r="N74" s="45"/>
      <c r="O74" s="54">
        <f>ROUND(SUM(I74:M74),5)</f>
        <v>876.81</v>
      </c>
    </row>
    <row r="75" spans="1:15" x14ac:dyDescent="0.3">
      <c r="A75" s="43"/>
      <c r="B75" s="43"/>
      <c r="C75" s="43"/>
      <c r="D75" s="43"/>
      <c r="E75" s="43"/>
      <c r="F75" s="43"/>
      <c r="G75" s="43" t="s">
        <v>588</v>
      </c>
      <c r="H75" s="43"/>
      <c r="I75" s="52">
        <f>ROUND(SUM(I73:I74),5)</f>
        <v>0</v>
      </c>
      <c r="J75" s="45"/>
      <c r="K75" s="52">
        <f>ROUND(SUM(K73:K74),5)</f>
        <v>412.41</v>
      </c>
      <c r="L75" s="45"/>
      <c r="M75" s="52">
        <f>ROUND(SUM(M73:M74),5)</f>
        <v>464.4</v>
      </c>
      <c r="N75" s="45"/>
      <c r="O75" s="52">
        <f>ROUND(SUM(I75:M75),5)</f>
        <v>876.81</v>
      </c>
    </row>
    <row r="76" spans="1:15" ht="30" customHeight="1" x14ac:dyDescent="0.3">
      <c r="A76" s="43"/>
      <c r="B76" s="43"/>
      <c r="C76" s="43"/>
      <c r="D76" s="43"/>
      <c r="E76" s="43"/>
      <c r="F76" s="43"/>
      <c r="G76" s="43" t="s">
        <v>589</v>
      </c>
      <c r="H76" s="43"/>
      <c r="I76" s="52"/>
      <c r="J76" s="45"/>
      <c r="K76" s="52"/>
      <c r="L76" s="45"/>
      <c r="M76" s="52"/>
      <c r="N76" s="45"/>
      <c r="O76" s="52"/>
    </row>
    <row r="77" spans="1:15" x14ac:dyDescent="0.3">
      <c r="A77" s="43"/>
      <c r="B77" s="43"/>
      <c r="C77" s="43"/>
      <c r="D77" s="43"/>
      <c r="E77" s="43"/>
      <c r="F77" s="43"/>
      <c r="G77" s="43"/>
      <c r="H77" s="43" t="s">
        <v>619</v>
      </c>
      <c r="I77" s="52">
        <v>0</v>
      </c>
      <c r="J77" s="45"/>
      <c r="K77" s="52">
        <v>0</v>
      </c>
      <c r="L77" s="45"/>
      <c r="M77" s="52">
        <v>0</v>
      </c>
      <c r="N77" s="45"/>
      <c r="O77" s="52">
        <f>ROUND(SUM(I77:M77),5)</f>
        <v>0</v>
      </c>
    </row>
    <row r="78" spans="1:15" x14ac:dyDescent="0.3">
      <c r="A78" s="43"/>
      <c r="B78" s="43"/>
      <c r="C78" s="43"/>
      <c r="D78" s="43"/>
      <c r="E78" s="43"/>
      <c r="F78" s="43"/>
      <c r="G78" s="43"/>
      <c r="H78" s="43" t="s">
        <v>620</v>
      </c>
      <c r="I78" s="52">
        <v>0</v>
      </c>
      <c r="J78" s="45"/>
      <c r="K78" s="52">
        <v>0</v>
      </c>
      <c r="L78" s="45"/>
      <c r="M78" s="52">
        <v>0</v>
      </c>
      <c r="N78" s="45"/>
      <c r="O78" s="52">
        <f>ROUND(SUM(I78:M78),5)</f>
        <v>0</v>
      </c>
    </row>
    <row r="79" spans="1:15" x14ac:dyDescent="0.3">
      <c r="A79" s="43"/>
      <c r="B79" s="43"/>
      <c r="C79" s="43"/>
      <c r="D79" s="43"/>
      <c r="E79" s="43"/>
      <c r="F79" s="43"/>
      <c r="G79" s="43"/>
      <c r="H79" s="43" t="s">
        <v>621</v>
      </c>
      <c r="I79" s="52">
        <v>0</v>
      </c>
      <c r="J79" s="45"/>
      <c r="K79" s="52">
        <v>0</v>
      </c>
      <c r="L79" s="45"/>
      <c r="M79" s="52">
        <v>458.42</v>
      </c>
      <c r="N79" s="45"/>
      <c r="O79" s="52">
        <f>ROUND(SUM(I79:M79),5)</f>
        <v>458.42</v>
      </c>
    </row>
    <row r="80" spans="1:15" ht="15" thickBot="1" x14ac:dyDescent="0.35">
      <c r="A80" s="43"/>
      <c r="B80" s="43"/>
      <c r="C80" s="43"/>
      <c r="D80" s="43"/>
      <c r="E80" s="43"/>
      <c r="F80" s="43"/>
      <c r="G80" s="43"/>
      <c r="H80" s="43" t="s">
        <v>622</v>
      </c>
      <c r="I80" s="54">
        <v>474.85</v>
      </c>
      <c r="J80" s="45"/>
      <c r="K80" s="54">
        <v>501.84</v>
      </c>
      <c r="L80" s="45"/>
      <c r="M80" s="54">
        <v>0</v>
      </c>
      <c r="N80" s="45"/>
      <c r="O80" s="54">
        <f>ROUND(SUM(I80:M80),5)</f>
        <v>976.69</v>
      </c>
    </row>
    <row r="81" spans="1:15" x14ac:dyDescent="0.3">
      <c r="A81" s="43"/>
      <c r="B81" s="43"/>
      <c r="C81" s="43"/>
      <c r="D81" s="43"/>
      <c r="E81" s="43"/>
      <c r="F81" s="43"/>
      <c r="G81" s="43" t="s">
        <v>593</v>
      </c>
      <c r="H81" s="43"/>
      <c r="I81" s="52">
        <f>ROUND(SUM(I76:I80),5)</f>
        <v>474.85</v>
      </c>
      <c r="J81" s="45"/>
      <c r="K81" s="52">
        <f>ROUND(SUM(K76:K80),5)</f>
        <v>501.84</v>
      </c>
      <c r="L81" s="45"/>
      <c r="M81" s="52">
        <f>ROUND(SUM(M76:M80),5)</f>
        <v>458.42</v>
      </c>
      <c r="N81" s="45"/>
      <c r="O81" s="52">
        <f>ROUND(SUM(I81:M81),5)</f>
        <v>1435.11</v>
      </c>
    </row>
    <row r="82" spans="1:15" ht="30" customHeight="1" x14ac:dyDescent="0.3">
      <c r="A82" s="43"/>
      <c r="B82" s="43"/>
      <c r="C82" s="43"/>
      <c r="D82" s="43"/>
      <c r="E82" s="43"/>
      <c r="F82" s="43"/>
      <c r="G82" s="43" t="s">
        <v>594</v>
      </c>
      <c r="H82" s="43"/>
      <c r="I82" s="52"/>
      <c r="J82" s="45"/>
      <c r="K82" s="52"/>
      <c r="L82" s="45"/>
      <c r="M82" s="52"/>
      <c r="N82" s="45"/>
      <c r="O82" s="52"/>
    </row>
    <row r="83" spans="1:15" x14ac:dyDescent="0.3">
      <c r="A83" s="43"/>
      <c r="B83" s="43"/>
      <c r="C83" s="43"/>
      <c r="D83" s="43"/>
      <c r="E83" s="43"/>
      <c r="F83" s="43"/>
      <c r="G83" s="43"/>
      <c r="H83" s="43" t="s">
        <v>623</v>
      </c>
      <c r="I83" s="52">
        <v>646.6</v>
      </c>
      <c r="J83" s="45"/>
      <c r="K83" s="52">
        <v>442.49</v>
      </c>
      <c r="L83" s="45"/>
      <c r="M83" s="52">
        <v>416.57</v>
      </c>
      <c r="N83" s="45"/>
      <c r="O83" s="52">
        <f t="shared" ref="O83:O88" si="5">ROUND(SUM(I83:M83),5)</f>
        <v>1505.66</v>
      </c>
    </row>
    <row r="84" spans="1:15" x14ac:dyDescent="0.3">
      <c r="A84" s="43"/>
      <c r="B84" s="43"/>
      <c r="C84" s="43"/>
      <c r="D84" s="43"/>
      <c r="E84" s="43"/>
      <c r="F84" s="43"/>
      <c r="G84" s="43"/>
      <c r="H84" s="43" t="s">
        <v>624</v>
      </c>
      <c r="I84" s="52">
        <v>508.77</v>
      </c>
      <c r="J84" s="45"/>
      <c r="K84" s="52">
        <v>303.66000000000003</v>
      </c>
      <c r="L84" s="45"/>
      <c r="M84" s="52">
        <v>0</v>
      </c>
      <c r="N84" s="45"/>
      <c r="O84" s="52">
        <f t="shared" si="5"/>
        <v>812.43</v>
      </c>
    </row>
    <row r="85" spans="1:15" x14ac:dyDescent="0.3">
      <c r="A85" s="43"/>
      <c r="B85" s="43"/>
      <c r="C85" s="43"/>
      <c r="D85" s="43"/>
      <c r="E85" s="43"/>
      <c r="F85" s="43"/>
      <c r="G85" s="43"/>
      <c r="H85" s="43" t="s">
        <v>625</v>
      </c>
      <c r="I85" s="52">
        <v>0</v>
      </c>
      <c r="J85" s="45"/>
      <c r="K85" s="52">
        <v>48.88</v>
      </c>
      <c r="L85" s="45"/>
      <c r="M85" s="52">
        <v>826.9</v>
      </c>
      <c r="N85" s="45"/>
      <c r="O85" s="52">
        <f t="shared" si="5"/>
        <v>875.78</v>
      </c>
    </row>
    <row r="86" spans="1:15" x14ac:dyDescent="0.3">
      <c r="A86" s="43"/>
      <c r="B86" s="43"/>
      <c r="C86" s="43"/>
      <c r="D86" s="43"/>
      <c r="E86" s="43"/>
      <c r="F86" s="43"/>
      <c r="G86" s="43"/>
      <c r="H86" s="43" t="s">
        <v>626</v>
      </c>
      <c r="I86" s="52">
        <v>180.03</v>
      </c>
      <c r="J86" s="45"/>
      <c r="K86" s="52">
        <v>308.77999999999997</v>
      </c>
      <c r="L86" s="45"/>
      <c r="M86" s="52">
        <v>0</v>
      </c>
      <c r="N86" s="45"/>
      <c r="O86" s="52">
        <f t="shared" si="5"/>
        <v>488.81</v>
      </c>
    </row>
    <row r="87" spans="1:15" ht="15" thickBot="1" x14ac:dyDescent="0.35">
      <c r="A87" s="43"/>
      <c r="B87" s="43"/>
      <c r="C87" s="43"/>
      <c r="D87" s="43"/>
      <c r="E87" s="43"/>
      <c r="F87" s="43"/>
      <c r="G87" s="43"/>
      <c r="H87" s="43" t="s">
        <v>627</v>
      </c>
      <c r="I87" s="54">
        <v>183.56</v>
      </c>
      <c r="J87" s="45"/>
      <c r="K87" s="54">
        <v>1038.1300000000001</v>
      </c>
      <c r="L87" s="45"/>
      <c r="M87" s="54">
        <v>1478.28</v>
      </c>
      <c r="N87" s="45"/>
      <c r="O87" s="54">
        <f t="shared" si="5"/>
        <v>2699.97</v>
      </c>
    </row>
    <row r="88" spans="1:15" x14ac:dyDescent="0.3">
      <c r="A88" s="43"/>
      <c r="B88" s="43"/>
      <c r="C88" s="43"/>
      <c r="D88" s="43"/>
      <c r="E88" s="43"/>
      <c r="F88" s="43"/>
      <c r="G88" s="43" t="s">
        <v>603</v>
      </c>
      <c r="H88" s="43"/>
      <c r="I88" s="52">
        <f>ROUND(SUM(I82:I87),5)</f>
        <v>1518.96</v>
      </c>
      <c r="J88" s="45"/>
      <c r="K88" s="52">
        <f>ROUND(SUM(K82:K87),5)</f>
        <v>2141.94</v>
      </c>
      <c r="L88" s="45"/>
      <c r="M88" s="52">
        <f>ROUND(SUM(M82:M87),5)</f>
        <v>2721.75</v>
      </c>
      <c r="N88" s="45"/>
      <c r="O88" s="52">
        <f t="shared" si="5"/>
        <v>6382.65</v>
      </c>
    </row>
    <row r="89" spans="1:15" ht="30" customHeight="1" x14ac:dyDescent="0.3">
      <c r="A89" s="43"/>
      <c r="B89" s="43"/>
      <c r="C89" s="43"/>
      <c r="D89" s="43"/>
      <c r="E89" s="43"/>
      <c r="F89" s="43"/>
      <c r="G89" s="43" t="s">
        <v>628</v>
      </c>
      <c r="H89" s="43"/>
      <c r="I89" s="52"/>
      <c r="J89" s="45"/>
      <c r="K89" s="52"/>
      <c r="L89" s="45"/>
      <c r="M89" s="52"/>
      <c r="N89" s="45"/>
      <c r="O89" s="52"/>
    </row>
    <row r="90" spans="1:15" x14ac:dyDescent="0.3">
      <c r="A90" s="43"/>
      <c r="B90" s="43"/>
      <c r="C90" s="43"/>
      <c r="D90" s="43"/>
      <c r="E90" s="43"/>
      <c r="F90" s="43"/>
      <c r="G90" s="43"/>
      <c r="H90" s="43" t="s">
        <v>629</v>
      </c>
      <c r="I90" s="52">
        <v>0</v>
      </c>
      <c r="J90" s="45"/>
      <c r="K90" s="52">
        <v>0</v>
      </c>
      <c r="L90" s="45"/>
      <c r="M90" s="52">
        <v>836.49</v>
      </c>
      <c r="N90" s="45"/>
      <c r="O90" s="52">
        <f>ROUND(SUM(I90:M90),5)</f>
        <v>836.49</v>
      </c>
    </row>
    <row r="91" spans="1:15" x14ac:dyDescent="0.3">
      <c r="A91" s="43"/>
      <c r="B91" s="43"/>
      <c r="C91" s="43"/>
      <c r="D91" s="43"/>
      <c r="E91" s="43"/>
      <c r="F91" s="43"/>
      <c r="G91" s="43"/>
      <c r="H91" s="43" t="s">
        <v>630</v>
      </c>
      <c r="I91" s="52">
        <v>217.19</v>
      </c>
      <c r="J91" s="45"/>
      <c r="K91" s="52">
        <v>236.77</v>
      </c>
      <c r="L91" s="45"/>
      <c r="M91" s="52">
        <v>184.29</v>
      </c>
      <c r="N91" s="45"/>
      <c r="O91" s="52">
        <f>ROUND(SUM(I91:M91),5)</f>
        <v>638.25</v>
      </c>
    </row>
    <row r="92" spans="1:15" x14ac:dyDescent="0.3">
      <c r="A92" s="43"/>
      <c r="B92" s="43"/>
      <c r="C92" s="43"/>
      <c r="D92" s="43"/>
      <c r="E92" s="43"/>
      <c r="F92" s="43"/>
      <c r="G92" s="43"/>
      <c r="H92" s="43" t="s">
        <v>631</v>
      </c>
      <c r="I92" s="52">
        <v>275.10000000000002</v>
      </c>
      <c r="J92" s="45"/>
      <c r="K92" s="52">
        <v>539.32000000000005</v>
      </c>
      <c r="L92" s="45"/>
      <c r="M92" s="52">
        <v>936.19</v>
      </c>
      <c r="N92" s="45"/>
      <c r="O92" s="52">
        <f>ROUND(SUM(I92:M92),5)</f>
        <v>1750.61</v>
      </c>
    </row>
    <row r="93" spans="1:15" ht="15" thickBot="1" x14ac:dyDescent="0.35">
      <c r="A93" s="43"/>
      <c r="B93" s="43"/>
      <c r="C93" s="43"/>
      <c r="D93" s="43"/>
      <c r="E93" s="43"/>
      <c r="F93" s="43"/>
      <c r="G93" s="43"/>
      <c r="H93" s="43" t="s">
        <v>632</v>
      </c>
      <c r="I93" s="54">
        <v>239.98</v>
      </c>
      <c r="J93" s="45"/>
      <c r="K93" s="54">
        <v>0</v>
      </c>
      <c r="L93" s="45"/>
      <c r="M93" s="54">
        <v>0</v>
      </c>
      <c r="N93" s="45"/>
      <c r="O93" s="54">
        <f>ROUND(SUM(I93:M93),5)</f>
        <v>239.98</v>
      </c>
    </row>
    <row r="94" spans="1:15" x14ac:dyDescent="0.3">
      <c r="A94" s="43"/>
      <c r="B94" s="43"/>
      <c r="C94" s="43"/>
      <c r="D94" s="43"/>
      <c r="E94" s="43"/>
      <c r="F94" s="43"/>
      <c r="G94" s="43" t="s">
        <v>633</v>
      </c>
      <c r="H94" s="43"/>
      <c r="I94" s="52">
        <f>ROUND(SUM(I89:I93),5)</f>
        <v>732.27</v>
      </c>
      <c r="J94" s="45"/>
      <c r="K94" s="52">
        <f>ROUND(SUM(K89:K93),5)</f>
        <v>776.09</v>
      </c>
      <c r="L94" s="45"/>
      <c r="M94" s="52">
        <f>ROUND(SUM(M89:M93),5)</f>
        <v>1956.97</v>
      </c>
      <c r="N94" s="45"/>
      <c r="O94" s="52">
        <f>ROUND(SUM(I94:M94),5)</f>
        <v>3465.33</v>
      </c>
    </row>
    <row r="95" spans="1:15" ht="30" customHeight="1" x14ac:dyDescent="0.3">
      <c r="A95" s="43"/>
      <c r="B95" s="43"/>
      <c r="C95" s="43"/>
      <c r="D95" s="43"/>
      <c r="E95" s="43"/>
      <c r="F95" s="43"/>
      <c r="G95" s="43" t="s">
        <v>610</v>
      </c>
      <c r="H95" s="43"/>
      <c r="I95" s="52"/>
      <c r="J95" s="45"/>
      <c r="K95" s="52"/>
      <c r="L95" s="45"/>
      <c r="M95" s="52"/>
      <c r="N95" s="45"/>
      <c r="O95" s="52"/>
    </row>
    <row r="96" spans="1:15" ht="15" thickBot="1" x14ac:dyDescent="0.35">
      <c r="A96" s="43"/>
      <c r="B96" s="43"/>
      <c r="C96" s="43"/>
      <c r="D96" s="43"/>
      <c r="E96" s="43"/>
      <c r="F96" s="43"/>
      <c r="G96" s="43"/>
      <c r="H96" s="43" t="s">
        <v>634</v>
      </c>
      <c r="I96" s="52">
        <v>392.69</v>
      </c>
      <c r="J96" s="45"/>
      <c r="K96" s="52">
        <v>0</v>
      </c>
      <c r="L96" s="45"/>
      <c r="M96" s="52">
        <v>0</v>
      </c>
      <c r="N96" s="45"/>
      <c r="O96" s="52">
        <f>ROUND(SUM(I96:M96),5)</f>
        <v>392.69</v>
      </c>
    </row>
    <row r="97" spans="1:15" ht="15" thickBot="1" x14ac:dyDescent="0.35">
      <c r="A97" s="43"/>
      <c r="B97" s="43"/>
      <c r="C97" s="43"/>
      <c r="D97" s="43"/>
      <c r="E97" s="43"/>
      <c r="F97" s="43"/>
      <c r="G97" s="43" t="s">
        <v>612</v>
      </c>
      <c r="H97" s="43"/>
      <c r="I97" s="55">
        <f>ROUND(SUM(I95:I96),5)</f>
        <v>392.69</v>
      </c>
      <c r="J97" s="45"/>
      <c r="K97" s="55">
        <f>ROUND(SUM(K95:K96),5)</f>
        <v>0</v>
      </c>
      <c r="L97" s="45"/>
      <c r="M97" s="55">
        <f>ROUND(SUM(M95:M96),5)</f>
        <v>0</v>
      </c>
      <c r="N97" s="45"/>
      <c r="O97" s="55">
        <f>ROUND(SUM(I97:M97),5)</f>
        <v>392.69</v>
      </c>
    </row>
    <row r="98" spans="1:15" ht="30" customHeight="1" thickBot="1" x14ac:dyDescent="0.35">
      <c r="A98" s="43"/>
      <c r="B98" s="43"/>
      <c r="C98" s="43"/>
      <c r="D98" s="43"/>
      <c r="E98" s="43"/>
      <c r="F98" s="43" t="s">
        <v>475</v>
      </c>
      <c r="G98" s="43"/>
      <c r="H98" s="43"/>
      <c r="I98" s="53">
        <f>ROUND(I72+I75+I81+I88+I94+I97,5)</f>
        <v>3118.77</v>
      </c>
      <c r="J98" s="45"/>
      <c r="K98" s="53">
        <f>ROUND(K72+K75+K81+K88+K94+K97,5)</f>
        <v>3832.28</v>
      </c>
      <c r="L98" s="45"/>
      <c r="M98" s="53">
        <f>ROUND(M72+M75+M81+M88+M94+M97,5)</f>
        <v>5601.54</v>
      </c>
      <c r="N98" s="45"/>
      <c r="O98" s="53">
        <f>ROUND(SUM(I98:M98),5)</f>
        <v>12552.59</v>
      </c>
    </row>
    <row r="99" spans="1:15" ht="30" customHeight="1" x14ac:dyDescent="0.3">
      <c r="A99" s="43"/>
      <c r="B99" s="43"/>
      <c r="C99" s="43"/>
      <c r="D99" s="43"/>
      <c r="E99" s="43" t="s">
        <v>635</v>
      </c>
      <c r="F99" s="43"/>
      <c r="G99" s="43"/>
      <c r="H99" s="43"/>
      <c r="I99" s="52">
        <f>ROUND(I38+SUM(I67:I71)+I98,5)</f>
        <v>24475.31</v>
      </c>
      <c r="J99" s="45"/>
      <c r="K99" s="52">
        <f>ROUND(K38+SUM(K67:K71)+K98,5)</f>
        <v>26784.48</v>
      </c>
      <c r="L99" s="45"/>
      <c r="M99" s="52">
        <f>ROUND(M38+SUM(M67:M71)+M98,5)</f>
        <v>30399.54</v>
      </c>
      <c r="N99" s="45"/>
      <c r="O99" s="52">
        <f>ROUND(SUM(I99:M99),5)</f>
        <v>81659.33</v>
      </c>
    </row>
    <row r="100" spans="1:15" ht="30" customHeight="1" x14ac:dyDescent="0.3">
      <c r="A100" s="43"/>
      <c r="B100" s="43"/>
      <c r="C100" s="43"/>
      <c r="D100" s="43"/>
      <c r="E100" s="43" t="s">
        <v>211</v>
      </c>
      <c r="F100" s="43"/>
      <c r="G100" s="43"/>
      <c r="H100" s="43"/>
      <c r="I100" s="52"/>
      <c r="J100" s="45"/>
      <c r="K100" s="52"/>
      <c r="L100" s="45"/>
      <c r="M100" s="52"/>
      <c r="N100" s="45"/>
      <c r="O100" s="52"/>
    </row>
    <row r="101" spans="1:15" x14ac:dyDescent="0.3">
      <c r="A101" s="43"/>
      <c r="B101" s="43"/>
      <c r="C101" s="43"/>
      <c r="D101" s="43"/>
      <c r="E101" s="43"/>
      <c r="F101" s="43" t="s">
        <v>636</v>
      </c>
      <c r="G101" s="43"/>
      <c r="H101" s="43"/>
      <c r="I101" s="52">
        <v>6025.2</v>
      </c>
      <c r="J101" s="45"/>
      <c r="K101" s="52">
        <v>6561.35</v>
      </c>
      <c r="L101" s="45"/>
      <c r="M101" s="52">
        <v>6198.58</v>
      </c>
      <c r="N101" s="45"/>
      <c r="O101" s="52">
        <f t="shared" ref="O101:O108" si="6">ROUND(SUM(I101:M101),5)</f>
        <v>18785.13</v>
      </c>
    </row>
    <row r="102" spans="1:15" x14ac:dyDescent="0.3">
      <c r="A102" s="43"/>
      <c r="B102" s="43"/>
      <c r="C102" s="43"/>
      <c r="D102" s="43"/>
      <c r="E102" s="43"/>
      <c r="F102" s="43" t="s">
        <v>637</v>
      </c>
      <c r="G102" s="43"/>
      <c r="H102" s="43"/>
      <c r="I102" s="52">
        <v>1701.92</v>
      </c>
      <c r="J102" s="45"/>
      <c r="K102" s="52">
        <v>2098.21</v>
      </c>
      <c r="L102" s="45"/>
      <c r="M102" s="52">
        <v>2755.68</v>
      </c>
      <c r="N102" s="45"/>
      <c r="O102" s="52">
        <f t="shared" si="6"/>
        <v>6555.81</v>
      </c>
    </row>
    <row r="103" spans="1:15" x14ac:dyDescent="0.3">
      <c r="A103" s="43"/>
      <c r="B103" s="43"/>
      <c r="C103" s="43"/>
      <c r="D103" s="43"/>
      <c r="E103" s="43"/>
      <c r="F103" s="43" t="s">
        <v>638</v>
      </c>
      <c r="G103" s="43"/>
      <c r="H103" s="43"/>
      <c r="I103" s="52">
        <v>341.04</v>
      </c>
      <c r="J103" s="45"/>
      <c r="K103" s="52">
        <v>374.22</v>
      </c>
      <c r="L103" s="45"/>
      <c r="M103" s="52">
        <v>381.62</v>
      </c>
      <c r="N103" s="45"/>
      <c r="O103" s="52">
        <f t="shared" si="6"/>
        <v>1096.8800000000001</v>
      </c>
    </row>
    <row r="104" spans="1:15" x14ac:dyDescent="0.3">
      <c r="A104" s="43"/>
      <c r="B104" s="43"/>
      <c r="C104" s="43"/>
      <c r="D104" s="43"/>
      <c r="E104" s="43"/>
      <c r="F104" s="43" t="s">
        <v>639</v>
      </c>
      <c r="G104" s="43"/>
      <c r="H104" s="43"/>
      <c r="I104" s="52">
        <v>646.39</v>
      </c>
      <c r="J104" s="45"/>
      <c r="K104" s="52">
        <v>924.62</v>
      </c>
      <c r="L104" s="45"/>
      <c r="M104" s="52">
        <v>2070.21</v>
      </c>
      <c r="N104" s="45"/>
      <c r="O104" s="52">
        <f t="shared" si="6"/>
        <v>3641.22</v>
      </c>
    </row>
    <row r="105" spans="1:15" x14ac:dyDescent="0.3">
      <c r="A105" s="43"/>
      <c r="B105" s="43"/>
      <c r="C105" s="43"/>
      <c r="D105" s="43"/>
      <c r="E105" s="43"/>
      <c r="F105" s="43" t="s">
        <v>640</v>
      </c>
      <c r="G105" s="43"/>
      <c r="H105" s="43"/>
      <c r="I105" s="52">
        <v>3273.63</v>
      </c>
      <c r="J105" s="45"/>
      <c r="K105" s="52">
        <v>3483.43</v>
      </c>
      <c r="L105" s="45"/>
      <c r="M105" s="52">
        <v>3765.45</v>
      </c>
      <c r="N105" s="45"/>
      <c r="O105" s="52">
        <f t="shared" si="6"/>
        <v>10522.51</v>
      </c>
    </row>
    <row r="106" spans="1:15" ht="15" thickBot="1" x14ac:dyDescent="0.35">
      <c r="A106" s="43"/>
      <c r="B106" s="43"/>
      <c r="C106" s="43"/>
      <c r="D106" s="43"/>
      <c r="E106" s="43"/>
      <c r="F106" s="43" t="s">
        <v>641</v>
      </c>
      <c r="G106" s="43"/>
      <c r="H106" s="43"/>
      <c r="I106" s="52">
        <v>3014.54</v>
      </c>
      <c r="J106" s="45"/>
      <c r="K106" s="52">
        <v>3505.19</v>
      </c>
      <c r="L106" s="45"/>
      <c r="M106" s="52">
        <v>2227.37</v>
      </c>
      <c r="N106" s="45"/>
      <c r="O106" s="52">
        <f t="shared" si="6"/>
        <v>8747.1</v>
      </c>
    </row>
    <row r="107" spans="1:15" ht="15" thickBot="1" x14ac:dyDescent="0.35">
      <c r="A107" s="43"/>
      <c r="B107" s="43"/>
      <c r="C107" s="43"/>
      <c r="D107" s="43"/>
      <c r="E107" s="43" t="s">
        <v>329</v>
      </c>
      <c r="F107" s="43"/>
      <c r="G107" s="43"/>
      <c r="H107" s="43"/>
      <c r="I107" s="53">
        <f>ROUND(SUM(I100:I106),5)</f>
        <v>15002.72</v>
      </c>
      <c r="J107" s="45"/>
      <c r="K107" s="53">
        <f>ROUND(SUM(K100:K106),5)</f>
        <v>16947.02</v>
      </c>
      <c r="L107" s="45"/>
      <c r="M107" s="53">
        <f>ROUND(SUM(M100:M106),5)</f>
        <v>17398.91</v>
      </c>
      <c r="N107" s="45"/>
      <c r="O107" s="53">
        <f t="shared" si="6"/>
        <v>49348.65</v>
      </c>
    </row>
    <row r="108" spans="1:15" ht="30" customHeight="1" x14ac:dyDescent="0.3">
      <c r="A108" s="43"/>
      <c r="B108" s="43"/>
      <c r="C108" s="43"/>
      <c r="D108" s="43" t="s">
        <v>213</v>
      </c>
      <c r="E108" s="43"/>
      <c r="F108" s="43"/>
      <c r="G108" s="43"/>
      <c r="H108" s="43"/>
      <c r="I108" s="52">
        <f>ROUND(I33+I37+I99+I107,5)</f>
        <v>41523.14</v>
      </c>
      <c r="J108" s="45"/>
      <c r="K108" s="52">
        <f>ROUND(K33+K37+K99+K107,5)</f>
        <v>45663.040000000001</v>
      </c>
      <c r="L108" s="45"/>
      <c r="M108" s="52">
        <f>ROUND(M33+M37+M99+M107,5)</f>
        <v>49840.76</v>
      </c>
      <c r="N108" s="45"/>
      <c r="O108" s="52">
        <f t="shared" si="6"/>
        <v>137026.94</v>
      </c>
    </row>
    <row r="109" spans="1:15" ht="30" customHeight="1" x14ac:dyDescent="0.3">
      <c r="A109" s="43"/>
      <c r="B109" s="43"/>
      <c r="C109" s="43"/>
      <c r="D109" s="43" t="s">
        <v>642</v>
      </c>
      <c r="E109" s="43"/>
      <c r="F109" s="43"/>
      <c r="G109" s="43"/>
      <c r="H109" s="43"/>
      <c r="I109" s="52"/>
      <c r="J109" s="45"/>
      <c r="K109" s="52"/>
      <c r="L109" s="45"/>
      <c r="M109" s="52"/>
      <c r="N109" s="45"/>
      <c r="O109" s="52"/>
    </row>
    <row r="110" spans="1:15" x14ac:dyDescent="0.3">
      <c r="A110" s="43"/>
      <c r="B110" s="43"/>
      <c r="C110" s="43"/>
      <c r="D110" s="43"/>
      <c r="E110" s="43" t="s">
        <v>215</v>
      </c>
      <c r="F110" s="43"/>
      <c r="G110" s="43"/>
      <c r="H110" s="43"/>
      <c r="I110" s="52"/>
      <c r="J110" s="45"/>
      <c r="K110" s="52"/>
      <c r="L110" s="45"/>
      <c r="M110" s="52"/>
      <c r="N110" s="45"/>
      <c r="O110" s="52"/>
    </row>
    <row r="111" spans="1:15" x14ac:dyDescent="0.3">
      <c r="A111" s="43"/>
      <c r="B111" s="43"/>
      <c r="C111" s="43"/>
      <c r="D111" s="43"/>
      <c r="E111" s="43"/>
      <c r="F111" s="43" t="s">
        <v>216</v>
      </c>
      <c r="G111" s="43"/>
      <c r="H111" s="43"/>
      <c r="I111" s="52">
        <v>2443.25</v>
      </c>
      <c r="J111" s="45"/>
      <c r="K111" s="52">
        <v>2172.75</v>
      </c>
      <c r="L111" s="45"/>
      <c r="M111" s="52">
        <v>1718.65</v>
      </c>
      <c r="N111" s="45"/>
      <c r="O111" s="52">
        <f t="shared" ref="O111:O117" si="7">ROUND(SUM(I111:M111),5)</f>
        <v>6334.65</v>
      </c>
    </row>
    <row r="112" spans="1:15" x14ac:dyDescent="0.3">
      <c r="A112" s="43"/>
      <c r="B112" s="43"/>
      <c r="C112" s="43"/>
      <c r="D112" s="43"/>
      <c r="E112" s="43"/>
      <c r="F112" s="43" t="s">
        <v>217</v>
      </c>
      <c r="G112" s="43"/>
      <c r="H112" s="43"/>
      <c r="I112" s="52">
        <v>703.25</v>
      </c>
      <c r="J112" s="45"/>
      <c r="K112" s="52">
        <v>72.5</v>
      </c>
      <c r="L112" s="45"/>
      <c r="M112" s="52">
        <v>2047.89</v>
      </c>
      <c r="N112" s="45"/>
      <c r="O112" s="52">
        <f t="shared" si="7"/>
        <v>2823.64</v>
      </c>
    </row>
    <row r="113" spans="1:15" x14ac:dyDescent="0.3">
      <c r="A113" s="43"/>
      <c r="B113" s="43"/>
      <c r="C113" s="43"/>
      <c r="D113" s="43"/>
      <c r="E113" s="43"/>
      <c r="F113" s="43" t="s">
        <v>218</v>
      </c>
      <c r="G113" s="43"/>
      <c r="H113" s="43"/>
      <c r="I113" s="52">
        <v>0</v>
      </c>
      <c r="J113" s="45"/>
      <c r="K113" s="52">
        <v>758.5</v>
      </c>
      <c r="L113" s="45"/>
      <c r="M113" s="52">
        <v>0</v>
      </c>
      <c r="N113" s="45"/>
      <c r="O113" s="52">
        <f t="shared" si="7"/>
        <v>758.5</v>
      </c>
    </row>
    <row r="114" spans="1:15" x14ac:dyDescent="0.3">
      <c r="A114" s="43"/>
      <c r="B114" s="43"/>
      <c r="C114" s="43"/>
      <c r="D114" s="43"/>
      <c r="E114" s="43"/>
      <c r="F114" s="43" t="s">
        <v>219</v>
      </c>
      <c r="G114" s="43"/>
      <c r="H114" s="43"/>
      <c r="I114" s="52">
        <v>1800</v>
      </c>
      <c r="J114" s="45"/>
      <c r="K114" s="52">
        <v>2588.5</v>
      </c>
      <c r="L114" s="45"/>
      <c r="M114" s="52">
        <v>416.75</v>
      </c>
      <c r="N114" s="45"/>
      <c r="O114" s="52">
        <f t="shared" si="7"/>
        <v>4805.25</v>
      </c>
    </row>
    <row r="115" spans="1:15" x14ac:dyDescent="0.3">
      <c r="A115" s="43"/>
      <c r="B115" s="43"/>
      <c r="C115" s="43"/>
      <c r="D115" s="43"/>
      <c r="E115" s="43"/>
      <c r="F115" s="43" t="s">
        <v>375</v>
      </c>
      <c r="G115" s="43"/>
      <c r="H115" s="43"/>
      <c r="I115" s="52">
        <v>0</v>
      </c>
      <c r="J115" s="45"/>
      <c r="K115" s="52">
        <v>572.25</v>
      </c>
      <c r="L115" s="45"/>
      <c r="M115" s="52">
        <v>585</v>
      </c>
      <c r="N115" s="45"/>
      <c r="O115" s="52">
        <f t="shared" si="7"/>
        <v>1157.25</v>
      </c>
    </row>
    <row r="116" spans="1:15" ht="15" thickBot="1" x14ac:dyDescent="0.35">
      <c r="A116" s="43"/>
      <c r="B116" s="43"/>
      <c r="C116" s="43"/>
      <c r="D116" s="43"/>
      <c r="E116" s="43"/>
      <c r="F116" s="43" t="s">
        <v>643</v>
      </c>
      <c r="G116" s="43"/>
      <c r="H116" s="43"/>
      <c r="I116" s="54">
        <v>467.4</v>
      </c>
      <c r="J116" s="45"/>
      <c r="K116" s="54">
        <v>807.72</v>
      </c>
      <c r="L116" s="45"/>
      <c r="M116" s="54">
        <v>0</v>
      </c>
      <c r="N116" s="45"/>
      <c r="O116" s="54">
        <f t="shared" si="7"/>
        <v>1275.1199999999999</v>
      </c>
    </row>
    <row r="117" spans="1:15" x14ac:dyDescent="0.3">
      <c r="A117" s="43"/>
      <c r="B117" s="43"/>
      <c r="C117" s="43"/>
      <c r="D117" s="43"/>
      <c r="E117" s="43" t="s">
        <v>223</v>
      </c>
      <c r="F117" s="43"/>
      <c r="G117" s="43"/>
      <c r="H117" s="43"/>
      <c r="I117" s="52">
        <f>ROUND(SUM(I110:I116),5)</f>
        <v>5413.9</v>
      </c>
      <c r="J117" s="45"/>
      <c r="K117" s="52">
        <f>ROUND(SUM(K110:K116),5)</f>
        <v>6972.22</v>
      </c>
      <c r="L117" s="45"/>
      <c r="M117" s="52">
        <f>ROUND(SUM(M110:M116),5)</f>
        <v>4768.29</v>
      </c>
      <c r="N117" s="45"/>
      <c r="O117" s="52">
        <f t="shared" si="7"/>
        <v>17154.41</v>
      </c>
    </row>
    <row r="118" spans="1:15" ht="30" customHeight="1" x14ac:dyDescent="0.3">
      <c r="A118" s="43"/>
      <c r="B118" s="43"/>
      <c r="C118" s="43"/>
      <c r="D118" s="43"/>
      <c r="E118" s="43" t="s">
        <v>331</v>
      </c>
      <c r="F118" s="43"/>
      <c r="G118" s="43"/>
      <c r="H118" s="43"/>
      <c r="I118" s="52"/>
      <c r="J118" s="45"/>
      <c r="K118" s="52"/>
      <c r="L118" s="45"/>
      <c r="M118" s="52"/>
      <c r="N118" s="45"/>
      <c r="O118" s="52"/>
    </row>
    <row r="119" spans="1:15" x14ac:dyDescent="0.3">
      <c r="A119" s="43"/>
      <c r="B119" s="43"/>
      <c r="C119" s="43"/>
      <c r="D119" s="43"/>
      <c r="E119" s="43"/>
      <c r="F119" s="43" t="s">
        <v>225</v>
      </c>
      <c r="G119" s="43"/>
      <c r="H119" s="43"/>
      <c r="I119" s="52">
        <v>131.25</v>
      </c>
      <c r="J119" s="45"/>
      <c r="K119" s="52">
        <v>25</v>
      </c>
      <c r="L119" s="45"/>
      <c r="M119" s="52">
        <v>288.75</v>
      </c>
      <c r="N119" s="45"/>
      <c r="O119" s="52">
        <f>ROUND(SUM(I119:M119),5)</f>
        <v>445</v>
      </c>
    </row>
    <row r="120" spans="1:15" x14ac:dyDescent="0.3">
      <c r="A120" s="43"/>
      <c r="B120" s="43"/>
      <c r="C120" s="43"/>
      <c r="D120" s="43"/>
      <c r="E120" s="43"/>
      <c r="F120" s="43" t="s">
        <v>333</v>
      </c>
      <c r="G120" s="43"/>
      <c r="H120" s="43"/>
      <c r="I120" s="52">
        <v>79.55</v>
      </c>
      <c r="J120" s="45"/>
      <c r="K120" s="52">
        <v>20.13</v>
      </c>
      <c r="L120" s="45"/>
      <c r="M120" s="52">
        <v>0</v>
      </c>
      <c r="N120" s="45"/>
      <c r="O120" s="52">
        <f>ROUND(SUM(I120:M120),5)</f>
        <v>99.68</v>
      </c>
    </row>
    <row r="121" spans="1:15" ht="15" thickBot="1" x14ac:dyDescent="0.35">
      <c r="A121" s="43"/>
      <c r="B121" s="43"/>
      <c r="C121" s="43"/>
      <c r="D121" s="43"/>
      <c r="E121" s="43"/>
      <c r="F121" s="43" t="s">
        <v>334</v>
      </c>
      <c r="G121" s="43"/>
      <c r="H121" s="43"/>
      <c r="I121" s="54">
        <v>1295.79</v>
      </c>
      <c r="J121" s="45"/>
      <c r="K121" s="54">
        <v>331.93</v>
      </c>
      <c r="L121" s="45"/>
      <c r="M121" s="54">
        <v>336</v>
      </c>
      <c r="N121" s="45"/>
      <c r="O121" s="54">
        <f>ROUND(SUM(I121:M121),5)</f>
        <v>1963.72</v>
      </c>
    </row>
    <row r="122" spans="1:15" x14ac:dyDescent="0.3">
      <c r="A122" s="43"/>
      <c r="B122" s="43"/>
      <c r="C122" s="43"/>
      <c r="D122" s="43"/>
      <c r="E122" s="43" t="s">
        <v>335</v>
      </c>
      <c r="F122" s="43"/>
      <c r="G122" s="43"/>
      <c r="H122" s="43"/>
      <c r="I122" s="52">
        <f>ROUND(SUM(I118:I121),5)</f>
        <v>1506.59</v>
      </c>
      <c r="J122" s="45"/>
      <c r="K122" s="52">
        <f>ROUND(SUM(K118:K121),5)</f>
        <v>377.06</v>
      </c>
      <c r="L122" s="45"/>
      <c r="M122" s="52">
        <f>ROUND(SUM(M118:M121),5)</f>
        <v>624.75</v>
      </c>
      <c r="N122" s="45"/>
      <c r="O122" s="52">
        <f>ROUND(SUM(I122:M122),5)</f>
        <v>2508.4</v>
      </c>
    </row>
    <row r="123" spans="1:15" ht="30" customHeight="1" x14ac:dyDescent="0.3">
      <c r="A123" s="43"/>
      <c r="B123" s="43"/>
      <c r="C123" s="43"/>
      <c r="D123" s="43"/>
      <c r="E123" s="43" t="s">
        <v>228</v>
      </c>
      <c r="F123" s="43"/>
      <c r="G123" s="43"/>
      <c r="H123" s="43"/>
      <c r="I123" s="52"/>
      <c r="J123" s="45"/>
      <c r="K123" s="52"/>
      <c r="L123" s="45"/>
      <c r="M123" s="52"/>
      <c r="N123" s="45"/>
      <c r="O123" s="52"/>
    </row>
    <row r="124" spans="1:15" x14ac:dyDescent="0.3">
      <c r="A124" s="43"/>
      <c r="B124" s="43"/>
      <c r="C124" s="43"/>
      <c r="D124" s="43"/>
      <c r="E124" s="43"/>
      <c r="F124" s="43" t="s">
        <v>229</v>
      </c>
      <c r="G124" s="43"/>
      <c r="H124" s="43"/>
      <c r="I124" s="52">
        <v>3351.32</v>
      </c>
      <c r="J124" s="45"/>
      <c r="K124" s="52">
        <v>3161.6</v>
      </c>
      <c r="L124" s="45"/>
      <c r="M124" s="52">
        <v>3840</v>
      </c>
      <c r="N124" s="45"/>
      <c r="O124" s="52">
        <f>ROUND(SUM(I124:M124),5)</f>
        <v>10352.92</v>
      </c>
    </row>
    <row r="125" spans="1:15" x14ac:dyDescent="0.3">
      <c r="A125" s="43"/>
      <c r="B125" s="43"/>
      <c r="C125" s="43"/>
      <c r="D125" s="43"/>
      <c r="E125" s="43"/>
      <c r="F125" s="43" t="s">
        <v>644</v>
      </c>
      <c r="G125" s="43"/>
      <c r="H125" s="43"/>
      <c r="I125" s="52">
        <v>3250</v>
      </c>
      <c r="J125" s="45"/>
      <c r="K125" s="52">
        <v>3416</v>
      </c>
      <c r="L125" s="45"/>
      <c r="M125" s="52">
        <v>4130</v>
      </c>
      <c r="N125" s="45"/>
      <c r="O125" s="52">
        <f>ROUND(SUM(I125:M125),5)</f>
        <v>10796</v>
      </c>
    </row>
    <row r="126" spans="1:15" ht="15" thickBot="1" x14ac:dyDescent="0.35">
      <c r="A126" s="43"/>
      <c r="B126" s="43"/>
      <c r="C126" s="43"/>
      <c r="D126" s="43"/>
      <c r="E126" s="43"/>
      <c r="F126" s="43" t="s">
        <v>645</v>
      </c>
      <c r="G126" s="43"/>
      <c r="H126" s="43"/>
      <c r="I126" s="54">
        <v>0</v>
      </c>
      <c r="J126" s="45"/>
      <c r="K126" s="54">
        <v>0</v>
      </c>
      <c r="L126" s="45"/>
      <c r="M126" s="54">
        <v>11.01</v>
      </c>
      <c r="N126" s="45"/>
      <c r="O126" s="54">
        <f>ROUND(SUM(I126:M126),5)</f>
        <v>11.01</v>
      </c>
    </row>
    <row r="127" spans="1:15" x14ac:dyDescent="0.3">
      <c r="A127" s="43"/>
      <c r="B127" s="43"/>
      <c r="C127" s="43"/>
      <c r="D127" s="43"/>
      <c r="E127" s="43" t="s">
        <v>232</v>
      </c>
      <c r="F127" s="43"/>
      <c r="G127" s="43"/>
      <c r="H127" s="43"/>
      <c r="I127" s="52">
        <f>ROUND(SUM(I123:I126),5)</f>
        <v>6601.32</v>
      </c>
      <c r="J127" s="45"/>
      <c r="K127" s="52">
        <f>ROUND(SUM(K123:K126),5)</f>
        <v>6577.6</v>
      </c>
      <c r="L127" s="45"/>
      <c r="M127" s="52">
        <f>ROUND(SUM(M123:M126),5)</f>
        <v>7981.01</v>
      </c>
      <c r="N127" s="45"/>
      <c r="O127" s="52">
        <f>ROUND(SUM(I127:M127),5)</f>
        <v>21159.93</v>
      </c>
    </row>
    <row r="128" spans="1:15" ht="30" customHeight="1" x14ac:dyDescent="0.3">
      <c r="A128" s="43"/>
      <c r="B128" s="43"/>
      <c r="C128" s="43"/>
      <c r="D128" s="43"/>
      <c r="E128" s="43" t="s">
        <v>233</v>
      </c>
      <c r="F128" s="43"/>
      <c r="G128" s="43"/>
      <c r="H128" s="43"/>
      <c r="I128" s="52"/>
      <c r="J128" s="45"/>
      <c r="K128" s="52"/>
      <c r="L128" s="45"/>
      <c r="M128" s="52"/>
      <c r="N128" s="45"/>
      <c r="O128" s="52"/>
    </row>
    <row r="129" spans="1:15" x14ac:dyDescent="0.3">
      <c r="A129" s="43"/>
      <c r="B129" s="43"/>
      <c r="C129" s="43"/>
      <c r="D129" s="43"/>
      <c r="E129" s="43"/>
      <c r="F129" s="43" t="s">
        <v>234</v>
      </c>
      <c r="G129" s="43"/>
      <c r="H129" s="43"/>
      <c r="I129" s="52">
        <v>18.75</v>
      </c>
      <c r="J129" s="45"/>
      <c r="K129" s="52">
        <v>0</v>
      </c>
      <c r="L129" s="45"/>
      <c r="M129" s="52">
        <v>140</v>
      </c>
      <c r="N129" s="45"/>
      <c r="O129" s="52">
        <f>ROUND(SUM(I129:M129),5)</f>
        <v>158.75</v>
      </c>
    </row>
    <row r="130" spans="1:15" x14ac:dyDescent="0.3">
      <c r="A130" s="43"/>
      <c r="B130" s="43"/>
      <c r="C130" s="43"/>
      <c r="D130" s="43"/>
      <c r="E130" s="43"/>
      <c r="F130" s="43" t="s">
        <v>235</v>
      </c>
      <c r="G130" s="43"/>
      <c r="H130" s="43"/>
      <c r="I130" s="52">
        <v>0</v>
      </c>
      <c r="J130" s="45"/>
      <c r="K130" s="52">
        <v>44.15</v>
      </c>
      <c r="L130" s="45"/>
      <c r="M130" s="52">
        <v>175.65</v>
      </c>
      <c r="N130" s="45"/>
      <c r="O130" s="52">
        <f>ROUND(SUM(I130:M130),5)</f>
        <v>219.8</v>
      </c>
    </row>
    <row r="131" spans="1:15" ht="15" thickBot="1" x14ac:dyDescent="0.35">
      <c r="A131" s="43"/>
      <c r="B131" s="43"/>
      <c r="C131" s="43"/>
      <c r="D131" s="43"/>
      <c r="E131" s="43"/>
      <c r="F131" s="43" t="s">
        <v>236</v>
      </c>
      <c r="G131" s="43"/>
      <c r="H131" s="43"/>
      <c r="I131" s="54">
        <v>3197</v>
      </c>
      <c r="J131" s="45"/>
      <c r="K131" s="54">
        <v>125</v>
      </c>
      <c r="L131" s="45"/>
      <c r="M131" s="54">
        <v>5411.5</v>
      </c>
      <c r="N131" s="45"/>
      <c r="O131" s="54">
        <f>ROUND(SUM(I131:M131),5)</f>
        <v>8733.5</v>
      </c>
    </row>
    <row r="132" spans="1:15" x14ac:dyDescent="0.3">
      <c r="A132" s="43"/>
      <c r="B132" s="43"/>
      <c r="C132" s="43"/>
      <c r="D132" s="43"/>
      <c r="E132" s="43" t="s">
        <v>237</v>
      </c>
      <c r="F132" s="43"/>
      <c r="G132" s="43"/>
      <c r="H132" s="43"/>
      <c r="I132" s="52">
        <f>ROUND(SUM(I128:I131),5)</f>
        <v>3215.75</v>
      </c>
      <c r="J132" s="45"/>
      <c r="K132" s="52">
        <f>ROUND(SUM(K128:K131),5)</f>
        <v>169.15</v>
      </c>
      <c r="L132" s="45"/>
      <c r="M132" s="52">
        <f>ROUND(SUM(M128:M131),5)</f>
        <v>5727.15</v>
      </c>
      <c r="N132" s="45"/>
      <c r="O132" s="52">
        <f>ROUND(SUM(I132:M132),5)</f>
        <v>9112.0499999999993</v>
      </c>
    </row>
    <row r="133" spans="1:15" ht="30" customHeight="1" x14ac:dyDescent="0.3">
      <c r="A133" s="43"/>
      <c r="B133" s="43"/>
      <c r="C133" s="43"/>
      <c r="D133" s="43"/>
      <c r="E133" s="43" t="s">
        <v>238</v>
      </c>
      <c r="F133" s="43"/>
      <c r="G133" s="43"/>
      <c r="H133" s="43"/>
      <c r="I133" s="52"/>
      <c r="J133" s="45"/>
      <c r="K133" s="52"/>
      <c r="L133" s="45"/>
      <c r="M133" s="52"/>
      <c r="N133" s="45"/>
      <c r="O133" s="52"/>
    </row>
    <row r="134" spans="1:15" x14ac:dyDescent="0.3">
      <c r="A134" s="43"/>
      <c r="B134" s="43"/>
      <c r="C134" s="43"/>
      <c r="D134" s="43"/>
      <c r="E134" s="43"/>
      <c r="F134" s="43" t="s">
        <v>337</v>
      </c>
      <c r="G134" s="43"/>
      <c r="H134" s="43"/>
      <c r="I134" s="52">
        <v>575</v>
      </c>
      <c r="J134" s="45"/>
      <c r="K134" s="52">
        <v>0</v>
      </c>
      <c r="L134" s="45"/>
      <c r="M134" s="52">
        <v>0</v>
      </c>
      <c r="N134" s="45"/>
      <c r="O134" s="52">
        <f>ROUND(SUM(I134:M134),5)</f>
        <v>575</v>
      </c>
    </row>
    <row r="135" spans="1:15" x14ac:dyDescent="0.3">
      <c r="A135" s="43"/>
      <c r="B135" s="43"/>
      <c r="C135" s="43"/>
      <c r="D135" s="43"/>
      <c r="E135" s="43"/>
      <c r="F135" s="43" t="s">
        <v>646</v>
      </c>
      <c r="G135" s="43"/>
      <c r="H135" s="43"/>
      <c r="I135" s="52">
        <v>507.1</v>
      </c>
      <c r="J135" s="45"/>
      <c r="K135" s="52">
        <v>0</v>
      </c>
      <c r="L135" s="45"/>
      <c r="M135" s="52">
        <v>157.86000000000001</v>
      </c>
      <c r="N135" s="45"/>
      <c r="O135" s="52">
        <f>ROUND(SUM(I135:M135),5)</f>
        <v>664.96</v>
      </c>
    </row>
    <row r="136" spans="1:15" ht="15" thickBot="1" x14ac:dyDescent="0.35">
      <c r="A136" s="43"/>
      <c r="B136" s="43"/>
      <c r="C136" s="43"/>
      <c r="D136" s="43"/>
      <c r="E136" s="43"/>
      <c r="F136" s="43" t="s">
        <v>240</v>
      </c>
      <c r="G136" s="43"/>
      <c r="H136" s="43"/>
      <c r="I136" s="54">
        <v>0</v>
      </c>
      <c r="J136" s="45"/>
      <c r="K136" s="54">
        <v>0</v>
      </c>
      <c r="L136" s="45"/>
      <c r="M136" s="54">
        <v>2783.99</v>
      </c>
      <c r="N136" s="45"/>
      <c r="O136" s="54">
        <f>ROUND(SUM(I136:M136),5)</f>
        <v>2783.99</v>
      </c>
    </row>
    <row r="137" spans="1:15" x14ac:dyDescent="0.3">
      <c r="A137" s="43"/>
      <c r="B137" s="43"/>
      <c r="C137" s="43"/>
      <c r="D137" s="43"/>
      <c r="E137" s="43" t="s">
        <v>241</v>
      </c>
      <c r="F137" s="43"/>
      <c r="G137" s="43"/>
      <c r="H137" s="43"/>
      <c r="I137" s="52">
        <f>ROUND(SUM(I133:I136),5)</f>
        <v>1082.0999999999999</v>
      </c>
      <c r="J137" s="45"/>
      <c r="K137" s="52">
        <f>ROUND(SUM(K133:K136),5)</f>
        <v>0</v>
      </c>
      <c r="L137" s="45"/>
      <c r="M137" s="52">
        <f>ROUND(SUM(M133:M136),5)</f>
        <v>2941.85</v>
      </c>
      <c r="N137" s="45"/>
      <c r="O137" s="52">
        <f>ROUND(SUM(I137:M137),5)</f>
        <v>4023.95</v>
      </c>
    </row>
    <row r="138" spans="1:15" ht="30" customHeight="1" x14ac:dyDescent="0.3">
      <c r="A138" s="43"/>
      <c r="B138" s="43"/>
      <c r="C138" s="43"/>
      <c r="D138" s="43"/>
      <c r="E138" s="43" t="s">
        <v>412</v>
      </c>
      <c r="F138" s="43"/>
      <c r="G138" s="43"/>
      <c r="H138" s="43"/>
      <c r="I138" s="52"/>
      <c r="J138" s="45"/>
      <c r="K138" s="52"/>
      <c r="L138" s="45"/>
      <c r="M138" s="52"/>
      <c r="N138" s="45"/>
      <c r="O138" s="52"/>
    </row>
    <row r="139" spans="1:15" x14ac:dyDescent="0.3">
      <c r="A139" s="43"/>
      <c r="B139" s="43"/>
      <c r="C139" s="43"/>
      <c r="D139" s="43"/>
      <c r="E139" s="43"/>
      <c r="F139" s="43" t="s">
        <v>647</v>
      </c>
      <c r="G139" s="43"/>
      <c r="H139" s="43"/>
      <c r="I139" s="52">
        <v>4812.5</v>
      </c>
      <c r="J139" s="45"/>
      <c r="K139" s="52">
        <v>5261</v>
      </c>
      <c r="L139" s="45"/>
      <c r="M139" s="52">
        <v>7070</v>
      </c>
      <c r="N139" s="45"/>
      <c r="O139" s="52">
        <f>ROUND(SUM(I139:M139),5)</f>
        <v>17143.5</v>
      </c>
    </row>
    <row r="140" spans="1:15" x14ac:dyDescent="0.3">
      <c r="A140" s="43"/>
      <c r="B140" s="43"/>
      <c r="C140" s="43"/>
      <c r="D140" s="43"/>
      <c r="E140" s="43"/>
      <c r="F140" s="43" t="s">
        <v>648</v>
      </c>
      <c r="G140" s="43"/>
      <c r="H140" s="43"/>
      <c r="I140" s="52">
        <v>239.1</v>
      </c>
      <c r="J140" s="45"/>
      <c r="K140" s="52">
        <v>0</v>
      </c>
      <c r="L140" s="45"/>
      <c r="M140" s="52">
        <v>0</v>
      </c>
      <c r="N140" s="45"/>
      <c r="O140" s="52">
        <f>ROUND(SUM(I140:M140),5)</f>
        <v>239.1</v>
      </c>
    </row>
    <row r="141" spans="1:15" ht="15" thickBot="1" x14ac:dyDescent="0.35">
      <c r="A141" s="43"/>
      <c r="B141" s="43"/>
      <c r="C141" s="43"/>
      <c r="D141" s="43"/>
      <c r="E141" s="43"/>
      <c r="F141" s="43" t="s">
        <v>649</v>
      </c>
      <c r="G141" s="43"/>
      <c r="H141" s="43"/>
      <c r="I141" s="54">
        <v>0</v>
      </c>
      <c r="J141" s="45"/>
      <c r="K141" s="54">
        <v>0</v>
      </c>
      <c r="L141" s="45"/>
      <c r="M141" s="54">
        <v>535.75</v>
      </c>
      <c r="N141" s="45"/>
      <c r="O141" s="54">
        <f>ROUND(SUM(I141:M141),5)</f>
        <v>535.75</v>
      </c>
    </row>
    <row r="142" spans="1:15" x14ac:dyDescent="0.3">
      <c r="A142" s="43"/>
      <c r="B142" s="43"/>
      <c r="C142" s="43"/>
      <c r="D142" s="43"/>
      <c r="E142" s="43" t="s">
        <v>413</v>
      </c>
      <c r="F142" s="43"/>
      <c r="G142" s="43"/>
      <c r="H142" s="43"/>
      <c r="I142" s="52">
        <f>ROUND(SUM(I138:I141),5)</f>
        <v>5051.6000000000004</v>
      </c>
      <c r="J142" s="45"/>
      <c r="K142" s="52">
        <f>ROUND(SUM(K138:K141),5)</f>
        <v>5261</v>
      </c>
      <c r="L142" s="45"/>
      <c r="M142" s="52">
        <f>ROUND(SUM(M138:M141),5)</f>
        <v>7605.75</v>
      </c>
      <c r="N142" s="45"/>
      <c r="O142" s="52">
        <f>ROUND(SUM(I142:M142),5)</f>
        <v>17918.349999999999</v>
      </c>
    </row>
    <row r="143" spans="1:15" ht="30" customHeight="1" x14ac:dyDescent="0.3">
      <c r="A143" s="43"/>
      <c r="B143" s="43"/>
      <c r="C143" s="43"/>
      <c r="D143" s="43"/>
      <c r="E143" s="43" t="s">
        <v>245</v>
      </c>
      <c r="F143" s="43"/>
      <c r="G143" s="43"/>
      <c r="H143" s="43"/>
      <c r="I143" s="52">
        <v>7819</v>
      </c>
      <c r="J143" s="45"/>
      <c r="K143" s="52">
        <v>7839</v>
      </c>
      <c r="L143" s="45"/>
      <c r="M143" s="52">
        <v>8229.4</v>
      </c>
      <c r="N143" s="45"/>
      <c r="O143" s="52">
        <f>ROUND(SUM(I143:M143),5)</f>
        <v>23887.4</v>
      </c>
    </row>
    <row r="144" spans="1:15" x14ac:dyDescent="0.3">
      <c r="A144" s="43"/>
      <c r="B144" s="43"/>
      <c r="C144" s="43"/>
      <c r="D144" s="43"/>
      <c r="E144" s="43" t="s">
        <v>489</v>
      </c>
      <c r="F144" s="43"/>
      <c r="G144" s="43"/>
      <c r="H144" s="43"/>
      <c r="I144" s="52"/>
      <c r="J144" s="45"/>
      <c r="K144" s="52"/>
      <c r="L144" s="45"/>
      <c r="M144" s="52"/>
      <c r="N144" s="45"/>
      <c r="O144" s="52"/>
    </row>
    <row r="145" spans="1:15" x14ac:dyDescent="0.3">
      <c r="A145" s="43"/>
      <c r="B145" s="43"/>
      <c r="C145" s="43"/>
      <c r="D145" s="43"/>
      <c r="E145" s="43"/>
      <c r="F145" s="43" t="s">
        <v>490</v>
      </c>
      <c r="G145" s="43"/>
      <c r="H145" s="43"/>
      <c r="I145" s="52">
        <v>50</v>
      </c>
      <c r="J145" s="45"/>
      <c r="K145" s="52">
        <v>6.25</v>
      </c>
      <c r="L145" s="45"/>
      <c r="M145" s="52">
        <v>0</v>
      </c>
      <c r="N145" s="45"/>
      <c r="O145" s="52">
        <f>ROUND(SUM(I145:M145),5)</f>
        <v>56.25</v>
      </c>
    </row>
    <row r="146" spans="1:15" x14ac:dyDescent="0.3">
      <c r="A146" s="43"/>
      <c r="B146" s="43"/>
      <c r="C146" s="43"/>
      <c r="D146" s="43"/>
      <c r="E146" s="43"/>
      <c r="F146" s="43" t="s">
        <v>247</v>
      </c>
      <c r="G146" s="43"/>
      <c r="H146" s="43"/>
      <c r="I146" s="52">
        <v>929.12</v>
      </c>
      <c r="J146" s="45"/>
      <c r="K146" s="52">
        <v>1126.5899999999999</v>
      </c>
      <c r="L146" s="45"/>
      <c r="M146" s="52">
        <v>760.83</v>
      </c>
      <c r="N146" s="45"/>
      <c r="O146" s="52">
        <f>ROUND(SUM(I146:M146),5)</f>
        <v>2816.54</v>
      </c>
    </row>
    <row r="147" spans="1:15" ht="15" thickBot="1" x14ac:dyDescent="0.35">
      <c r="A147" s="43"/>
      <c r="B147" s="43"/>
      <c r="C147" s="43"/>
      <c r="D147" s="43"/>
      <c r="E147" s="43"/>
      <c r="F147" s="43" t="s">
        <v>491</v>
      </c>
      <c r="G147" s="43"/>
      <c r="H147" s="43"/>
      <c r="I147" s="54">
        <v>4021.22</v>
      </c>
      <c r="J147" s="45"/>
      <c r="K147" s="54">
        <v>4003.35</v>
      </c>
      <c r="L147" s="45"/>
      <c r="M147" s="54">
        <v>15379.03</v>
      </c>
      <c r="N147" s="45"/>
      <c r="O147" s="54">
        <f>ROUND(SUM(I147:M147),5)</f>
        <v>23403.599999999999</v>
      </c>
    </row>
    <row r="148" spans="1:15" x14ac:dyDescent="0.3">
      <c r="A148" s="43"/>
      <c r="B148" s="43"/>
      <c r="C148" s="43"/>
      <c r="D148" s="43"/>
      <c r="E148" s="43" t="s">
        <v>492</v>
      </c>
      <c r="F148" s="43"/>
      <c r="G148" s="43"/>
      <c r="H148" s="43"/>
      <c r="I148" s="52">
        <f>ROUND(SUM(I144:I147),5)</f>
        <v>5000.34</v>
      </c>
      <c r="J148" s="45"/>
      <c r="K148" s="52">
        <f>ROUND(SUM(K144:K147),5)</f>
        <v>5136.1899999999996</v>
      </c>
      <c r="L148" s="45"/>
      <c r="M148" s="52">
        <f>ROUND(SUM(M144:M147),5)</f>
        <v>16139.86</v>
      </c>
      <c r="N148" s="45"/>
      <c r="O148" s="52">
        <f>ROUND(SUM(I148:M148),5)</f>
        <v>26276.39</v>
      </c>
    </row>
    <row r="149" spans="1:15" ht="30" customHeight="1" x14ac:dyDescent="0.3">
      <c r="A149" s="43"/>
      <c r="B149" s="43"/>
      <c r="C149" s="43"/>
      <c r="D149" s="43"/>
      <c r="E149" s="43" t="s">
        <v>250</v>
      </c>
      <c r="F149" s="43"/>
      <c r="G149" s="43"/>
      <c r="H149" s="43"/>
      <c r="I149" s="52"/>
      <c r="J149" s="45"/>
      <c r="K149" s="52"/>
      <c r="L149" s="45"/>
      <c r="M149" s="52"/>
      <c r="N149" s="45"/>
      <c r="O149" s="52"/>
    </row>
    <row r="150" spans="1:15" x14ac:dyDescent="0.3">
      <c r="A150" s="43"/>
      <c r="B150" s="43"/>
      <c r="C150" s="43"/>
      <c r="D150" s="43"/>
      <c r="E150" s="43"/>
      <c r="F150" s="43" t="s">
        <v>251</v>
      </c>
      <c r="G150" s="43"/>
      <c r="H150" s="43"/>
      <c r="I150" s="52">
        <v>281.25</v>
      </c>
      <c r="J150" s="45"/>
      <c r="K150" s="52">
        <v>668</v>
      </c>
      <c r="L150" s="45"/>
      <c r="M150" s="52">
        <v>638.75</v>
      </c>
      <c r="N150" s="45"/>
      <c r="O150" s="52">
        <f>ROUND(SUM(I150:M150),5)</f>
        <v>1588</v>
      </c>
    </row>
    <row r="151" spans="1:15" x14ac:dyDescent="0.3">
      <c r="A151" s="43"/>
      <c r="B151" s="43"/>
      <c r="C151" s="43"/>
      <c r="D151" s="43"/>
      <c r="E151" s="43"/>
      <c r="F151" s="43" t="s">
        <v>343</v>
      </c>
      <c r="G151" s="43"/>
      <c r="H151" s="43"/>
      <c r="I151" s="52">
        <v>0</v>
      </c>
      <c r="J151" s="45"/>
      <c r="K151" s="52">
        <v>683.64</v>
      </c>
      <c r="L151" s="45"/>
      <c r="M151" s="52">
        <v>385.99</v>
      </c>
      <c r="N151" s="45"/>
      <c r="O151" s="52">
        <f>ROUND(SUM(I151:M151),5)</f>
        <v>1069.6300000000001</v>
      </c>
    </row>
    <row r="152" spans="1:15" ht="15" thickBot="1" x14ac:dyDescent="0.35">
      <c r="A152" s="43"/>
      <c r="B152" s="43"/>
      <c r="C152" s="43"/>
      <c r="D152" s="43"/>
      <c r="E152" s="43"/>
      <c r="F152" s="43" t="s">
        <v>252</v>
      </c>
      <c r="G152" s="43"/>
      <c r="H152" s="43"/>
      <c r="I152" s="54">
        <v>7516.55</v>
      </c>
      <c r="J152" s="45"/>
      <c r="K152" s="54">
        <v>2152.11</v>
      </c>
      <c r="L152" s="45"/>
      <c r="M152" s="54">
        <v>1746.92</v>
      </c>
      <c r="N152" s="45"/>
      <c r="O152" s="54">
        <f>ROUND(SUM(I152:M152),5)</f>
        <v>11415.58</v>
      </c>
    </row>
    <row r="153" spans="1:15" x14ac:dyDescent="0.3">
      <c r="A153" s="43"/>
      <c r="B153" s="43"/>
      <c r="C153" s="43"/>
      <c r="D153" s="43"/>
      <c r="E153" s="43" t="s">
        <v>253</v>
      </c>
      <c r="F153" s="43"/>
      <c r="G153" s="43"/>
      <c r="H153" s="43"/>
      <c r="I153" s="52">
        <f>ROUND(SUM(I149:I152),5)</f>
        <v>7797.8</v>
      </c>
      <c r="J153" s="45"/>
      <c r="K153" s="52">
        <f>ROUND(SUM(K149:K152),5)</f>
        <v>3503.75</v>
      </c>
      <c r="L153" s="45"/>
      <c r="M153" s="52">
        <f>ROUND(SUM(M149:M152),5)</f>
        <v>2771.66</v>
      </c>
      <c r="N153" s="45"/>
      <c r="O153" s="52">
        <f>ROUND(SUM(I153:M153),5)</f>
        <v>14073.21</v>
      </c>
    </row>
    <row r="154" spans="1:15" ht="30" customHeight="1" x14ac:dyDescent="0.3">
      <c r="A154" s="43"/>
      <c r="B154" s="43"/>
      <c r="C154" s="43"/>
      <c r="D154" s="43"/>
      <c r="E154" s="43" t="s">
        <v>493</v>
      </c>
      <c r="F154" s="43"/>
      <c r="G154" s="43"/>
      <c r="H154" s="43"/>
      <c r="I154" s="52"/>
      <c r="J154" s="45"/>
      <c r="K154" s="52"/>
      <c r="L154" s="45"/>
      <c r="M154" s="52"/>
      <c r="N154" s="45"/>
      <c r="O154" s="52"/>
    </row>
    <row r="155" spans="1:15" x14ac:dyDescent="0.3">
      <c r="A155" s="43"/>
      <c r="B155" s="43"/>
      <c r="C155" s="43"/>
      <c r="D155" s="43"/>
      <c r="E155" s="43"/>
      <c r="F155" s="43" t="s">
        <v>345</v>
      </c>
      <c r="G155" s="43"/>
      <c r="H155" s="43"/>
      <c r="I155" s="52">
        <v>37.5</v>
      </c>
      <c r="J155" s="45"/>
      <c r="K155" s="52">
        <v>0</v>
      </c>
      <c r="L155" s="45"/>
      <c r="M155" s="52">
        <v>332.5</v>
      </c>
      <c r="N155" s="45"/>
      <c r="O155" s="52">
        <f>ROUND(SUM(I155:M155),5)</f>
        <v>370</v>
      </c>
    </row>
    <row r="156" spans="1:15" x14ac:dyDescent="0.3">
      <c r="A156" s="43"/>
      <c r="B156" s="43"/>
      <c r="C156" s="43"/>
      <c r="D156" s="43"/>
      <c r="E156" s="43"/>
      <c r="F156" s="43" t="s">
        <v>650</v>
      </c>
      <c r="G156" s="43"/>
      <c r="H156" s="43"/>
      <c r="I156" s="52">
        <v>-2789.64</v>
      </c>
      <c r="J156" s="45"/>
      <c r="K156" s="52">
        <v>-2479.6799999999998</v>
      </c>
      <c r="L156" s="45"/>
      <c r="M156" s="52">
        <v>0</v>
      </c>
      <c r="N156" s="45"/>
      <c r="O156" s="52">
        <f>ROUND(SUM(I156:M156),5)</f>
        <v>-5269.32</v>
      </c>
    </row>
    <row r="157" spans="1:15" ht="15" thickBot="1" x14ac:dyDescent="0.35">
      <c r="A157" s="43"/>
      <c r="B157" s="43"/>
      <c r="C157" s="43"/>
      <c r="D157" s="43"/>
      <c r="E157" s="43"/>
      <c r="F157" s="43" t="s">
        <v>494</v>
      </c>
      <c r="G157" s="43"/>
      <c r="H157" s="43"/>
      <c r="I157" s="54">
        <v>1707.74</v>
      </c>
      <c r="J157" s="45"/>
      <c r="K157" s="54">
        <v>266.74</v>
      </c>
      <c r="L157" s="45"/>
      <c r="M157" s="54">
        <v>95</v>
      </c>
      <c r="N157" s="45"/>
      <c r="O157" s="54">
        <f>ROUND(SUM(I157:M157),5)</f>
        <v>2069.48</v>
      </c>
    </row>
    <row r="158" spans="1:15" x14ac:dyDescent="0.3">
      <c r="A158" s="43"/>
      <c r="B158" s="43"/>
      <c r="C158" s="43"/>
      <c r="D158" s="43"/>
      <c r="E158" s="43" t="s">
        <v>495</v>
      </c>
      <c r="F158" s="43"/>
      <c r="G158" s="43"/>
      <c r="H158" s="43"/>
      <c r="I158" s="52">
        <f>ROUND(SUM(I154:I157),5)</f>
        <v>-1044.4000000000001</v>
      </c>
      <c r="J158" s="45"/>
      <c r="K158" s="52">
        <f>ROUND(SUM(K154:K157),5)</f>
        <v>-2212.94</v>
      </c>
      <c r="L158" s="45"/>
      <c r="M158" s="52">
        <f>ROUND(SUM(M154:M157),5)</f>
        <v>427.5</v>
      </c>
      <c r="N158" s="45"/>
      <c r="O158" s="52">
        <f>ROUND(SUM(I158:M158),5)</f>
        <v>-2829.84</v>
      </c>
    </row>
    <row r="159" spans="1:15" ht="30" customHeight="1" x14ac:dyDescent="0.3">
      <c r="A159" s="43"/>
      <c r="B159" s="43"/>
      <c r="C159" s="43"/>
      <c r="D159" s="43"/>
      <c r="E159" s="43" t="s">
        <v>254</v>
      </c>
      <c r="F159" s="43"/>
      <c r="G159" s="43"/>
      <c r="H159" s="43"/>
      <c r="I159" s="52"/>
      <c r="J159" s="45"/>
      <c r="K159" s="52"/>
      <c r="L159" s="45"/>
      <c r="M159" s="52"/>
      <c r="N159" s="45"/>
      <c r="O159" s="52"/>
    </row>
    <row r="160" spans="1:15" x14ac:dyDescent="0.3">
      <c r="A160" s="43"/>
      <c r="B160" s="43"/>
      <c r="C160" s="43"/>
      <c r="D160" s="43"/>
      <c r="E160" s="43"/>
      <c r="F160" s="43" t="s">
        <v>255</v>
      </c>
      <c r="G160" s="43"/>
      <c r="H160" s="43"/>
      <c r="I160" s="52">
        <v>1426.49</v>
      </c>
      <c r="J160" s="45"/>
      <c r="K160" s="52">
        <v>2697.92</v>
      </c>
      <c r="L160" s="45"/>
      <c r="M160" s="52">
        <v>2957.5</v>
      </c>
      <c r="N160" s="45"/>
      <c r="O160" s="52">
        <f t="shared" ref="O160:O166" si="8">ROUND(SUM(I160:M160),5)</f>
        <v>7081.91</v>
      </c>
    </row>
    <row r="161" spans="1:15" x14ac:dyDescent="0.3">
      <c r="A161" s="43"/>
      <c r="B161" s="43"/>
      <c r="C161" s="43"/>
      <c r="D161" s="43"/>
      <c r="E161" s="43"/>
      <c r="F161" s="43" t="s">
        <v>256</v>
      </c>
      <c r="G161" s="43"/>
      <c r="H161" s="43"/>
      <c r="I161" s="52">
        <v>232.45</v>
      </c>
      <c r="J161" s="45"/>
      <c r="K161" s="52">
        <v>156.12</v>
      </c>
      <c r="L161" s="45"/>
      <c r="M161" s="52">
        <v>421.32</v>
      </c>
      <c r="N161" s="45"/>
      <c r="O161" s="52">
        <f t="shared" si="8"/>
        <v>809.89</v>
      </c>
    </row>
    <row r="162" spans="1:15" x14ac:dyDescent="0.3">
      <c r="A162" s="43"/>
      <c r="B162" s="43"/>
      <c r="C162" s="43"/>
      <c r="D162" s="43"/>
      <c r="E162" s="43"/>
      <c r="F162" s="43" t="s">
        <v>257</v>
      </c>
      <c r="G162" s="43"/>
      <c r="H162" s="43"/>
      <c r="I162" s="52">
        <v>572.5</v>
      </c>
      <c r="J162" s="45"/>
      <c r="K162" s="52">
        <v>811.75</v>
      </c>
      <c r="L162" s="45"/>
      <c r="M162" s="52">
        <v>1138.9000000000001</v>
      </c>
      <c r="N162" s="45"/>
      <c r="O162" s="52">
        <f t="shared" si="8"/>
        <v>2523.15</v>
      </c>
    </row>
    <row r="163" spans="1:15" x14ac:dyDescent="0.3">
      <c r="A163" s="43"/>
      <c r="B163" s="43"/>
      <c r="C163" s="43"/>
      <c r="D163" s="43"/>
      <c r="E163" s="43"/>
      <c r="F163" s="43" t="s">
        <v>258</v>
      </c>
      <c r="G163" s="43"/>
      <c r="H163" s="43"/>
      <c r="I163" s="52">
        <v>1806.53</v>
      </c>
      <c r="J163" s="45"/>
      <c r="K163" s="52">
        <v>1680.1</v>
      </c>
      <c r="L163" s="45"/>
      <c r="M163" s="52">
        <v>1989.09</v>
      </c>
      <c r="N163" s="45"/>
      <c r="O163" s="52">
        <f t="shared" si="8"/>
        <v>5475.72</v>
      </c>
    </row>
    <row r="164" spans="1:15" x14ac:dyDescent="0.3">
      <c r="A164" s="43"/>
      <c r="B164" s="43"/>
      <c r="C164" s="43"/>
      <c r="D164" s="43"/>
      <c r="E164" s="43"/>
      <c r="F164" s="43" t="s">
        <v>382</v>
      </c>
      <c r="G164" s="43"/>
      <c r="H164" s="43"/>
      <c r="I164" s="52">
        <v>87.5</v>
      </c>
      <c r="J164" s="45"/>
      <c r="K164" s="52">
        <v>0</v>
      </c>
      <c r="L164" s="45"/>
      <c r="M164" s="52">
        <v>0</v>
      </c>
      <c r="N164" s="45"/>
      <c r="O164" s="52">
        <f t="shared" si="8"/>
        <v>87.5</v>
      </c>
    </row>
    <row r="165" spans="1:15" ht="15" thickBot="1" x14ac:dyDescent="0.35">
      <c r="A165" s="43"/>
      <c r="B165" s="43"/>
      <c r="C165" s="43"/>
      <c r="D165" s="43"/>
      <c r="E165" s="43"/>
      <c r="F165" s="43" t="s">
        <v>260</v>
      </c>
      <c r="G165" s="43"/>
      <c r="H165" s="43"/>
      <c r="I165" s="54">
        <v>9551.7800000000007</v>
      </c>
      <c r="J165" s="45"/>
      <c r="K165" s="54">
        <v>2475.65</v>
      </c>
      <c r="L165" s="45"/>
      <c r="M165" s="54">
        <v>807.45</v>
      </c>
      <c r="N165" s="45"/>
      <c r="O165" s="54">
        <f t="shared" si="8"/>
        <v>12834.88</v>
      </c>
    </row>
    <row r="166" spans="1:15" x14ac:dyDescent="0.3">
      <c r="A166" s="43"/>
      <c r="B166" s="43"/>
      <c r="C166" s="43"/>
      <c r="D166" s="43"/>
      <c r="E166" s="43" t="s">
        <v>261</v>
      </c>
      <c r="F166" s="43"/>
      <c r="G166" s="43"/>
      <c r="H166" s="43"/>
      <c r="I166" s="52">
        <f>ROUND(SUM(I159:I165),5)</f>
        <v>13677.25</v>
      </c>
      <c r="J166" s="45"/>
      <c r="K166" s="52">
        <f>ROUND(SUM(K159:K165),5)</f>
        <v>7821.54</v>
      </c>
      <c r="L166" s="45"/>
      <c r="M166" s="52">
        <f>ROUND(SUM(M159:M165),5)</f>
        <v>7314.26</v>
      </c>
      <c r="N166" s="45"/>
      <c r="O166" s="52">
        <f t="shared" si="8"/>
        <v>28813.05</v>
      </c>
    </row>
    <row r="167" spans="1:15" ht="30" customHeight="1" x14ac:dyDescent="0.3">
      <c r="A167" s="43"/>
      <c r="B167" s="43"/>
      <c r="C167" s="43"/>
      <c r="D167" s="43"/>
      <c r="E167" s="43" t="s">
        <v>651</v>
      </c>
      <c r="F167" s="43"/>
      <c r="G167" s="43"/>
      <c r="H167" s="43"/>
      <c r="I167" s="52"/>
      <c r="J167" s="45"/>
      <c r="K167" s="52"/>
      <c r="L167" s="45"/>
      <c r="M167" s="52"/>
      <c r="N167" s="45"/>
      <c r="O167" s="52"/>
    </row>
    <row r="168" spans="1:15" x14ac:dyDescent="0.3">
      <c r="A168" s="43"/>
      <c r="B168" s="43"/>
      <c r="C168" s="43"/>
      <c r="D168" s="43"/>
      <c r="E168" s="43"/>
      <c r="F168" s="43" t="s">
        <v>263</v>
      </c>
      <c r="G168" s="43"/>
      <c r="H168" s="43"/>
      <c r="I168" s="52">
        <v>31.25</v>
      </c>
      <c r="J168" s="45"/>
      <c r="K168" s="52">
        <v>193.75</v>
      </c>
      <c r="L168" s="45"/>
      <c r="M168" s="52">
        <v>0</v>
      </c>
      <c r="N168" s="45"/>
      <c r="O168" s="52">
        <f>ROUND(SUM(I168:M168),5)</f>
        <v>225</v>
      </c>
    </row>
    <row r="169" spans="1:15" x14ac:dyDescent="0.3">
      <c r="A169" s="43"/>
      <c r="B169" s="43"/>
      <c r="C169" s="43"/>
      <c r="D169" s="43"/>
      <c r="E169" s="43"/>
      <c r="F169" s="43" t="s">
        <v>652</v>
      </c>
      <c r="G169" s="43"/>
      <c r="H169" s="43"/>
      <c r="I169" s="52">
        <v>0</v>
      </c>
      <c r="J169" s="45"/>
      <c r="K169" s="52">
        <v>29.22</v>
      </c>
      <c r="L169" s="45"/>
      <c r="M169" s="52">
        <v>0</v>
      </c>
      <c r="N169" s="45"/>
      <c r="O169" s="52">
        <f>ROUND(SUM(I169:M169),5)</f>
        <v>29.22</v>
      </c>
    </row>
    <row r="170" spans="1:15" ht="15" thickBot="1" x14ac:dyDescent="0.35">
      <c r="A170" s="43"/>
      <c r="B170" s="43"/>
      <c r="C170" s="43"/>
      <c r="D170" s="43"/>
      <c r="E170" s="43"/>
      <c r="F170" s="43" t="s">
        <v>653</v>
      </c>
      <c r="G170" s="43"/>
      <c r="H170" s="43"/>
      <c r="I170" s="54">
        <v>484.95</v>
      </c>
      <c r="J170" s="45"/>
      <c r="K170" s="54">
        <v>0</v>
      </c>
      <c r="L170" s="45"/>
      <c r="M170" s="54">
        <v>376.9</v>
      </c>
      <c r="N170" s="45"/>
      <c r="O170" s="54">
        <f>ROUND(SUM(I170:M170),5)</f>
        <v>861.85</v>
      </c>
    </row>
    <row r="171" spans="1:15" x14ac:dyDescent="0.3">
      <c r="A171" s="43"/>
      <c r="B171" s="43"/>
      <c r="C171" s="43"/>
      <c r="D171" s="43"/>
      <c r="E171" s="43" t="s">
        <v>654</v>
      </c>
      <c r="F171" s="43"/>
      <c r="G171" s="43"/>
      <c r="H171" s="43"/>
      <c r="I171" s="52">
        <f>ROUND(SUM(I167:I170),5)</f>
        <v>516.20000000000005</v>
      </c>
      <c r="J171" s="45"/>
      <c r="K171" s="52">
        <f>ROUND(SUM(K167:K170),5)</f>
        <v>222.97</v>
      </c>
      <c r="L171" s="45"/>
      <c r="M171" s="52">
        <f>ROUND(SUM(M167:M170),5)</f>
        <v>376.9</v>
      </c>
      <c r="N171" s="45"/>
      <c r="O171" s="52">
        <f>ROUND(SUM(I171:M171),5)</f>
        <v>1116.07</v>
      </c>
    </row>
    <row r="172" spans="1:15" ht="30" customHeight="1" x14ac:dyDescent="0.3">
      <c r="A172" s="43"/>
      <c r="B172" s="43"/>
      <c r="C172" s="43"/>
      <c r="D172" s="43"/>
      <c r="E172" s="43" t="s">
        <v>415</v>
      </c>
      <c r="F172" s="43"/>
      <c r="G172" s="43"/>
      <c r="H172" s="43"/>
      <c r="I172" s="52">
        <v>0</v>
      </c>
      <c r="J172" s="45"/>
      <c r="K172" s="52">
        <v>0</v>
      </c>
      <c r="L172" s="45"/>
      <c r="M172" s="52">
        <v>57.6</v>
      </c>
      <c r="N172" s="45"/>
      <c r="O172" s="52">
        <f>ROUND(SUM(I172:M172),5)</f>
        <v>57.6</v>
      </c>
    </row>
    <row r="173" spans="1:15" x14ac:dyDescent="0.3">
      <c r="A173" s="43"/>
      <c r="B173" s="43"/>
      <c r="C173" s="43"/>
      <c r="D173" s="43"/>
      <c r="E173" s="43" t="s">
        <v>266</v>
      </c>
      <c r="F173" s="43"/>
      <c r="G173" s="43"/>
      <c r="H173" s="43"/>
      <c r="I173" s="52"/>
      <c r="J173" s="45"/>
      <c r="K173" s="52"/>
      <c r="L173" s="45"/>
      <c r="M173" s="52"/>
      <c r="N173" s="45"/>
      <c r="O173" s="52"/>
    </row>
    <row r="174" spans="1:15" x14ac:dyDescent="0.3">
      <c r="A174" s="43"/>
      <c r="B174" s="43"/>
      <c r="C174" s="43"/>
      <c r="D174" s="43"/>
      <c r="E174" s="43"/>
      <c r="F174" s="43" t="s">
        <v>655</v>
      </c>
      <c r="G174" s="43"/>
      <c r="H174" s="43"/>
      <c r="I174" s="52">
        <v>1550</v>
      </c>
      <c r="J174" s="45"/>
      <c r="K174" s="52">
        <v>924.75</v>
      </c>
      <c r="L174" s="45"/>
      <c r="M174" s="52">
        <v>968.5</v>
      </c>
      <c r="N174" s="45"/>
      <c r="O174" s="52">
        <f t="shared" ref="O174:O180" si="9">ROUND(SUM(I174:M174),5)</f>
        <v>3443.25</v>
      </c>
    </row>
    <row r="175" spans="1:15" x14ac:dyDescent="0.3">
      <c r="A175" s="43"/>
      <c r="B175" s="43"/>
      <c r="C175" s="43"/>
      <c r="D175" s="43"/>
      <c r="E175" s="43"/>
      <c r="F175" s="43" t="s">
        <v>656</v>
      </c>
      <c r="G175" s="43"/>
      <c r="H175" s="43"/>
      <c r="I175" s="52">
        <v>0</v>
      </c>
      <c r="J175" s="45"/>
      <c r="K175" s="52">
        <v>585</v>
      </c>
      <c r="L175" s="45"/>
      <c r="M175" s="52">
        <v>0</v>
      </c>
      <c r="N175" s="45"/>
      <c r="O175" s="52">
        <f t="shared" si="9"/>
        <v>585</v>
      </c>
    </row>
    <row r="176" spans="1:15" ht="15" thickBot="1" x14ac:dyDescent="0.35">
      <c r="A176" s="43"/>
      <c r="B176" s="43"/>
      <c r="C176" s="43"/>
      <c r="D176" s="43"/>
      <c r="E176" s="43"/>
      <c r="F176" s="43" t="s">
        <v>268</v>
      </c>
      <c r="G176" s="43"/>
      <c r="H176" s="43"/>
      <c r="I176" s="54">
        <v>2134.06</v>
      </c>
      <c r="J176" s="45"/>
      <c r="K176" s="54">
        <v>759.68</v>
      </c>
      <c r="L176" s="45"/>
      <c r="M176" s="54">
        <v>0</v>
      </c>
      <c r="N176" s="45"/>
      <c r="O176" s="54">
        <f t="shared" si="9"/>
        <v>2893.74</v>
      </c>
    </row>
    <row r="177" spans="1:15" x14ac:dyDescent="0.3">
      <c r="A177" s="43"/>
      <c r="B177" s="43"/>
      <c r="C177" s="43"/>
      <c r="D177" s="43"/>
      <c r="E177" s="43" t="s">
        <v>269</v>
      </c>
      <c r="F177" s="43"/>
      <c r="G177" s="43"/>
      <c r="H177" s="43"/>
      <c r="I177" s="52">
        <f>ROUND(SUM(I173:I176),5)</f>
        <v>3684.06</v>
      </c>
      <c r="J177" s="45"/>
      <c r="K177" s="52">
        <f>ROUND(SUM(K173:K176),5)</f>
        <v>2269.4299999999998</v>
      </c>
      <c r="L177" s="45"/>
      <c r="M177" s="52">
        <f>ROUND(SUM(M173:M176),5)</f>
        <v>968.5</v>
      </c>
      <c r="N177" s="45"/>
      <c r="O177" s="52">
        <f t="shared" si="9"/>
        <v>6921.99</v>
      </c>
    </row>
    <row r="178" spans="1:15" ht="30" customHeight="1" thickBot="1" x14ac:dyDescent="0.35">
      <c r="A178" s="43"/>
      <c r="B178" s="43"/>
      <c r="C178" s="43"/>
      <c r="D178" s="43"/>
      <c r="E178" s="43" t="s">
        <v>657</v>
      </c>
      <c r="F178" s="43"/>
      <c r="G178" s="43"/>
      <c r="H178" s="43"/>
      <c r="I178" s="54">
        <v>313.68</v>
      </c>
      <c r="J178" s="45"/>
      <c r="K178" s="54">
        <v>356.6</v>
      </c>
      <c r="L178" s="45"/>
      <c r="M178" s="54">
        <v>313.68</v>
      </c>
      <c r="N178" s="45"/>
      <c r="O178" s="54">
        <f t="shared" si="9"/>
        <v>983.96</v>
      </c>
    </row>
    <row r="179" spans="1:15" x14ac:dyDescent="0.3">
      <c r="A179" s="43"/>
      <c r="B179" s="43"/>
      <c r="C179" s="43"/>
      <c r="D179" s="43" t="s">
        <v>658</v>
      </c>
      <c r="E179" s="43"/>
      <c r="F179" s="43"/>
      <c r="G179" s="43"/>
      <c r="H179" s="43"/>
      <c r="I179" s="52">
        <f>ROUND(I109+I117+I122+I127+I132+I137+SUM(I142:I143)+I148+I153+I158+I166+SUM(I171:I172)+SUM(I177:I178),5)</f>
        <v>60635.19</v>
      </c>
      <c r="J179" s="45"/>
      <c r="K179" s="52">
        <f>ROUND(K109+K117+K122+K127+K132+K137+SUM(K142:K143)+K148+K153+K158+K166+SUM(K171:K172)+SUM(K177:K178),5)</f>
        <v>44293.57</v>
      </c>
      <c r="L179" s="45"/>
      <c r="M179" s="52">
        <f>ROUND(M109+M117+M122+M127+M132+M137+SUM(M142:M143)+M148+M153+M158+M166+SUM(M171:M172)+SUM(M177:M178),5)</f>
        <v>66248.160000000003</v>
      </c>
      <c r="N179" s="45"/>
      <c r="O179" s="52">
        <f t="shared" si="9"/>
        <v>171176.92</v>
      </c>
    </row>
    <row r="180" spans="1:15" ht="30" customHeight="1" x14ac:dyDescent="0.3">
      <c r="A180" s="43"/>
      <c r="B180" s="43"/>
      <c r="C180" s="43"/>
      <c r="D180" s="43" t="s">
        <v>659</v>
      </c>
      <c r="E180" s="43"/>
      <c r="F180" s="43"/>
      <c r="G180" s="43"/>
      <c r="H180" s="43"/>
      <c r="I180" s="52">
        <v>13289.3</v>
      </c>
      <c r="J180" s="45"/>
      <c r="K180" s="52">
        <v>18933.060000000001</v>
      </c>
      <c r="L180" s="45"/>
      <c r="M180" s="52">
        <v>20405.900000000001</v>
      </c>
      <c r="N180" s="45"/>
      <c r="O180" s="52">
        <f t="shared" si="9"/>
        <v>52628.26</v>
      </c>
    </row>
    <row r="181" spans="1:15" x14ac:dyDescent="0.3">
      <c r="A181" s="43"/>
      <c r="B181" s="43"/>
      <c r="C181" s="43"/>
      <c r="D181" s="43" t="s">
        <v>272</v>
      </c>
      <c r="E181" s="43"/>
      <c r="F181" s="43"/>
      <c r="G181" s="43"/>
      <c r="H181" s="43"/>
      <c r="I181" s="52"/>
      <c r="J181" s="45"/>
      <c r="K181" s="52"/>
      <c r="L181" s="45"/>
      <c r="M181" s="52"/>
      <c r="N181" s="45"/>
      <c r="O181" s="52"/>
    </row>
    <row r="182" spans="1:15" x14ac:dyDescent="0.3">
      <c r="A182" s="43"/>
      <c r="B182" s="43"/>
      <c r="C182" s="43"/>
      <c r="D182" s="43"/>
      <c r="E182" s="43" t="s">
        <v>660</v>
      </c>
      <c r="F182" s="43"/>
      <c r="G182" s="43"/>
      <c r="H182" s="43"/>
      <c r="I182" s="52">
        <v>139415.54</v>
      </c>
      <c r="J182" s="45"/>
      <c r="K182" s="52">
        <v>119592.97</v>
      </c>
      <c r="L182" s="45"/>
      <c r="M182" s="52">
        <v>133775.96</v>
      </c>
      <c r="N182" s="45"/>
      <c r="O182" s="52">
        <f>ROUND(SUM(I182:M182),5)</f>
        <v>392784.47</v>
      </c>
    </row>
    <row r="183" spans="1:15" ht="15" thickBot="1" x14ac:dyDescent="0.35">
      <c r="A183" s="43"/>
      <c r="B183" s="43"/>
      <c r="C183" s="43"/>
      <c r="D183" s="43"/>
      <c r="E183" s="43" t="s">
        <v>385</v>
      </c>
      <c r="F183" s="43"/>
      <c r="G183" s="43"/>
      <c r="H183" s="43"/>
      <c r="I183" s="54">
        <v>50</v>
      </c>
      <c r="J183" s="45"/>
      <c r="K183" s="54">
        <v>50</v>
      </c>
      <c r="L183" s="45"/>
      <c r="M183" s="54">
        <v>50</v>
      </c>
      <c r="N183" s="45"/>
      <c r="O183" s="54">
        <f>ROUND(SUM(I183:M183),5)</f>
        <v>150</v>
      </c>
    </row>
    <row r="184" spans="1:15" x14ac:dyDescent="0.3">
      <c r="A184" s="43"/>
      <c r="B184" s="43"/>
      <c r="C184" s="43"/>
      <c r="D184" s="43" t="s">
        <v>277</v>
      </c>
      <c r="E184" s="43"/>
      <c r="F184" s="43"/>
      <c r="G184" s="43"/>
      <c r="H184" s="43"/>
      <c r="I184" s="52">
        <f>ROUND(SUM(I181:I183),5)</f>
        <v>139465.54</v>
      </c>
      <c r="J184" s="45"/>
      <c r="K184" s="52">
        <f>ROUND(SUM(K181:K183),5)</f>
        <v>119642.97</v>
      </c>
      <c r="L184" s="45"/>
      <c r="M184" s="52">
        <f>ROUND(SUM(M181:M183),5)</f>
        <v>133825.96</v>
      </c>
      <c r="N184" s="45"/>
      <c r="O184" s="52">
        <f>ROUND(SUM(I184:M184),5)</f>
        <v>392934.47</v>
      </c>
    </row>
    <row r="185" spans="1:15" ht="30" customHeight="1" x14ac:dyDescent="0.3">
      <c r="A185" s="43"/>
      <c r="B185" s="43"/>
      <c r="C185" s="43"/>
      <c r="D185" s="43" t="s">
        <v>284</v>
      </c>
      <c r="E185" s="43"/>
      <c r="F185" s="43"/>
      <c r="G185" s="43"/>
      <c r="H185" s="43"/>
      <c r="I185" s="52">
        <v>182163.59</v>
      </c>
      <c r="J185" s="45"/>
      <c r="K185" s="52">
        <v>155422.45000000001</v>
      </c>
      <c r="L185" s="45"/>
      <c r="M185" s="52">
        <v>155424</v>
      </c>
      <c r="N185" s="45"/>
      <c r="O185" s="52">
        <f>ROUND(SUM(I185:M185),5)</f>
        <v>493010.04</v>
      </c>
    </row>
    <row r="186" spans="1:15" x14ac:dyDescent="0.3">
      <c r="A186" s="43"/>
      <c r="B186" s="43"/>
      <c r="C186" s="43"/>
      <c r="D186" s="43" t="s">
        <v>350</v>
      </c>
      <c r="E186" s="43"/>
      <c r="F186" s="43"/>
      <c r="G186" s="43"/>
      <c r="H186" s="43"/>
      <c r="I186" s="52">
        <v>4512.24</v>
      </c>
      <c r="J186" s="45"/>
      <c r="K186" s="52">
        <v>4512.24</v>
      </c>
      <c r="L186" s="45"/>
      <c r="M186" s="52">
        <v>4512.24</v>
      </c>
      <c r="N186" s="45"/>
      <c r="O186" s="52">
        <f>ROUND(SUM(I186:M186),5)</f>
        <v>13536.72</v>
      </c>
    </row>
    <row r="187" spans="1:15" x14ac:dyDescent="0.3">
      <c r="A187" s="43"/>
      <c r="B187" s="43"/>
      <c r="C187" s="43"/>
      <c r="D187" s="43" t="s">
        <v>278</v>
      </c>
      <c r="E187" s="43"/>
      <c r="F187" s="43"/>
      <c r="G187" s="43"/>
      <c r="H187" s="43"/>
      <c r="I187" s="52"/>
      <c r="J187" s="45"/>
      <c r="K187" s="52"/>
      <c r="L187" s="45"/>
      <c r="M187" s="52"/>
      <c r="N187" s="45"/>
      <c r="O187" s="52"/>
    </row>
    <row r="188" spans="1:15" ht="15" thickBot="1" x14ac:dyDescent="0.35">
      <c r="A188" s="43"/>
      <c r="B188" s="43"/>
      <c r="C188" s="43"/>
      <c r="D188" s="43"/>
      <c r="E188" s="43" t="s">
        <v>661</v>
      </c>
      <c r="F188" s="43"/>
      <c r="G188" s="43"/>
      <c r="H188" s="43"/>
      <c r="I188" s="54">
        <v>192845.34</v>
      </c>
      <c r="J188" s="45"/>
      <c r="K188" s="54">
        <v>180944.99</v>
      </c>
      <c r="L188" s="45"/>
      <c r="M188" s="54">
        <v>168039.51</v>
      </c>
      <c r="N188" s="45"/>
      <c r="O188" s="54">
        <f>ROUND(SUM(I188:M188),5)</f>
        <v>541829.84</v>
      </c>
    </row>
    <row r="189" spans="1:15" x14ac:dyDescent="0.3">
      <c r="A189" s="43"/>
      <c r="B189" s="43"/>
      <c r="C189" s="43"/>
      <c r="D189" s="43" t="s">
        <v>283</v>
      </c>
      <c r="E189" s="43"/>
      <c r="F189" s="43"/>
      <c r="G189" s="43"/>
      <c r="H189" s="43"/>
      <c r="I189" s="52">
        <f>ROUND(SUM(I187:I188),5)</f>
        <v>192845.34</v>
      </c>
      <c r="J189" s="45"/>
      <c r="K189" s="52">
        <f>ROUND(SUM(K187:K188),5)</f>
        <v>180944.99</v>
      </c>
      <c r="L189" s="45"/>
      <c r="M189" s="52">
        <f>ROUND(SUM(M187:M188),5)</f>
        <v>168039.51</v>
      </c>
      <c r="N189" s="45"/>
      <c r="O189" s="52">
        <f>ROUND(SUM(I189:M189),5)</f>
        <v>541829.84</v>
      </c>
    </row>
    <row r="190" spans="1:15" ht="30" customHeight="1" x14ac:dyDescent="0.3">
      <c r="A190" s="43"/>
      <c r="B190" s="43"/>
      <c r="C190" s="43"/>
      <c r="D190" s="43" t="s">
        <v>662</v>
      </c>
      <c r="E190" s="43"/>
      <c r="F190" s="43"/>
      <c r="G190" s="43"/>
      <c r="H190" s="43"/>
      <c r="I190" s="52"/>
      <c r="J190" s="45"/>
      <c r="K190" s="52"/>
      <c r="L190" s="45"/>
      <c r="M190" s="52"/>
      <c r="N190" s="45"/>
      <c r="O190" s="52"/>
    </row>
    <row r="191" spans="1:15" ht="15" thickBot="1" x14ac:dyDescent="0.35">
      <c r="A191" s="43"/>
      <c r="B191" s="43"/>
      <c r="C191" s="43"/>
      <c r="D191" s="43"/>
      <c r="E191" s="43" t="s">
        <v>663</v>
      </c>
      <c r="F191" s="43"/>
      <c r="G191" s="43"/>
      <c r="H191" s="43"/>
      <c r="I191" s="52">
        <v>0</v>
      </c>
      <c r="J191" s="45"/>
      <c r="K191" s="52">
        <v>0</v>
      </c>
      <c r="L191" s="45"/>
      <c r="M191" s="52">
        <v>15.82</v>
      </c>
      <c r="N191" s="45"/>
      <c r="O191" s="52">
        <f>ROUND(SUM(I191:M191),5)</f>
        <v>15.82</v>
      </c>
    </row>
    <row r="192" spans="1:15" ht="15" thickBot="1" x14ac:dyDescent="0.35">
      <c r="A192" s="43"/>
      <c r="B192" s="43"/>
      <c r="C192" s="43"/>
      <c r="D192" s="43" t="s">
        <v>664</v>
      </c>
      <c r="E192" s="43"/>
      <c r="F192" s="43"/>
      <c r="G192" s="43"/>
      <c r="H192" s="43"/>
      <c r="I192" s="55">
        <f>ROUND(SUM(I190:I191),5)</f>
        <v>0</v>
      </c>
      <c r="J192" s="45"/>
      <c r="K192" s="55">
        <f>ROUND(SUM(K190:K191),5)</f>
        <v>0</v>
      </c>
      <c r="L192" s="45"/>
      <c r="M192" s="55">
        <f>ROUND(SUM(M190:M191),5)</f>
        <v>15.82</v>
      </c>
      <c r="N192" s="45"/>
      <c r="O192" s="55">
        <f>ROUND(SUM(I192:M192),5)</f>
        <v>15.82</v>
      </c>
    </row>
    <row r="193" spans="1:15" ht="30" customHeight="1" thickBot="1" x14ac:dyDescent="0.35">
      <c r="A193" s="43"/>
      <c r="B193" s="43"/>
      <c r="C193" s="43" t="s">
        <v>287</v>
      </c>
      <c r="D193" s="43"/>
      <c r="E193" s="43"/>
      <c r="F193" s="43"/>
      <c r="G193" s="43"/>
      <c r="H193" s="43"/>
      <c r="I193" s="53">
        <f>ROUND(SUM(I12:I13)+I32+I108+SUM(I179:I180)+SUM(I184:I186)+I189+I192,5)</f>
        <v>702789.45</v>
      </c>
      <c r="J193" s="45"/>
      <c r="K193" s="53">
        <f>ROUND(SUM(K12:K13)+K32+K108+SUM(K179:K180)+SUM(K184:K186)+K189+K192,5)</f>
        <v>652166.56000000006</v>
      </c>
      <c r="L193" s="45"/>
      <c r="M193" s="53">
        <f>ROUND(SUM(M12:M13)+M32+M108+SUM(M179:M180)+SUM(M184:M186)+M189+M192,5)</f>
        <v>687634.6</v>
      </c>
      <c r="N193" s="45"/>
      <c r="O193" s="53">
        <f>ROUND(SUM(I193:M193),5)</f>
        <v>2042590.61</v>
      </c>
    </row>
    <row r="194" spans="1:15" ht="30" customHeight="1" x14ac:dyDescent="0.3">
      <c r="A194" s="43"/>
      <c r="B194" s="43" t="s">
        <v>288</v>
      </c>
      <c r="C194" s="43"/>
      <c r="D194" s="43"/>
      <c r="E194" s="43"/>
      <c r="F194" s="43"/>
      <c r="G194" s="43"/>
      <c r="H194" s="43"/>
      <c r="I194" s="52">
        <f>ROUND(I2+I11-I193,5)</f>
        <v>145781.88</v>
      </c>
      <c r="J194" s="45"/>
      <c r="K194" s="52">
        <f>ROUND(K2+K11-K193,5)</f>
        <v>231108.02</v>
      </c>
      <c r="L194" s="45"/>
      <c r="M194" s="52">
        <f>ROUND(M2+M11-M193,5)</f>
        <v>219375.35999999999</v>
      </c>
      <c r="N194" s="45"/>
      <c r="O194" s="52">
        <f>ROUND(SUM(I194:M194),5)</f>
        <v>596265.26</v>
      </c>
    </row>
    <row r="195" spans="1:15" ht="30" customHeight="1" x14ac:dyDescent="0.3">
      <c r="A195" s="43"/>
      <c r="B195" s="43" t="s">
        <v>289</v>
      </c>
      <c r="C195" s="43"/>
      <c r="D195" s="43"/>
      <c r="E195" s="43"/>
      <c r="F195" s="43"/>
      <c r="G195" s="43"/>
      <c r="H195" s="43"/>
      <c r="I195" s="52"/>
      <c r="J195" s="45"/>
      <c r="K195" s="52"/>
      <c r="L195" s="45"/>
      <c r="M195" s="52"/>
      <c r="N195" s="45"/>
      <c r="O195" s="52"/>
    </row>
    <row r="196" spans="1:15" x14ac:dyDescent="0.3">
      <c r="A196" s="43"/>
      <c r="B196" s="43"/>
      <c r="C196" s="43" t="s">
        <v>290</v>
      </c>
      <c r="D196" s="43"/>
      <c r="E196" s="43"/>
      <c r="F196" s="43"/>
      <c r="G196" s="43"/>
      <c r="H196" s="43"/>
      <c r="I196" s="52"/>
      <c r="J196" s="45"/>
      <c r="K196" s="52"/>
      <c r="L196" s="45"/>
      <c r="M196" s="52"/>
      <c r="N196" s="45"/>
      <c r="O196" s="52"/>
    </row>
    <row r="197" spans="1:15" x14ac:dyDescent="0.3">
      <c r="A197" s="43"/>
      <c r="B197" s="43"/>
      <c r="C197" s="43"/>
      <c r="D197" s="43" t="s">
        <v>291</v>
      </c>
      <c r="E197" s="43"/>
      <c r="F197" s="43"/>
      <c r="G197" s="43"/>
      <c r="H197" s="43"/>
      <c r="I197" s="52"/>
      <c r="J197" s="45"/>
      <c r="K197" s="52"/>
      <c r="L197" s="45"/>
      <c r="M197" s="52"/>
      <c r="N197" s="45"/>
      <c r="O197" s="52"/>
    </row>
    <row r="198" spans="1:15" x14ac:dyDescent="0.3">
      <c r="A198" s="43"/>
      <c r="B198" s="43"/>
      <c r="C198" s="43"/>
      <c r="D198" s="43"/>
      <c r="E198" s="43" t="s">
        <v>665</v>
      </c>
      <c r="F198" s="43"/>
      <c r="G198" s="43"/>
      <c r="H198" s="43"/>
      <c r="I198" s="52">
        <v>19.5</v>
      </c>
      <c r="J198" s="45"/>
      <c r="K198" s="52">
        <v>16.34</v>
      </c>
      <c r="L198" s="45"/>
      <c r="M198" s="52">
        <v>16.760000000000002</v>
      </c>
      <c r="N198" s="45"/>
      <c r="O198" s="52">
        <f t="shared" ref="O198:O204" si="10">ROUND(SUM(I198:M198),5)</f>
        <v>52.6</v>
      </c>
    </row>
    <row r="199" spans="1:15" ht="15" thickBot="1" x14ac:dyDescent="0.35">
      <c r="A199" s="43"/>
      <c r="B199" s="43"/>
      <c r="C199" s="43"/>
      <c r="D199" s="43"/>
      <c r="E199" s="43" t="s">
        <v>508</v>
      </c>
      <c r="F199" s="43"/>
      <c r="G199" s="43"/>
      <c r="H199" s="43"/>
      <c r="I199" s="54">
        <v>0</v>
      </c>
      <c r="J199" s="45"/>
      <c r="K199" s="54">
        <v>6.19</v>
      </c>
      <c r="L199" s="45"/>
      <c r="M199" s="54">
        <v>0</v>
      </c>
      <c r="N199" s="45"/>
      <c r="O199" s="54">
        <f t="shared" si="10"/>
        <v>6.19</v>
      </c>
    </row>
    <row r="200" spans="1:15" x14ac:dyDescent="0.3">
      <c r="A200" s="43"/>
      <c r="B200" s="43"/>
      <c r="C200" s="43"/>
      <c r="D200" s="43" t="s">
        <v>509</v>
      </c>
      <c r="E200" s="43"/>
      <c r="F200" s="43"/>
      <c r="G200" s="43"/>
      <c r="H200" s="43"/>
      <c r="I200" s="52">
        <f>ROUND(SUM(I197:I199),5)</f>
        <v>19.5</v>
      </c>
      <c r="J200" s="45"/>
      <c r="K200" s="52">
        <f>ROUND(SUM(K197:K199),5)</f>
        <v>22.53</v>
      </c>
      <c r="L200" s="45"/>
      <c r="M200" s="52">
        <f>ROUND(SUM(M197:M199),5)</f>
        <v>16.760000000000002</v>
      </c>
      <c r="N200" s="45"/>
      <c r="O200" s="52">
        <f t="shared" si="10"/>
        <v>58.79</v>
      </c>
    </row>
    <row r="201" spans="1:15" ht="30" customHeight="1" thickBot="1" x14ac:dyDescent="0.35">
      <c r="A201" s="43"/>
      <c r="B201" s="43"/>
      <c r="C201" s="43"/>
      <c r="D201" s="43" t="s">
        <v>290</v>
      </c>
      <c r="E201" s="43"/>
      <c r="F201" s="43"/>
      <c r="G201" s="43"/>
      <c r="H201" s="43"/>
      <c r="I201" s="52">
        <v>116685.64</v>
      </c>
      <c r="J201" s="45"/>
      <c r="K201" s="52">
        <v>1470.45</v>
      </c>
      <c r="L201" s="45"/>
      <c r="M201" s="52">
        <v>0</v>
      </c>
      <c r="N201" s="45"/>
      <c r="O201" s="52">
        <f t="shared" si="10"/>
        <v>118156.09</v>
      </c>
    </row>
    <row r="202" spans="1:15" ht="15" thickBot="1" x14ac:dyDescent="0.35">
      <c r="A202" s="43"/>
      <c r="B202" s="43"/>
      <c r="C202" s="43" t="s">
        <v>292</v>
      </c>
      <c r="D202" s="43"/>
      <c r="E202" s="43"/>
      <c r="F202" s="43"/>
      <c r="G202" s="43"/>
      <c r="H202" s="43"/>
      <c r="I202" s="55">
        <f>ROUND(I196+SUM(I200:I201),5)</f>
        <v>116705.14</v>
      </c>
      <c r="J202" s="45"/>
      <c r="K202" s="55">
        <f>ROUND(K196+SUM(K200:K201),5)</f>
        <v>1492.98</v>
      </c>
      <c r="L202" s="45"/>
      <c r="M202" s="55">
        <f>ROUND(M196+SUM(M200:M201),5)</f>
        <v>16.760000000000002</v>
      </c>
      <c r="N202" s="45"/>
      <c r="O202" s="55">
        <f t="shared" si="10"/>
        <v>118214.88</v>
      </c>
    </row>
    <row r="203" spans="1:15" ht="30" customHeight="1" thickBot="1" x14ac:dyDescent="0.35">
      <c r="A203" s="43"/>
      <c r="B203" s="43" t="s">
        <v>296</v>
      </c>
      <c r="C203" s="43"/>
      <c r="D203" s="43"/>
      <c r="E203" s="43"/>
      <c r="F203" s="43"/>
      <c r="G203" s="43"/>
      <c r="H203" s="43"/>
      <c r="I203" s="55">
        <f>ROUND(I195+I202,5)</f>
        <v>116705.14</v>
      </c>
      <c r="J203" s="45"/>
      <c r="K203" s="55">
        <f>ROUND(K195+K202,5)</f>
        <v>1492.98</v>
      </c>
      <c r="L203" s="45"/>
      <c r="M203" s="55">
        <f>ROUND(M195+M202,5)</f>
        <v>16.760000000000002</v>
      </c>
      <c r="N203" s="45"/>
      <c r="O203" s="55">
        <f t="shared" si="10"/>
        <v>118214.88</v>
      </c>
    </row>
    <row r="204" spans="1:15" s="50" customFormat="1" ht="30" customHeight="1" thickBot="1" x14ac:dyDescent="0.25">
      <c r="A204" s="43" t="s">
        <v>165</v>
      </c>
      <c r="B204" s="43"/>
      <c r="C204" s="43"/>
      <c r="D204" s="43"/>
      <c r="E204" s="43"/>
      <c r="F204" s="43"/>
      <c r="G204" s="43"/>
      <c r="H204" s="43"/>
      <c r="I204" s="56">
        <f>ROUND(I194+I203,5)</f>
        <v>262487.02</v>
      </c>
      <c r="J204" s="43"/>
      <c r="K204" s="56">
        <f>ROUND(K194+K203,5)</f>
        <v>232601</v>
      </c>
      <c r="L204" s="43"/>
      <c r="M204" s="56">
        <f>ROUND(M194+M203,5)</f>
        <v>219392.12</v>
      </c>
      <c r="N204" s="43"/>
      <c r="O204" s="56">
        <f t="shared" si="10"/>
        <v>714480.14</v>
      </c>
    </row>
    <row r="205" spans="1:15" ht="15" thickTop="1" x14ac:dyDescent="0.3"/>
    <row r="206" spans="1:15" x14ac:dyDescent="0.3">
      <c r="H206" s="43" t="s">
        <v>987</v>
      </c>
      <c r="I206" s="52">
        <f>I193-I18-I185-I186-I189</f>
        <v>299791.84000000008</v>
      </c>
      <c r="J206" s="45"/>
      <c r="K206" s="52">
        <f>K193-K18-K185-K186-K189</f>
        <v>274139.5400000001</v>
      </c>
      <c r="L206" s="45"/>
      <c r="M206" s="52">
        <f>M193-M18-M185-M186-M189</f>
        <v>320124.57999999996</v>
      </c>
      <c r="N206" s="45"/>
      <c r="O206" s="52">
        <f>(O193-O18-O185-O186-O189)/3</f>
        <v>298018.65333333338</v>
      </c>
    </row>
  </sheetData>
  <pageMargins left="0.7" right="0.7" top="0.75" bottom="0.75" header="0.25" footer="0.3"/>
  <pageSetup orientation="portrait" r:id="rId1"/>
  <headerFooter>
    <oddHeader>&amp;L&amp;"Arial,Bold"&amp;8 02/18/14
&amp;"Arial,Bold"&amp;8 Accrual Basis&amp;C&amp;"Arial,Bold"&amp;12 Northwest Centre, LLC
&amp;"Arial,Bold"&amp;14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3174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1746" r:id="rId4" name="HEADER"/>
      </mc:Fallback>
    </mc:AlternateContent>
    <mc:AlternateContent xmlns:mc="http://schemas.openxmlformats.org/markup-compatibility/2006">
      <mc:Choice Requires="x14">
        <control shapeId="3174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1745" r:id="rId6" name="FILTER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3"/>
  <dimension ref="A1:J45"/>
  <sheetViews>
    <sheetView workbookViewId="0">
      <pane xSplit="5" ySplit="1" topLeftCell="F24" activePane="bottomRight" state="frozenSplit"/>
      <selection pane="topRight"/>
      <selection pane="bottomLeft"/>
      <selection pane="bottomRight" activeCell="A21" sqref="A21"/>
    </sheetView>
  </sheetViews>
  <sheetFormatPr defaultRowHeight="14.4" x14ac:dyDescent="0.3"/>
  <cols>
    <col min="1" max="4" width="3" style="50" customWidth="1"/>
    <col min="5" max="5" width="22.554687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7"/>
      <c r="G2" s="45"/>
      <c r="H2" s="57"/>
      <c r="I2" s="45"/>
      <c r="J2" s="57"/>
    </row>
    <row r="3" spans="1:10" x14ac:dyDescent="0.3">
      <c r="A3" s="43"/>
      <c r="B3" s="43" t="s">
        <v>113</v>
      </c>
      <c r="C3" s="43"/>
      <c r="D3" s="43"/>
      <c r="E3" s="43"/>
      <c r="F3" s="57"/>
      <c r="G3" s="45"/>
      <c r="H3" s="57"/>
      <c r="I3" s="45"/>
      <c r="J3" s="57"/>
    </row>
    <row r="4" spans="1:10" x14ac:dyDescent="0.3">
      <c r="A4" s="43"/>
      <c r="B4" s="43"/>
      <c r="C4" s="43" t="s">
        <v>114</v>
      </c>
      <c r="D4" s="43"/>
      <c r="E4" s="43"/>
      <c r="F4" s="57"/>
      <c r="G4" s="45"/>
      <c r="H4" s="57"/>
      <c r="I4" s="45"/>
      <c r="J4" s="57"/>
    </row>
    <row r="5" spans="1:10" x14ac:dyDescent="0.3">
      <c r="A5" s="43"/>
      <c r="B5" s="43"/>
      <c r="C5" s="43"/>
      <c r="D5" s="43" t="s">
        <v>666</v>
      </c>
      <c r="E5" s="43"/>
      <c r="F5" s="57">
        <v>-30602</v>
      </c>
      <c r="G5" s="45"/>
      <c r="H5" s="57">
        <v>6447</v>
      </c>
      <c r="I5" s="45"/>
      <c r="J5" s="57">
        <v>441</v>
      </c>
    </row>
    <row r="6" spans="1:10" ht="15" thickBot="1" x14ac:dyDescent="0.35">
      <c r="A6" s="43"/>
      <c r="B6" s="43"/>
      <c r="C6" s="43"/>
      <c r="D6" s="43" t="s">
        <v>555</v>
      </c>
      <c r="E6" s="43"/>
      <c r="F6" s="58">
        <v>52169</v>
      </c>
      <c r="G6" s="45"/>
      <c r="H6" s="58">
        <v>31672</v>
      </c>
      <c r="I6" s="45"/>
      <c r="J6" s="58">
        <v>84364</v>
      </c>
    </row>
    <row r="7" spans="1:10" x14ac:dyDescent="0.3">
      <c r="A7" s="43"/>
      <c r="B7" s="43"/>
      <c r="C7" s="43" t="s">
        <v>117</v>
      </c>
      <c r="D7" s="43"/>
      <c r="E7" s="43"/>
      <c r="F7" s="57">
        <f>ROUND(SUM(F4:F6),5)</f>
        <v>21567</v>
      </c>
      <c r="G7" s="45"/>
      <c r="H7" s="57">
        <f>ROUND(SUM(H4:H6),5)</f>
        <v>38119</v>
      </c>
      <c r="I7" s="45"/>
      <c r="J7" s="57">
        <f>ROUND(SUM(J4:J6),5)</f>
        <v>84805</v>
      </c>
    </row>
    <row r="8" spans="1:10" ht="30" customHeight="1" x14ac:dyDescent="0.3">
      <c r="A8" s="43"/>
      <c r="B8" s="43"/>
      <c r="C8" s="43" t="s">
        <v>118</v>
      </c>
      <c r="D8" s="43"/>
      <c r="E8" s="43"/>
      <c r="F8" s="57"/>
      <c r="G8" s="45"/>
      <c r="H8" s="57"/>
      <c r="I8" s="45"/>
      <c r="J8" s="57"/>
    </row>
    <row r="9" spans="1:10" ht="15" thickBot="1" x14ac:dyDescent="0.35">
      <c r="A9" s="43"/>
      <c r="B9" s="43"/>
      <c r="C9" s="43"/>
      <c r="D9" s="43" t="s">
        <v>118</v>
      </c>
      <c r="E9" s="43"/>
      <c r="F9" s="58">
        <v>-12528</v>
      </c>
      <c r="G9" s="45"/>
      <c r="H9" s="58">
        <v>-12307</v>
      </c>
      <c r="I9" s="45"/>
      <c r="J9" s="58">
        <v>-8898</v>
      </c>
    </row>
    <row r="10" spans="1:10" x14ac:dyDescent="0.3">
      <c r="A10" s="43"/>
      <c r="B10" s="43"/>
      <c r="C10" s="43" t="s">
        <v>119</v>
      </c>
      <c r="D10" s="43"/>
      <c r="E10" s="43"/>
      <c r="F10" s="57">
        <f>ROUND(SUM(F8:F9),5)</f>
        <v>-12528</v>
      </c>
      <c r="G10" s="45"/>
      <c r="H10" s="57">
        <f>ROUND(SUM(H8:H9),5)</f>
        <v>-12307</v>
      </c>
      <c r="I10" s="45"/>
      <c r="J10" s="57">
        <f>ROUND(SUM(J8:J9),5)</f>
        <v>-8898</v>
      </c>
    </row>
    <row r="11" spans="1:10" ht="30" customHeight="1" x14ac:dyDescent="0.3">
      <c r="A11" s="43"/>
      <c r="B11" s="43"/>
      <c r="C11" s="43" t="s">
        <v>120</v>
      </c>
      <c r="D11" s="43"/>
      <c r="E11" s="43"/>
      <c r="F11" s="57"/>
      <c r="G11" s="45"/>
      <c r="H11" s="57"/>
      <c r="I11" s="45"/>
      <c r="J11" s="57"/>
    </row>
    <row r="12" spans="1:10" x14ac:dyDescent="0.3">
      <c r="A12" s="43"/>
      <c r="B12" s="43"/>
      <c r="C12" s="43"/>
      <c r="D12" s="43" t="s">
        <v>122</v>
      </c>
      <c r="E12" s="43"/>
      <c r="F12" s="57">
        <v>4143</v>
      </c>
      <c r="G12" s="45"/>
      <c r="H12" s="57">
        <v>4554</v>
      </c>
      <c r="I12" s="45"/>
      <c r="J12" s="57">
        <v>3564</v>
      </c>
    </row>
    <row r="13" spans="1:10" ht="15" thickBot="1" x14ac:dyDescent="0.35">
      <c r="A13" s="43"/>
      <c r="B13" s="43"/>
      <c r="C13" s="43"/>
      <c r="D13" s="43" t="s">
        <v>443</v>
      </c>
      <c r="E13" s="43"/>
      <c r="F13" s="57">
        <v>738</v>
      </c>
      <c r="G13" s="45"/>
      <c r="H13" s="57">
        <v>2146</v>
      </c>
      <c r="I13" s="45"/>
      <c r="J13" s="57">
        <v>3701</v>
      </c>
    </row>
    <row r="14" spans="1:10" ht="15" thickBot="1" x14ac:dyDescent="0.35">
      <c r="A14" s="43"/>
      <c r="B14" s="43"/>
      <c r="C14" s="43" t="s">
        <v>124</v>
      </c>
      <c r="D14" s="43"/>
      <c r="E14" s="43"/>
      <c r="F14" s="59">
        <f>ROUND(SUM(F11:F13),5)</f>
        <v>4881</v>
      </c>
      <c r="G14" s="45"/>
      <c r="H14" s="59">
        <f>ROUND(SUM(H11:H13),5)</f>
        <v>6700</v>
      </c>
      <c r="I14" s="45"/>
      <c r="J14" s="59">
        <f>ROUND(SUM(J11:J13),5)</f>
        <v>7265</v>
      </c>
    </row>
    <row r="15" spans="1:10" ht="30" customHeight="1" x14ac:dyDescent="0.3">
      <c r="A15" s="43"/>
      <c r="B15" s="43" t="s">
        <v>125</v>
      </c>
      <c r="C15" s="43"/>
      <c r="D15" s="43"/>
      <c r="E15" s="43"/>
      <c r="F15" s="57">
        <f>ROUND(F3+F7+F10+F14,5)</f>
        <v>13920</v>
      </c>
      <c r="G15" s="45"/>
      <c r="H15" s="57">
        <f>ROUND(H3+H7+H10+H14,5)</f>
        <v>32512</v>
      </c>
      <c r="I15" s="45"/>
      <c r="J15" s="57">
        <f>ROUND(J3+J7+J10+J14,5)</f>
        <v>83172</v>
      </c>
    </row>
    <row r="16" spans="1:10" ht="30" customHeight="1" x14ac:dyDescent="0.3">
      <c r="A16" s="43"/>
      <c r="B16" s="43" t="s">
        <v>126</v>
      </c>
      <c r="C16" s="43"/>
      <c r="D16" s="43"/>
      <c r="E16" s="43"/>
      <c r="F16" s="57"/>
      <c r="G16" s="45"/>
      <c r="H16" s="57"/>
      <c r="I16" s="45"/>
      <c r="J16" s="57"/>
    </row>
    <row r="17" spans="1:10" x14ac:dyDescent="0.3">
      <c r="A17" s="43"/>
      <c r="B17" s="43"/>
      <c r="C17" s="43" t="s">
        <v>127</v>
      </c>
      <c r="D17" s="43"/>
      <c r="E17" s="43"/>
      <c r="F17" s="57">
        <v>50000</v>
      </c>
      <c r="G17" s="45"/>
      <c r="H17" s="57">
        <v>50000</v>
      </c>
      <c r="I17" s="45"/>
      <c r="J17" s="57">
        <v>50000</v>
      </c>
    </row>
    <row r="18" spans="1:10" x14ac:dyDescent="0.3">
      <c r="A18" s="43"/>
      <c r="B18" s="43"/>
      <c r="C18" s="43" t="s">
        <v>667</v>
      </c>
      <c r="D18" s="43"/>
      <c r="E18" s="43"/>
      <c r="F18" s="57">
        <v>459689</v>
      </c>
      <c r="G18" s="45"/>
      <c r="H18" s="57">
        <v>459689</v>
      </c>
      <c r="I18" s="45"/>
      <c r="J18" s="57">
        <v>459689</v>
      </c>
    </row>
    <row r="19" spans="1:10" x14ac:dyDescent="0.3">
      <c r="A19" s="43"/>
      <c r="B19" s="43"/>
      <c r="C19" s="43" t="s">
        <v>668</v>
      </c>
      <c r="D19" s="43"/>
      <c r="E19" s="43"/>
      <c r="F19" s="57">
        <v>311903</v>
      </c>
      <c r="G19" s="45"/>
      <c r="H19" s="57">
        <v>374391</v>
      </c>
      <c r="I19" s="45"/>
      <c r="J19" s="57">
        <v>390448</v>
      </c>
    </row>
    <row r="20" spans="1:10" ht="15" thickBot="1" x14ac:dyDescent="0.35">
      <c r="A20" s="43"/>
      <c r="B20" s="43"/>
      <c r="C20" s="43" t="s">
        <v>135</v>
      </c>
      <c r="D20" s="43"/>
      <c r="E20" s="43"/>
      <c r="F20" s="57">
        <v>-279376</v>
      </c>
      <c r="G20" s="45"/>
      <c r="H20" s="57">
        <v>-335779</v>
      </c>
      <c r="I20" s="45"/>
      <c r="J20" s="57">
        <v>-360979</v>
      </c>
    </row>
    <row r="21" spans="1:10" ht="15" thickBot="1" x14ac:dyDescent="0.35">
      <c r="A21" s="43"/>
      <c r="B21" s="43" t="s">
        <v>136</v>
      </c>
      <c r="C21" s="43"/>
      <c r="D21" s="43"/>
      <c r="E21" s="43"/>
      <c r="F21" s="60">
        <f>ROUND(SUM(F16:F20),5)</f>
        <v>542216</v>
      </c>
      <c r="G21" s="45"/>
      <c r="H21" s="60">
        <f>ROUND(SUM(H16:H20),5)</f>
        <v>548301</v>
      </c>
      <c r="I21" s="45"/>
      <c r="J21" s="60">
        <f>ROUND(SUM(J16:J20),5)</f>
        <v>539158</v>
      </c>
    </row>
    <row r="22" spans="1:10" s="50" customFormat="1" ht="30" customHeight="1" thickBot="1" x14ac:dyDescent="0.25">
      <c r="A22" s="43" t="s">
        <v>142</v>
      </c>
      <c r="B22" s="43"/>
      <c r="C22" s="43"/>
      <c r="D22" s="43"/>
      <c r="E22" s="43"/>
      <c r="F22" s="61">
        <f>ROUND(F2+F15+F21,5)</f>
        <v>556136</v>
      </c>
      <c r="G22" s="43"/>
      <c r="H22" s="61">
        <f>ROUND(H2+H15+H21,5)</f>
        <v>580813</v>
      </c>
      <c r="I22" s="43"/>
      <c r="J22" s="61">
        <f>ROUND(J2+J15+J21,5)</f>
        <v>622330</v>
      </c>
    </row>
    <row r="23" spans="1:10" ht="31.5" customHeight="1" thickTop="1" x14ac:dyDescent="0.3">
      <c r="A23" s="43" t="s">
        <v>143</v>
      </c>
      <c r="B23" s="43"/>
      <c r="C23" s="43"/>
      <c r="D23" s="43"/>
      <c r="E23" s="43"/>
      <c r="F23" s="57"/>
      <c r="G23" s="45"/>
      <c r="H23" s="57"/>
      <c r="I23" s="45"/>
      <c r="J23" s="57"/>
    </row>
    <row r="24" spans="1:10" x14ac:dyDescent="0.3">
      <c r="A24" s="43"/>
      <c r="B24" s="43" t="s">
        <v>144</v>
      </c>
      <c r="C24" s="43"/>
      <c r="D24" s="43"/>
      <c r="E24" s="43"/>
      <c r="F24" s="57"/>
      <c r="G24" s="45"/>
      <c r="H24" s="57"/>
      <c r="I24" s="45"/>
      <c r="J24" s="57"/>
    </row>
    <row r="25" spans="1:10" x14ac:dyDescent="0.3">
      <c r="A25" s="43"/>
      <c r="B25" s="43"/>
      <c r="C25" s="43" t="s">
        <v>145</v>
      </c>
      <c r="D25" s="43"/>
      <c r="E25" s="43"/>
      <c r="F25" s="57"/>
      <c r="G25" s="45"/>
      <c r="H25" s="57"/>
      <c r="I25" s="45"/>
      <c r="J25" s="57"/>
    </row>
    <row r="26" spans="1:10" x14ac:dyDescent="0.3">
      <c r="A26" s="43"/>
      <c r="B26" s="43"/>
      <c r="C26" s="43"/>
      <c r="D26" s="43" t="s">
        <v>146</v>
      </c>
      <c r="E26" s="43"/>
      <c r="F26" s="57"/>
      <c r="G26" s="45"/>
      <c r="H26" s="57"/>
      <c r="I26" s="45"/>
      <c r="J26" s="57"/>
    </row>
    <row r="27" spans="1:10" ht="15" thickBot="1" x14ac:dyDescent="0.35">
      <c r="A27" s="43"/>
      <c r="B27" s="43"/>
      <c r="C27" s="43"/>
      <c r="D27" s="43"/>
      <c r="E27" s="43" t="s">
        <v>146</v>
      </c>
      <c r="F27" s="58">
        <v>10241</v>
      </c>
      <c r="G27" s="45"/>
      <c r="H27" s="58">
        <v>8551</v>
      </c>
      <c r="I27" s="45"/>
      <c r="J27" s="58">
        <v>13135</v>
      </c>
    </row>
    <row r="28" spans="1:10" x14ac:dyDescent="0.3">
      <c r="A28" s="43"/>
      <c r="B28" s="43"/>
      <c r="C28" s="43"/>
      <c r="D28" s="43" t="s">
        <v>147</v>
      </c>
      <c r="E28" s="43"/>
      <c r="F28" s="57">
        <f>ROUND(SUM(F26:F27),5)</f>
        <v>10241</v>
      </c>
      <c r="G28" s="45"/>
      <c r="H28" s="57">
        <f>ROUND(SUM(H26:H27),5)</f>
        <v>8551</v>
      </c>
      <c r="I28" s="45"/>
      <c r="J28" s="57">
        <f>ROUND(SUM(J26:J27),5)</f>
        <v>13135</v>
      </c>
    </row>
    <row r="29" spans="1:10" ht="30" customHeight="1" x14ac:dyDescent="0.3">
      <c r="A29" s="43"/>
      <c r="B29" s="43"/>
      <c r="C29" s="43"/>
      <c r="D29" s="43" t="s">
        <v>148</v>
      </c>
      <c r="E29" s="43"/>
      <c r="F29" s="57"/>
      <c r="G29" s="45"/>
      <c r="H29" s="57"/>
      <c r="I29" s="45"/>
      <c r="J29" s="57"/>
    </row>
    <row r="30" spans="1:10" x14ac:dyDescent="0.3">
      <c r="A30" s="43"/>
      <c r="B30" s="43"/>
      <c r="C30" s="43"/>
      <c r="D30" s="43"/>
      <c r="E30" s="43" t="s">
        <v>669</v>
      </c>
      <c r="F30" s="57">
        <v>0</v>
      </c>
      <c r="G30" s="45"/>
      <c r="H30" s="57">
        <v>12090</v>
      </c>
      <c r="I30" s="45"/>
      <c r="J30" s="57">
        <v>12771</v>
      </c>
    </row>
    <row r="31" spans="1:10" ht="15" thickBot="1" x14ac:dyDescent="0.35">
      <c r="A31" s="43"/>
      <c r="B31" s="43"/>
      <c r="C31" s="43"/>
      <c r="D31" s="43"/>
      <c r="E31" s="43" t="s">
        <v>670</v>
      </c>
      <c r="F31" s="57">
        <v>18211</v>
      </c>
      <c r="G31" s="45"/>
      <c r="H31" s="57">
        <v>21785</v>
      </c>
      <c r="I31" s="45"/>
      <c r="J31" s="57">
        <v>22485</v>
      </c>
    </row>
    <row r="32" spans="1:10" ht="15" thickBot="1" x14ac:dyDescent="0.35">
      <c r="A32" s="43"/>
      <c r="B32" s="43"/>
      <c r="C32" s="43"/>
      <c r="D32" s="43" t="s">
        <v>152</v>
      </c>
      <c r="E32" s="43"/>
      <c r="F32" s="59">
        <f>ROUND(SUM(F29:F31),5)</f>
        <v>18211</v>
      </c>
      <c r="G32" s="45"/>
      <c r="H32" s="59">
        <f>ROUND(SUM(H29:H31),5)</f>
        <v>33875</v>
      </c>
      <c r="I32" s="45"/>
      <c r="J32" s="59">
        <f>ROUND(SUM(J29:J31),5)</f>
        <v>35256</v>
      </c>
    </row>
    <row r="33" spans="1:10" ht="30" customHeight="1" x14ac:dyDescent="0.3">
      <c r="A33" s="43"/>
      <c r="B33" s="43"/>
      <c r="C33" s="43" t="s">
        <v>153</v>
      </c>
      <c r="D33" s="43"/>
      <c r="E33" s="43"/>
      <c r="F33" s="57">
        <f>ROUND(F25+F28+F32,5)</f>
        <v>28452</v>
      </c>
      <c r="G33" s="45"/>
      <c r="H33" s="57">
        <f>ROUND(H25+H28+H32,5)</f>
        <v>42426</v>
      </c>
      <c r="I33" s="45"/>
      <c r="J33" s="57">
        <f>ROUND(J25+J28+J32,5)</f>
        <v>48391</v>
      </c>
    </row>
    <row r="34" spans="1:10" ht="30" customHeight="1" x14ac:dyDescent="0.3">
      <c r="A34" s="43"/>
      <c r="B34" s="43"/>
      <c r="C34" s="43" t="s">
        <v>154</v>
      </c>
      <c r="D34" s="43"/>
      <c r="E34" s="43"/>
      <c r="F34" s="57"/>
      <c r="G34" s="45"/>
      <c r="H34" s="57"/>
      <c r="I34" s="45"/>
      <c r="J34" s="57"/>
    </row>
    <row r="35" spans="1:10" ht="15" thickBot="1" x14ac:dyDescent="0.35">
      <c r="A35" s="43"/>
      <c r="B35" s="43"/>
      <c r="C35" s="43"/>
      <c r="D35" s="43" t="s">
        <v>671</v>
      </c>
      <c r="E35" s="43"/>
      <c r="F35" s="57">
        <v>293399</v>
      </c>
      <c r="G35" s="45"/>
      <c r="H35" s="57">
        <v>259903</v>
      </c>
      <c r="I35" s="45"/>
      <c r="J35" s="62">
        <v>225262</v>
      </c>
    </row>
    <row r="36" spans="1:10" ht="15" thickBot="1" x14ac:dyDescent="0.35">
      <c r="A36" s="43"/>
      <c r="B36" s="43"/>
      <c r="C36" s="43" t="s">
        <v>157</v>
      </c>
      <c r="D36" s="43"/>
      <c r="E36" s="43"/>
      <c r="F36" s="59">
        <f>ROUND(SUM(F34:F35),5)</f>
        <v>293399</v>
      </c>
      <c r="G36" s="45"/>
      <c r="H36" s="59">
        <f>ROUND(SUM(H34:H35),5)</f>
        <v>259903</v>
      </c>
      <c r="I36" s="45"/>
      <c r="J36" s="59">
        <f>ROUND(SUM(J34:J35),5)</f>
        <v>225262</v>
      </c>
    </row>
    <row r="37" spans="1:10" ht="30" customHeight="1" x14ac:dyDescent="0.3">
      <c r="A37" s="43"/>
      <c r="B37" s="43" t="s">
        <v>158</v>
      </c>
      <c r="C37" s="43"/>
      <c r="D37" s="43"/>
      <c r="E37" s="43"/>
      <c r="F37" s="57">
        <f>ROUND(F24+F33+F36,5)</f>
        <v>321851</v>
      </c>
      <c r="G37" s="45"/>
      <c r="H37" s="57">
        <f>ROUND(H24+H33+H36,5)</f>
        <v>302329</v>
      </c>
      <c r="I37" s="45"/>
      <c r="J37" s="57">
        <f>ROUND(J24+J33+J36,5)</f>
        <v>273653</v>
      </c>
    </row>
    <row r="38" spans="1:10" ht="30" customHeight="1" x14ac:dyDescent="0.3">
      <c r="A38" s="43"/>
      <c r="B38" s="43" t="s">
        <v>159</v>
      </c>
      <c r="C38" s="43"/>
      <c r="D38" s="43"/>
      <c r="E38" s="43"/>
      <c r="F38" s="57"/>
      <c r="G38" s="45"/>
      <c r="H38" s="57"/>
      <c r="I38" s="45"/>
      <c r="J38" s="57"/>
    </row>
    <row r="39" spans="1:10" x14ac:dyDescent="0.3">
      <c r="A39" s="43"/>
      <c r="B39" s="43"/>
      <c r="C39" s="43" t="s">
        <v>672</v>
      </c>
      <c r="D39" s="43"/>
      <c r="E39" s="43"/>
      <c r="F39" s="57">
        <v>165909</v>
      </c>
      <c r="G39" s="45"/>
      <c r="H39" s="57">
        <v>280484</v>
      </c>
      <c r="I39" s="45"/>
      <c r="J39" s="57">
        <v>280484</v>
      </c>
    </row>
    <row r="40" spans="1:10" x14ac:dyDescent="0.3">
      <c r="A40" s="43"/>
      <c r="B40" s="43"/>
      <c r="C40" s="43" t="s">
        <v>312</v>
      </c>
      <c r="D40" s="43"/>
      <c r="E40" s="43"/>
      <c r="F40" s="57">
        <v>-1000</v>
      </c>
      <c r="G40" s="45"/>
      <c r="H40" s="57">
        <v>-2000</v>
      </c>
      <c r="I40" s="45"/>
      <c r="J40" s="57">
        <v>-2000</v>
      </c>
    </row>
    <row r="41" spans="1:10" x14ac:dyDescent="0.3">
      <c r="A41" s="43"/>
      <c r="B41" s="43"/>
      <c r="C41" s="43" t="s">
        <v>164</v>
      </c>
      <c r="D41" s="43"/>
      <c r="E41" s="43"/>
      <c r="F41" s="57">
        <v>0</v>
      </c>
      <c r="G41" s="45"/>
      <c r="H41" s="57">
        <v>-44197</v>
      </c>
      <c r="I41" s="45"/>
      <c r="J41" s="57">
        <v>0</v>
      </c>
    </row>
    <row r="42" spans="1:10" ht="15" thickBot="1" x14ac:dyDescent="0.35">
      <c r="A42" s="43"/>
      <c r="B42" s="43"/>
      <c r="C42" s="43" t="s">
        <v>165</v>
      </c>
      <c r="D42" s="43"/>
      <c r="E42" s="43"/>
      <c r="F42" s="57">
        <v>69377</v>
      </c>
      <c r="G42" s="45"/>
      <c r="H42" s="57">
        <v>44197</v>
      </c>
      <c r="I42" s="45"/>
      <c r="J42" s="57">
        <v>70194</v>
      </c>
    </row>
    <row r="43" spans="1:10" ht="15" thickBot="1" x14ac:dyDescent="0.35">
      <c r="A43" s="43"/>
      <c r="B43" s="43" t="s">
        <v>166</v>
      </c>
      <c r="C43" s="43"/>
      <c r="D43" s="43"/>
      <c r="E43" s="43"/>
      <c r="F43" s="60">
        <f>ROUND(SUM(F38:F42),5)</f>
        <v>234286</v>
      </c>
      <c r="G43" s="45"/>
      <c r="H43" s="60">
        <f>ROUND(SUM(H38:H42),5)</f>
        <v>278484</v>
      </c>
      <c r="I43" s="45"/>
      <c r="J43" s="60">
        <f>ROUND(SUM(J38:J42),5)</f>
        <v>348678</v>
      </c>
    </row>
    <row r="44" spans="1:10" s="50" customFormat="1" ht="30" customHeight="1" thickBot="1" x14ac:dyDescent="0.25">
      <c r="A44" s="43" t="s">
        <v>167</v>
      </c>
      <c r="B44" s="43"/>
      <c r="C44" s="43"/>
      <c r="D44" s="43"/>
      <c r="E44" s="43"/>
      <c r="F44" s="61">
        <f>ROUND(F23+F37+F43,5)</f>
        <v>556137</v>
      </c>
      <c r="G44" s="43"/>
      <c r="H44" s="61">
        <f>ROUND(H23+H37+H43,5)</f>
        <v>580813</v>
      </c>
      <c r="I44" s="43"/>
      <c r="J44" s="61">
        <f>ROUND(J23+J37+J43,5)</f>
        <v>622331</v>
      </c>
    </row>
    <row r="45" spans="1:10" ht="15" thickTop="1" x14ac:dyDescent="0.3"/>
  </sheetData>
  <pageMargins left="0.7" right="0.7" top="0.75" bottom="0.75" header="0.25" footer="0.3"/>
  <pageSetup orientation="portrait" r:id="rId1"/>
  <headerFooter>
    <oddHeader>&amp;L&amp;"Arial,Bold"&amp;8 02/17/14
&amp;"Arial,Bold"&amp;8 Accrual Basis&amp;C&amp;"Arial,Bold"&amp;12 Occidental Property, LLC
&amp;"Arial,Bold"&amp;14 Comparative Balance Sheet
&amp;"Arial,Bold"&amp;10 As of Jan 31, 2014 and 2014</oddHeader>
    <oddFooter>&amp;L&amp;"Arial,Bold"&amp;8 For Management Use Only</oddFooter>
  </headerFooter>
  <drawing r:id="rId2"/>
  <legacyDrawing r:id="rId3"/>
  <controls>
    <mc:AlternateContent xmlns:mc="http://schemas.openxmlformats.org/markup-compatibility/2006">
      <mc:Choice Requires="x14">
        <control shapeId="3277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2770" r:id="rId4" name="HEADER"/>
      </mc:Fallback>
    </mc:AlternateContent>
    <mc:AlternateContent xmlns:mc="http://schemas.openxmlformats.org/markup-compatibility/2006">
      <mc:Choice Requires="x14">
        <control shapeId="3276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2769" r:id="rId6" name="FILTER"/>
      </mc:Fallback>
    </mc:AlternateContent>
  </control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56"/>
  <dimension ref="A1:N143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1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8.664062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52"/>
      <c r="I2" s="45"/>
      <c r="J2" s="52"/>
      <c r="K2" s="45"/>
      <c r="L2" s="52"/>
      <c r="M2" s="45"/>
      <c r="N2" s="52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52"/>
      <c r="I3" s="45"/>
      <c r="J3" s="52"/>
      <c r="K3" s="45"/>
      <c r="L3" s="52"/>
      <c r="M3" s="45"/>
      <c r="N3" s="52"/>
    </row>
    <row r="4" spans="1:14" x14ac:dyDescent="0.3">
      <c r="A4" s="43"/>
      <c r="B4" s="43"/>
      <c r="C4" s="43"/>
      <c r="D4" s="43"/>
      <c r="E4" s="43" t="s">
        <v>174</v>
      </c>
      <c r="F4" s="43"/>
      <c r="G4" s="43"/>
      <c r="H4" s="52"/>
      <c r="I4" s="45"/>
      <c r="J4" s="52"/>
      <c r="K4" s="45"/>
      <c r="L4" s="52"/>
      <c r="M4" s="45"/>
      <c r="N4" s="52"/>
    </row>
    <row r="5" spans="1:14" x14ac:dyDescent="0.3">
      <c r="A5" s="43"/>
      <c r="B5" s="43"/>
      <c r="C5" s="43"/>
      <c r="D5" s="43"/>
      <c r="E5" s="43"/>
      <c r="F5" s="43" t="s">
        <v>673</v>
      </c>
      <c r="G5" s="43"/>
      <c r="H5" s="52">
        <v>235923.49</v>
      </c>
      <c r="I5" s="45"/>
      <c r="J5" s="52">
        <v>260092.23</v>
      </c>
      <c r="K5" s="45"/>
      <c r="L5" s="52">
        <v>304404.87</v>
      </c>
      <c r="M5" s="45"/>
      <c r="N5" s="52">
        <f>ROUND(SUM(H5:L5),5)</f>
        <v>800420.59</v>
      </c>
    </row>
    <row r="6" spans="1:14" ht="15" thickBot="1" x14ac:dyDescent="0.35">
      <c r="A6" s="43"/>
      <c r="B6" s="43"/>
      <c r="C6" s="43"/>
      <c r="D6" s="43"/>
      <c r="E6" s="43"/>
      <c r="F6" s="43" t="s">
        <v>674</v>
      </c>
      <c r="G6" s="43"/>
      <c r="H6" s="54">
        <v>3850.8</v>
      </c>
      <c r="I6" s="45"/>
      <c r="J6" s="54">
        <v>4526.08</v>
      </c>
      <c r="K6" s="45"/>
      <c r="L6" s="54">
        <v>7552.04</v>
      </c>
      <c r="M6" s="45"/>
      <c r="N6" s="54">
        <f>ROUND(SUM(H6:L6),5)</f>
        <v>15928.92</v>
      </c>
    </row>
    <row r="7" spans="1:14" x14ac:dyDescent="0.3">
      <c r="A7" s="43"/>
      <c r="B7" s="43"/>
      <c r="C7" s="43"/>
      <c r="D7" s="43"/>
      <c r="E7" s="43" t="s">
        <v>675</v>
      </c>
      <c r="F7" s="43"/>
      <c r="G7" s="43"/>
      <c r="H7" s="52">
        <f>ROUND(SUM(H4:H6),5)</f>
        <v>239774.29</v>
      </c>
      <c r="I7" s="45"/>
      <c r="J7" s="52">
        <f>ROUND(SUM(J4:J6),5)</f>
        <v>264618.31</v>
      </c>
      <c r="K7" s="45"/>
      <c r="L7" s="52">
        <f>ROUND(SUM(L4:L6),5)</f>
        <v>311956.90999999997</v>
      </c>
      <c r="M7" s="45"/>
      <c r="N7" s="52">
        <f>ROUND(SUM(H7:L7),5)</f>
        <v>816349.51</v>
      </c>
    </row>
    <row r="8" spans="1:14" ht="30" customHeight="1" x14ac:dyDescent="0.3">
      <c r="A8" s="43"/>
      <c r="B8" s="43"/>
      <c r="C8" s="43"/>
      <c r="D8" s="43"/>
      <c r="E8" s="43" t="s">
        <v>676</v>
      </c>
      <c r="F8" s="43"/>
      <c r="G8" s="43"/>
      <c r="H8" s="52"/>
      <c r="I8" s="45"/>
      <c r="J8" s="52"/>
      <c r="K8" s="45"/>
      <c r="L8" s="52"/>
      <c r="M8" s="45"/>
      <c r="N8" s="52"/>
    </row>
    <row r="9" spans="1:14" x14ac:dyDescent="0.3">
      <c r="A9" s="43"/>
      <c r="B9" s="43"/>
      <c r="C9" s="43"/>
      <c r="D9" s="43"/>
      <c r="E9" s="43"/>
      <c r="F9" s="43" t="s">
        <v>677</v>
      </c>
      <c r="G9" s="43"/>
      <c r="H9" s="52">
        <v>-2940</v>
      </c>
      <c r="I9" s="45"/>
      <c r="J9" s="52">
        <v>-2940</v>
      </c>
      <c r="K9" s="45"/>
      <c r="L9" s="52">
        <v>-7125</v>
      </c>
      <c r="M9" s="45"/>
      <c r="N9" s="52">
        <f>ROUND(SUM(H9:L9),5)</f>
        <v>-13005</v>
      </c>
    </row>
    <row r="10" spans="1:14" ht="15" thickBot="1" x14ac:dyDescent="0.35">
      <c r="A10" s="43"/>
      <c r="B10" s="43"/>
      <c r="C10" s="43"/>
      <c r="D10" s="43"/>
      <c r="E10" s="43"/>
      <c r="F10" s="43" t="s">
        <v>678</v>
      </c>
      <c r="G10" s="43"/>
      <c r="H10" s="54">
        <v>23101.32</v>
      </c>
      <c r="I10" s="45"/>
      <c r="J10" s="54">
        <v>24320</v>
      </c>
      <c r="K10" s="45"/>
      <c r="L10" s="54">
        <v>32113.5</v>
      </c>
      <c r="M10" s="45"/>
      <c r="N10" s="54">
        <f>ROUND(SUM(H10:L10),5)</f>
        <v>79534.820000000007</v>
      </c>
    </row>
    <row r="11" spans="1:14" x14ac:dyDescent="0.3">
      <c r="A11" s="43"/>
      <c r="B11" s="43"/>
      <c r="C11" s="43"/>
      <c r="D11" s="43"/>
      <c r="E11" s="43" t="s">
        <v>679</v>
      </c>
      <c r="F11" s="43"/>
      <c r="G11" s="43"/>
      <c r="H11" s="52">
        <f>ROUND(SUM(H8:H10),5)</f>
        <v>20161.32</v>
      </c>
      <c r="I11" s="45"/>
      <c r="J11" s="52">
        <f>ROUND(SUM(J8:J10),5)</f>
        <v>21380</v>
      </c>
      <c r="K11" s="45"/>
      <c r="L11" s="52">
        <f>ROUND(SUM(L8:L10),5)</f>
        <v>24988.5</v>
      </c>
      <c r="M11" s="45"/>
      <c r="N11" s="52">
        <f>ROUND(SUM(H11:L11),5)</f>
        <v>66529.820000000007</v>
      </c>
    </row>
    <row r="12" spans="1:14" ht="30" customHeight="1" x14ac:dyDescent="0.3">
      <c r="A12" s="43"/>
      <c r="B12" s="43"/>
      <c r="C12" s="43"/>
      <c r="D12" s="43"/>
      <c r="E12" s="43" t="s">
        <v>680</v>
      </c>
      <c r="F12" s="43"/>
      <c r="G12" s="43"/>
      <c r="H12" s="52">
        <v>219.96</v>
      </c>
      <c r="I12" s="45"/>
      <c r="J12" s="52">
        <v>100.45</v>
      </c>
      <c r="K12" s="45"/>
      <c r="L12" s="52">
        <v>0</v>
      </c>
      <c r="M12" s="45"/>
      <c r="N12" s="52">
        <f>ROUND(SUM(H12:L12),5)</f>
        <v>320.41000000000003</v>
      </c>
    </row>
    <row r="13" spans="1:14" x14ac:dyDescent="0.3">
      <c r="A13" s="43"/>
      <c r="B13" s="43"/>
      <c r="C13" s="43"/>
      <c r="D13" s="43"/>
      <c r="E13" s="43" t="s">
        <v>681</v>
      </c>
      <c r="F13" s="43"/>
      <c r="G13" s="43"/>
      <c r="H13" s="52"/>
      <c r="I13" s="45"/>
      <c r="J13" s="52"/>
      <c r="K13" s="45"/>
      <c r="L13" s="52"/>
      <c r="M13" s="45"/>
      <c r="N13" s="52"/>
    </row>
    <row r="14" spans="1:14" ht="15" thickBot="1" x14ac:dyDescent="0.35">
      <c r="A14" s="43"/>
      <c r="B14" s="43"/>
      <c r="C14" s="43"/>
      <c r="D14" s="43"/>
      <c r="E14" s="43"/>
      <c r="F14" s="43" t="s">
        <v>211</v>
      </c>
      <c r="G14" s="43"/>
      <c r="H14" s="52">
        <v>0</v>
      </c>
      <c r="I14" s="45"/>
      <c r="J14" s="52">
        <v>41.2</v>
      </c>
      <c r="K14" s="45"/>
      <c r="L14" s="52">
        <v>0</v>
      </c>
      <c r="M14" s="45"/>
      <c r="N14" s="52">
        <f>ROUND(SUM(H14:L14),5)</f>
        <v>41.2</v>
      </c>
    </row>
    <row r="15" spans="1:14" ht="15" thickBot="1" x14ac:dyDescent="0.35">
      <c r="A15" s="43"/>
      <c r="B15" s="43"/>
      <c r="C15" s="43"/>
      <c r="D15" s="43"/>
      <c r="E15" s="43" t="s">
        <v>682</v>
      </c>
      <c r="F15" s="43"/>
      <c r="G15" s="43"/>
      <c r="H15" s="55">
        <f>ROUND(SUM(H13:H14),5)</f>
        <v>0</v>
      </c>
      <c r="I15" s="45"/>
      <c r="J15" s="55">
        <f>ROUND(SUM(J13:J14),5)</f>
        <v>41.2</v>
      </c>
      <c r="K15" s="45"/>
      <c r="L15" s="55">
        <f>ROUND(SUM(L13:L14),5)</f>
        <v>0</v>
      </c>
      <c r="M15" s="45"/>
      <c r="N15" s="55">
        <f>ROUND(SUM(H15:L15),5)</f>
        <v>41.2</v>
      </c>
    </row>
    <row r="16" spans="1:14" ht="30" customHeight="1" thickBot="1" x14ac:dyDescent="0.35">
      <c r="A16" s="43"/>
      <c r="B16" s="43"/>
      <c r="C16" s="43"/>
      <c r="D16" s="43" t="s">
        <v>180</v>
      </c>
      <c r="E16" s="43"/>
      <c r="F16" s="43"/>
      <c r="G16" s="43"/>
      <c r="H16" s="53">
        <f>ROUND(H3+H7+SUM(H11:H12)+H15,5)</f>
        <v>260155.57</v>
      </c>
      <c r="I16" s="45"/>
      <c r="J16" s="53">
        <f>ROUND(J3+J7+SUM(J11:J12)+J15,5)</f>
        <v>286139.96000000002</v>
      </c>
      <c r="K16" s="45"/>
      <c r="L16" s="53">
        <f>ROUND(L3+L7+SUM(L11:L12)+L15,5)</f>
        <v>336945.41</v>
      </c>
      <c r="M16" s="45"/>
      <c r="N16" s="53">
        <f>ROUND(SUM(H16:L16),5)</f>
        <v>883240.94</v>
      </c>
    </row>
    <row r="17" spans="1:14" ht="30" customHeight="1" x14ac:dyDescent="0.3">
      <c r="A17" s="43"/>
      <c r="B17" s="43"/>
      <c r="C17" s="43" t="s">
        <v>181</v>
      </c>
      <c r="D17" s="43"/>
      <c r="E17" s="43"/>
      <c r="F17" s="43"/>
      <c r="G17" s="43"/>
      <c r="H17" s="52">
        <f>H16</f>
        <v>260155.57</v>
      </c>
      <c r="I17" s="45"/>
      <c r="J17" s="52">
        <f>J16</f>
        <v>286139.96000000002</v>
      </c>
      <c r="K17" s="45"/>
      <c r="L17" s="52">
        <f>L16</f>
        <v>336945.41</v>
      </c>
      <c r="M17" s="45"/>
      <c r="N17" s="52">
        <f>ROUND(SUM(H17:L17),5)</f>
        <v>883240.94</v>
      </c>
    </row>
    <row r="18" spans="1:14" ht="30" customHeight="1" x14ac:dyDescent="0.3">
      <c r="A18" s="43"/>
      <c r="B18" s="43"/>
      <c r="C18" s="43"/>
      <c r="D18" s="43" t="s">
        <v>182</v>
      </c>
      <c r="E18" s="43"/>
      <c r="F18" s="43"/>
      <c r="G18" s="43"/>
      <c r="H18" s="52"/>
      <c r="I18" s="45"/>
      <c r="J18" s="52"/>
      <c r="K18" s="45"/>
      <c r="L18" s="52"/>
      <c r="M18" s="45"/>
      <c r="N18" s="52"/>
    </row>
    <row r="19" spans="1:14" x14ac:dyDescent="0.3">
      <c r="A19" s="43"/>
      <c r="B19" s="43"/>
      <c r="C19" s="43"/>
      <c r="D19" s="43"/>
      <c r="E19" s="43" t="s">
        <v>577</v>
      </c>
      <c r="F19" s="43"/>
      <c r="G19" s="43"/>
      <c r="H19" s="52"/>
      <c r="I19" s="45"/>
      <c r="J19" s="52"/>
      <c r="K19" s="45"/>
      <c r="L19" s="52"/>
      <c r="M19" s="45"/>
      <c r="N19" s="52"/>
    </row>
    <row r="20" spans="1:14" x14ac:dyDescent="0.3">
      <c r="A20" s="43"/>
      <c r="B20" s="43"/>
      <c r="C20" s="43"/>
      <c r="D20" s="43"/>
      <c r="E20" s="43"/>
      <c r="F20" s="43" t="s">
        <v>186</v>
      </c>
      <c r="G20" s="43"/>
      <c r="H20" s="52"/>
      <c r="I20" s="45"/>
      <c r="J20" s="52"/>
      <c r="K20" s="45"/>
      <c r="L20" s="52"/>
      <c r="M20" s="45"/>
      <c r="N20" s="52"/>
    </row>
    <row r="21" spans="1:14" x14ac:dyDescent="0.3">
      <c r="A21" s="43"/>
      <c r="B21" s="43"/>
      <c r="C21" s="43"/>
      <c r="D21" s="43"/>
      <c r="E21" s="43"/>
      <c r="F21" s="43"/>
      <c r="G21" s="43" t="s">
        <v>365</v>
      </c>
      <c r="H21" s="52">
        <v>1918.4</v>
      </c>
      <c r="I21" s="45"/>
      <c r="J21" s="52">
        <v>7420.43</v>
      </c>
      <c r="K21" s="45"/>
      <c r="L21" s="52">
        <v>24932.13</v>
      </c>
      <c r="M21" s="45"/>
      <c r="N21" s="52">
        <f t="shared" ref="N21:N28" si="0">ROUND(SUM(H21:L21),5)</f>
        <v>34270.959999999999</v>
      </c>
    </row>
    <row r="22" spans="1:14" ht="15" thickBot="1" x14ac:dyDescent="0.35">
      <c r="A22" s="43"/>
      <c r="B22" s="43"/>
      <c r="C22" s="43"/>
      <c r="D22" s="43"/>
      <c r="E22" s="43"/>
      <c r="F22" s="43"/>
      <c r="G22" s="43" t="s">
        <v>318</v>
      </c>
      <c r="H22" s="54">
        <v>6034.31</v>
      </c>
      <c r="I22" s="45"/>
      <c r="J22" s="54">
        <v>12705.34</v>
      </c>
      <c r="K22" s="45"/>
      <c r="L22" s="54">
        <v>6781.79</v>
      </c>
      <c r="M22" s="45"/>
      <c r="N22" s="54">
        <f t="shared" si="0"/>
        <v>25521.439999999999</v>
      </c>
    </row>
    <row r="23" spans="1:14" x14ac:dyDescent="0.3">
      <c r="A23" s="43"/>
      <c r="B23" s="43"/>
      <c r="C23" s="43"/>
      <c r="D23" s="43"/>
      <c r="E23" s="43"/>
      <c r="F23" s="43" t="s">
        <v>189</v>
      </c>
      <c r="G23" s="43"/>
      <c r="H23" s="52">
        <f>ROUND(SUM(H20:H22),5)</f>
        <v>7952.71</v>
      </c>
      <c r="I23" s="45"/>
      <c r="J23" s="52">
        <f>ROUND(SUM(J20:J22),5)</f>
        <v>20125.77</v>
      </c>
      <c r="K23" s="45"/>
      <c r="L23" s="52">
        <f>ROUND(SUM(L20:L22),5)</f>
        <v>31713.919999999998</v>
      </c>
      <c r="M23" s="45"/>
      <c r="N23" s="52">
        <f t="shared" si="0"/>
        <v>59792.4</v>
      </c>
    </row>
    <row r="24" spans="1:14" ht="30" customHeight="1" x14ac:dyDescent="0.3">
      <c r="A24" s="43"/>
      <c r="B24" s="43"/>
      <c r="C24" s="43"/>
      <c r="D24" s="43"/>
      <c r="E24" s="43"/>
      <c r="F24" s="43" t="s">
        <v>190</v>
      </c>
      <c r="G24" s="43"/>
      <c r="H24" s="52">
        <v>13007.78</v>
      </c>
      <c r="I24" s="45"/>
      <c r="J24" s="52">
        <v>14159.64</v>
      </c>
      <c r="K24" s="45"/>
      <c r="L24" s="52">
        <v>16846.54</v>
      </c>
      <c r="M24" s="45"/>
      <c r="N24" s="52">
        <f t="shared" si="0"/>
        <v>44013.96</v>
      </c>
    </row>
    <row r="25" spans="1:14" x14ac:dyDescent="0.3">
      <c r="A25" s="43"/>
      <c r="B25" s="43"/>
      <c r="C25" s="43"/>
      <c r="D25" s="43"/>
      <c r="E25" s="43"/>
      <c r="F25" s="43" t="s">
        <v>191</v>
      </c>
      <c r="G25" s="43"/>
      <c r="H25" s="52">
        <v>37.049999999999997</v>
      </c>
      <c r="I25" s="45"/>
      <c r="J25" s="52">
        <v>65.650000000000006</v>
      </c>
      <c r="K25" s="45"/>
      <c r="L25" s="52">
        <v>128.16</v>
      </c>
      <c r="M25" s="45"/>
      <c r="N25" s="52">
        <f t="shared" si="0"/>
        <v>230.86</v>
      </c>
    </row>
    <row r="26" spans="1:14" x14ac:dyDescent="0.3">
      <c r="A26" s="43"/>
      <c r="B26" s="43"/>
      <c r="C26" s="43"/>
      <c r="D26" s="43"/>
      <c r="E26" s="43"/>
      <c r="F26" s="43" t="s">
        <v>192</v>
      </c>
      <c r="G26" s="43"/>
      <c r="H26" s="52">
        <v>110.78</v>
      </c>
      <c r="I26" s="45"/>
      <c r="J26" s="52">
        <v>87.64</v>
      </c>
      <c r="K26" s="45"/>
      <c r="L26" s="52">
        <v>78.66</v>
      </c>
      <c r="M26" s="45"/>
      <c r="N26" s="52">
        <f t="shared" si="0"/>
        <v>277.08</v>
      </c>
    </row>
    <row r="27" spans="1:14" x14ac:dyDescent="0.3">
      <c r="A27" s="43"/>
      <c r="B27" s="43"/>
      <c r="C27" s="43"/>
      <c r="D27" s="43"/>
      <c r="E27" s="43"/>
      <c r="F27" s="43" t="s">
        <v>193</v>
      </c>
      <c r="G27" s="43"/>
      <c r="H27" s="52">
        <v>273.22000000000003</v>
      </c>
      <c r="I27" s="45"/>
      <c r="J27" s="52">
        <v>125.12</v>
      </c>
      <c r="K27" s="45"/>
      <c r="L27" s="52">
        <v>0</v>
      </c>
      <c r="M27" s="45"/>
      <c r="N27" s="52">
        <f t="shared" si="0"/>
        <v>398.34</v>
      </c>
    </row>
    <row r="28" spans="1:14" x14ac:dyDescent="0.3">
      <c r="A28" s="43"/>
      <c r="B28" s="43"/>
      <c r="C28" s="43"/>
      <c r="D28" s="43"/>
      <c r="E28" s="43"/>
      <c r="F28" s="43" t="s">
        <v>580</v>
      </c>
      <c r="G28" s="43"/>
      <c r="H28" s="52">
        <v>18</v>
      </c>
      <c r="I28" s="45"/>
      <c r="J28" s="52">
        <v>20</v>
      </c>
      <c r="K28" s="45"/>
      <c r="L28" s="52">
        <v>30</v>
      </c>
      <c r="M28" s="45"/>
      <c r="N28" s="52">
        <f t="shared" si="0"/>
        <v>68</v>
      </c>
    </row>
    <row r="29" spans="1:14" x14ac:dyDescent="0.3">
      <c r="A29" s="43"/>
      <c r="B29" s="43"/>
      <c r="C29" s="43"/>
      <c r="D29" s="43"/>
      <c r="E29" s="43"/>
      <c r="F29" s="43" t="s">
        <v>195</v>
      </c>
      <c r="G29" s="43"/>
      <c r="H29" s="52"/>
      <c r="I29" s="45"/>
      <c r="J29" s="52"/>
      <c r="K29" s="45"/>
      <c r="L29" s="52"/>
      <c r="M29" s="45"/>
      <c r="N29" s="52"/>
    </row>
    <row r="30" spans="1:14" x14ac:dyDescent="0.3">
      <c r="A30" s="43"/>
      <c r="B30" s="43"/>
      <c r="C30" s="43"/>
      <c r="D30" s="43"/>
      <c r="E30" s="43"/>
      <c r="F30" s="43"/>
      <c r="G30" s="43" t="s">
        <v>197</v>
      </c>
      <c r="H30" s="52">
        <v>1046</v>
      </c>
      <c r="I30" s="45"/>
      <c r="J30" s="52">
        <v>770</v>
      </c>
      <c r="K30" s="45"/>
      <c r="L30" s="52">
        <v>800</v>
      </c>
      <c r="M30" s="45"/>
      <c r="N30" s="52">
        <f t="shared" ref="N30:N37" si="1">ROUND(SUM(H30:L30),5)</f>
        <v>2616</v>
      </c>
    </row>
    <row r="31" spans="1:14" x14ac:dyDescent="0.3">
      <c r="A31" s="43"/>
      <c r="B31" s="43"/>
      <c r="C31" s="43"/>
      <c r="D31" s="43"/>
      <c r="E31" s="43"/>
      <c r="F31" s="43"/>
      <c r="G31" s="43" t="s">
        <v>369</v>
      </c>
      <c r="H31" s="52">
        <v>651</v>
      </c>
      <c r="I31" s="45"/>
      <c r="J31" s="52">
        <v>0</v>
      </c>
      <c r="K31" s="45"/>
      <c r="L31" s="52">
        <v>0</v>
      </c>
      <c r="M31" s="45"/>
      <c r="N31" s="52">
        <f t="shared" si="1"/>
        <v>651</v>
      </c>
    </row>
    <row r="32" spans="1:14" x14ac:dyDescent="0.3">
      <c r="A32" s="43"/>
      <c r="B32" s="43"/>
      <c r="C32" s="43"/>
      <c r="D32" s="43"/>
      <c r="E32" s="43"/>
      <c r="F32" s="43"/>
      <c r="G32" s="43" t="s">
        <v>198</v>
      </c>
      <c r="H32" s="52">
        <v>530</v>
      </c>
      <c r="I32" s="45"/>
      <c r="J32" s="52">
        <v>0</v>
      </c>
      <c r="K32" s="45"/>
      <c r="L32" s="52">
        <v>0</v>
      </c>
      <c r="M32" s="45"/>
      <c r="N32" s="52">
        <f t="shared" si="1"/>
        <v>530</v>
      </c>
    </row>
    <row r="33" spans="1:14" ht="15" thickBot="1" x14ac:dyDescent="0.35">
      <c r="A33" s="43"/>
      <c r="B33" s="43"/>
      <c r="C33" s="43"/>
      <c r="D33" s="43"/>
      <c r="E33" s="43"/>
      <c r="F33" s="43"/>
      <c r="G33" s="43" t="s">
        <v>199</v>
      </c>
      <c r="H33" s="54">
        <v>220.68</v>
      </c>
      <c r="I33" s="45"/>
      <c r="J33" s="54">
        <v>184.99</v>
      </c>
      <c r="K33" s="45"/>
      <c r="L33" s="54">
        <v>849</v>
      </c>
      <c r="M33" s="45"/>
      <c r="N33" s="54">
        <f t="shared" si="1"/>
        <v>1254.67</v>
      </c>
    </row>
    <row r="34" spans="1:14" x14ac:dyDescent="0.3">
      <c r="A34" s="43"/>
      <c r="B34" s="43"/>
      <c r="C34" s="43"/>
      <c r="D34" s="43"/>
      <c r="E34" s="43"/>
      <c r="F34" s="43" t="s">
        <v>200</v>
      </c>
      <c r="G34" s="43"/>
      <c r="H34" s="52">
        <f>ROUND(SUM(H29:H33),5)</f>
        <v>2447.6799999999998</v>
      </c>
      <c r="I34" s="45"/>
      <c r="J34" s="52">
        <f>ROUND(SUM(J29:J33),5)</f>
        <v>954.99</v>
      </c>
      <c r="K34" s="45"/>
      <c r="L34" s="52">
        <f>ROUND(SUM(L29:L33),5)</f>
        <v>1649</v>
      </c>
      <c r="M34" s="45"/>
      <c r="N34" s="52">
        <f t="shared" si="1"/>
        <v>5051.67</v>
      </c>
    </row>
    <row r="35" spans="1:14" ht="30" customHeight="1" x14ac:dyDescent="0.3">
      <c r="A35" s="43"/>
      <c r="B35" s="43"/>
      <c r="C35" s="43"/>
      <c r="D35" s="43"/>
      <c r="E35" s="43"/>
      <c r="F35" s="43" t="s">
        <v>320</v>
      </c>
      <c r="G35" s="43"/>
      <c r="H35" s="52">
        <v>0</v>
      </c>
      <c r="I35" s="45"/>
      <c r="J35" s="52">
        <v>22.56</v>
      </c>
      <c r="K35" s="45"/>
      <c r="L35" s="52">
        <v>143.65</v>
      </c>
      <c r="M35" s="45"/>
      <c r="N35" s="52">
        <f t="shared" si="1"/>
        <v>166.21</v>
      </c>
    </row>
    <row r="36" spans="1:14" ht="15" thickBot="1" x14ac:dyDescent="0.35">
      <c r="A36" s="43"/>
      <c r="B36" s="43"/>
      <c r="C36" s="43"/>
      <c r="D36" s="43"/>
      <c r="E36" s="43"/>
      <c r="F36" s="43" t="s">
        <v>201</v>
      </c>
      <c r="G36" s="43"/>
      <c r="H36" s="54">
        <v>0</v>
      </c>
      <c r="I36" s="45"/>
      <c r="J36" s="54">
        <v>204.89</v>
      </c>
      <c r="K36" s="45"/>
      <c r="L36" s="54">
        <v>16.2</v>
      </c>
      <c r="M36" s="45"/>
      <c r="N36" s="54">
        <f t="shared" si="1"/>
        <v>221.09</v>
      </c>
    </row>
    <row r="37" spans="1:14" x14ac:dyDescent="0.3">
      <c r="A37" s="43"/>
      <c r="B37" s="43"/>
      <c r="C37" s="43"/>
      <c r="D37" s="43"/>
      <c r="E37" s="43" t="s">
        <v>582</v>
      </c>
      <c r="F37" s="43"/>
      <c r="G37" s="43"/>
      <c r="H37" s="52">
        <f>ROUND(H19+SUM(H23:H28)+SUM(H34:H36),5)</f>
        <v>23847.22</v>
      </c>
      <c r="I37" s="45"/>
      <c r="J37" s="52">
        <f>ROUND(J19+SUM(J23:J28)+SUM(J34:J36),5)</f>
        <v>35766.26</v>
      </c>
      <c r="K37" s="45"/>
      <c r="L37" s="52">
        <f>ROUND(L19+SUM(L23:L28)+SUM(L34:L36),5)</f>
        <v>50606.13</v>
      </c>
      <c r="M37" s="45"/>
      <c r="N37" s="52">
        <f t="shared" si="1"/>
        <v>110219.61</v>
      </c>
    </row>
    <row r="38" spans="1:14" ht="30" customHeight="1" x14ac:dyDescent="0.3">
      <c r="A38" s="43"/>
      <c r="B38" s="43"/>
      <c r="C38" s="43"/>
      <c r="D38" s="43"/>
      <c r="E38" s="43" t="s">
        <v>203</v>
      </c>
      <c r="F38" s="43"/>
      <c r="G38" s="43"/>
      <c r="H38" s="52"/>
      <c r="I38" s="45"/>
      <c r="J38" s="52"/>
      <c r="K38" s="45"/>
      <c r="L38" s="52"/>
      <c r="M38" s="45"/>
      <c r="N38" s="52"/>
    </row>
    <row r="39" spans="1:14" x14ac:dyDescent="0.3">
      <c r="A39" s="43"/>
      <c r="B39" s="43"/>
      <c r="C39" s="43"/>
      <c r="D39" s="43"/>
      <c r="E39" s="43"/>
      <c r="F39" s="43" t="s">
        <v>683</v>
      </c>
      <c r="G39" s="43"/>
      <c r="H39" s="52"/>
      <c r="I39" s="45"/>
      <c r="J39" s="52"/>
      <c r="K39" s="45"/>
      <c r="L39" s="52"/>
      <c r="M39" s="45"/>
      <c r="N39" s="52"/>
    </row>
    <row r="40" spans="1:14" x14ac:dyDescent="0.3">
      <c r="A40" s="43"/>
      <c r="B40" s="43"/>
      <c r="C40" s="43"/>
      <c r="D40" s="43"/>
      <c r="E40" s="43"/>
      <c r="F40" s="43"/>
      <c r="G40" s="43" t="s">
        <v>684</v>
      </c>
      <c r="H40" s="52">
        <v>38748.07</v>
      </c>
      <c r="I40" s="45"/>
      <c r="J40" s="52">
        <v>42576.43</v>
      </c>
      <c r="K40" s="45"/>
      <c r="L40" s="52">
        <v>54196.94</v>
      </c>
      <c r="M40" s="45"/>
      <c r="N40" s="52">
        <f>ROUND(SUM(H40:L40),5)</f>
        <v>135521.44</v>
      </c>
    </row>
    <row r="41" spans="1:14" x14ac:dyDescent="0.3">
      <c r="A41" s="43"/>
      <c r="B41" s="43"/>
      <c r="C41" s="43"/>
      <c r="D41" s="43"/>
      <c r="E41" s="43"/>
      <c r="F41" s="43"/>
      <c r="G41" s="43" t="s">
        <v>685</v>
      </c>
      <c r="H41" s="52">
        <v>3461.22</v>
      </c>
      <c r="I41" s="45"/>
      <c r="J41" s="52">
        <v>5040.78</v>
      </c>
      <c r="K41" s="45"/>
      <c r="L41" s="52">
        <v>16404.14</v>
      </c>
      <c r="M41" s="45"/>
      <c r="N41" s="52">
        <f>ROUND(SUM(H41:L41),5)</f>
        <v>24906.14</v>
      </c>
    </row>
    <row r="42" spans="1:14" ht="15" thickBot="1" x14ac:dyDescent="0.35">
      <c r="A42" s="43"/>
      <c r="B42" s="43"/>
      <c r="C42" s="43"/>
      <c r="D42" s="43"/>
      <c r="E42" s="43"/>
      <c r="F42" s="43"/>
      <c r="G42" s="43" t="s">
        <v>686</v>
      </c>
      <c r="H42" s="54">
        <v>0</v>
      </c>
      <c r="I42" s="45"/>
      <c r="J42" s="54">
        <v>0</v>
      </c>
      <c r="K42" s="45"/>
      <c r="L42" s="54">
        <v>-413.6</v>
      </c>
      <c r="M42" s="45"/>
      <c r="N42" s="54">
        <f>ROUND(SUM(H42:L42),5)</f>
        <v>-413.6</v>
      </c>
    </row>
    <row r="43" spans="1:14" x14ac:dyDescent="0.3">
      <c r="A43" s="43"/>
      <c r="B43" s="43"/>
      <c r="C43" s="43"/>
      <c r="D43" s="43"/>
      <c r="E43" s="43"/>
      <c r="F43" s="43" t="s">
        <v>687</v>
      </c>
      <c r="G43" s="43"/>
      <c r="H43" s="52">
        <f>ROUND(SUM(H39:H42),5)</f>
        <v>42209.29</v>
      </c>
      <c r="I43" s="45"/>
      <c r="J43" s="52">
        <f>ROUND(SUM(J39:J42),5)</f>
        <v>47617.21</v>
      </c>
      <c r="K43" s="45"/>
      <c r="L43" s="52">
        <f>ROUND(SUM(L39:L42),5)</f>
        <v>70187.48</v>
      </c>
      <c r="M43" s="45"/>
      <c r="N43" s="52">
        <f>ROUND(SUM(H43:L43),5)</f>
        <v>160013.98000000001</v>
      </c>
    </row>
    <row r="44" spans="1:14" ht="30" customHeight="1" x14ac:dyDescent="0.3">
      <c r="A44" s="43"/>
      <c r="B44" s="43"/>
      <c r="C44" s="43"/>
      <c r="D44" s="43"/>
      <c r="E44" s="43"/>
      <c r="F44" s="43" t="s">
        <v>204</v>
      </c>
      <c r="G44" s="43"/>
      <c r="H44" s="52"/>
      <c r="I44" s="45"/>
      <c r="J44" s="52"/>
      <c r="K44" s="45"/>
      <c r="L44" s="52"/>
      <c r="M44" s="45"/>
      <c r="N44" s="52"/>
    </row>
    <row r="45" spans="1:14" x14ac:dyDescent="0.3">
      <c r="A45" s="43"/>
      <c r="B45" s="43"/>
      <c r="C45" s="43"/>
      <c r="D45" s="43"/>
      <c r="E45" s="43"/>
      <c r="F45" s="43"/>
      <c r="G45" s="43" t="s">
        <v>688</v>
      </c>
      <c r="H45" s="52">
        <v>425.52</v>
      </c>
      <c r="I45" s="45"/>
      <c r="J45" s="52">
        <v>426.57</v>
      </c>
      <c r="K45" s="45"/>
      <c r="L45" s="52">
        <v>448.98</v>
      </c>
      <c r="M45" s="45"/>
      <c r="N45" s="52">
        <f>ROUND(SUM(H45:L45),5)</f>
        <v>1301.07</v>
      </c>
    </row>
    <row r="46" spans="1:14" ht="15" thickBot="1" x14ac:dyDescent="0.35">
      <c r="A46" s="43"/>
      <c r="B46" s="43"/>
      <c r="C46" s="43"/>
      <c r="D46" s="43"/>
      <c r="E46" s="43"/>
      <c r="F46" s="43"/>
      <c r="G46" s="43" t="s">
        <v>466</v>
      </c>
      <c r="H46" s="54">
        <v>568.41999999999996</v>
      </c>
      <c r="I46" s="45"/>
      <c r="J46" s="54">
        <v>621.02</v>
      </c>
      <c r="K46" s="45"/>
      <c r="L46" s="54">
        <v>669.51</v>
      </c>
      <c r="M46" s="45"/>
      <c r="N46" s="54">
        <f>ROUND(SUM(H46:L46),5)</f>
        <v>1858.95</v>
      </c>
    </row>
    <row r="47" spans="1:14" x14ac:dyDescent="0.3">
      <c r="A47" s="43"/>
      <c r="B47" s="43"/>
      <c r="C47" s="43"/>
      <c r="D47" s="43"/>
      <c r="E47" s="43"/>
      <c r="F47" s="43" t="s">
        <v>467</v>
      </c>
      <c r="G47" s="43"/>
      <c r="H47" s="52">
        <f>ROUND(SUM(H44:H46),5)</f>
        <v>993.94</v>
      </c>
      <c r="I47" s="45"/>
      <c r="J47" s="52">
        <f>ROUND(SUM(J44:J46),5)</f>
        <v>1047.5899999999999</v>
      </c>
      <c r="K47" s="45"/>
      <c r="L47" s="52">
        <f>ROUND(SUM(L44:L46),5)</f>
        <v>1118.49</v>
      </c>
      <c r="M47" s="45"/>
      <c r="N47" s="52">
        <f>ROUND(SUM(H47:L47),5)</f>
        <v>3160.02</v>
      </c>
    </row>
    <row r="48" spans="1:14" ht="30" customHeight="1" x14ac:dyDescent="0.3">
      <c r="A48" s="43"/>
      <c r="B48" s="43"/>
      <c r="C48" s="43"/>
      <c r="D48" s="43"/>
      <c r="E48" s="43"/>
      <c r="F48" s="43" t="s">
        <v>211</v>
      </c>
      <c r="G48" s="43"/>
      <c r="H48" s="52"/>
      <c r="I48" s="45"/>
      <c r="J48" s="52"/>
      <c r="K48" s="45"/>
      <c r="L48" s="52"/>
      <c r="M48" s="45"/>
      <c r="N48" s="52"/>
    </row>
    <row r="49" spans="1:14" x14ac:dyDescent="0.3">
      <c r="A49" s="43"/>
      <c r="B49" s="43"/>
      <c r="C49" s="43"/>
      <c r="D49" s="43"/>
      <c r="E49" s="43"/>
      <c r="F49" s="43"/>
      <c r="G49" s="43" t="s">
        <v>689</v>
      </c>
      <c r="H49" s="52">
        <v>699.33</v>
      </c>
      <c r="I49" s="45"/>
      <c r="J49" s="52">
        <v>1119.8699999999999</v>
      </c>
      <c r="K49" s="45"/>
      <c r="L49" s="52">
        <v>1788.67</v>
      </c>
      <c r="M49" s="45"/>
      <c r="N49" s="52">
        <f t="shared" ref="N49:N55" si="2">ROUND(SUM(H49:L49),5)</f>
        <v>3607.87</v>
      </c>
    </row>
    <row r="50" spans="1:14" x14ac:dyDescent="0.3">
      <c r="A50" s="43"/>
      <c r="B50" s="43"/>
      <c r="C50" s="43"/>
      <c r="D50" s="43"/>
      <c r="E50" s="43"/>
      <c r="F50" s="43"/>
      <c r="G50" s="43" t="s">
        <v>690</v>
      </c>
      <c r="H50" s="52">
        <v>526.61</v>
      </c>
      <c r="I50" s="45"/>
      <c r="J50" s="52">
        <v>977.02</v>
      </c>
      <c r="K50" s="45"/>
      <c r="L50" s="52">
        <v>1129.68</v>
      </c>
      <c r="M50" s="45"/>
      <c r="N50" s="52">
        <f t="shared" si="2"/>
        <v>2633.31</v>
      </c>
    </row>
    <row r="51" spans="1:14" x14ac:dyDescent="0.3">
      <c r="A51" s="43"/>
      <c r="B51" s="43"/>
      <c r="C51" s="43"/>
      <c r="D51" s="43"/>
      <c r="E51" s="43"/>
      <c r="F51" s="43"/>
      <c r="G51" s="43" t="s">
        <v>691</v>
      </c>
      <c r="H51" s="52">
        <v>401.46</v>
      </c>
      <c r="I51" s="45"/>
      <c r="J51" s="52">
        <v>633.5</v>
      </c>
      <c r="K51" s="45"/>
      <c r="L51" s="52">
        <v>832.2</v>
      </c>
      <c r="M51" s="45"/>
      <c r="N51" s="52">
        <f t="shared" si="2"/>
        <v>1867.16</v>
      </c>
    </row>
    <row r="52" spans="1:14" x14ac:dyDescent="0.3">
      <c r="A52" s="43"/>
      <c r="B52" s="43"/>
      <c r="C52" s="43"/>
      <c r="D52" s="43"/>
      <c r="E52" s="43"/>
      <c r="F52" s="43"/>
      <c r="G52" s="43" t="s">
        <v>692</v>
      </c>
      <c r="H52" s="52">
        <v>463.99</v>
      </c>
      <c r="I52" s="45"/>
      <c r="J52" s="52">
        <v>884.02</v>
      </c>
      <c r="K52" s="45"/>
      <c r="L52" s="52">
        <v>986</v>
      </c>
      <c r="M52" s="45"/>
      <c r="N52" s="52">
        <f t="shared" si="2"/>
        <v>2334.0100000000002</v>
      </c>
    </row>
    <row r="53" spans="1:14" ht="15" thickBot="1" x14ac:dyDescent="0.35">
      <c r="A53" s="43"/>
      <c r="B53" s="43"/>
      <c r="C53" s="43"/>
      <c r="D53" s="43"/>
      <c r="E53" s="43"/>
      <c r="F53" s="43"/>
      <c r="G53" s="43" t="s">
        <v>686</v>
      </c>
      <c r="H53" s="52">
        <v>0</v>
      </c>
      <c r="I53" s="45"/>
      <c r="J53" s="52">
        <v>0</v>
      </c>
      <c r="K53" s="45"/>
      <c r="L53" s="52">
        <v>-84</v>
      </c>
      <c r="M53" s="45"/>
      <c r="N53" s="52">
        <f t="shared" si="2"/>
        <v>-84</v>
      </c>
    </row>
    <row r="54" spans="1:14" ht="15" thickBot="1" x14ac:dyDescent="0.35">
      <c r="A54" s="43"/>
      <c r="B54" s="43"/>
      <c r="C54" s="43"/>
      <c r="D54" s="43"/>
      <c r="E54" s="43"/>
      <c r="F54" s="43" t="s">
        <v>329</v>
      </c>
      <c r="G54" s="43"/>
      <c r="H54" s="53">
        <f>ROUND(SUM(H48:H53),5)</f>
        <v>2091.39</v>
      </c>
      <c r="I54" s="45"/>
      <c r="J54" s="53">
        <f>ROUND(SUM(J48:J53),5)</f>
        <v>3614.41</v>
      </c>
      <c r="K54" s="45"/>
      <c r="L54" s="53">
        <f>ROUND(SUM(L48:L53),5)</f>
        <v>4652.55</v>
      </c>
      <c r="M54" s="45"/>
      <c r="N54" s="53">
        <f t="shared" si="2"/>
        <v>10358.35</v>
      </c>
    </row>
    <row r="55" spans="1:14" ht="30" customHeight="1" x14ac:dyDescent="0.3">
      <c r="A55" s="43"/>
      <c r="B55" s="43"/>
      <c r="C55" s="43"/>
      <c r="D55" s="43"/>
      <c r="E55" s="43" t="s">
        <v>213</v>
      </c>
      <c r="F55" s="43"/>
      <c r="G55" s="43"/>
      <c r="H55" s="52">
        <f>ROUND(H38+H43+H47+H54,5)</f>
        <v>45294.62</v>
      </c>
      <c r="I55" s="45"/>
      <c r="J55" s="52">
        <f>ROUND(J38+J43+J47+J54,5)</f>
        <v>52279.21</v>
      </c>
      <c r="K55" s="45"/>
      <c r="L55" s="52">
        <f>ROUND(L38+L43+L47+L54,5)</f>
        <v>75958.52</v>
      </c>
      <c r="M55" s="45"/>
      <c r="N55" s="52">
        <f t="shared" si="2"/>
        <v>173532.35</v>
      </c>
    </row>
    <row r="56" spans="1:14" ht="30" customHeight="1" x14ac:dyDescent="0.3">
      <c r="A56" s="43"/>
      <c r="B56" s="43"/>
      <c r="C56" s="43"/>
      <c r="D56" s="43"/>
      <c r="E56" s="43" t="s">
        <v>693</v>
      </c>
      <c r="F56" s="43"/>
      <c r="G56" s="43"/>
      <c r="H56" s="52"/>
      <c r="I56" s="45"/>
      <c r="J56" s="52"/>
      <c r="K56" s="45"/>
      <c r="L56" s="52"/>
      <c r="M56" s="45"/>
      <c r="N56" s="52"/>
    </row>
    <row r="57" spans="1:14" x14ac:dyDescent="0.3">
      <c r="A57" s="43"/>
      <c r="B57" s="43"/>
      <c r="C57" s="43"/>
      <c r="D57" s="43"/>
      <c r="E57" s="43"/>
      <c r="F57" s="43" t="s">
        <v>694</v>
      </c>
      <c r="G57" s="43"/>
      <c r="H57" s="52"/>
      <c r="I57" s="45"/>
      <c r="J57" s="52"/>
      <c r="K57" s="45"/>
      <c r="L57" s="52"/>
      <c r="M57" s="45"/>
      <c r="N57" s="52"/>
    </row>
    <row r="58" spans="1:14" x14ac:dyDescent="0.3">
      <c r="A58" s="43"/>
      <c r="B58" s="43"/>
      <c r="C58" s="43"/>
      <c r="D58" s="43"/>
      <c r="E58" s="43"/>
      <c r="F58" s="43"/>
      <c r="G58" s="43" t="s">
        <v>695</v>
      </c>
      <c r="H58" s="52">
        <v>0</v>
      </c>
      <c r="I58" s="45"/>
      <c r="J58" s="52">
        <v>0</v>
      </c>
      <c r="K58" s="45"/>
      <c r="L58" s="52">
        <v>43.75</v>
      </c>
      <c r="M58" s="45"/>
      <c r="N58" s="52">
        <f>ROUND(SUM(H58:L58),5)</f>
        <v>43.75</v>
      </c>
    </row>
    <row r="59" spans="1:14" x14ac:dyDescent="0.3">
      <c r="A59" s="43"/>
      <c r="B59" s="43"/>
      <c r="C59" s="43"/>
      <c r="D59" s="43"/>
      <c r="E59" s="43"/>
      <c r="F59" s="43"/>
      <c r="G59" s="43" t="s">
        <v>229</v>
      </c>
      <c r="H59" s="52">
        <v>942</v>
      </c>
      <c r="I59" s="45"/>
      <c r="J59" s="52">
        <v>960</v>
      </c>
      <c r="K59" s="45"/>
      <c r="L59" s="52">
        <v>1020</v>
      </c>
      <c r="M59" s="45"/>
      <c r="N59" s="52">
        <f>ROUND(SUM(H59:L59),5)</f>
        <v>2922</v>
      </c>
    </row>
    <row r="60" spans="1:14" x14ac:dyDescent="0.3">
      <c r="A60" s="43"/>
      <c r="B60" s="43"/>
      <c r="C60" s="43"/>
      <c r="D60" s="43"/>
      <c r="E60" s="43"/>
      <c r="F60" s="43"/>
      <c r="G60" s="43" t="s">
        <v>696</v>
      </c>
      <c r="H60" s="52">
        <v>625</v>
      </c>
      <c r="I60" s="45"/>
      <c r="J60" s="52">
        <v>721.25</v>
      </c>
      <c r="K60" s="45"/>
      <c r="L60" s="52">
        <v>988.75</v>
      </c>
      <c r="M60" s="45"/>
      <c r="N60" s="52">
        <f>ROUND(SUM(H60:L60),5)</f>
        <v>2335</v>
      </c>
    </row>
    <row r="61" spans="1:14" ht="15" thickBot="1" x14ac:dyDescent="0.35">
      <c r="A61" s="43"/>
      <c r="B61" s="43"/>
      <c r="C61" s="43"/>
      <c r="D61" s="43"/>
      <c r="E61" s="43"/>
      <c r="F61" s="43"/>
      <c r="G61" s="43" t="s">
        <v>695</v>
      </c>
      <c r="H61" s="54">
        <v>0</v>
      </c>
      <c r="I61" s="45"/>
      <c r="J61" s="54">
        <v>104</v>
      </c>
      <c r="K61" s="45"/>
      <c r="L61" s="54">
        <v>0</v>
      </c>
      <c r="M61" s="45"/>
      <c r="N61" s="54">
        <f>ROUND(SUM(H61:L61),5)</f>
        <v>104</v>
      </c>
    </row>
    <row r="62" spans="1:14" x14ac:dyDescent="0.3">
      <c r="A62" s="43"/>
      <c r="B62" s="43"/>
      <c r="C62" s="43"/>
      <c r="D62" s="43"/>
      <c r="E62" s="43"/>
      <c r="F62" s="43" t="s">
        <v>697</v>
      </c>
      <c r="G62" s="43"/>
      <c r="H62" s="52">
        <f>ROUND(SUM(H57:H61),5)</f>
        <v>1567</v>
      </c>
      <c r="I62" s="45"/>
      <c r="J62" s="52">
        <f>ROUND(SUM(J57:J61),5)</f>
        <v>1785.25</v>
      </c>
      <c r="K62" s="45"/>
      <c r="L62" s="52">
        <f>ROUND(SUM(L57:L61),5)</f>
        <v>2052.5</v>
      </c>
      <c r="M62" s="45"/>
      <c r="N62" s="52">
        <f>ROUND(SUM(H62:L62),5)</f>
        <v>5404.75</v>
      </c>
    </row>
    <row r="63" spans="1:14" ht="30" customHeight="1" x14ac:dyDescent="0.3">
      <c r="A63" s="43"/>
      <c r="B63" s="43"/>
      <c r="C63" s="43"/>
      <c r="D63" s="43"/>
      <c r="E63" s="43"/>
      <c r="F63" s="43" t="s">
        <v>233</v>
      </c>
      <c r="G63" s="43"/>
      <c r="H63" s="52"/>
      <c r="I63" s="45"/>
      <c r="J63" s="52"/>
      <c r="K63" s="45"/>
      <c r="L63" s="52"/>
      <c r="M63" s="45"/>
      <c r="N63" s="52"/>
    </row>
    <row r="64" spans="1:14" x14ac:dyDescent="0.3">
      <c r="A64" s="43"/>
      <c r="B64" s="43"/>
      <c r="C64" s="43"/>
      <c r="D64" s="43"/>
      <c r="E64" s="43"/>
      <c r="F64" s="43"/>
      <c r="G64" s="43" t="s">
        <v>234</v>
      </c>
      <c r="H64" s="52">
        <v>0</v>
      </c>
      <c r="I64" s="45"/>
      <c r="J64" s="52">
        <v>0</v>
      </c>
      <c r="K64" s="45"/>
      <c r="L64" s="52">
        <v>140</v>
      </c>
      <c r="M64" s="45"/>
      <c r="N64" s="52">
        <f>ROUND(SUM(H64:L64),5)</f>
        <v>140</v>
      </c>
    </row>
    <row r="65" spans="1:14" x14ac:dyDescent="0.3">
      <c r="A65" s="43"/>
      <c r="B65" s="43"/>
      <c r="C65" s="43"/>
      <c r="D65" s="43"/>
      <c r="E65" s="43"/>
      <c r="F65" s="43"/>
      <c r="G65" s="43" t="s">
        <v>235</v>
      </c>
      <c r="H65" s="52">
        <v>0</v>
      </c>
      <c r="I65" s="45"/>
      <c r="J65" s="52">
        <v>31.25</v>
      </c>
      <c r="K65" s="45"/>
      <c r="L65" s="52">
        <v>116.8</v>
      </c>
      <c r="M65" s="45"/>
      <c r="N65" s="52">
        <f>ROUND(SUM(H65:L65),5)</f>
        <v>148.05000000000001</v>
      </c>
    </row>
    <row r="66" spans="1:14" ht="15" thickBot="1" x14ac:dyDescent="0.35">
      <c r="A66" s="43"/>
      <c r="B66" s="43"/>
      <c r="C66" s="43"/>
      <c r="D66" s="43"/>
      <c r="E66" s="43"/>
      <c r="F66" s="43"/>
      <c r="G66" s="43" t="s">
        <v>236</v>
      </c>
      <c r="H66" s="54">
        <v>895.75</v>
      </c>
      <c r="I66" s="45"/>
      <c r="J66" s="54">
        <v>171</v>
      </c>
      <c r="K66" s="45"/>
      <c r="L66" s="54">
        <v>2237</v>
      </c>
      <c r="M66" s="45"/>
      <c r="N66" s="54">
        <f>ROUND(SUM(H66:L66),5)</f>
        <v>3303.75</v>
      </c>
    </row>
    <row r="67" spans="1:14" x14ac:dyDescent="0.3">
      <c r="A67" s="43"/>
      <c r="B67" s="43"/>
      <c r="C67" s="43"/>
      <c r="D67" s="43"/>
      <c r="E67" s="43"/>
      <c r="F67" s="43" t="s">
        <v>237</v>
      </c>
      <c r="G67" s="43"/>
      <c r="H67" s="52">
        <f>ROUND(SUM(H63:H66),5)</f>
        <v>895.75</v>
      </c>
      <c r="I67" s="45"/>
      <c r="J67" s="52">
        <f>ROUND(SUM(J63:J66),5)</f>
        <v>202.25</v>
      </c>
      <c r="K67" s="45"/>
      <c r="L67" s="52">
        <f>ROUND(SUM(L63:L66),5)</f>
        <v>2493.8000000000002</v>
      </c>
      <c r="M67" s="45"/>
      <c r="N67" s="52">
        <f>ROUND(SUM(H67:L67),5)</f>
        <v>3591.8</v>
      </c>
    </row>
    <row r="68" spans="1:14" ht="30" customHeight="1" x14ac:dyDescent="0.3">
      <c r="A68" s="43"/>
      <c r="B68" s="43"/>
      <c r="C68" s="43"/>
      <c r="D68" s="43"/>
      <c r="E68" s="43"/>
      <c r="F68" s="43" t="s">
        <v>238</v>
      </c>
      <c r="G68" s="43"/>
      <c r="H68" s="52"/>
      <c r="I68" s="45"/>
      <c r="J68" s="52"/>
      <c r="K68" s="45"/>
      <c r="L68" s="52"/>
      <c r="M68" s="45"/>
      <c r="N68" s="52"/>
    </row>
    <row r="69" spans="1:14" x14ac:dyDescent="0.3">
      <c r="A69" s="43"/>
      <c r="B69" s="43"/>
      <c r="C69" s="43"/>
      <c r="D69" s="43"/>
      <c r="E69" s="43"/>
      <c r="F69" s="43"/>
      <c r="G69" s="43" t="s">
        <v>337</v>
      </c>
      <c r="H69" s="52">
        <v>43.75</v>
      </c>
      <c r="I69" s="45"/>
      <c r="J69" s="52">
        <v>281.25</v>
      </c>
      <c r="K69" s="45"/>
      <c r="L69" s="52">
        <v>105</v>
      </c>
      <c r="M69" s="45"/>
      <c r="N69" s="52">
        <f>ROUND(SUM(H69:L69),5)</f>
        <v>430</v>
      </c>
    </row>
    <row r="70" spans="1:14" x14ac:dyDescent="0.3">
      <c r="A70" s="43"/>
      <c r="B70" s="43"/>
      <c r="C70" s="43"/>
      <c r="D70" s="43"/>
      <c r="E70" s="43"/>
      <c r="F70" s="43"/>
      <c r="G70" s="43" t="s">
        <v>239</v>
      </c>
      <c r="H70" s="52">
        <v>97.36</v>
      </c>
      <c r="I70" s="45"/>
      <c r="J70" s="52">
        <v>0</v>
      </c>
      <c r="K70" s="45"/>
      <c r="L70" s="52">
        <v>0</v>
      </c>
      <c r="M70" s="45"/>
      <c r="N70" s="52">
        <f>ROUND(SUM(H70:L70),5)</f>
        <v>97.36</v>
      </c>
    </row>
    <row r="71" spans="1:14" ht="15" thickBot="1" x14ac:dyDescent="0.35">
      <c r="A71" s="43"/>
      <c r="B71" s="43"/>
      <c r="C71" s="43"/>
      <c r="D71" s="43"/>
      <c r="E71" s="43"/>
      <c r="F71" s="43"/>
      <c r="G71" s="43" t="s">
        <v>240</v>
      </c>
      <c r="H71" s="54">
        <v>0</v>
      </c>
      <c r="I71" s="45"/>
      <c r="J71" s="54">
        <v>0</v>
      </c>
      <c r="K71" s="45"/>
      <c r="L71" s="54">
        <v>80</v>
      </c>
      <c r="M71" s="45"/>
      <c r="N71" s="54">
        <f>ROUND(SUM(H71:L71),5)</f>
        <v>80</v>
      </c>
    </row>
    <row r="72" spans="1:14" x14ac:dyDescent="0.3">
      <c r="A72" s="43"/>
      <c r="B72" s="43"/>
      <c r="C72" s="43"/>
      <c r="D72" s="43"/>
      <c r="E72" s="43"/>
      <c r="F72" s="43" t="s">
        <v>241</v>
      </c>
      <c r="G72" s="43"/>
      <c r="H72" s="52">
        <f>ROUND(SUM(H68:H71),5)</f>
        <v>141.11000000000001</v>
      </c>
      <c r="I72" s="45"/>
      <c r="J72" s="52">
        <f>ROUND(SUM(J68:J71),5)</f>
        <v>281.25</v>
      </c>
      <c r="K72" s="45"/>
      <c r="L72" s="52">
        <f>ROUND(SUM(L68:L71),5)</f>
        <v>185</v>
      </c>
      <c r="M72" s="45"/>
      <c r="N72" s="52">
        <f>ROUND(SUM(H72:L72),5)</f>
        <v>607.36</v>
      </c>
    </row>
    <row r="73" spans="1:14" ht="30" customHeight="1" x14ac:dyDescent="0.3">
      <c r="A73" s="43"/>
      <c r="B73" s="43"/>
      <c r="C73" s="43"/>
      <c r="D73" s="43"/>
      <c r="E73" s="43"/>
      <c r="F73" s="43" t="s">
        <v>242</v>
      </c>
      <c r="G73" s="43"/>
      <c r="H73" s="52"/>
      <c r="I73" s="45"/>
      <c r="J73" s="52"/>
      <c r="K73" s="45"/>
      <c r="L73" s="52"/>
      <c r="M73" s="45"/>
      <c r="N73" s="52"/>
    </row>
    <row r="74" spans="1:14" ht="15" thickBot="1" x14ac:dyDescent="0.35">
      <c r="A74" s="43"/>
      <c r="B74" s="43"/>
      <c r="C74" s="43"/>
      <c r="D74" s="43"/>
      <c r="E74" s="43"/>
      <c r="F74" s="43"/>
      <c r="G74" s="43" t="s">
        <v>338</v>
      </c>
      <c r="H74" s="54">
        <v>506.25</v>
      </c>
      <c r="I74" s="45"/>
      <c r="J74" s="54">
        <v>858.75</v>
      </c>
      <c r="K74" s="45"/>
      <c r="L74" s="54">
        <v>1618.75</v>
      </c>
      <c r="M74" s="45"/>
      <c r="N74" s="54">
        <f>ROUND(SUM(H74:L74),5)</f>
        <v>2983.75</v>
      </c>
    </row>
    <row r="75" spans="1:14" x14ac:dyDescent="0.3">
      <c r="A75" s="43"/>
      <c r="B75" s="43"/>
      <c r="C75" s="43"/>
      <c r="D75" s="43"/>
      <c r="E75" s="43"/>
      <c r="F75" s="43" t="s">
        <v>244</v>
      </c>
      <c r="G75" s="43"/>
      <c r="H75" s="52">
        <f>ROUND(SUM(H73:H74),5)</f>
        <v>506.25</v>
      </c>
      <c r="I75" s="45"/>
      <c r="J75" s="52">
        <f>ROUND(SUM(J73:J74),5)</f>
        <v>858.75</v>
      </c>
      <c r="K75" s="45"/>
      <c r="L75" s="52">
        <f>ROUND(SUM(L73:L74),5)</f>
        <v>1618.75</v>
      </c>
      <c r="M75" s="45"/>
      <c r="N75" s="52">
        <f>ROUND(SUM(H75:L75),5)</f>
        <v>2983.75</v>
      </c>
    </row>
    <row r="76" spans="1:14" ht="30" customHeight="1" x14ac:dyDescent="0.3">
      <c r="A76" s="43"/>
      <c r="B76" s="43"/>
      <c r="C76" s="43"/>
      <c r="D76" s="43"/>
      <c r="E76" s="43"/>
      <c r="F76" s="43" t="s">
        <v>245</v>
      </c>
      <c r="G76" s="43"/>
      <c r="H76" s="52">
        <v>1146.96</v>
      </c>
      <c r="I76" s="45"/>
      <c r="J76" s="52">
        <v>1281.51</v>
      </c>
      <c r="K76" s="45"/>
      <c r="L76" s="52">
        <v>1326.56</v>
      </c>
      <c r="M76" s="45"/>
      <c r="N76" s="52">
        <f>ROUND(SUM(H76:L76),5)</f>
        <v>3755.03</v>
      </c>
    </row>
    <row r="77" spans="1:14" x14ac:dyDescent="0.3">
      <c r="A77" s="43"/>
      <c r="B77" s="43"/>
      <c r="C77" s="43"/>
      <c r="D77" s="43"/>
      <c r="E77" s="43"/>
      <c r="F77" s="43" t="s">
        <v>489</v>
      </c>
      <c r="G77" s="43"/>
      <c r="H77" s="52"/>
      <c r="I77" s="45"/>
      <c r="J77" s="52"/>
      <c r="K77" s="45"/>
      <c r="L77" s="52"/>
      <c r="M77" s="45"/>
      <c r="N77" s="52"/>
    </row>
    <row r="78" spans="1:14" x14ac:dyDescent="0.3">
      <c r="A78" s="43"/>
      <c r="B78" s="43"/>
      <c r="C78" s="43"/>
      <c r="D78" s="43"/>
      <c r="E78" s="43"/>
      <c r="F78" s="43"/>
      <c r="G78" s="43" t="s">
        <v>698</v>
      </c>
      <c r="H78" s="52">
        <v>0</v>
      </c>
      <c r="I78" s="45"/>
      <c r="J78" s="52">
        <v>0</v>
      </c>
      <c r="K78" s="45"/>
      <c r="L78" s="52">
        <v>1428.36</v>
      </c>
      <c r="M78" s="45"/>
      <c r="N78" s="52">
        <f>ROUND(SUM(H78:L78),5)</f>
        <v>1428.36</v>
      </c>
    </row>
    <row r="79" spans="1:14" x14ac:dyDescent="0.3">
      <c r="A79" s="43"/>
      <c r="B79" s="43"/>
      <c r="C79" s="43"/>
      <c r="D79" s="43"/>
      <c r="E79" s="43"/>
      <c r="F79" s="43"/>
      <c r="G79" s="43" t="s">
        <v>490</v>
      </c>
      <c r="H79" s="52">
        <v>118.75</v>
      </c>
      <c r="I79" s="45"/>
      <c r="J79" s="52">
        <v>19.25</v>
      </c>
      <c r="K79" s="45"/>
      <c r="L79" s="52">
        <v>175</v>
      </c>
      <c r="M79" s="45"/>
      <c r="N79" s="52">
        <f>ROUND(SUM(H79:L79),5)</f>
        <v>313</v>
      </c>
    </row>
    <row r="80" spans="1:14" x14ac:dyDescent="0.3">
      <c r="A80" s="43"/>
      <c r="B80" s="43"/>
      <c r="C80" s="43"/>
      <c r="D80" s="43"/>
      <c r="E80" s="43"/>
      <c r="F80" s="43"/>
      <c r="G80" s="43" t="s">
        <v>247</v>
      </c>
      <c r="H80" s="52">
        <v>230.83</v>
      </c>
      <c r="I80" s="45"/>
      <c r="J80" s="52">
        <v>295.93</v>
      </c>
      <c r="K80" s="45"/>
      <c r="L80" s="52">
        <v>392.29</v>
      </c>
      <c r="M80" s="45"/>
      <c r="N80" s="52">
        <f>ROUND(SUM(H80:L80),5)</f>
        <v>919.05</v>
      </c>
    </row>
    <row r="81" spans="1:14" ht="15" thickBot="1" x14ac:dyDescent="0.35">
      <c r="A81" s="43"/>
      <c r="B81" s="43"/>
      <c r="C81" s="43"/>
      <c r="D81" s="43"/>
      <c r="E81" s="43"/>
      <c r="F81" s="43"/>
      <c r="G81" s="43" t="s">
        <v>491</v>
      </c>
      <c r="H81" s="54">
        <v>4757.1000000000004</v>
      </c>
      <c r="I81" s="45"/>
      <c r="J81" s="54">
        <v>3977.02</v>
      </c>
      <c r="K81" s="45"/>
      <c r="L81" s="54">
        <v>10576.14</v>
      </c>
      <c r="M81" s="45"/>
      <c r="N81" s="54">
        <f>ROUND(SUM(H81:L81),5)</f>
        <v>19310.259999999998</v>
      </c>
    </row>
    <row r="82" spans="1:14" x14ac:dyDescent="0.3">
      <c r="A82" s="43"/>
      <c r="B82" s="43"/>
      <c r="C82" s="43"/>
      <c r="D82" s="43"/>
      <c r="E82" s="43"/>
      <c r="F82" s="43" t="s">
        <v>492</v>
      </c>
      <c r="G82" s="43"/>
      <c r="H82" s="52">
        <f>ROUND(SUM(H77:H81),5)</f>
        <v>5106.68</v>
      </c>
      <c r="I82" s="45"/>
      <c r="J82" s="52">
        <f>ROUND(SUM(J77:J81),5)</f>
        <v>4292.2</v>
      </c>
      <c r="K82" s="45"/>
      <c r="L82" s="52">
        <f>ROUND(SUM(L77:L81),5)</f>
        <v>12571.79</v>
      </c>
      <c r="M82" s="45"/>
      <c r="N82" s="52">
        <f>ROUND(SUM(H82:L82),5)</f>
        <v>21970.67</v>
      </c>
    </row>
    <row r="83" spans="1:14" ht="30" customHeight="1" x14ac:dyDescent="0.3">
      <c r="A83" s="43"/>
      <c r="B83" s="43"/>
      <c r="C83" s="43"/>
      <c r="D83" s="43"/>
      <c r="E83" s="43"/>
      <c r="F83" s="43" t="s">
        <v>699</v>
      </c>
      <c r="G83" s="43"/>
      <c r="H83" s="52"/>
      <c r="I83" s="45"/>
      <c r="J83" s="52"/>
      <c r="K83" s="45"/>
      <c r="L83" s="52"/>
      <c r="M83" s="45"/>
      <c r="N83" s="52"/>
    </row>
    <row r="84" spans="1:14" x14ac:dyDescent="0.3">
      <c r="A84" s="43"/>
      <c r="B84" s="43"/>
      <c r="C84" s="43"/>
      <c r="D84" s="43"/>
      <c r="E84" s="43"/>
      <c r="F84" s="43"/>
      <c r="G84" s="43" t="s">
        <v>700</v>
      </c>
      <c r="H84" s="52">
        <v>0</v>
      </c>
      <c r="I84" s="45"/>
      <c r="J84" s="52">
        <v>0</v>
      </c>
      <c r="K84" s="45"/>
      <c r="L84" s="52">
        <v>18.86</v>
      </c>
      <c r="M84" s="45"/>
      <c r="N84" s="52">
        <f>ROUND(SUM(H84:L84),5)</f>
        <v>18.86</v>
      </c>
    </row>
    <row r="85" spans="1:14" x14ac:dyDescent="0.3">
      <c r="A85" s="43"/>
      <c r="B85" s="43"/>
      <c r="C85" s="43"/>
      <c r="D85" s="43"/>
      <c r="E85" s="43"/>
      <c r="F85" s="43"/>
      <c r="G85" s="43" t="s">
        <v>251</v>
      </c>
      <c r="H85" s="52">
        <v>1287.5</v>
      </c>
      <c r="I85" s="45"/>
      <c r="J85" s="52">
        <v>2055.75</v>
      </c>
      <c r="K85" s="45"/>
      <c r="L85" s="52">
        <v>3255</v>
      </c>
      <c r="M85" s="45"/>
      <c r="N85" s="52">
        <f>ROUND(SUM(H85:L85),5)</f>
        <v>6598.25</v>
      </c>
    </row>
    <row r="86" spans="1:14" x14ac:dyDescent="0.3">
      <c r="A86" s="43"/>
      <c r="B86" s="43"/>
      <c r="C86" s="43"/>
      <c r="D86" s="43"/>
      <c r="E86" s="43"/>
      <c r="F86" s="43"/>
      <c r="G86" s="43" t="s">
        <v>343</v>
      </c>
      <c r="H86" s="52">
        <v>947.57</v>
      </c>
      <c r="I86" s="45"/>
      <c r="J86" s="52">
        <v>1231.47</v>
      </c>
      <c r="K86" s="45"/>
      <c r="L86" s="52">
        <v>788.06</v>
      </c>
      <c r="M86" s="45"/>
      <c r="N86" s="52">
        <f>ROUND(SUM(H86:L86),5)</f>
        <v>2967.1</v>
      </c>
    </row>
    <row r="87" spans="1:14" ht="15" thickBot="1" x14ac:dyDescent="0.35">
      <c r="A87" s="43"/>
      <c r="B87" s="43"/>
      <c r="C87" s="43"/>
      <c r="D87" s="43"/>
      <c r="E87" s="43"/>
      <c r="F87" s="43"/>
      <c r="G87" s="43" t="s">
        <v>701</v>
      </c>
      <c r="H87" s="54">
        <v>556.66999999999996</v>
      </c>
      <c r="I87" s="45"/>
      <c r="J87" s="54">
        <v>0</v>
      </c>
      <c r="K87" s="45"/>
      <c r="L87" s="54">
        <v>0</v>
      </c>
      <c r="M87" s="45"/>
      <c r="N87" s="54">
        <f>ROUND(SUM(H87:L87),5)</f>
        <v>556.66999999999996</v>
      </c>
    </row>
    <row r="88" spans="1:14" x14ac:dyDescent="0.3">
      <c r="A88" s="43"/>
      <c r="B88" s="43"/>
      <c r="C88" s="43"/>
      <c r="D88" s="43"/>
      <c r="E88" s="43"/>
      <c r="F88" s="43" t="s">
        <v>702</v>
      </c>
      <c r="G88" s="43"/>
      <c r="H88" s="52">
        <f>ROUND(SUM(H83:H87),5)</f>
        <v>2791.74</v>
      </c>
      <c r="I88" s="45"/>
      <c r="J88" s="52">
        <f>ROUND(SUM(J83:J87),5)</f>
        <v>3287.22</v>
      </c>
      <c r="K88" s="45"/>
      <c r="L88" s="52">
        <f>ROUND(SUM(L83:L87),5)</f>
        <v>4061.92</v>
      </c>
      <c r="M88" s="45"/>
      <c r="N88" s="52">
        <f>ROUND(SUM(H88:L88),5)</f>
        <v>10140.879999999999</v>
      </c>
    </row>
    <row r="89" spans="1:14" ht="30" customHeight="1" x14ac:dyDescent="0.3">
      <c r="A89" s="43"/>
      <c r="B89" s="43"/>
      <c r="C89" s="43"/>
      <c r="D89" s="43"/>
      <c r="E89" s="43"/>
      <c r="F89" s="43" t="s">
        <v>493</v>
      </c>
      <c r="G89" s="43"/>
      <c r="H89" s="52"/>
      <c r="I89" s="45"/>
      <c r="J89" s="52"/>
      <c r="K89" s="45"/>
      <c r="L89" s="52"/>
      <c r="M89" s="45"/>
      <c r="N89" s="52"/>
    </row>
    <row r="90" spans="1:14" x14ac:dyDescent="0.3">
      <c r="A90" s="43"/>
      <c r="B90" s="43"/>
      <c r="C90" s="43"/>
      <c r="D90" s="43"/>
      <c r="E90" s="43"/>
      <c r="F90" s="43"/>
      <c r="G90" s="43" t="s">
        <v>703</v>
      </c>
      <c r="H90" s="52">
        <v>0</v>
      </c>
      <c r="I90" s="45"/>
      <c r="J90" s="52">
        <v>0</v>
      </c>
      <c r="K90" s="45"/>
      <c r="L90" s="52">
        <v>209.27</v>
      </c>
      <c r="M90" s="45"/>
      <c r="N90" s="52">
        <f>ROUND(SUM(H90:L90),5)</f>
        <v>209.27</v>
      </c>
    </row>
    <row r="91" spans="1:14" x14ac:dyDescent="0.3">
      <c r="A91" s="43"/>
      <c r="B91" s="43"/>
      <c r="C91" s="43"/>
      <c r="D91" s="43"/>
      <c r="E91" s="43"/>
      <c r="F91" s="43"/>
      <c r="G91" s="43" t="s">
        <v>345</v>
      </c>
      <c r="H91" s="52">
        <v>487.5</v>
      </c>
      <c r="I91" s="45"/>
      <c r="J91" s="52">
        <v>379.5</v>
      </c>
      <c r="K91" s="45"/>
      <c r="L91" s="52">
        <v>918.75</v>
      </c>
      <c r="M91" s="45"/>
      <c r="N91" s="52">
        <f>ROUND(SUM(H91:L91),5)</f>
        <v>1785.75</v>
      </c>
    </row>
    <row r="92" spans="1:14" x14ac:dyDescent="0.3">
      <c r="A92" s="43"/>
      <c r="B92" s="43"/>
      <c r="C92" s="43"/>
      <c r="D92" s="43"/>
      <c r="E92" s="43"/>
      <c r="F92" s="43"/>
      <c r="G92" s="43" t="s">
        <v>414</v>
      </c>
      <c r="H92" s="52">
        <v>111.57</v>
      </c>
      <c r="I92" s="45"/>
      <c r="J92" s="52">
        <v>32.67</v>
      </c>
      <c r="K92" s="45"/>
      <c r="L92" s="52">
        <v>349.24</v>
      </c>
      <c r="M92" s="45"/>
      <c r="N92" s="52">
        <f>ROUND(SUM(H92:L92),5)</f>
        <v>493.48</v>
      </c>
    </row>
    <row r="93" spans="1:14" ht="15" thickBot="1" x14ac:dyDescent="0.35">
      <c r="A93" s="43"/>
      <c r="B93" s="43"/>
      <c r="C93" s="43"/>
      <c r="D93" s="43"/>
      <c r="E93" s="43"/>
      <c r="F93" s="43"/>
      <c r="G93" s="43" t="s">
        <v>494</v>
      </c>
      <c r="H93" s="54">
        <v>74.790000000000006</v>
      </c>
      <c r="I93" s="45"/>
      <c r="J93" s="54">
        <v>254.77</v>
      </c>
      <c r="K93" s="45"/>
      <c r="L93" s="54">
        <v>422.7</v>
      </c>
      <c r="M93" s="45"/>
      <c r="N93" s="54">
        <f>ROUND(SUM(H93:L93),5)</f>
        <v>752.26</v>
      </c>
    </row>
    <row r="94" spans="1:14" x14ac:dyDescent="0.3">
      <c r="A94" s="43"/>
      <c r="B94" s="43"/>
      <c r="C94" s="43"/>
      <c r="D94" s="43"/>
      <c r="E94" s="43"/>
      <c r="F94" s="43" t="s">
        <v>495</v>
      </c>
      <c r="G94" s="43"/>
      <c r="H94" s="52">
        <f>ROUND(SUM(H89:H93),5)</f>
        <v>673.86</v>
      </c>
      <c r="I94" s="45"/>
      <c r="J94" s="52">
        <f>ROUND(SUM(J89:J93),5)</f>
        <v>666.94</v>
      </c>
      <c r="K94" s="45"/>
      <c r="L94" s="52">
        <f>ROUND(SUM(L89:L93),5)</f>
        <v>1899.96</v>
      </c>
      <c r="M94" s="45"/>
      <c r="N94" s="52">
        <f>ROUND(SUM(H94:L94),5)</f>
        <v>3240.76</v>
      </c>
    </row>
    <row r="95" spans="1:14" ht="30" customHeight="1" x14ac:dyDescent="0.3">
      <c r="A95" s="43"/>
      <c r="B95" s="43"/>
      <c r="C95" s="43"/>
      <c r="D95" s="43"/>
      <c r="E95" s="43"/>
      <c r="F95" s="43" t="s">
        <v>254</v>
      </c>
      <c r="G95" s="43"/>
      <c r="H95" s="52"/>
      <c r="I95" s="45"/>
      <c r="J95" s="52"/>
      <c r="K95" s="45"/>
      <c r="L95" s="52"/>
      <c r="M95" s="45"/>
      <c r="N95" s="52"/>
    </row>
    <row r="96" spans="1:14" x14ac:dyDescent="0.3">
      <c r="A96" s="43"/>
      <c r="B96" s="43"/>
      <c r="C96" s="43"/>
      <c r="D96" s="43"/>
      <c r="E96" s="43"/>
      <c r="F96" s="43"/>
      <c r="G96" s="43" t="s">
        <v>255</v>
      </c>
      <c r="H96" s="52">
        <v>5716.97</v>
      </c>
      <c r="I96" s="45"/>
      <c r="J96" s="52">
        <v>2873.75</v>
      </c>
      <c r="K96" s="45"/>
      <c r="L96" s="52">
        <v>7345.5</v>
      </c>
      <c r="M96" s="45"/>
      <c r="N96" s="52">
        <f t="shared" ref="N96:N104" si="3">ROUND(SUM(H96:L96),5)</f>
        <v>15936.22</v>
      </c>
    </row>
    <row r="97" spans="1:14" x14ac:dyDescent="0.3">
      <c r="A97" s="43"/>
      <c r="B97" s="43"/>
      <c r="C97" s="43"/>
      <c r="D97" s="43"/>
      <c r="E97" s="43"/>
      <c r="F97" s="43"/>
      <c r="G97" s="43" t="s">
        <v>256</v>
      </c>
      <c r="H97" s="52">
        <v>721.12</v>
      </c>
      <c r="I97" s="45"/>
      <c r="J97" s="52">
        <v>584.88</v>
      </c>
      <c r="K97" s="45"/>
      <c r="L97" s="52">
        <v>1358.08</v>
      </c>
      <c r="M97" s="45"/>
      <c r="N97" s="52">
        <f t="shared" si="3"/>
        <v>2664.08</v>
      </c>
    </row>
    <row r="98" spans="1:14" x14ac:dyDescent="0.3">
      <c r="A98" s="43"/>
      <c r="B98" s="43"/>
      <c r="C98" s="43"/>
      <c r="D98" s="43"/>
      <c r="E98" s="43"/>
      <c r="F98" s="43"/>
      <c r="G98" s="43" t="s">
        <v>257</v>
      </c>
      <c r="H98" s="52">
        <v>765</v>
      </c>
      <c r="I98" s="45"/>
      <c r="J98" s="52">
        <v>714.7</v>
      </c>
      <c r="K98" s="45"/>
      <c r="L98" s="52">
        <v>1767.85</v>
      </c>
      <c r="M98" s="45"/>
      <c r="N98" s="52">
        <f t="shared" si="3"/>
        <v>3247.55</v>
      </c>
    </row>
    <row r="99" spans="1:14" x14ac:dyDescent="0.3">
      <c r="A99" s="43"/>
      <c r="B99" s="43"/>
      <c r="C99" s="43"/>
      <c r="D99" s="43"/>
      <c r="E99" s="43"/>
      <c r="F99" s="43"/>
      <c r="G99" s="43" t="s">
        <v>258</v>
      </c>
      <c r="H99" s="52">
        <v>1309.5899999999999</v>
      </c>
      <c r="I99" s="45"/>
      <c r="J99" s="52">
        <v>1199.75</v>
      </c>
      <c r="K99" s="45"/>
      <c r="L99" s="52">
        <v>1366.43</v>
      </c>
      <c r="M99" s="45"/>
      <c r="N99" s="52">
        <f t="shared" si="3"/>
        <v>3875.77</v>
      </c>
    </row>
    <row r="100" spans="1:14" x14ac:dyDescent="0.3">
      <c r="A100" s="43"/>
      <c r="B100" s="43"/>
      <c r="C100" s="43"/>
      <c r="D100" s="43"/>
      <c r="E100" s="43"/>
      <c r="F100" s="43"/>
      <c r="G100" s="43" t="s">
        <v>382</v>
      </c>
      <c r="H100" s="52">
        <v>43.75</v>
      </c>
      <c r="I100" s="45"/>
      <c r="J100" s="52">
        <v>0</v>
      </c>
      <c r="K100" s="45"/>
      <c r="L100" s="52">
        <v>0</v>
      </c>
      <c r="M100" s="45"/>
      <c r="N100" s="52">
        <f t="shared" si="3"/>
        <v>43.75</v>
      </c>
    </row>
    <row r="101" spans="1:14" x14ac:dyDescent="0.3">
      <c r="A101" s="43"/>
      <c r="B101" s="43"/>
      <c r="C101" s="43"/>
      <c r="D101" s="43"/>
      <c r="E101" s="43"/>
      <c r="F101" s="43"/>
      <c r="G101" s="43" t="s">
        <v>704</v>
      </c>
      <c r="H101" s="52">
        <v>0</v>
      </c>
      <c r="I101" s="45"/>
      <c r="J101" s="52">
        <v>0</v>
      </c>
      <c r="K101" s="45"/>
      <c r="L101" s="52">
        <v>2964.17</v>
      </c>
      <c r="M101" s="45"/>
      <c r="N101" s="52">
        <f t="shared" si="3"/>
        <v>2964.17</v>
      </c>
    </row>
    <row r="102" spans="1:14" ht="15" thickBot="1" x14ac:dyDescent="0.35">
      <c r="A102" s="43"/>
      <c r="B102" s="43"/>
      <c r="C102" s="43"/>
      <c r="D102" s="43"/>
      <c r="E102" s="43"/>
      <c r="F102" s="43"/>
      <c r="G102" s="43" t="s">
        <v>260</v>
      </c>
      <c r="H102" s="54">
        <v>-5099.2</v>
      </c>
      <c r="I102" s="45"/>
      <c r="J102" s="54">
        <v>2423.56</v>
      </c>
      <c r="K102" s="45"/>
      <c r="L102" s="54">
        <v>5150.42</v>
      </c>
      <c r="M102" s="45"/>
      <c r="N102" s="54">
        <f t="shared" si="3"/>
        <v>2474.7800000000002</v>
      </c>
    </row>
    <row r="103" spans="1:14" x14ac:dyDescent="0.3">
      <c r="A103" s="43"/>
      <c r="B103" s="43"/>
      <c r="C103" s="43"/>
      <c r="D103" s="43"/>
      <c r="E103" s="43"/>
      <c r="F103" s="43" t="s">
        <v>261</v>
      </c>
      <c r="G103" s="43"/>
      <c r="H103" s="52">
        <f>ROUND(SUM(H95:H102),5)</f>
        <v>3457.23</v>
      </c>
      <c r="I103" s="45"/>
      <c r="J103" s="52">
        <f>ROUND(SUM(J95:J102),5)</f>
        <v>7796.64</v>
      </c>
      <c r="K103" s="45"/>
      <c r="L103" s="52">
        <f>ROUND(SUM(L95:L102),5)</f>
        <v>19952.45</v>
      </c>
      <c r="M103" s="45"/>
      <c r="N103" s="52">
        <f t="shared" si="3"/>
        <v>31206.32</v>
      </c>
    </row>
    <row r="104" spans="1:14" ht="30" customHeight="1" x14ac:dyDescent="0.3">
      <c r="A104" s="43"/>
      <c r="B104" s="43"/>
      <c r="C104" s="43"/>
      <c r="D104" s="43"/>
      <c r="E104" s="43"/>
      <c r="F104" s="43" t="s">
        <v>415</v>
      </c>
      <c r="G104" s="43"/>
      <c r="H104" s="52">
        <v>1418.86</v>
      </c>
      <c r="I104" s="45"/>
      <c r="J104" s="52">
        <v>1427.18</v>
      </c>
      <c r="K104" s="45"/>
      <c r="L104" s="52">
        <v>1471.66</v>
      </c>
      <c r="M104" s="45"/>
      <c r="N104" s="52">
        <f t="shared" si="3"/>
        <v>4317.7</v>
      </c>
    </row>
    <row r="105" spans="1:14" x14ac:dyDescent="0.3">
      <c r="A105" s="43"/>
      <c r="B105" s="43"/>
      <c r="C105" s="43"/>
      <c r="D105" s="43"/>
      <c r="E105" s="43"/>
      <c r="F105" s="43" t="s">
        <v>354</v>
      </c>
      <c r="G105" s="43"/>
      <c r="H105" s="52"/>
      <c r="I105" s="45"/>
      <c r="J105" s="52"/>
      <c r="K105" s="45"/>
      <c r="L105" s="52"/>
      <c r="M105" s="45"/>
      <c r="N105" s="52"/>
    </row>
    <row r="106" spans="1:14" x14ac:dyDescent="0.3">
      <c r="A106" s="43"/>
      <c r="B106" s="43"/>
      <c r="C106" s="43"/>
      <c r="D106" s="43"/>
      <c r="E106" s="43"/>
      <c r="F106" s="43"/>
      <c r="G106" s="43" t="s">
        <v>705</v>
      </c>
      <c r="H106" s="52">
        <v>106.25</v>
      </c>
      <c r="I106" s="45"/>
      <c r="J106" s="52">
        <v>37.5</v>
      </c>
      <c r="K106" s="45"/>
      <c r="L106" s="52">
        <v>0</v>
      </c>
      <c r="M106" s="45"/>
      <c r="N106" s="52">
        <f>ROUND(SUM(H106:L106),5)</f>
        <v>143.75</v>
      </c>
    </row>
    <row r="107" spans="1:14" ht="15" thickBot="1" x14ac:dyDescent="0.35">
      <c r="A107" s="43"/>
      <c r="B107" s="43"/>
      <c r="C107" s="43"/>
      <c r="D107" s="43"/>
      <c r="E107" s="43"/>
      <c r="F107" s="43"/>
      <c r="G107" s="43" t="s">
        <v>706</v>
      </c>
      <c r="H107" s="54">
        <v>0</v>
      </c>
      <c r="I107" s="45"/>
      <c r="J107" s="54">
        <v>128.76</v>
      </c>
      <c r="K107" s="45"/>
      <c r="L107" s="54">
        <v>32.46</v>
      </c>
      <c r="M107" s="45"/>
      <c r="N107" s="54">
        <f>ROUND(SUM(H107:L107),5)</f>
        <v>161.22</v>
      </c>
    </row>
    <row r="108" spans="1:14" x14ac:dyDescent="0.3">
      <c r="A108" s="43"/>
      <c r="B108" s="43"/>
      <c r="C108" s="43"/>
      <c r="D108" s="43"/>
      <c r="E108" s="43"/>
      <c r="F108" s="43" t="s">
        <v>707</v>
      </c>
      <c r="G108" s="43"/>
      <c r="H108" s="52">
        <f>ROUND(SUM(H105:H107),5)</f>
        <v>106.25</v>
      </c>
      <c r="I108" s="45"/>
      <c r="J108" s="52">
        <f>ROUND(SUM(J105:J107),5)</f>
        <v>166.26</v>
      </c>
      <c r="K108" s="45"/>
      <c r="L108" s="52">
        <f>ROUND(SUM(L105:L107),5)</f>
        <v>32.46</v>
      </c>
      <c r="M108" s="45"/>
      <c r="N108" s="52">
        <f>ROUND(SUM(H108:L108),5)</f>
        <v>304.97000000000003</v>
      </c>
    </row>
    <row r="109" spans="1:14" ht="30" customHeight="1" x14ac:dyDescent="0.3">
      <c r="A109" s="43"/>
      <c r="B109" s="43"/>
      <c r="C109" s="43"/>
      <c r="D109" s="43"/>
      <c r="E109" s="43"/>
      <c r="F109" s="43" t="s">
        <v>708</v>
      </c>
      <c r="G109" s="43"/>
      <c r="H109" s="52">
        <v>411</v>
      </c>
      <c r="I109" s="45"/>
      <c r="J109" s="52">
        <v>435</v>
      </c>
      <c r="K109" s="45"/>
      <c r="L109" s="52">
        <v>465</v>
      </c>
      <c r="M109" s="45"/>
      <c r="N109" s="52">
        <f>ROUND(SUM(H109:L109),5)</f>
        <v>1311</v>
      </c>
    </row>
    <row r="110" spans="1:14" x14ac:dyDescent="0.3">
      <c r="A110" s="43"/>
      <c r="B110" s="43"/>
      <c r="C110" s="43"/>
      <c r="D110" s="43"/>
      <c r="E110" s="43"/>
      <c r="F110" s="43" t="s">
        <v>503</v>
      </c>
      <c r="G110" s="43"/>
      <c r="H110" s="52">
        <v>4816.21</v>
      </c>
      <c r="I110" s="45"/>
      <c r="J110" s="52">
        <v>2747.08</v>
      </c>
      <c r="K110" s="45"/>
      <c r="L110" s="52">
        <v>1872.28</v>
      </c>
      <c r="M110" s="45"/>
      <c r="N110" s="52">
        <f>ROUND(SUM(H110:L110),5)</f>
        <v>9435.57</v>
      </c>
    </row>
    <row r="111" spans="1:14" x14ac:dyDescent="0.3">
      <c r="A111" s="43"/>
      <c r="B111" s="43"/>
      <c r="C111" s="43"/>
      <c r="D111" s="43"/>
      <c r="E111" s="43"/>
      <c r="F111" s="43" t="s">
        <v>498</v>
      </c>
      <c r="G111" s="43"/>
      <c r="H111" s="52"/>
      <c r="I111" s="45"/>
      <c r="J111" s="52"/>
      <c r="K111" s="45"/>
      <c r="L111" s="52"/>
      <c r="M111" s="45"/>
      <c r="N111" s="52"/>
    </row>
    <row r="112" spans="1:14" x14ac:dyDescent="0.3">
      <c r="A112" s="43"/>
      <c r="B112" s="43"/>
      <c r="C112" s="43"/>
      <c r="D112" s="43"/>
      <c r="E112" s="43"/>
      <c r="F112" s="43"/>
      <c r="G112" s="43" t="s">
        <v>709</v>
      </c>
      <c r="H112" s="52">
        <v>16350</v>
      </c>
      <c r="I112" s="45"/>
      <c r="J112" s="52">
        <v>16350</v>
      </c>
      <c r="K112" s="45"/>
      <c r="L112" s="52">
        <v>18260.64</v>
      </c>
      <c r="M112" s="45"/>
      <c r="N112" s="52">
        <f t="shared" ref="N112:N119" si="4">ROUND(SUM(H112:L112),5)</f>
        <v>50960.639999999999</v>
      </c>
    </row>
    <row r="113" spans="1:14" x14ac:dyDescent="0.3">
      <c r="A113" s="43"/>
      <c r="B113" s="43"/>
      <c r="C113" s="43"/>
      <c r="D113" s="43"/>
      <c r="E113" s="43"/>
      <c r="F113" s="43"/>
      <c r="G113" s="43" t="s">
        <v>710</v>
      </c>
      <c r="H113" s="52">
        <v>0</v>
      </c>
      <c r="I113" s="45"/>
      <c r="J113" s="52">
        <v>75</v>
      </c>
      <c r="K113" s="45"/>
      <c r="L113" s="52">
        <v>0</v>
      </c>
      <c r="M113" s="45"/>
      <c r="N113" s="52">
        <f t="shared" si="4"/>
        <v>75</v>
      </c>
    </row>
    <row r="114" spans="1:14" ht="15" thickBot="1" x14ac:dyDescent="0.35">
      <c r="A114" s="43"/>
      <c r="B114" s="43"/>
      <c r="C114" s="43"/>
      <c r="D114" s="43"/>
      <c r="E114" s="43"/>
      <c r="F114" s="43"/>
      <c r="G114" s="43" t="s">
        <v>500</v>
      </c>
      <c r="H114" s="54">
        <v>1236.52</v>
      </c>
      <c r="I114" s="45"/>
      <c r="J114" s="54">
        <v>1407.62</v>
      </c>
      <c r="K114" s="45"/>
      <c r="L114" s="54">
        <v>1930.31</v>
      </c>
      <c r="M114" s="45"/>
      <c r="N114" s="54">
        <f t="shared" si="4"/>
        <v>4574.45</v>
      </c>
    </row>
    <row r="115" spans="1:14" x14ac:dyDescent="0.3">
      <c r="A115" s="43"/>
      <c r="B115" s="43"/>
      <c r="C115" s="43"/>
      <c r="D115" s="43"/>
      <c r="E115" s="43"/>
      <c r="F115" s="43" t="s">
        <v>501</v>
      </c>
      <c r="G115" s="43"/>
      <c r="H115" s="52">
        <f>ROUND(SUM(H111:H114),5)</f>
        <v>17586.52</v>
      </c>
      <c r="I115" s="45"/>
      <c r="J115" s="52">
        <f>ROUND(SUM(J111:J114),5)</f>
        <v>17832.62</v>
      </c>
      <c r="K115" s="45"/>
      <c r="L115" s="52">
        <f>ROUND(SUM(L111:L114),5)</f>
        <v>20190.95</v>
      </c>
      <c r="M115" s="45"/>
      <c r="N115" s="52">
        <f t="shared" si="4"/>
        <v>55610.09</v>
      </c>
    </row>
    <row r="116" spans="1:14" ht="30" customHeight="1" x14ac:dyDescent="0.3">
      <c r="A116" s="43"/>
      <c r="B116" s="43"/>
      <c r="C116" s="43"/>
      <c r="D116" s="43"/>
      <c r="E116" s="43"/>
      <c r="F116" s="43" t="s">
        <v>502</v>
      </c>
      <c r="G116" s="43"/>
      <c r="H116" s="52">
        <v>540</v>
      </c>
      <c r="I116" s="45"/>
      <c r="J116" s="52">
        <v>180</v>
      </c>
      <c r="K116" s="45"/>
      <c r="L116" s="52">
        <v>0</v>
      </c>
      <c r="M116" s="45"/>
      <c r="N116" s="52">
        <f t="shared" si="4"/>
        <v>720</v>
      </c>
    </row>
    <row r="117" spans="1:14" ht="15" thickBot="1" x14ac:dyDescent="0.35">
      <c r="A117" s="43"/>
      <c r="B117" s="43"/>
      <c r="C117" s="43"/>
      <c r="D117" s="43"/>
      <c r="E117" s="43"/>
      <c r="F117" s="43" t="s">
        <v>711</v>
      </c>
      <c r="G117" s="43"/>
      <c r="H117" s="54">
        <v>3660</v>
      </c>
      <c r="I117" s="45"/>
      <c r="J117" s="54">
        <v>3591.12</v>
      </c>
      <c r="K117" s="45"/>
      <c r="L117" s="54">
        <v>3660</v>
      </c>
      <c r="M117" s="45"/>
      <c r="N117" s="54">
        <f t="shared" si="4"/>
        <v>10911.12</v>
      </c>
    </row>
    <row r="118" spans="1:14" x14ac:dyDescent="0.3">
      <c r="A118" s="43"/>
      <c r="B118" s="43"/>
      <c r="C118" s="43"/>
      <c r="D118" s="43"/>
      <c r="E118" s="43" t="s">
        <v>712</v>
      </c>
      <c r="F118" s="43"/>
      <c r="G118" s="43"/>
      <c r="H118" s="52">
        <f>ROUND(H56+H62+H67+H72+SUM(H75:H76)+H82+H88+H94+SUM(H103:H104)+SUM(H108:H110)+SUM(H115:H117),5)</f>
        <v>44825.42</v>
      </c>
      <c r="I118" s="45"/>
      <c r="J118" s="52">
        <f>ROUND(J56+J62+J67+J72+SUM(J75:J76)+J82+J88+J94+SUM(J103:J104)+SUM(J108:J110)+SUM(J115:J117),5)</f>
        <v>46831.27</v>
      </c>
      <c r="K118" s="45"/>
      <c r="L118" s="52">
        <f>ROUND(L56+L62+L67+L72+SUM(L75:L76)+L82+L88+L94+SUM(L103:L104)+SUM(L108:L110)+SUM(L115:L117),5)</f>
        <v>73855.08</v>
      </c>
      <c r="M118" s="45"/>
      <c r="N118" s="52">
        <f t="shared" si="4"/>
        <v>165511.76999999999</v>
      </c>
    </row>
    <row r="119" spans="1:14" ht="30" customHeight="1" x14ac:dyDescent="0.3">
      <c r="A119" s="43"/>
      <c r="B119" s="43"/>
      <c r="C119" s="43"/>
      <c r="D119" s="43"/>
      <c r="E119" s="43" t="s">
        <v>271</v>
      </c>
      <c r="F119" s="43"/>
      <c r="G119" s="43"/>
      <c r="H119" s="52">
        <v>3367.78</v>
      </c>
      <c r="I119" s="45"/>
      <c r="J119" s="52">
        <v>5660.91</v>
      </c>
      <c r="K119" s="45"/>
      <c r="L119" s="52">
        <v>6081.58</v>
      </c>
      <c r="M119" s="45"/>
      <c r="N119" s="52">
        <f t="shared" si="4"/>
        <v>15110.27</v>
      </c>
    </row>
    <row r="120" spans="1:14" x14ac:dyDescent="0.3">
      <c r="A120" s="43"/>
      <c r="B120" s="43"/>
      <c r="C120" s="43"/>
      <c r="D120" s="43"/>
      <c r="E120" s="43" t="s">
        <v>272</v>
      </c>
      <c r="F120" s="43"/>
      <c r="G120" s="43"/>
      <c r="H120" s="52"/>
      <c r="I120" s="45"/>
      <c r="J120" s="52"/>
      <c r="K120" s="45"/>
      <c r="L120" s="52"/>
      <c r="M120" s="45"/>
      <c r="N120" s="52"/>
    </row>
    <row r="121" spans="1:14" x14ac:dyDescent="0.3">
      <c r="A121" s="43"/>
      <c r="B121" s="43"/>
      <c r="C121" s="43"/>
      <c r="D121" s="43"/>
      <c r="E121" s="43"/>
      <c r="F121" s="43" t="s">
        <v>275</v>
      </c>
      <c r="G121" s="43"/>
      <c r="H121" s="52">
        <v>26756.1</v>
      </c>
      <c r="I121" s="45"/>
      <c r="J121" s="52">
        <v>34443.17</v>
      </c>
      <c r="K121" s="45"/>
      <c r="L121" s="52">
        <v>25541.98</v>
      </c>
      <c r="M121" s="45"/>
      <c r="N121" s="52">
        <f>ROUND(SUM(H121:L121),5)</f>
        <v>86741.25</v>
      </c>
    </row>
    <row r="122" spans="1:14" ht="15" thickBot="1" x14ac:dyDescent="0.35">
      <c r="A122" s="43"/>
      <c r="B122" s="43"/>
      <c r="C122" s="43"/>
      <c r="D122" s="43"/>
      <c r="E122" s="43"/>
      <c r="F122" s="43" t="s">
        <v>385</v>
      </c>
      <c r="G122" s="43"/>
      <c r="H122" s="54">
        <v>50</v>
      </c>
      <c r="I122" s="45"/>
      <c r="J122" s="54">
        <v>50</v>
      </c>
      <c r="K122" s="45"/>
      <c r="L122" s="54">
        <v>100</v>
      </c>
      <c r="M122" s="45"/>
      <c r="N122" s="54">
        <f>ROUND(SUM(H122:L122),5)</f>
        <v>200</v>
      </c>
    </row>
    <row r="123" spans="1:14" x14ac:dyDescent="0.3">
      <c r="A123" s="43"/>
      <c r="B123" s="43"/>
      <c r="C123" s="43"/>
      <c r="D123" s="43"/>
      <c r="E123" s="43" t="s">
        <v>277</v>
      </c>
      <c r="F123" s="43"/>
      <c r="G123" s="43"/>
      <c r="H123" s="52">
        <f>ROUND(SUM(H120:H122),5)</f>
        <v>26806.1</v>
      </c>
      <c r="I123" s="45"/>
      <c r="J123" s="52">
        <f>ROUND(SUM(J120:J122),5)</f>
        <v>34493.17</v>
      </c>
      <c r="K123" s="45"/>
      <c r="L123" s="52">
        <f>ROUND(SUM(L120:L122),5)</f>
        <v>25641.98</v>
      </c>
      <c r="M123" s="45"/>
      <c r="N123" s="52">
        <f>ROUND(SUM(H123:L123),5)</f>
        <v>86941.25</v>
      </c>
    </row>
    <row r="124" spans="1:14" ht="30" customHeight="1" x14ac:dyDescent="0.3">
      <c r="A124" s="43"/>
      <c r="B124" s="43"/>
      <c r="C124" s="43"/>
      <c r="D124" s="43"/>
      <c r="E124" s="43" t="s">
        <v>713</v>
      </c>
      <c r="F124" s="43"/>
      <c r="G124" s="43"/>
      <c r="H124" s="52">
        <v>0</v>
      </c>
      <c r="I124" s="45"/>
      <c r="J124" s="52">
        <v>0</v>
      </c>
      <c r="K124" s="45"/>
      <c r="L124" s="52">
        <v>0</v>
      </c>
      <c r="M124" s="45"/>
      <c r="N124" s="52">
        <f>ROUND(SUM(H124:L124),5)</f>
        <v>0</v>
      </c>
    </row>
    <row r="125" spans="1:14" x14ac:dyDescent="0.3">
      <c r="A125" s="43"/>
      <c r="B125" s="43"/>
      <c r="C125" s="43"/>
      <c r="D125" s="43"/>
      <c r="E125" s="43" t="s">
        <v>278</v>
      </c>
      <c r="F125" s="43"/>
      <c r="G125" s="43"/>
      <c r="H125" s="52"/>
      <c r="I125" s="45"/>
      <c r="J125" s="52"/>
      <c r="K125" s="45"/>
      <c r="L125" s="52"/>
      <c r="M125" s="45"/>
      <c r="N125" s="52"/>
    </row>
    <row r="126" spans="1:14" x14ac:dyDescent="0.3">
      <c r="A126" s="43"/>
      <c r="B126" s="43"/>
      <c r="C126" s="43"/>
      <c r="D126" s="43"/>
      <c r="E126" s="43"/>
      <c r="F126" s="43" t="s">
        <v>714</v>
      </c>
      <c r="G126" s="43"/>
      <c r="H126" s="52">
        <v>12648.17</v>
      </c>
      <c r="I126" s="45"/>
      <c r="J126" s="52">
        <v>10593.49</v>
      </c>
      <c r="K126" s="45"/>
      <c r="L126" s="52">
        <v>9447.73</v>
      </c>
      <c r="M126" s="45"/>
      <c r="N126" s="52">
        <f t="shared" ref="N126:N131" si="5">ROUND(SUM(H126:L126),5)</f>
        <v>32689.39</v>
      </c>
    </row>
    <row r="127" spans="1:14" ht="15" thickBot="1" x14ac:dyDescent="0.35">
      <c r="A127" s="43"/>
      <c r="B127" s="43"/>
      <c r="C127" s="43"/>
      <c r="D127" s="43"/>
      <c r="E127" s="43"/>
      <c r="F127" s="43" t="s">
        <v>282</v>
      </c>
      <c r="G127" s="43"/>
      <c r="H127" s="54">
        <v>592.32000000000005</v>
      </c>
      <c r="I127" s="45"/>
      <c r="J127" s="54">
        <v>0</v>
      </c>
      <c r="K127" s="45"/>
      <c r="L127" s="54">
        <v>0</v>
      </c>
      <c r="M127" s="45"/>
      <c r="N127" s="54">
        <f t="shared" si="5"/>
        <v>592.32000000000005</v>
      </c>
    </row>
    <row r="128" spans="1:14" x14ac:dyDescent="0.3">
      <c r="A128" s="43"/>
      <c r="B128" s="43"/>
      <c r="C128" s="43"/>
      <c r="D128" s="43"/>
      <c r="E128" s="43" t="s">
        <v>283</v>
      </c>
      <c r="F128" s="43"/>
      <c r="G128" s="43"/>
      <c r="H128" s="52">
        <f>ROUND(SUM(H125:H127),5)</f>
        <v>13240.49</v>
      </c>
      <c r="I128" s="45"/>
      <c r="J128" s="52">
        <f>ROUND(SUM(J125:J127),5)</f>
        <v>10593.49</v>
      </c>
      <c r="K128" s="45"/>
      <c r="L128" s="52">
        <f>ROUND(SUM(L125:L127),5)</f>
        <v>9447.73</v>
      </c>
      <c r="M128" s="45"/>
      <c r="N128" s="52">
        <f t="shared" si="5"/>
        <v>33281.71</v>
      </c>
    </row>
    <row r="129" spans="1:14" ht="30" customHeight="1" thickBot="1" x14ac:dyDescent="0.35">
      <c r="A129" s="43"/>
      <c r="B129" s="43"/>
      <c r="C129" s="43"/>
      <c r="D129" s="43"/>
      <c r="E129" s="43" t="s">
        <v>284</v>
      </c>
      <c r="F129" s="43"/>
      <c r="G129" s="43"/>
      <c r="H129" s="52">
        <v>25400</v>
      </c>
      <c r="I129" s="45"/>
      <c r="J129" s="52">
        <v>56403</v>
      </c>
      <c r="K129" s="45"/>
      <c r="L129" s="52">
        <v>25200</v>
      </c>
      <c r="M129" s="45"/>
      <c r="N129" s="52">
        <f t="shared" si="5"/>
        <v>107003</v>
      </c>
    </row>
    <row r="130" spans="1:14" ht="15" thickBot="1" x14ac:dyDescent="0.35">
      <c r="A130" s="43"/>
      <c r="B130" s="43"/>
      <c r="C130" s="43"/>
      <c r="D130" s="43" t="s">
        <v>287</v>
      </c>
      <c r="E130" s="43"/>
      <c r="F130" s="43"/>
      <c r="G130" s="43"/>
      <c r="H130" s="53">
        <f>ROUND(H18+H37+H55+SUM(H118:H119)+SUM(H123:H124)+SUM(H128:H129),5)</f>
        <v>182781.63</v>
      </c>
      <c r="I130" s="45"/>
      <c r="J130" s="53">
        <f>ROUND(J18+J37+J55+SUM(J118:J119)+SUM(J123:J124)+SUM(J128:J129),5)</f>
        <v>242027.31</v>
      </c>
      <c r="K130" s="45"/>
      <c r="L130" s="53">
        <f>ROUND(L18+L37+L55+SUM(L118:L119)+SUM(L123:L124)+SUM(L128:L129),5)</f>
        <v>266791.02</v>
      </c>
      <c r="M130" s="45"/>
      <c r="N130" s="53">
        <f t="shared" si="5"/>
        <v>691599.96</v>
      </c>
    </row>
    <row r="131" spans="1:14" ht="30" customHeight="1" x14ac:dyDescent="0.3">
      <c r="A131" s="43"/>
      <c r="B131" s="43" t="s">
        <v>288</v>
      </c>
      <c r="C131" s="43"/>
      <c r="D131" s="43"/>
      <c r="E131" s="43"/>
      <c r="F131" s="43"/>
      <c r="G131" s="43"/>
      <c r="H131" s="52">
        <f>ROUND(H2+H17-H130,5)</f>
        <v>77373.94</v>
      </c>
      <c r="I131" s="45"/>
      <c r="J131" s="52">
        <f>ROUND(J2+J17-J130,5)</f>
        <v>44112.65</v>
      </c>
      <c r="K131" s="45"/>
      <c r="L131" s="52">
        <f>ROUND(L2+L17-L130,5)</f>
        <v>70154.39</v>
      </c>
      <c r="M131" s="45"/>
      <c r="N131" s="52">
        <f t="shared" si="5"/>
        <v>191640.98</v>
      </c>
    </row>
    <row r="132" spans="1:14" ht="30" customHeight="1" x14ac:dyDescent="0.3">
      <c r="A132" s="43"/>
      <c r="B132" s="43" t="s">
        <v>289</v>
      </c>
      <c r="C132" s="43"/>
      <c r="D132" s="43"/>
      <c r="E132" s="43"/>
      <c r="F132" s="43"/>
      <c r="G132" s="43"/>
      <c r="H132" s="52"/>
      <c r="I132" s="45"/>
      <c r="J132" s="52"/>
      <c r="K132" s="45"/>
      <c r="L132" s="52"/>
      <c r="M132" s="45"/>
      <c r="N132" s="52"/>
    </row>
    <row r="133" spans="1:14" x14ac:dyDescent="0.3">
      <c r="A133" s="43"/>
      <c r="B133" s="43"/>
      <c r="C133" s="43" t="s">
        <v>290</v>
      </c>
      <c r="D133" s="43"/>
      <c r="E133" s="43"/>
      <c r="F133" s="43"/>
      <c r="G133" s="43"/>
      <c r="H133" s="52"/>
      <c r="I133" s="45"/>
      <c r="J133" s="52"/>
      <c r="K133" s="45"/>
      <c r="L133" s="52"/>
      <c r="M133" s="45"/>
      <c r="N133" s="52"/>
    </row>
    <row r="134" spans="1:14" x14ac:dyDescent="0.3">
      <c r="A134" s="43"/>
      <c r="B134" s="43"/>
      <c r="C134" s="43"/>
      <c r="D134" s="43" t="s">
        <v>291</v>
      </c>
      <c r="E134" s="43"/>
      <c r="F134" s="43"/>
      <c r="G134" s="43"/>
      <c r="H134" s="52">
        <v>2.87</v>
      </c>
      <c r="I134" s="45"/>
      <c r="J134" s="52">
        <v>9.5299999999999994</v>
      </c>
      <c r="K134" s="45"/>
      <c r="L134" s="52">
        <v>13.91</v>
      </c>
      <c r="M134" s="45"/>
      <c r="N134" s="52">
        <f>ROUND(SUM(H134:L134),5)</f>
        <v>26.31</v>
      </c>
    </row>
    <row r="135" spans="1:14" ht="15" thickBot="1" x14ac:dyDescent="0.35">
      <c r="A135" s="43"/>
      <c r="B135" s="43"/>
      <c r="C135" s="43"/>
      <c r="D135" s="43" t="s">
        <v>290</v>
      </c>
      <c r="E135" s="43"/>
      <c r="F135" s="43"/>
      <c r="G135" s="43"/>
      <c r="H135" s="54">
        <v>0</v>
      </c>
      <c r="I135" s="45"/>
      <c r="J135" s="54">
        <v>75</v>
      </c>
      <c r="K135" s="45"/>
      <c r="L135" s="54">
        <v>25.29</v>
      </c>
      <c r="M135" s="45"/>
      <c r="N135" s="54">
        <f>ROUND(SUM(H135:L135),5)</f>
        <v>100.29</v>
      </c>
    </row>
    <row r="136" spans="1:14" x14ac:dyDescent="0.3">
      <c r="A136" s="43"/>
      <c r="B136" s="43"/>
      <c r="C136" s="43" t="s">
        <v>292</v>
      </c>
      <c r="D136" s="43"/>
      <c r="E136" s="43"/>
      <c r="F136" s="43"/>
      <c r="G136" s="43"/>
      <c r="H136" s="52">
        <f>ROUND(SUM(H133:H135),5)</f>
        <v>2.87</v>
      </c>
      <c r="I136" s="45"/>
      <c r="J136" s="52">
        <f>ROUND(SUM(J133:J135),5)</f>
        <v>84.53</v>
      </c>
      <c r="K136" s="45"/>
      <c r="L136" s="52">
        <f>ROUND(SUM(L133:L135),5)</f>
        <v>39.200000000000003</v>
      </c>
      <c r="M136" s="45"/>
      <c r="N136" s="52">
        <f>ROUND(SUM(H136:L136),5)</f>
        <v>126.6</v>
      </c>
    </row>
    <row r="137" spans="1:14" ht="30" customHeight="1" x14ac:dyDescent="0.3">
      <c r="A137" s="43"/>
      <c r="B137" s="43"/>
      <c r="C137" s="43" t="s">
        <v>293</v>
      </c>
      <c r="D137" s="43"/>
      <c r="E137" s="43"/>
      <c r="F137" s="43"/>
      <c r="G137" s="43"/>
      <c r="H137" s="52"/>
      <c r="I137" s="45"/>
      <c r="J137" s="52"/>
      <c r="K137" s="45"/>
      <c r="L137" s="52"/>
      <c r="M137" s="45"/>
      <c r="N137" s="52"/>
    </row>
    <row r="138" spans="1:14" ht="15" thickBot="1" x14ac:dyDescent="0.35">
      <c r="A138" s="43"/>
      <c r="B138" s="43"/>
      <c r="C138" s="43"/>
      <c r="D138" s="43" t="s">
        <v>715</v>
      </c>
      <c r="E138" s="43"/>
      <c r="F138" s="43"/>
      <c r="G138" s="43"/>
      <c r="H138" s="52">
        <v>7999.43</v>
      </c>
      <c r="I138" s="45"/>
      <c r="J138" s="52">
        <v>0</v>
      </c>
      <c r="K138" s="45"/>
      <c r="L138" s="52">
        <v>0</v>
      </c>
      <c r="M138" s="45"/>
      <c r="N138" s="52">
        <f>ROUND(SUM(H138:L138),5)</f>
        <v>7999.43</v>
      </c>
    </row>
    <row r="139" spans="1:14" ht="15" thickBot="1" x14ac:dyDescent="0.35">
      <c r="A139" s="43"/>
      <c r="B139" s="43"/>
      <c r="C139" s="43" t="s">
        <v>295</v>
      </c>
      <c r="D139" s="43"/>
      <c r="E139" s="43"/>
      <c r="F139" s="43"/>
      <c r="G139" s="43"/>
      <c r="H139" s="55">
        <f>ROUND(SUM(H137:H138),5)</f>
        <v>7999.43</v>
      </c>
      <c r="I139" s="45"/>
      <c r="J139" s="55">
        <f>ROUND(SUM(J137:J138),5)</f>
        <v>0</v>
      </c>
      <c r="K139" s="45"/>
      <c r="L139" s="55">
        <f>ROUND(SUM(L137:L138),5)</f>
        <v>0</v>
      </c>
      <c r="M139" s="45"/>
      <c r="N139" s="55">
        <f>ROUND(SUM(H139:L139),5)</f>
        <v>7999.43</v>
      </c>
    </row>
    <row r="140" spans="1:14" ht="30" customHeight="1" thickBot="1" x14ac:dyDescent="0.35">
      <c r="A140" s="43"/>
      <c r="B140" s="43" t="s">
        <v>296</v>
      </c>
      <c r="C140" s="43"/>
      <c r="D140" s="43"/>
      <c r="E140" s="43"/>
      <c r="F140" s="43"/>
      <c r="G140" s="43"/>
      <c r="H140" s="55">
        <f>ROUND(H132+H136-H139,5)</f>
        <v>-7996.56</v>
      </c>
      <c r="I140" s="45"/>
      <c r="J140" s="55">
        <f>ROUND(J132+J136-J139,5)</f>
        <v>84.53</v>
      </c>
      <c r="K140" s="45"/>
      <c r="L140" s="55">
        <f>ROUND(L132+L136-L139,5)</f>
        <v>39.200000000000003</v>
      </c>
      <c r="M140" s="45"/>
      <c r="N140" s="55">
        <f>ROUND(SUM(H140:L140),5)</f>
        <v>-7872.83</v>
      </c>
    </row>
    <row r="141" spans="1:14" s="50" customFormat="1" ht="30" customHeight="1" thickBot="1" x14ac:dyDescent="0.25">
      <c r="A141" s="43" t="s">
        <v>165</v>
      </c>
      <c r="B141" s="43"/>
      <c r="C141" s="43"/>
      <c r="D141" s="43"/>
      <c r="E141" s="43"/>
      <c r="F141" s="43"/>
      <c r="G141" s="43"/>
      <c r="H141" s="56">
        <f>ROUND(H131+H140,5)</f>
        <v>69377.38</v>
      </c>
      <c r="I141" s="43"/>
      <c r="J141" s="56">
        <f>ROUND(J131+J140,5)</f>
        <v>44197.18</v>
      </c>
      <c r="K141" s="43"/>
      <c r="L141" s="56">
        <f>ROUND(L131+L140,5)</f>
        <v>70193.59</v>
      </c>
      <c r="M141" s="43"/>
      <c r="N141" s="56">
        <f>ROUND(SUM(H141:L141),5)</f>
        <v>183768.15</v>
      </c>
    </row>
    <row r="142" spans="1:14" ht="15" thickTop="1" x14ac:dyDescent="0.3"/>
    <row r="143" spans="1:14" x14ac:dyDescent="0.3">
      <c r="G143" s="43" t="s">
        <v>987</v>
      </c>
      <c r="H143" s="52">
        <f>H130-H23-H128-H129</f>
        <v>136188.43000000002</v>
      </c>
      <c r="J143" s="52">
        <f>J130-J23-J128-J129</f>
        <v>154905.05000000002</v>
      </c>
      <c r="L143" s="52">
        <f>L130-L23-L128-L129</f>
        <v>200429.37000000002</v>
      </c>
      <c r="N143" s="52">
        <f>(N130-N23-N128-N129)/3</f>
        <v>163840.94999999998</v>
      </c>
    </row>
  </sheetData>
  <pageMargins left="0.7" right="0.7" top="0.75" bottom="0.75" header="0.25" footer="0.3"/>
  <pageSetup orientation="portrait" r:id="rId1"/>
  <headerFooter>
    <oddHeader>&amp;L&amp;"Arial,Bold"&amp;8 02/18/14
&amp;"Arial,Bold"&amp;8 Accrual Basis&amp;C&amp;"Arial,Bold"&amp;12 Occidental Property, LLC
&amp;"Arial,Bold"&amp;14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33794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3794" r:id="rId4" name="HEADER"/>
      </mc:Fallback>
    </mc:AlternateContent>
    <mc:AlternateContent xmlns:mc="http://schemas.openxmlformats.org/markup-compatibility/2006">
      <mc:Choice Requires="x14">
        <control shapeId="33793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3793" r:id="rId6" name="FILTER"/>
      </mc:Fallback>
    </mc:AlternateContent>
  </control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4"/>
  <dimension ref="A1:J63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6" style="50" customWidth="1"/>
    <col min="6" max="6" width="9" bestFit="1" customWidth="1"/>
    <col min="7" max="7" width="2.33203125" customWidth="1"/>
    <col min="8" max="8" width="9" bestFit="1" customWidth="1"/>
    <col min="9" max="9" width="2.33203125" customWidth="1"/>
    <col min="10" max="10" width="9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7"/>
      <c r="G2" s="45"/>
      <c r="H2" s="57"/>
      <c r="I2" s="45"/>
      <c r="J2" s="57"/>
    </row>
    <row r="3" spans="1:10" x14ac:dyDescent="0.3">
      <c r="A3" s="43"/>
      <c r="B3" s="43" t="s">
        <v>113</v>
      </c>
      <c r="C3" s="43"/>
      <c r="D3" s="43"/>
      <c r="E3" s="43"/>
      <c r="F3" s="57"/>
      <c r="G3" s="45"/>
      <c r="H3" s="57"/>
      <c r="I3" s="45"/>
      <c r="J3" s="57"/>
    </row>
    <row r="4" spans="1:10" x14ac:dyDescent="0.3">
      <c r="A4" s="43"/>
      <c r="B4" s="43"/>
      <c r="C4" s="43" t="s">
        <v>114</v>
      </c>
      <c r="D4" s="43"/>
      <c r="E4" s="43"/>
      <c r="F4" s="57"/>
      <c r="G4" s="45"/>
      <c r="H4" s="57"/>
      <c r="I4" s="45"/>
      <c r="J4" s="57"/>
    </row>
    <row r="5" spans="1:10" x14ac:dyDescent="0.3">
      <c r="A5" s="43"/>
      <c r="B5" s="43"/>
      <c r="C5" s="43"/>
      <c r="D5" s="43" t="s">
        <v>716</v>
      </c>
      <c r="E5" s="43"/>
      <c r="F5" s="57">
        <v>3235</v>
      </c>
      <c r="G5" s="45"/>
      <c r="H5" s="57">
        <v>-11049</v>
      </c>
      <c r="I5" s="45"/>
      <c r="J5" s="57">
        <v>4071</v>
      </c>
    </row>
    <row r="6" spans="1:10" x14ac:dyDescent="0.3">
      <c r="A6" s="43"/>
      <c r="B6" s="43"/>
      <c r="C6" s="43"/>
      <c r="D6" s="43" t="s">
        <v>717</v>
      </c>
      <c r="E6" s="43"/>
      <c r="F6" s="57">
        <v>10274</v>
      </c>
      <c r="G6" s="45"/>
      <c r="H6" s="57">
        <v>153993</v>
      </c>
      <c r="I6" s="45"/>
      <c r="J6" s="57">
        <v>10656</v>
      </c>
    </row>
    <row r="7" spans="1:10" ht="15" thickBot="1" x14ac:dyDescent="0.35">
      <c r="A7" s="43"/>
      <c r="B7" s="43"/>
      <c r="C7" s="43"/>
      <c r="D7" s="43" t="s">
        <v>718</v>
      </c>
      <c r="E7" s="43"/>
      <c r="F7" s="58">
        <v>150</v>
      </c>
      <c r="G7" s="45"/>
      <c r="H7" s="58">
        <v>150</v>
      </c>
      <c r="I7" s="45"/>
      <c r="J7" s="58">
        <v>245</v>
      </c>
    </row>
    <row r="8" spans="1:10" x14ac:dyDescent="0.3">
      <c r="A8" s="43"/>
      <c r="B8" s="43"/>
      <c r="C8" s="43" t="s">
        <v>117</v>
      </c>
      <c r="D8" s="43"/>
      <c r="E8" s="43"/>
      <c r="F8" s="57">
        <f>ROUND(SUM(F4:F7),5)</f>
        <v>13659</v>
      </c>
      <c r="G8" s="45"/>
      <c r="H8" s="57">
        <f>ROUND(SUM(H4:H7),5)</f>
        <v>143094</v>
      </c>
      <c r="I8" s="45"/>
      <c r="J8" s="57">
        <f>ROUND(SUM(J4:J7),5)</f>
        <v>14972</v>
      </c>
    </row>
    <row r="9" spans="1:10" ht="30" customHeight="1" x14ac:dyDescent="0.3">
      <c r="A9" s="43"/>
      <c r="B9" s="43"/>
      <c r="C9" s="43" t="s">
        <v>118</v>
      </c>
      <c r="D9" s="43"/>
      <c r="E9" s="43"/>
      <c r="F9" s="57"/>
      <c r="G9" s="45"/>
      <c r="H9" s="57"/>
      <c r="I9" s="45"/>
      <c r="J9" s="57"/>
    </row>
    <row r="10" spans="1:10" ht="15" thickBot="1" x14ac:dyDescent="0.35">
      <c r="A10" s="43"/>
      <c r="B10" s="43"/>
      <c r="C10" s="43"/>
      <c r="D10" s="43" t="s">
        <v>118</v>
      </c>
      <c r="E10" s="43"/>
      <c r="F10" s="58">
        <v>77582</v>
      </c>
      <c r="G10" s="45"/>
      <c r="H10" s="58">
        <v>97902</v>
      </c>
      <c r="I10" s="45"/>
      <c r="J10" s="58">
        <v>184705</v>
      </c>
    </row>
    <row r="11" spans="1:10" x14ac:dyDescent="0.3">
      <c r="A11" s="43"/>
      <c r="B11" s="43"/>
      <c r="C11" s="43" t="s">
        <v>119</v>
      </c>
      <c r="D11" s="43"/>
      <c r="E11" s="43"/>
      <c r="F11" s="57">
        <f>ROUND(SUM(F9:F10),5)</f>
        <v>77582</v>
      </c>
      <c r="G11" s="45"/>
      <c r="H11" s="57">
        <f>ROUND(SUM(H9:H10),5)</f>
        <v>97902</v>
      </c>
      <c r="I11" s="45"/>
      <c r="J11" s="57">
        <f>ROUND(SUM(J9:J10),5)</f>
        <v>184705</v>
      </c>
    </row>
    <row r="12" spans="1:10" ht="30" customHeight="1" x14ac:dyDescent="0.3">
      <c r="A12" s="43"/>
      <c r="B12" s="43"/>
      <c r="C12" s="43" t="s">
        <v>120</v>
      </c>
      <c r="D12" s="43"/>
      <c r="E12" s="43"/>
      <c r="F12" s="57"/>
      <c r="G12" s="45"/>
      <c r="H12" s="57"/>
      <c r="I12" s="45"/>
      <c r="J12" s="57"/>
    </row>
    <row r="13" spans="1:10" x14ac:dyDescent="0.3">
      <c r="A13" s="43"/>
      <c r="B13" s="43"/>
      <c r="C13" s="43"/>
      <c r="D13" s="43" t="s">
        <v>719</v>
      </c>
      <c r="E13" s="43"/>
      <c r="F13" s="57">
        <v>850</v>
      </c>
      <c r="G13" s="45"/>
      <c r="H13" s="57">
        <v>980</v>
      </c>
      <c r="I13" s="45"/>
      <c r="J13" s="57">
        <v>2455</v>
      </c>
    </row>
    <row r="14" spans="1:10" x14ac:dyDescent="0.3">
      <c r="A14" s="43"/>
      <c r="B14" s="43"/>
      <c r="C14" s="43"/>
      <c r="D14" s="43" t="s">
        <v>122</v>
      </c>
      <c r="E14" s="43"/>
      <c r="F14" s="57">
        <v>4478</v>
      </c>
      <c r="G14" s="45"/>
      <c r="H14" s="57">
        <v>15866</v>
      </c>
      <c r="I14" s="45"/>
      <c r="J14" s="57">
        <v>17871</v>
      </c>
    </row>
    <row r="15" spans="1:10" x14ac:dyDescent="0.3">
      <c r="A15" s="43"/>
      <c r="B15" s="43"/>
      <c r="C15" s="43"/>
      <c r="D15" s="43" t="s">
        <v>720</v>
      </c>
      <c r="E15" s="43"/>
      <c r="F15" s="57">
        <v>0</v>
      </c>
      <c r="G15" s="45"/>
      <c r="H15" s="57">
        <v>0</v>
      </c>
      <c r="I15" s="45"/>
      <c r="J15" s="57">
        <v>1305</v>
      </c>
    </row>
    <row r="16" spans="1:10" x14ac:dyDescent="0.3">
      <c r="A16" s="43"/>
      <c r="B16" s="43"/>
      <c r="C16" s="43"/>
      <c r="D16" s="43" t="s">
        <v>721</v>
      </c>
      <c r="E16" s="43"/>
      <c r="F16" s="57">
        <v>46521</v>
      </c>
      <c r="G16" s="45"/>
      <c r="H16" s="57">
        <v>48511</v>
      </c>
      <c r="I16" s="45"/>
      <c r="J16" s="57">
        <v>48611</v>
      </c>
    </row>
    <row r="17" spans="1:10" ht="15" thickBot="1" x14ac:dyDescent="0.35">
      <c r="A17" s="43"/>
      <c r="B17" s="43"/>
      <c r="C17" s="43"/>
      <c r="D17" s="43" t="s">
        <v>722</v>
      </c>
      <c r="E17" s="43"/>
      <c r="F17" s="57">
        <v>68409</v>
      </c>
      <c r="G17" s="45"/>
      <c r="H17" s="57">
        <v>56261</v>
      </c>
      <c r="I17" s="45"/>
      <c r="J17" s="57">
        <v>58790</v>
      </c>
    </row>
    <row r="18" spans="1:10" ht="15" thickBot="1" x14ac:dyDescent="0.35">
      <c r="A18" s="43"/>
      <c r="B18" s="43"/>
      <c r="C18" s="43" t="s">
        <v>124</v>
      </c>
      <c r="D18" s="43"/>
      <c r="E18" s="43"/>
      <c r="F18" s="59">
        <f>ROUND(SUM(F12:F17),5)</f>
        <v>120258</v>
      </c>
      <c r="G18" s="45"/>
      <c r="H18" s="59">
        <f>ROUND(SUM(H12:H17),5)</f>
        <v>121618</v>
      </c>
      <c r="I18" s="45"/>
      <c r="J18" s="59">
        <f>ROUND(SUM(J12:J17),5)</f>
        <v>129032</v>
      </c>
    </row>
    <row r="19" spans="1:10" ht="30" customHeight="1" x14ac:dyDescent="0.3">
      <c r="A19" s="43"/>
      <c r="B19" s="43" t="s">
        <v>125</v>
      </c>
      <c r="C19" s="43"/>
      <c r="D19" s="43"/>
      <c r="E19" s="43"/>
      <c r="F19" s="57">
        <f>ROUND(F3+F8+F11+F18,5)</f>
        <v>211499</v>
      </c>
      <c r="G19" s="45"/>
      <c r="H19" s="57">
        <f>ROUND(H3+H8+H11+H18,5)</f>
        <v>362614</v>
      </c>
      <c r="I19" s="45"/>
      <c r="J19" s="57">
        <f>ROUND(J3+J8+J11+J18,5)</f>
        <v>328709</v>
      </c>
    </row>
    <row r="20" spans="1:10" ht="30" customHeight="1" x14ac:dyDescent="0.3">
      <c r="A20" s="43"/>
      <c r="B20" s="43" t="s">
        <v>126</v>
      </c>
      <c r="C20" s="43"/>
      <c r="D20" s="43"/>
      <c r="E20" s="43"/>
      <c r="F20" s="57"/>
      <c r="G20" s="45"/>
      <c r="H20" s="57"/>
      <c r="I20" s="45"/>
      <c r="J20" s="57"/>
    </row>
    <row r="21" spans="1:10" x14ac:dyDescent="0.3">
      <c r="A21" s="43"/>
      <c r="B21" s="43"/>
      <c r="C21" s="43" t="s">
        <v>723</v>
      </c>
      <c r="D21" s="43"/>
      <c r="E21" s="43"/>
      <c r="F21" s="57">
        <v>55063</v>
      </c>
      <c r="G21" s="45"/>
      <c r="H21" s="57">
        <v>55063</v>
      </c>
      <c r="I21" s="45"/>
      <c r="J21" s="57">
        <v>55063</v>
      </c>
    </row>
    <row r="22" spans="1:10" x14ac:dyDescent="0.3">
      <c r="A22" s="43"/>
      <c r="B22" s="43"/>
      <c r="C22" s="43" t="s">
        <v>132</v>
      </c>
      <c r="D22" s="43"/>
      <c r="E22" s="43"/>
      <c r="F22" s="57">
        <v>115175</v>
      </c>
      <c r="G22" s="45"/>
      <c r="H22" s="57">
        <v>125325</v>
      </c>
      <c r="I22" s="45"/>
      <c r="J22" s="57">
        <v>137049</v>
      </c>
    </row>
    <row r="23" spans="1:10" x14ac:dyDescent="0.3">
      <c r="A23" s="43"/>
      <c r="B23" s="43"/>
      <c r="C23" s="43" t="s">
        <v>724</v>
      </c>
      <c r="D23" s="43"/>
      <c r="E23" s="43"/>
      <c r="F23" s="57">
        <v>102450</v>
      </c>
      <c r="G23" s="45"/>
      <c r="H23" s="57">
        <v>103523</v>
      </c>
      <c r="I23" s="45"/>
      <c r="J23" s="57">
        <v>105808</v>
      </c>
    </row>
    <row r="24" spans="1:10" x14ac:dyDescent="0.3">
      <c r="A24" s="43"/>
      <c r="B24" s="43"/>
      <c r="C24" s="43" t="s">
        <v>725</v>
      </c>
      <c r="D24" s="43"/>
      <c r="E24" s="43"/>
      <c r="F24" s="57">
        <v>3988</v>
      </c>
      <c r="G24" s="45"/>
      <c r="H24" s="57">
        <v>3988</v>
      </c>
      <c r="I24" s="45"/>
      <c r="J24" s="57">
        <v>3988</v>
      </c>
    </row>
    <row r="25" spans="1:10" x14ac:dyDescent="0.3">
      <c r="A25" s="43"/>
      <c r="B25" s="43"/>
      <c r="C25" s="43" t="s">
        <v>726</v>
      </c>
      <c r="D25" s="43"/>
      <c r="E25" s="43"/>
      <c r="F25" s="57">
        <v>207973</v>
      </c>
      <c r="G25" s="45"/>
      <c r="H25" s="57">
        <v>207973</v>
      </c>
      <c r="I25" s="45"/>
      <c r="J25" s="57">
        <v>207973</v>
      </c>
    </row>
    <row r="26" spans="1:10" x14ac:dyDescent="0.3">
      <c r="A26" s="43"/>
      <c r="B26" s="43"/>
      <c r="C26" s="43" t="s">
        <v>727</v>
      </c>
      <c r="D26" s="43"/>
      <c r="E26" s="43"/>
      <c r="F26" s="57">
        <v>427</v>
      </c>
      <c r="G26" s="45"/>
      <c r="H26" s="57">
        <v>1627</v>
      </c>
      <c r="I26" s="45"/>
      <c r="J26" s="57">
        <v>1825</v>
      </c>
    </row>
    <row r="27" spans="1:10" x14ac:dyDescent="0.3">
      <c r="A27" s="43"/>
      <c r="B27" s="43"/>
      <c r="C27" s="43" t="s">
        <v>728</v>
      </c>
      <c r="D27" s="43"/>
      <c r="E27" s="43"/>
      <c r="F27" s="57">
        <v>178304</v>
      </c>
      <c r="G27" s="45"/>
      <c r="H27" s="57">
        <v>190273</v>
      </c>
      <c r="I27" s="45"/>
      <c r="J27" s="57">
        <v>190273</v>
      </c>
    </row>
    <row r="28" spans="1:10" ht="15" thickBot="1" x14ac:dyDescent="0.35">
      <c r="A28" s="43"/>
      <c r="B28" s="43"/>
      <c r="C28" s="43" t="s">
        <v>135</v>
      </c>
      <c r="D28" s="43"/>
      <c r="E28" s="43"/>
      <c r="F28" s="57">
        <v>-518704</v>
      </c>
      <c r="G28" s="45"/>
      <c r="H28" s="57">
        <v>-515506</v>
      </c>
      <c r="I28" s="45"/>
      <c r="J28" s="57">
        <v>-531106</v>
      </c>
    </row>
    <row r="29" spans="1:10" ht="15" thickBot="1" x14ac:dyDescent="0.35">
      <c r="A29" s="43"/>
      <c r="B29" s="43" t="s">
        <v>136</v>
      </c>
      <c r="C29" s="43"/>
      <c r="D29" s="43"/>
      <c r="E29" s="43"/>
      <c r="F29" s="60">
        <f>ROUND(SUM(F20:F28),5)</f>
        <v>144676</v>
      </c>
      <c r="G29" s="45"/>
      <c r="H29" s="60">
        <f>ROUND(SUM(H20:H28),5)</f>
        <v>172266</v>
      </c>
      <c r="I29" s="45"/>
      <c r="J29" s="60">
        <f>ROUND(SUM(J20:J28),5)</f>
        <v>170873</v>
      </c>
    </row>
    <row r="30" spans="1:10" s="50" customFormat="1" ht="30" customHeight="1" thickBot="1" x14ac:dyDescent="0.25">
      <c r="A30" s="43" t="s">
        <v>142</v>
      </c>
      <c r="B30" s="43"/>
      <c r="C30" s="43"/>
      <c r="D30" s="43"/>
      <c r="E30" s="43"/>
      <c r="F30" s="61">
        <f>ROUND(F2+F19+F29,5)</f>
        <v>356175</v>
      </c>
      <c r="G30" s="43"/>
      <c r="H30" s="61">
        <f>ROUND(H2+H19+H29,5)</f>
        <v>534880</v>
      </c>
      <c r="I30" s="43"/>
      <c r="J30" s="61">
        <f>ROUND(J2+J19+J29,5)</f>
        <v>499582</v>
      </c>
    </row>
    <row r="31" spans="1:10" ht="31.5" customHeight="1" thickTop="1" x14ac:dyDescent="0.3">
      <c r="A31" s="43" t="s">
        <v>143</v>
      </c>
      <c r="B31" s="43"/>
      <c r="C31" s="43"/>
      <c r="D31" s="43"/>
      <c r="E31" s="43"/>
      <c r="F31" s="57"/>
      <c r="G31" s="45"/>
      <c r="H31" s="57"/>
      <c r="I31" s="45"/>
      <c r="J31" s="57"/>
    </row>
    <row r="32" spans="1:10" x14ac:dyDescent="0.3">
      <c r="A32" s="43"/>
      <c r="B32" s="43" t="s">
        <v>144</v>
      </c>
      <c r="C32" s="43"/>
      <c r="D32" s="43"/>
      <c r="E32" s="43"/>
      <c r="F32" s="57"/>
      <c r="G32" s="45"/>
      <c r="H32" s="57"/>
      <c r="I32" s="45"/>
      <c r="J32" s="57"/>
    </row>
    <row r="33" spans="1:10" x14ac:dyDescent="0.3">
      <c r="A33" s="43"/>
      <c r="B33" s="43"/>
      <c r="C33" s="43" t="s">
        <v>145</v>
      </c>
      <c r="D33" s="43"/>
      <c r="E33" s="43"/>
      <c r="F33" s="57"/>
      <c r="G33" s="45"/>
      <c r="H33" s="57"/>
      <c r="I33" s="45"/>
      <c r="J33" s="57"/>
    </row>
    <row r="34" spans="1:10" x14ac:dyDescent="0.3">
      <c r="A34" s="43"/>
      <c r="B34" s="43"/>
      <c r="C34" s="43"/>
      <c r="D34" s="43" t="s">
        <v>146</v>
      </c>
      <c r="E34" s="43"/>
      <c r="F34" s="57"/>
      <c r="G34" s="45"/>
      <c r="H34" s="57"/>
      <c r="I34" s="45"/>
      <c r="J34" s="57"/>
    </row>
    <row r="35" spans="1:10" ht="15" thickBot="1" x14ac:dyDescent="0.35">
      <c r="A35" s="43"/>
      <c r="B35" s="43"/>
      <c r="C35" s="43"/>
      <c r="D35" s="43"/>
      <c r="E35" s="43" t="s">
        <v>146</v>
      </c>
      <c r="F35" s="58">
        <v>74755</v>
      </c>
      <c r="G35" s="45"/>
      <c r="H35" s="58">
        <v>132543</v>
      </c>
      <c r="I35" s="45"/>
      <c r="J35" s="58">
        <v>115199</v>
      </c>
    </row>
    <row r="36" spans="1:10" x14ac:dyDescent="0.3">
      <c r="A36" s="43"/>
      <c r="B36" s="43"/>
      <c r="C36" s="43"/>
      <c r="D36" s="43" t="s">
        <v>147</v>
      </c>
      <c r="E36" s="43"/>
      <c r="F36" s="57">
        <f>ROUND(SUM(F34:F35),5)</f>
        <v>74755</v>
      </c>
      <c r="G36" s="45"/>
      <c r="H36" s="57">
        <f>ROUND(SUM(H34:H35),5)</f>
        <v>132543</v>
      </c>
      <c r="I36" s="45"/>
      <c r="J36" s="57">
        <f>ROUND(SUM(J34:J35),5)</f>
        <v>115199</v>
      </c>
    </row>
    <row r="37" spans="1:10" ht="30" customHeight="1" x14ac:dyDescent="0.3">
      <c r="A37" s="43"/>
      <c r="B37" s="43"/>
      <c r="C37" s="43"/>
      <c r="D37" s="43" t="s">
        <v>729</v>
      </c>
      <c r="E37" s="43"/>
      <c r="F37" s="57"/>
      <c r="G37" s="45"/>
      <c r="H37" s="57"/>
      <c r="I37" s="45"/>
      <c r="J37" s="57"/>
    </row>
    <row r="38" spans="1:10" x14ac:dyDescent="0.3">
      <c r="A38" s="43"/>
      <c r="B38" s="43"/>
      <c r="C38" s="43"/>
      <c r="D38" s="43"/>
      <c r="E38" s="43" t="s">
        <v>730</v>
      </c>
      <c r="F38" s="57">
        <v>0</v>
      </c>
      <c r="G38" s="45"/>
      <c r="H38" s="57">
        <v>0</v>
      </c>
      <c r="I38" s="45"/>
      <c r="J38" s="57">
        <v>-284</v>
      </c>
    </row>
    <row r="39" spans="1:10" x14ac:dyDescent="0.3">
      <c r="A39" s="43"/>
      <c r="B39" s="43"/>
      <c r="C39" s="43"/>
      <c r="D39" s="43"/>
      <c r="E39" s="43" t="s">
        <v>731</v>
      </c>
      <c r="F39" s="57">
        <v>12215</v>
      </c>
      <c r="G39" s="45"/>
      <c r="H39" s="57">
        <v>0</v>
      </c>
      <c r="I39" s="45"/>
      <c r="J39" s="57">
        <v>6694</v>
      </c>
    </row>
    <row r="40" spans="1:10" ht="15" thickBot="1" x14ac:dyDescent="0.35">
      <c r="A40" s="43"/>
      <c r="B40" s="43"/>
      <c r="C40" s="43"/>
      <c r="D40" s="43"/>
      <c r="E40" s="43" t="s">
        <v>732</v>
      </c>
      <c r="F40" s="58">
        <v>11498</v>
      </c>
      <c r="G40" s="45"/>
      <c r="H40" s="58">
        <v>1748</v>
      </c>
      <c r="I40" s="45"/>
      <c r="J40" s="58">
        <v>580</v>
      </c>
    </row>
    <row r="41" spans="1:10" x14ac:dyDescent="0.3">
      <c r="A41" s="43"/>
      <c r="B41" s="43"/>
      <c r="C41" s="43"/>
      <c r="D41" s="43" t="s">
        <v>733</v>
      </c>
      <c r="E41" s="43"/>
      <c r="F41" s="57">
        <f>ROUND(SUM(F37:F40),5)</f>
        <v>23713</v>
      </c>
      <c r="G41" s="45"/>
      <c r="H41" s="57">
        <f>ROUND(SUM(H37:H40),5)</f>
        <v>1748</v>
      </c>
      <c r="I41" s="45"/>
      <c r="J41" s="57">
        <f>ROUND(SUM(J37:J40),5)</f>
        <v>6990</v>
      </c>
    </row>
    <row r="42" spans="1:10" ht="30" customHeight="1" x14ac:dyDescent="0.3">
      <c r="A42" s="43"/>
      <c r="B42" s="43"/>
      <c r="C42" s="43"/>
      <c r="D42" s="43" t="s">
        <v>148</v>
      </c>
      <c r="E42" s="43"/>
      <c r="F42" s="57"/>
      <c r="G42" s="45"/>
      <c r="H42" s="57"/>
      <c r="I42" s="45"/>
      <c r="J42" s="57"/>
    </row>
    <row r="43" spans="1:10" x14ac:dyDescent="0.3">
      <c r="A43" s="43"/>
      <c r="B43" s="43"/>
      <c r="C43" s="43"/>
      <c r="D43" s="43"/>
      <c r="E43" s="43" t="s">
        <v>734</v>
      </c>
      <c r="F43" s="57">
        <v>21482</v>
      </c>
      <c r="G43" s="45"/>
      <c r="H43" s="57">
        <v>14653</v>
      </c>
      <c r="I43" s="45"/>
      <c r="J43" s="57">
        <v>14812</v>
      </c>
    </row>
    <row r="44" spans="1:10" x14ac:dyDescent="0.3">
      <c r="A44" s="43"/>
      <c r="B44" s="43"/>
      <c r="C44" s="43"/>
      <c r="D44" s="43"/>
      <c r="E44" s="43" t="s">
        <v>513</v>
      </c>
      <c r="F44" s="57">
        <v>0</v>
      </c>
      <c r="G44" s="45"/>
      <c r="H44" s="57">
        <v>-20</v>
      </c>
      <c r="I44" s="45"/>
      <c r="J44" s="57">
        <v>-20</v>
      </c>
    </row>
    <row r="45" spans="1:10" x14ac:dyDescent="0.3">
      <c r="A45" s="43"/>
      <c r="B45" s="43"/>
      <c r="C45" s="43"/>
      <c r="D45" s="43"/>
      <c r="E45" s="43" t="s">
        <v>735</v>
      </c>
      <c r="F45" s="57">
        <v>0</v>
      </c>
      <c r="G45" s="45"/>
      <c r="H45" s="57">
        <v>-121702</v>
      </c>
      <c r="I45" s="45"/>
      <c r="J45" s="57">
        <v>-237128</v>
      </c>
    </row>
    <row r="46" spans="1:10" x14ac:dyDescent="0.3">
      <c r="A46" s="43"/>
      <c r="B46" s="43"/>
      <c r="C46" s="43"/>
      <c r="D46" s="43"/>
      <c r="E46" s="43" t="s">
        <v>736</v>
      </c>
      <c r="F46" s="57">
        <v>0</v>
      </c>
      <c r="G46" s="45"/>
      <c r="H46" s="57">
        <v>0</v>
      </c>
      <c r="I46" s="45"/>
      <c r="J46" s="57">
        <v>1386</v>
      </c>
    </row>
    <row r="47" spans="1:10" ht="15" thickBot="1" x14ac:dyDescent="0.35">
      <c r="A47" s="43"/>
      <c r="B47" s="43"/>
      <c r="C47" s="43"/>
      <c r="D47" s="43"/>
      <c r="E47" s="43" t="s">
        <v>737</v>
      </c>
      <c r="F47" s="57">
        <v>4893</v>
      </c>
      <c r="G47" s="45"/>
      <c r="H47" s="57">
        <v>15370</v>
      </c>
      <c r="I47" s="45"/>
      <c r="J47" s="57">
        <v>19210</v>
      </c>
    </row>
    <row r="48" spans="1:10" ht="15" thickBot="1" x14ac:dyDescent="0.35">
      <c r="A48" s="43"/>
      <c r="B48" s="43"/>
      <c r="C48" s="43"/>
      <c r="D48" s="43" t="s">
        <v>152</v>
      </c>
      <c r="E48" s="43"/>
      <c r="F48" s="59">
        <f>ROUND(SUM(F42:F47),5)</f>
        <v>26375</v>
      </c>
      <c r="G48" s="45"/>
      <c r="H48" s="59">
        <f>ROUND(SUM(H42:H47),5)</f>
        <v>-91699</v>
      </c>
      <c r="I48" s="45"/>
      <c r="J48" s="59">
        <f>ROUND(SUM(J42:J47),5)</f>
        <v>-201740</v>
      </c>
    </row>
    <row r="49" spans="1:10" ht="30" customHeight="1" x14ac:dyDescent="0.3">
      <c r="A49" s="43"/>
      <c r="B49" s="43"/>
      <c r="C49" s="43" t="s">
        <v>153</v>
      </c>
      <c r="D49" s="43"/>
      <c r="E49" s="43"/>
      <c r="F49" s="57">
        <f>ROUND(F33+F36+F41+F48,5)</f>
        <v>124843</v>
      </c>
      <c r="G49" s="45"/>
      <c r="H49" s="57">
        <f>ROUND(H33+H36+H41+H48,5)</f>
        <v>42592</v>
      </c>
      <c r="I49" s="45"/>
      <c r="J49" s="57">
        <f>ROUND(J33+J36+J41+J48,5)</f>
        <v>-79551</v>
      </c>
    </row>
    <row r="50" spans="1:10" ht="30" customHeight="1" x14ac:dyDescent="0.3">
      <c r="A50" s="43"/>
      <c r="B50" s="43"/>
      <c r="C50" s="43" t="s">
        <v>154</v>
      </c>
      <c r="D50" s="43"/>
      <c r="E50" s="43"/>
      <c r="F50" s="57"/>
      <c r="G50" s="45"/>
      <c r="H50" s="57"/>
      <c r="I50" s="45"/>
      <c r="J50" s="57"/>
    </row>
    <row r="51" spans="1:10" x14ac:dyDescent="0.3">
      <c r="A51" s="43"/>
      <c r="B51" s="43"/>
      <c r="C51" s="43"/>
      <c r="D51" s="43" t="s">
        <v>738</v>
      </c>
      <c r="E51" s="43"/>
      <c r="F51" s="57">
        <v>0</v>
      </c>
      <c r="G51" s="45"/>
      <c r="H51" s="57">
        <v>67489</v>
      </c>
      <c r="I51" s="45"/>
      <c r="J51" s="57">
        <v>48751</v>
      </c>
    </row>
    <row r="52" spans="1:10" x14ac:dyDescent="0.3">
      <c r="A52" s="43"/>
      <c r="B52" s="43"/>
      <c r="C52" s="43"/>
      <c r="D52" s="43" t="s">
        <v>739</v>
      </c>
      <c r="E52" s="43"/>
      <c r="F52" s="57">
        <v>0</v>
      </c>
      <c r="G52" s="45"/>
      <c r="H52" s="57">
        <v>175000</v>
      </c>
      <c r="I52" s="45"/>
      <c r="J52" s="62">
        <v>175000</v>
      </c>
    </row>
    <row r="53" spans="1:10" ht="15" thickBot="1" x14ac:dyDescent="0.35">
      <c r="A53" s="43"/>
      <c r="B53" s="43"/>
      <c r="C53" s="43"/>
      <c r="D53" s="43" t="s">
        <v>740</v>
      </c>
      <c r="E53" s="43"/>
      <c r="F53" s="57">
        <v>1924977</v>
      </c>
      <c r="G53" s="45"/>
      <c r="H53" s="57">
        <v>1924977</v>
      </c>
      <c r="I53" s="45"/>
      <c r="J53" s="62">
        <v>2109977</v>
      </c>
    </row>
    <row r="54" spans="1:10" ht="15" thickBot="1" x14ac:dyDescent="0.35">
      <c r="A54" s="43"/>
      <c r="B54" s="43"/>
      <c r="C54" s="43" t="s">
        <v>157</v>
      </c>
      <c r="D54" s="43"/>
      <c r="E54" s="43"/>
      <c r="F54" s="59">
        <f>ROUND(SUM(F50:F53),5)</f>
        <v>1924977</v>
      </c>
      <c r="G54" s="45"/>
      <c r="H54" s="59">
        <f>ROUND(SUM(H50:H53),5)</f>
        <v>2167466</v>
      </c>
      <c r="I54" s="45"/>
      <c r="J54" s="59">
        <f>ROUND(SUM(J50:J53),5)</f>
        <v>2333728</v>
      </c>
    </row>
    <row r="55" spans="1:10" ht="30" customHeight="1" x14ac:dyDescent="0.3">
      <c r="A55" s="43"/>
      <c r="B55" s="43" t="s">
        <v>158</v>
      </c>
      <c r="C55" s="43"/>
      <c r="D55" s="43"/>
      <c r="E55" s="43"/>
      <c r="F55" s="57">
        <f>ROUND(F32+F49+F54,5)</f>
        <v>2049820</v>
      </c>
      <c r="G55" s="45"/>
      <c r="H55" s="57">
        <f>ROUND(H32+H49+H54,5)</f>
        <v>2210058</v>
      </c>
      <c r="I55" s="45"/>
      <c r="J55" s="57">
        <f>ROUND(J32+J49+J54,5)</f>
        <v>2254177</v>
      </c>
    </row>
    <row r="56" spans="1:10" ht="30" customHeight="1" x14ac:dyDescent="0.3">
      <c r="A56" s="43"/>
      <c r="B56" s="43" t="s">
        <v>159</v>
      </c>
      <c r="C56" s="43"/>
      <c r="D56" s="43"/>
      <c r="E56" s="43"/>
      <c r="F56" s="57"/>
      <c r="G56" s="45"/>
      <c r="H56" s="57"/>
      <c r="I56" s="45"/>
      <c r="J56" s="57"/>
    </row>
    <row r="57" spans="1:10" x14ac:dyDescent="0.3">
      <c r="A57" s="43"/>
      <c r="B57" s="43"/>
      <c r="C57" s="43" t="s">
        <v>741</v>
      </c>
      <c r="D57" s="43"/>
      <c r="E57" s="43"/>
      <c r="F57" s="57">
        <v>5000</v>
      </c>
      <c r="G57" s="45"/>
      <c r="H57" s="57">
        <v>5000</v>
      </c>
      <c r="I57" s="45"/>
      <c r="J57" s="57">
        <v>5000</v>
      </c>
    </row>
    <row r="58" spans="1:10" x14ac:dyDescent="0.3">
      <c r="A58" s="43"/>
      <c r="B58" s="43"/>
      <c r="C58" s="43" t="s">
        <v>742</v>
      </c>
      <c r="D58" s="43"/>
      <c r="E58" s="43"/>
      <c r="F58" s="57">
        <v>40000</v>
      </c>
      <c r="G58" s="45"/>
      <c r="H58" s="57">
        <v>40000</v>
      </c>
      <c r="I58" s="45"/>
      <c r="J58" s="57">
        <v>40000</v>
      </c>
    </row>
    <row r="59" spans="1:10" x14ac:dyDescent="0.3">
      <c r="A59" s="43"/>
      <c r="B59" s="43"/>
      <c r="C59" s="43" t="s">
        <v>164</v>
      </c>
      <c r="D59" s="43"/>
      <c r="E59" s="43"/>
      <c r="F59" s="57">
        <v>-1473962</v>
      </c>
      <c r="G59" s="45"/>
      <c r="H59" s="57">
        <v>-1738644</v>
      </c>
      <c r="I59" s="45"/>
      <c r="J59" s="57">
        <v>-1720179</v>
      </c>
    </row>
    <row r="60" spans="1:10" ht="15" thickBot="1" x14ac:dyDescent="0.35">
      <c r="A60" s="43"/>
      <c r="B60" s="43"/>
      <c r="C60" s="43" t="s">
        <v>165</v>
      </c>
      <c r="D60" s="43"/>
      <c r="E60" s="43"/>
      <c r="F60" s="57">
        <v>-264682</v>
      </c>
      <c r="G60" s="45"/>
      <c r="H60" s="57">
        <v>18465</v>
      </c>
      <c r="I60" s="45"/>
      <c r="J60" s="57">
        <v>-79419</v>
      </c>
    </row>
    <row r="61" spans="1:10" ht="15" thickBot="1" x14ac:dyDescent="0.35">
      <c r="A61" s="43"/>
      <c r="B61" s="43" t="s">
        <v>166</v>
      </c>
      <c r="C61" s="43"/>
      <c r="D61" s="43"/>
      <c r="E61" s="43"/>
      <c r="F61" s="60">
        <f>ROUND(SUM(F56:F60),5)</f>
        <v>-1693644</v>
      </c>
      <c r="G61" s="45"/>
      <c r="H61" s="60">
        <f>ROUND(SUM(H56:H60),5)</f>
        <v>-1675179</v>
      </c>
      <c r="I61" s="45"/>
      <c r="J61" s="63">
        <f>ROUND(SUM(J56:J60),5)</f>
        <v>-1754598</v>
      </c>
    </row>
    <row r="62" spans="1:10" s="50" customFormat="1" ht="30" customHeight="1" thickBot="1" x14ac:dyDescent="0.25">
      <c r="A62" s="43" t="s">
        <v>167</v>
      </c>
      <c r="B62" s="43"/>
      <c r="C62" s="43"/>
      <c r="D62" s="43"/>
      <c r="E62" s="43"/>
      <c r="F62" s="61">
        <f>ROUND(F31+F55+F61,5)</f>
        <v>356176</v>
      </c>
      <c r="G62" s="43"/>
      <c r="H62" s="61">
        <f>ROUND(H31+H55+H61,5)</f>
        <v>534879</v>
      </c>
      <c r="I62" s="43"/>
      <c r="J62" s="61">
        <f>ROUND(J31+J55+J61,5)</f>
        <v>499579</v>
      </c>
    </row>
    <row r="63" spans="1:10" ht="15" thickTop="1" x14ac:dyDescent="0.3"/>
  </sheetData>
  <pageMargins left="0.7" right="0.7" top="0.75" bottom="0.75" header="0.25" footer="0.3"/>
  <pageSetup orientation="portrait" r:id="rId1"/>
  <headerFooter>
    <oddHeader>&amp;L&amp;"Arial,Bold"&amp;8 02/17/14
&amp;"Arial,Bold"&amp;8 Accrual Basis&amp;C&amp;"Arial,Bold"&amp;12 Occidental Management, Inc.
&amp;"Arial,Bold"&amp;14 Comparative Balance Sheet
&amp;"Arial,Bold"&amp;10 As of Jan 31, 2014 and 2013</oddHeader>
    <oddFooter>&amp;L&amp;"Arial,Bold"&amp;8 For Management Use Only</oddFooter>
  </headerFooter>
  <drawing r:id="rId2"/>
  <legacyDrawing r:id="rId3"/>
  <controls>
    <mc:AlternateContent xmlns:mc="http://schemas.openxmlformats.org/markup-compatibility/2006">
      <mc:Choice Requires="x14">
        <control shapeId="3481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4818" r:id="rId4" name="HEADER"/>
      </mc:Fallback>
    </mc:AlternateContent>
    <mc:AlternateContent xmlns:mc="http://schemas.openxmlformats.org/markup-compatibility/2006">
      <mc:Choice Requires="x14">
        <control shapeId="3481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4817" r:id="rId6" name="FILTER"/>
      </mc:Fallback>
    </mc:AlternateContent>
  </control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66"/>
  <dimension ref="A1:L59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5.6640625" style="50" customWidth="1"/>
    <col min="6" max="6" width="10.109375" bestFit="1" customWidth="1"/>
    <col min="7" max="7" width="2.33203125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" bestFit="1" customWidth="1"/>
  </cols>
  <sheetData>
    <row r="1" spans="1:12" s="39" customFormat="1" ht="15" thickBot="1" x14ac:dyDescent="0.35">
      <c r="A1" s="40"/>
      <c r="B1" s="40"/>
      <c r="C1" s="40"/>
      <c r="D1" s="40"/>
      <c r="E1" s="40"/>
      <c r="F1" s="41" t="s">
        <v>168</v>
      </c>
      <c r="G1" s="42"/>
      <c r="H1" s="41" t="s">
        <v>169</v>
      </c>
      <c r="I1" s="42"/>
      <c r="J1" s="41" t="s">
        <v>170</v>
      </c>
      <c r="K1" s="42"/>
      <c r="L1" s="41" t="s">
        <v>171</v>
      </c>
    </row>
    <row r="2" spans="1:12" ht="15" thickTop="1" x14ac:dyDescent="0.3">
      <c r="A2" s="43"/>
      <c r="B2" s="43" t="s">
        <v>172</v>
      </c>
      <c r="C2" s="43"/>
      <c r="D2" s="43"/>
      <c r="E2" s="43"/>
      <c r="F2" s="52"/>
      <c r="G2" s="45"/>
      <c r="H2" s="52"/>
      <c r="I2" s="45"/>
      <c r="J2" s="52"/>
      <c r="K2" s="45"/>
      <c r="L2" s="52"/>
    </row>
    <row r="3" spans="1:12" x14ac:dyDescent="0.3">
      <c r="A3" s="43"/>
      <c r="B3" s="43"/>
      <c r="C3" s="43"/>
      <c r="D3" s="43" t="s">
        <v>173</v>
      </c>
      <c r="E3" s="43"/>
      <c r="F3" s="52"/>
      <c r="G3" s="45"/>
      <c r="H3" s="52"/>
      <c r="I3" s="45"/>
      <c r="J3" s="52"/>
      <c r="K3" s="45"/>
      <c r="L3" s="52"/>
    </row>
    <row r="4" spans="1:12" x14ac:dyDescent="0.3">
      <c r="A4" s="43"/>
      <c r="B4" s="43"/>
      <c r="C4" s="43"/>
      <c r="D4" s="43"/>
      <c r="E4" s="43" t="s">
        <v>743</v>
      </c>
      <c r="F4" s="52">
        <v>0</v>
      </c>
      <c r="G4" s="45"/>
      <c r="H4" s="52">
        <v>7500</v>
      </c>
      <c r="I4" s="45"/>
      <c r="J4" s="52">
        <v>0</v>
      </c>
      <c r="K4" s="45"/>
      <c r="L4" s="52">
        <f t="shared" ref="L4:L14" si="0">ROUND(SUM(F4:J4),5)</f>
        <v>7500</v>
      </c>
    </row>
    <row r="5" spans="1:12" x14ac:dyDescent="0.3">
      <c r="A5" s="43"/>
      <c r="B5" s="43"/>
      <c r="C5" s="43"/>
      <c r="D5" s="43"/>
      <c r="E5" s="43" t="s">
        <v>744</v>
      </c>
      <c r="F5" s="52">
        <v>266299.90999999997</v>
      </c>
      <c r="G5" s="45"/>
      <c r="H5" s="52">
        <v>346136.74</v>
      </c>
      <c r="I5" s="45"/>
      <c r="J5" s="52">
        <v>369291.95</v>
      </c>
      <c r="K5" s="45"/>
      <c r="L5" s="52">
        <f t="shared" si="0"/>
        <v>981728.6</v>
      </c>
    </row>
    <row r="6" spans="1:12" x14ac:dyDescent="0.3">
      <c r="A6" s="43"/>
      <c r="B6" s="43"/>
      <c r="C6" s="43"/>
      <c r="D6" s="43"/>
      <c r="E6" s="43" t="s">
        <v>745</v>
      </c>
      <c r="F6" s="52">
        <v>2000</v>
      </c>
      <c r="G6" s="45"/>
      <c r="H6" s="52">
        <v>0</v>
      </c>
      <c r="I6" s="45"/>
      <c r="J6" s="52">
        <v>0</v>
      </c>
      <c r="K6" s="45"/>
      <c r="L6" s="52">
        <f t="shared" si="0"/>
        <v>2000</v>
      </c>
    </row>
    <row r="7" spans="1:12" x14ac:dyDescent="0.3">
      <c r="A7" s="43"/>
      <c r="B7" s="43"/>
      <c r="C7" s="43"/>
      <c r="D7" s="43"/>
      <c r="E7" s="43" t="s">
        <v>186</v>
      </c>
      <c r="F7" s="52">
        <v>174014.07</v>
      </c>
      <c r="G7" s="45"/>
      <c r="H7" s="52">
        <v>480743.01</v>
      </c>
      <c r="I7" s="45"/>
      <c r="J7" s="52">
        <v>486596.06</v>
      </c>
      <c r="K7" s="45"/>
      <c r="L7" s="52">
        <f t="shared" si="0"/>
        <v>1141353.1399999999</v>
      </c>
    </row>
    <row r="8" spans="1:12" x14ac:dyDescent="0.3">
      <c r="A8" s="43"/>
      <c r="B8" s="43"/>
      <c r="C8" s="43"/>
      <c r="D8" s="43"/>
      <c r="E8" s="43" t="s">
        <v>746</v>
      </c>
      <c r="F8" s="52">
        <v>0</v>
      </c>
      <c r="G8" s="45"/>
      <c r="H8" s="52">
        <v>0</v>
      </c>
      <c r="I8" s="45"/>
      <c r="J8" s="52">
        <v>33250</v>
      </c>
      <c r="K8" s="45"/>
      <c r="L8" s="52">
        <f t="shared" si="0"/>
        <v>33250</v>
      </c>
    </row>
    <row r="9" spans="1:12" x14ac:dyDescent="0.3">
      <c r="A9" s="43"/>
      <c r="B9" s="43"/>
      <c r="C9" s="43"/>
      <c r="D9" s="43"/>
      <c r="E9" s="43" t="s">
        <v>747</v>
      </c>
      <c r="F9" s="52">
        <v>1750</v>
      </c>
      <c r="G9" s="45"/>
      <c r="H9" s="52">
        <v>500</v>
      </c>
      <c r="I9" s="45"/>
      <c r="J9" s="52">
        <v>550</v>
      </c>
      <c r="K9" s="45"/>
      <c r="L9" s="52">
        <f t="shared" si="0"/>
        <v>2800</v>
      </c>
    </row>
    <row r="10" spans="1:12" x14ac:dyDescent="0.3">
      <c r="A10" s="43"/>
      <c r="B10" s="43"/>
      <c r="C10" s="43"/>
      <c r="D10" s="43"/>
      <c r="E10" s="43" t="s">
        <v>748</v>
      </c>
      <c r="F10" s="52">
        <v>650</v>
      </c>
      <c r="G10" s="45"/>
      <c r="H10" s="52">
        <v>750</v>
      </c>
      <c r="I10" s="45"/>
      <c r="J10" s="52">
        <v>450</v>
      </c>
      <c r="K10" s="45"/>
      <c r="L10" s="52">
        <f t="shared" si="0"/>
        <v>1850</v>
      </c>
    </row>
    <row r="11" spans="1:12" x14ac:dyDescent="0.3">
      <c r="A11" s="43"/>
      <c r="B11" s="43"/>
      <c r="C11" s="43"/>
      <c r="D11" s="43"/>
      <c r="E11" s="43" t="s">
        <v>749</v>
      </c>
      <c r="F11" s="52">
        <v>72573.73</v>
      </c>
      <c r="G11" s="45"/>
      <c r="H11" s="52">
        <v>74848.259999999995</v>
      </c>
      <c r="I11" s="45"/>
      <c r="J11" s="52">
        <v>103020.34</v>
      </c>
      <c r="K11" s="45"/>
      <c r="L11" s="52">
        <f t="shared" si="0"/>
        <v>250442.33</v>
      </c>
    </row>
    <row r="12" spans="1:12" ht="15" thickBot="1" x14ac:dyDescent="0.35">
      <c r="A12" s="43"/>
      <c r="B12" s="43"/>
      <c r="C12" s="43"/>
      <c r="D12" s="43"/>
      <c r="E12" s="43" t="s">
        <v>750</v>
      </c>
      <c r="F12" s="52">
        <v>613.65</v>
      </c>
      <c r="G12" s="45"/>
      <c r="H12" s="52">
        <v>803.55</v>
      </c>
      <c r="I12" s="45"/>
      <c r="J12" s="52">
        <v>740</v>
      </c>
      <c r="K12" s="45"/>
      <c r="L12" s="52">
        <f t="shared" si="0"/>
        <v>2157.1999999999998</v>
      </c>
    </row>
    <row r="13" spans="1:12" ht="15" thickBot="1" x14ac:dyDescent="0.35">
      <c r="A13" s="43"/>
      <c r="B13" s="43"/>
      <c r="C13" s="43"/>
      <c r="D13" s="43" t="s">
        <v>180</v>
      </c>
      <c r="E13" s="43"/>
      <c r="F13" s="53">
        <f>ROUND(SUM(F3:F12),5)</f>
        <v>517901.36</v>
      </c>
      <c r="G13" s="45"/>
      <c r="H13" s="53">
        <f>ROUND(SUM(H3:H12),5)</f>
        <v>911281.56</v>
      </c>
      <c r="I13" s="45"/>
      <c r="J13" s="53">
        <f>ROUND(SUM(J3:J12),5)</f>
        <v>993898.35</v>
      </c>
      <c r="K13" s="45"/>
      <c r="L13" s="53">
        <f t="shared" si="0"/>
        <v>2423081.27</v>
      </c>
    </row>
    <row r="14" spans="1:12" ht="30" customHeight="1" x14ac:dyDescent="0.3">
      <c r="A14" s="43"/>
      <c r="B14" s="43"/>
      <c r="C14" s="43" t="s">
        <v>181</v>
      </c>
      <c r="D14" s="43"/>
      <c r="E14" s="43"/>
      <c r="F14" s="52">
        <f>F13</f>
        <v>517901.36</v>
      </c>
      <c r="G14" s="45"/>
      <c r="H14" s="52">
        <f>H13</f>
        <v>911281.56</v>
      </c>
      <c r="I14" s="45"/>
      <c r="J14" s="52">
        <f>J13</f>
        <v>993898.35</v>
      </c>
      <c r="K14" s="45"/>
      <c r="L14" s="52">
        <f t="shared" si="0"/>
        <v>2423081.27</v>
      </c>
    </row>
    <row r="15" spans="1:12" ht="30" customHeight="1" x14ac:dyDescent="0.3">
      <c r="A15" s="43"/>
      <c r="B15" s="43"/>
      <c r="C15" s="43"/>
      <c r="D15" s="43" t="s">
        <v>182</v>
      </c>
      <c r="E15" s="43"/>
      <c r="F15" s="52"/>
      <c r="G15" s="45"/>
      <c r="H15" s="52"/>
      <c r="I15" s="45"/>
      <c r="J15" s="52"/>
      <c r="K15" s="45"/>
      <c r="L15" s="52"/>
    </row>
    <row r="16" spans="1:12" x14ac:dyDescent="0.3">
      <c r="A16" s="43"/>
      <c r="B16" s="43"/>
      <c r="C16" s="43"/>
      <c r="D16" s="43"/>
      <c r="E16" s="43" t="s">
        <v>184</v>
      </c>
      <c r="F16" s="52">
        <v>0</v>
      </c>
      <c r="G16" s="45"/>
      <c r="H16" s="52">
        <v>0</v>
      </c>
      <c r="I16" s="45"/>
      <c r="J16" s="52">
        <v>18</v>
      </c>
      <c r="K16" s="45"/>
      <c r="L16" s="52">
        <f t="shared" ref="L16:L47" si="1">ROUND(SUM(F16:J16),5)</f>
        <v>18</v>
      </c>
    </row>
    <row r="17" spans="1:12" x14ac:dyDescent="0.3">
      <c r="A17" s="43"/>
      <c r="B17" s="43"/>
      <c r="C17" s="43"/>
      <c r="D17" s="43"/>
      <c r="E17" s="43" t="s">
        <v>751</v>
      </c>
      <c r="F17" s="52">
        <v>0</v>
      </c>
      <c r="G17" s="45"/>
      <c r="H17" s="52">
        <v>0</v>
      </c>
      <c r="I17" s="45"/>
      <c r="J17" s="52">
        <v>0</v>
      </c>
      <c r="K17" s="45"/>
      <c r="L17" s="52">
        <f t="shared" si="1"/>
        <v>0</v>
      </c>
    </row>
    <row r="18" spans="1:12" x14ac:dyDescent="0.3">
      <c r="A18" s="43"/>
      <c r="B18" s="43"/>
      <c r="C18" s="43"/>
      <c r="D18" s="43"/>
      <c r="E18" s="43" t="s">
        <v>752</v>
      </c>
      <c r="F18" s="52">
        <v>429413.7</v>
      </c>
      <c r="G18" s="45"/>
      <c r="H18" s="52">
        <v>532289.55000000005</v>
      </c>
      <c r="I18" s="45"/>
      <c r="J18" s="52">
        <v>644994.64</v>
      </c>
      <c r="K18" s="45"/>
      <c r="L18" s="52">
        <f t="shared" si="1"/>
        <v>1606697.89</v>
      </c>
    </row>
    <row r="19" spans="1:12" x14ac:dyDescent="0.3">
      <c r="A19" s="43"/>
      <c r="B19" s="43"/>
      <c r="C19" s="43"/>
      <c r="D19" s="43"/>
      <c r="E19" s="43" t="s">
        <v>753</v>
      </c>
      <c r="F19" s="52">
        <v>68221.03</v>
      </c>
      <c r="G19" s="45"/>
      <c r="H19" s="52">
        <v>81926.75</v>
      </c>
      <c r="I19" s="45"/>
      <c r="J19" s="52">
        <v>201956.22</v>
      </c>
      <c r="K19" s="45"/>
      <c r="L19" s="52">
        <f t="shared" si="1"/>
        <v>352104</v>
      </c>
    </row>
    <row r="20" spans="1:12" x14ac:dyDescent="0.3">
      <c r="A20" s="43"/>
      <c r="B20" s="43"/>
      <c r="C20" s="43"/>
      <c r="D20" s="43"/>
      <c r="E20" s="43" t="s">
        <v>754</v>
      </c>
      <c r="F20" s="52">
        <v>18930.77</v>
      </c>
      <c r="G20" s="45"/>
      <c r="H20" s="52">
        <v>4438.1899999999996</v>
      </c>
      <c r="I20" s="45"/>
      <c r="J20" s="52">
        <v>535.5</v>
      </c>
      <c r="K20" s="45"/>
      <c r="L20" s="52">
        <f t="shared" si="1"/>
        <v>23904.46</v>
      </c>
    </row>
    <row r="21" spans="1:12" x14ac:dyDescent="0.3">
      <c r="A21" s="43"/>
      <c r="B21" s="43"/>
      <c r="C21" s="43"/>
      <c r="D21" s="43"/>
      <c r="E21" s="43" t="s">
        <v>271</v>
      </c>
      <c r="F21" s="52">
        <v>1254.82</v>
      </c>
      <c r="G21" s="45"/>
      <c r="H21" s="52">
        <v>9977.9500000000007</v>
      </c>
      <c r="I21" s="45"/>
      <c r="J21" s="52">
        <v>8261.67</v>
      </c>
      <c r="K21" s="45"/>
      <c r="L21" s="52">
        <f t="shared" si="1"/>
        <v>19494.439999999999</v>
      </c>
    </row>
    <row r="22" spans="1:12" x14ac:dyDescent="0.3">
      <c r="A22" s="43"/>
      <c r="B22" s="43"/>
      <c r="C22" s="43"/>
      <c r="D22" s="43"/>
      <c r="E22" s="43" t="s">
        <v>201</v>
      </c>
      <c r="F22" s="52">
        <v>3561.44</v>
      </c>
      <c r="G22" s="45"/>
      <c r="H22" s="52">
        <v>8151.17</v>
      </c>
      <c r="I22" s="45"/>
      <c r="J22" s="52">
        <v>3570.14</v>
      </c>
      <c r="K22" s="45"/>
      <c r="L22" s="52">
        <f t="shared" si="1"/>
        <v>15282.75</v>
      </c>
    </row>
    <row r="23" spans="1:12" x14ac:dyDescent="0.3">
      <c r="A23" s="43"/>
      <c r="B23" s="43"/>
      <c r="C23" s="43"/>
      <c r="D23" s="43"/>
      <c r="E23" s="43" t="s">
        <v>755</v>
      </c>
      <c r="F23" s="52">
        <v>13579.95</v>
      </c>
      <c r="G23" s="45"/>
      <c r="H23" s="52">
        <v>9062.65</v>
      </c>
      <c r="I23" s="45"/>
      <c r="J23" s="52">
        <v>6711.23</v>
      </c>
      <c r="K23" s="45"/>
      <c r="L23" s="52">
        <f t="shared" si="1"/>
        <v>29353.83</v>
      </c>
    </row>
    <row r="24" spans="1:12" x14ac:dyDescent="0.3">
      <c r="A24" s="43"/>
      <c r="B24" s="43"/>
      <c r="C24" s="43"/>
      <c r="D24" s="43"/>
      <c r="E24" s="43" t="s">
        <v>756</v>
      </c>
      <c r="F24" s="52">
        <v>8309.16</v>
      </c>
      <c r="G24" s="45"/>
      <c r="H24" s="52">
        <v>6830.41</v>
      </c>
      <c r="I24" s="45"/>
      <c r="J24" s="52">
        <v>9693.89</v>
      </c>
      <c r="K24" s="45"/>
      <c r="L24" s="52">
        <f t="shared" si="1"/>
        <v>24833.46</v>
      </c>
    </row>
    <row r="25" spans="1:12" x14ac:dyDescent="0.3">
      <c r="A25" s="43"/>
      <c r="B25" s="43"/>
      <c r="C25" s="43"/>
      <c r="D25" s="43"/>
      <c r="E25" s="43" t="s">
        <v>431</v>
      </c>
      <c r="F25" s="52">
        <v>501.74</v>
      </c>
      <c r="G25" s="45"/>
      <c r="H25" s="52">
        <v>276.61</v>
      </c>
      <c r="I25" s="45"/>
      <c r="J25" s="52">
        <v>77</v>
      </c>
      <c r="K25" s="45"/>
      <c r="L25" s="52">
        <f t="shared" si="1"/>
        <v>855.35</v>
      </c>
    </row>
    <row r="26" spans="1:12" x14ac:dyDescent="0.3">
      <c r="A26" s="43"/>
      <c r="B26" s="43"/>
      <c r="C26" s="43"/>
      <c r="D26" s="43"/>
      <c r="E26" s="43" t="s">
        <v>757</v>
      </c>
      <c r="F26" s="52">
        <v>1654</v>
      </c>
      <c r="G26" s="45"/>
      <c r="H26" s="52">
        <v>683</v>
      </c>
      <c r="I26" s="45"/>
      <c r="J26" s="52">
        <v>5817</v>
      </c>
      <c r="K26" s="45"/>
      <c r="L26" s="52">
        <f t="shared" si="1"/>
        <v>8154</v>
      </c>
    </row>
    <row r="27" spans="1:12" x14ac:dyDescent="0.3">
      <c r="A27" s="43"/>
      <c r="B27" s="43"/>
      <c r="C27" s="43"/>
      <c r="D27" s="43"/>
      <c r="E27" s="43" t="s">
        <v>758</v>
      </c>
      <c r="F27" s="52">
        <v>6418.45</v>
      </c>
      <c r="G27" s="45"/>
      <c r="H27" s="52">
        <v>11045.47</v>
      </c>
      <c r="I27" s="45"/>
      <c r="J27" s="52">
        <v>13642.66</v>
      </c>
      <c r="K27" s="45"/>
      <c r="L27" s="52">
        <f t="shared" si="1"/>
        <v>31106.58</v>
      </c>
    </row>
    <row r="28" spans="1:12" x14ac:dyDescent="0.3">
      <c r="A28" s="43"/>
      <c r="B28" s="43"/>
      <c r="C28" s="43"/>
      <c r="D28" s="43"/>
      <c r="E28" s="43" t="s">
        <v>759</v>
      </c>
      <c r="F28" s="52">
        <v>2378.7800000000002</v>
      </c>
      <c r="G28" s="45"/>
      <c r="H28" s="52">
        <v>1466.25</v>
      </c>
      <c r="I28" s="45"/>
      <c r="J28" s="52">
        <v>775.5</v>
      </c>
      <c r="K28" s="45"/>
      <c r="L28" s="52">
        <f t="shared" si="1"/>
        <v>4620.53</v>
      </c>
    </row>
    <row r="29" spans="1:12" x14ac:dyDescent="0.3">
      <c r="A29" s="43"/>
      <c r="B29" s="43"/>
      <c r="C29" s="43"/>
      <c r="D29" s="43"/>
      <c r="E29" s="43" t="s">
        <v>760</v>
      </c>
      <c r="F29" s="52">
        <v>1826.56</v>
      </c>
      <c r="G29" s="45"/>
      <c r="H29" s="52">
        <v>2656.57</v>
      </c>
      <c r="I29" s="45"/>
      <c r="J29" s="52">
        <v>6646.36</v>
      </c>
      <c r="K29" s="45"/>
      <c r="L29" s="52">
        <f t="shared" si="1"/>
        <v>11129.49</v>
      </c>
    </row>
    <row r="30" spans="1:12" x14ac:dyDescent="0.3">
      <c r="A30" s="43"/>
      <c r="B30" s="43"/>
      <c r="C30" s="43"/>
      <c r="D30" s="43"/>
      <c r="E30" s="43" t="s">
        <v>192</v>
      </c>
      <c r="F30" s="52">
        <v>415.54</v>
      </c>
      <c r="G30" s="45"/>
      <c r="H30" s="52">
        <v>467.25</v>
      </c>
      <c r="I30" s="45"/>
      <c r="J30" s="52">
        <v>751.08</v>
      </c>
      <c r="K30" s="45"/>
      <c r="L30" s="52">
        <f t="shared" si="1"/>
        <v>1633.87</v>
      </c>
    </row>
    <row r="31" spans="1:12" x14ac:dyDescent="0.3">
      <c r="A31" s="43"/>
      <c r="B31" s="43"/>
      <c r="C31" s="43"/>
      <c r="D31" s="43"/>
      <c r="E31" s="43" t="s">
        <v>543</v>
      </c>
      <c r="F31" s="52">
        <v>0</v>
      </c>
      <c r="G31" s="45"/>
      <c r="H31" s="52">
        <v>0</v>
      </c>
      <c r="I31" s="45"/>
      <c r="J31" s="52">
        <v>470</v>
      </c>
      <c r="K31" s="45"/>
      <c r="L31" s="52">
        <f t="shared" si="1"/>
        <v>470</v>
      </c>
    </row>
    <row r="32" spans="1:12" x14ac:dyDescent="0.3">
      <c r="A32" s="43"/>
      <c r="B32" s="43"/>
      <c r="C32" s="43"/>
      <c r="D32" s="43"/>
      <c r="E32" s="43" t="s">
        <v>761</v>
      </c>
      <c r="F32" s="52">
        <v>0</v>
      </c>
      <c r="G32" s="45"/>
      <c r="H32" s="52">
        <v>115</v>
      </c>
      <c r="I32" s="45"/>
      <c r="J32" s="52">
        <v>0</v>
      </c>
      <c r="K32" s="45"/>
      <c r="L32" s="52">
        <f t="shared" si="1"/>
        <v>115</v>
      </c>
    </row>
    <row r="33" spans="1:12" x14ac:dyDescent="0.3">
      <c r="A33" s="43"/>
      <c r="B33" s="43"/>
      <c r="C33" s="43"/>
      <c r="D33" s="43"/>
      <c r="E33" s="43" t="s">
        <v>195</v>
      </c>
      <c r="F33" s="52">
        <v>13336.8</v>
      </c>
      <c r="G33" s="45"/>
      <c r="H33" s="52">
        <v>12060.4</v>
      </c>
      <c r="I33" s="45"/>
      <c r="J33" s="52">
        <v>8370.5</v>
      </c>
      <c r="K33" s="45"/>
      <c r="L33" s="52">
        <f t="shared" si="1"/>
        <v>33767.699999999997</v>
      </c>
    </row>
    <row r="34" spans="1:12" x14ac:dyDescent="0.3">
      <c r="A34" s="43"/>
      <c r="B34" s="43"/>
      <c r="C34" s="43"/>
      <c r="D34" s="43"/>
      <c r="E34" s="43" t="s">
        <v>762</v>
      </c>
      <c r="F34" s="52">
        <v>0</v>
      </c>
      <c r="G34" s="45"/>
      <c r="H34" s="52">
        <v>530</v>
      </c>
      <c r="I34" s="45"/>
      <c r="J34" s="52">
        <v>20.329999999999998</v>
      </c>
      <c r="K34" s="45"/>
      <c r="L34" s="52">
        <f t="shared" si="1"/>
        <v>550.33000000000004</v>
      </c>
    </row>
    <row r="35" spans="1:12" x14ac:dyDescent="0.3">
      <c r="A35" s="43"/>
      <c r="B35" s="43"/>
      <c r="C35" s="43"/>
      <c r="D35" s="43"/>
      <c r="E35" s="43" t="s">
        <v>763</v>
      </c>
      <c r="F35" s="52">
        <v>107235.91</v>
      </c>
      <c r="G35" s="45"/>
      <c r="H35" s="52">
        <v>112928.21</v>
      </c>
      <c r="I35" s="45"/>
      <c r="J35" s="52">
        <v>109795.99</v>
      </c>
      <c r="K35" s="45"/>
      <c r="L35" s="52">
        <f t="shared" si="1"/>
        <v>329960.11</v>
      </c>
    </row>
    <row r="36" spans="1:12" x14ac:dyDescent="0.3">
      <c r="A36" s="43"/>
      <c r="B36" s="43"/>
      <c r="C36" s="43"/>
      <c r="D36" s="43"/>
      <c r="E36" s="43" t="s">
        <v>764</v>
      </c>
      <c r="F36" s="52">
        <v>9347.7099999999991</v>
      </c>
      <c r="G36" s="45"/>
      <c r="H36" s="52">
        <v>10038.299999999999</v>
      </c>
      <c r="I36" s="45"/>
      <c r="J36" s="52">
        <v>9475.68</v>
      </c>
      <c r="K36" s="45"/>
      <c r="L36" s="52">
        <f t="shared" si="1"/>
        <v>28861.69</v>
      </c>
    </row>
    <row r="37" spans="1:12" x14ac:dyDescent="0.3">
      <c r="A37" s="43"/>
      <c r="B37" s="43"/>
      <c r="C37" s="43"/>
      <c r="D37" s="43"/>
      <c r="E37" s="43" t="s">
        <v>222</v>
      </c>
      <c r="F37" s="52">
        <v>8767.83</v>
      </c>
      <c r="G37" s="45"/>
      <c r="H37" s="52">
        <v>9934.6299999999992</v>
      </c>
      <c r="I37" s="45"/>
      <c r="J37" s="52">
        <v>8535.1299999999992</v>
      </c>
      <c r="K37" s="45"/>
      <c r="L37" s="52">
        <f t="shared" si="1"/>
        <v>27237.59</v>
      </c>
    </row>
    <row r="38" spans="1:12" x14ac:dyDescent="0.3">
      <c r="A38" s="43"/>
      <c r="B38" s="43"/>
      <c r="C38" s="43"/>
      <c r="D38" s="43"/>
      <c r="E38" s="43" t="s">
        <v>272</v>
      </c>
      <c r="F38" s="52">
        <v>485.22</v>
      </c>
      <c r="G38" s="45"/>
      <c r="H38" s="52">
        <v>292.12</v>
      </c>
      <c r="I38" s="45"/>
      <c r="J38" s="52">
        <v>208.77</v>
      </c>
      <c r="K38" s="45"/>
      <c r="L38" s="52">
        <f t="shared" si="1"/>
        <v>986.11</v>
      </c>
    </row>
    <row r="39" spans="1:12" x14ac:dyDescent="0.3">
      <c r="A39" s="43"/>
      <c r="B39" s="43"/>
      <c r="C39" s="43"/>
      <c r="D39" s="43"/>
      <c r="E39" s="43" t="s">
        <v>204</v>
      </c>
      <c r="F39" s="52">
        <v>6145.86</v>
      </c>
      <c r="G39" s="45"/>
      <c r="H39" s="52">
        <v>4947.78</v>
      </c>
      <c r="I39" s="45"/>
      <c r="J39" s="52">
        <v>3835.62</v>
      </c>
      <c r="K39" s="45"/>
      <c r="L39" s="52">
        <f t="shared" si="1"/>
        <v>14929.26</v>
      </c>
    </row>
    <row r="40" spans="1:12" x14ac:dyDescent="0.3">
      <c r="A40" s="43"/>
      <c r="B40" s="43"/>
      <c r="C40" s="43"/>
      <c r="D40" s="43"/>
      <c r="E40" s="43" t="s">
        <v>662</v>
      </c>
      <c r="F40" s="52">
        <v>10906.36</v>
      </c>
      <c r="G40" s="45"/>
      <c r="H40" s="52">
        <v>20013.02</v>
      </c>
      <c r="I40" s="45"/>
      <c r="J40" s="52">
        <v>14939.17</v>
      </c>
      <c r="K40" s="45"/>
      <c r="L40" s="52">
        <f t="shared" si="1"/>
        <v>45858.55</v>
      </c>
    </row>
    <row r="41" spans="1:12" x14ac:dyDescent="0.3">
      <c r="A41" s="43"/>
      <c r="B41" s="43"/>
      <c r="C41" s="43"/>
      <c r="D41" s="43"/>
      <c r="E41" s="43" t="s">
        <v>765</v>
      </c>
      <c r="F41" s="52">
        <v>0</v>
      </c>
      <c r="G41" s="45"/>
      <c r="H41" s="52">
        <v>1634.48</v>
      </c>
      <c r="I41" s="45"/>
      <c r="J41" s="52">
        <v>1583.92</v>
      </c>
      <c r="K41" s="45"/>
      <c r="L41" s="52">
        <f t="shared" si="1"/>
        <v>3218.4</v>
      </c>
    </row>
    <row r="42" spans="1:12" x14ac:dyDescent="0.3">
      <c r="A42" s="43"/>
      <c r="B42" s="43"/>
      <c r="C42" s="43"/>
      <c r="D42" s="43"/>
      <c r="E42" s="43" t="s">
        <v>766</v>
      </c>
      <c r="F42" s="52">
        <v>2033.93</v>
      </c>
      <c r="G42" s="45"/>
      <c r="H42" s="52">
        <v>346.2</v>
      </c>
      <c r="I42" s="45"/>
      <c r="J42" s="52">
        <v>0</v>
      </c>
      <c r="K42" s="45"/>
      <c r="L42" s="52">
        <f t="shared" si="1"/>
        <v>2380.13</v>
      </c>
    </row>
    <row r="43" spans="1:12" x14ac:dyDescent="0.3">
      <c r="A43" s="43"/>
      <c r="B43" s="43"/>
      <c r="C43" s="43"/>
      <c r="D43" s="43"/>
      <c r="E43" s="43" t="s">
        <v>767</v>
      </c>
      <c r="F43" s="52">
        <v>0</v>
      </c>
      <c r="G43" s="45"/>
      <c r="H43" s="52">
        <v>61.32</v>
      </c>
      <c r="I43" s="45"/>
      <c r="J43" s="52">
        <v>17.920000000000002</v>
      </c>
      <c r="K43" s="45"/>
      <c r="L43" s="52">
        <f t="shared" si="1"/>
        <v>79.239999999999995</v>
      </c>
    </row>
    <row r="44" spans="1:12" x14ac:dyDescent="0.3">
      <c r="A44" s="43"/>
      <c r="B44" s="43"/>
      <c r="C44" s="43"/>
      <c r="D44" s="43"/>
      <c r="E44" s="43" t="s">
        <v>284</v>
      </c>
      <c r="F44" s="52">
        <v>67995</v>
      </c>
      <c r="G44" s="45"/>
      <c r="H44" s="52">
        <v>70631</v>
      </c>
      <c r="I44" s="45"/>
      <c r="J44" s="52">
        <v>15600</v>
      </c>
      <c r="K44" s="45"/>
      <c r="L44" s="52">
        <f t="shared" si="1"/>
        <v>154226</v>
      </c>
    </row>
    <row r="45" spans="1:12" ht="15" thickBot="1" x14ac:dyDescent="0.35">
      <c r="A45" s="43"/>
      <c r="B45" s="43"/>
      <c r="C45" s="43"/>
      <c r="D45" s="43"/>
      <c r="E45" s="43" t="s">
        <v>768</v>
      </c>
      <c r="F45" s="52">
        <v>0</v>
      </c>
      <c r="G45" s="45"/>
      <c r="H45" s="52">
        <v>-2579.7800000000002</v>
      </c>
      <c r="I45" s="45"/>
      <c r="J45" s="52">
        <v>-2871.32</v>
      </c>
      <c r="K45" s="45"/>
      <c r="L45" s="52">
        <f t="shared" si="1"/>
        <v>-5451.1</v>
      </c>
    </row>
    <row r="46" spans="1:12" ht="15" thickBot="1" x14ac:dyDescent="0.35">
      <c r="A46" s="43"/>
      <c r="B46" s="43"/>
      <c r="C46" s="43"/>
      <c r="D46" s="43" t="s">
        <v>287</v>
      </c>
      <c r="E46" s="43"/>
      <c r="F46" s="53">
        <f>ROUND(SUM(F15:F45),5)</f>
        <v>782720.56</v>
      </c>
      <c r="G46" s="45"/>
      <c r="H46" s="53">
        <f>ROUND(SUM(H15:H45),5)</f>
        <v>910224.5</v>
      </c>
      <c r="I46" s="45"/>
      <c r="J46" s="53">
        <f>ROUND(SUM(J15:J45),5)</f>
        <v>1073432.6000000001</v>
      </c>
      <c r="K46" s="45"/>
      <c r="L46" s="53">
        <f t="shared" si="1"/>
        <v>2766377.66</v>
      </c>
    </row>
    <row r="47" spans="1:12" ht="30" customHeight="1" x14ac:dyDescent="0.3">
      <c r="A47" s="43"/>
      <c r="B47" s="43" t="s">
        <v>288</v>
      </c>
      <c r="C47" s="43"/>
      <c r="D47" s="43"/>
      <c r="E47" s="43"/>
      <c r="F47" s="52">
        <f>ROUND(F2+F14-F46,5)</f>
        <v>-264819.20000000001</v>
      </c>
      <c r="G47" s="45"/>
      <c r="H47" s="52">
        <f>ROUND(H2+H14-H46,5)</f>
        <v>1057.06</v>
      </c>
      <c r="I47" s="45"/>
      <c r="J47" s="52">
        <f>ROUND(J2+J14-J46,5)</f>
        <v>-79534.25</v>
      </c>
      <c r="K47" s="45"/>
      <c r="L47" s="52">
        <f t="shared" si="1"/>
        <v>-343296.39</v>
      </c>
    </row>
    <row r="48" spans="1:12" ht="30" customHeight="1" x14ac:dyDescent="0.3">
      <c r="A48" s="43"/>
      <c r="B48" s="43" t="s">
        <v>289</v>
      </c>
      <c r="C48" s="43"/>
      <c r="D48" s="43"/>
      <c r="E48" s="43"/>
      <c r="F48" s="52"/>
      <c r="G48" s="45"/>
      <c r="H48" s="52"/>
      <c r="I48" s="45"/>
      <c r="J48" s="52"/>
      <c r="K48" s="45"/>
      <c r="L48" s="52"/>
    </row>
    <row r="49" spans="1:12" x14ac:dyDescent="0.3">
      <c r="A49" s="43"/>
      <c r="B49" s="43"/>
      <c r="C49" s="43" t="s">
        <v>290</v>
      </c>
      <c r="D49" s="43"/>
      <c r="E49" s="43"/>
      <c r="F49" s="52"/>
      <c r="G49" s="45"/>
      <c r="H49" s="52"/>
      <c r="I49" s="45"/>
      <c r="J49" s="52"/>
      <c r="K49" s="45"/>
      <c r="L49" s="52"/>
    </row>
    <row r="50" spans="1:12" x14ac:dyDescent="0.3">
      <c r="A50" s="43"/>
      <c r="B50" s="43"/>
      <c r="C50" s="43"/>
      <c r="D50" s="43" t="s">
        <v>769</v>
      </c>
      <c r="E50" s="43"/>
      <c r="F50" s="52">
        <v>0</v>
      </c>
      <c r="G50" s="45"/>
      <c r="H50" s="52">
        <v>17281</v>
      </c>
      <c r="I50" s="45"/>
      <c r="J50" s="52">
        <v>0</v>
      </c>
      <c r="K50" s="45"/>
      <c r="L50" s="52">
        <f>ROUND(SUM(F50:J50),5)</f>
        <v>17281</v>
      </c>
    </row>
    <row r="51" spans="1:12" x14ac:dyDescent="0.3">
      <c r="A51" s="43"/>
      <c r="B51" s="43"/>
      <c r="C51" s="43"/>
      <c r="D51" s="43" t="s">
        <v>770</v>
      </c>
      <c r="E51" s="43"/>
      <c r="F51" s="52">
        <v>120</v>
      </c>
      <c r="G51" s="45"/>
      <c r="H51" s="52">
        <v>120</v>
      </c>
      <c r="I51" s="45"/>
      <c r="J51" s="52">
        <v>120</v>
      </c>
      <c r="K51" s="45"/>
      <c r="L51" s="52">
        <f>ROUND(SUM(F51:J51),5)</f>
        <v>360</v>
      </c>
    </row>
    <row r="52" spans="1:12" ht="15" thickBot="1" x14ac:dyDescent="0.35">
      <c r="A52" s="43"/>
      <c r="B52" s="43"/>
      <c r="C52" s="43"/>
      <c r="D52" s="43" t="s">
        <v>291</v>
      </c>
      <c r="E52" s="43"/>
      <c r="F52" s="54">
        <v>17.239999999999998</v>
      </c>
      <c r="G52" s="45"/>
      <c r="H52" s="54">
        <v>7.13</v>
      </c>
      <c r="I52" s="45"/>
      <c r="J52" s="54">
        <v>10.220000000000001</v>
      </c>
      <c r="K52" s="45"/>
      <c r="L52" s="54">
        <f>ROUND(SUM(F52:J52),5)</f>
        <v>34.590000000000003</v>
      </c>
    </row>
    <row r="53" spans="1:12" x14ac:dyDescent="0.3">
      <c r="A53" s="43"/>
      <c r="B53" s="43"/>
      <c r="C53" s="43" t="s">
        <v>292</v>
      </c>
      <c r="D53" s="43"/>
      <c r="E53" s="43"/>
      <c r="F53" s="52">
        <f>ROUND(SUM(F49:F52),5)</f>
        <v>137.24</v>
      </c>
      <c r="G53" s="45"/>
      <c r="H53" s="52">
        <f>ROUND(SUM(H49:H52),5)</f>
        <v>17408.13</v>
      </c>
      <c r="I53" s="45"/>
      <c r="J53" s="52">
        <f>ROUND(SUM(J49:J52),5)</f>
        <v>130.22</v>
      </c>
      <c r="K53" s="45"/>
      <c r="L53" s="52">
        <f>ROUND(SUM(F53:J53),5)</f>
        <v>17675.59</v>
      </c>
    </row>
    <row r="54" spans="1:12" ht="30" customHeight="1" x14ac:dyDescent="0.3">
      <c r="A54" s="43"/>
      <c r="B54" s="43"/>
      <c r="C54" s="43" t="s">
        <v>293</v>
      </c>
      <c r="D54" s="43"/>
      <c r="E54" s="43"/>
      <c r="F54" s="52"/>
      <c r="G54" s="45"/>
      <c r="H54" s="52"/>
      <c r="I54" s="45"/>
      <c r="J54" s="52"/>
      <c r="K54" s="45"/>
      <c r="L54" s="52"/>
    </row>
    <row r="55" spans="1:12" ht="15" thickBot="1" x14ac:dyDescent="0.35">
      <c r="A55" s="43"/>
      <c r="B55" s="43"/>
      <c r="C55" s="43"/>
      <c r="D55" s="43" t="s">
        <v>771</v>
      </c>
      <c r="E55" s="43"/>
      <c r="F55" s="52">
        <v>0</v>
      </c>
      <c r="G55" s="45"/>
      <c r="H55" s="52">
        <v>0</v>
      </c>
      <c r="I55" s="45"/>
      <c r="J55" s="52">
        <v>15</v>
      </c>
      <c r="K55" s="45"/>
      <c r="L55" s="52">
        <f>ROUND(SUM(F55:J55),5)</f>
        <v>15</v>
      </c>
    </row>
    <row r="56" spans="1:12" ht="15" thickBot="1" x14ac:dyDescent="0.35">
      <c r="A56" s="43"/>
      <c r="B56" s="43"/>
      <c r="C56" s="43" t="s">
        <v>295</v>
      </c>
      <c r="D56" s="43"/>
      <c r="E56" s="43"/>
      <c r="F56" s="55">
        <f>ROUND(SUM(F54:F55),5)</f>
        <v>0</v>
      </c>
      <c r="G56" s="45"/>
      <c r="H56" s="55">
        <f>ROUND(SUM(H54:H55),5)</f>
        <v>0</v>
      </c>
      <c r="I56" s="45"/>
      <c r="J56" s="55">
        <f>ROUND(SUM(J54:J55),5)</f>
        <v>15</v>
      </c>
      <c r="K56" s="45"/>
      <c r="L56" s="55">
        <f>ROUND(SUM(F56:J56),5)</f>
        <v>15</v>
      </c>
    </row>
    <row r="57" spans="1:12" ht="30" customHeight="1" thickBot="1" x14ac:dyDescent="0.35">
      <c r="A57" s="43"/>
      <c r="B57" s="43" t="s">
        <v>296</v>
      </c>
      <c r="C57" s="43"/>
      <c r="D57" s="43"/>
      <c r="E57" s="43"/>
      <c r="F57" s="55">
        <f>ROUND(F48+F53-F56,5)</f>
        <v>137.24</v>
      </c>
      <c r="G57" s="45"/>
      <c r="H57" s="55">
        <f>ROUND(H48+H53-H56,5)</f>
        <v>17408.13</v>
      </c>
      <c r="I57" s="45"/>
      <c r="J57" s="55">
        <f>ROUND(J48+J53-J56,5)</f>
        <v>115.22</v>
      </c>
      <c r="K57" s="45"/>
      <c r="L57" s="55">
        <f>ROUND(SUM(F57:J57),5)</f>
        <v>17660.59</v>
      </c>
    </row>
    <row r="58" spans="1:12" s="50" customFormat="1" ht="30" customHeight="1" thickBot="1" x14ac:dyDescent="0.25">
      <c r="A58" s="43" t="s">
        <v>165</v>
      </c>
      <c r="B58" s="43"/>
      <c r="C58" s="43"/>
      <c r="D58" s="43"/>
      <c r="E58" s="43"/>
      <c r="F58" s="56">
        <f>ROUND(F47+F57,5)</f>
        <v>-264681.96000000002</v>
      </c>
      <c r="G58" s="43"/>
      <c r="H58" s="56">
        <f>ROUND(H47+H57,5)</f>
        <v>18465.189999999999</v>
      </c>
      <c r="I58" s="43"/>
      <c r="J58" s="56">
        <f>ROUND(J47+J57,5)</f>
        <v>-79419.03</v>
      </c>
      <c r="K58" s="43"/>
      <c r="L58" s="56">
        <f>ROUND(SUM(F58:J58),5)</f>
        <v>-325635.8</v>
      </c>
    </row>
    <row r="59" spans="1:12" ht="15" thickTop="1" x14ac:dyDescent="0.3"/>
  </sheetData>
  <pageMargins left="0.7" right="0.7" top="0.75" bottom="0.75" header="0.25" footer="0.3"/>
  <pageSetup orientation="portrait" r:id="rId1"/>
  <headerFooter>
    <oddHeader>&amp;L&amp;"Arial,Bold"&amp;8 02/18/14
&amp;"Arial,Bold"&amp;8 Accrual Basis&amp;C&amp;"Arial,Bold"&amp;12 Occidental Management, Inc.
&amp;"Arial,Bold"&amp;14 Comparative Profit &amp;&amp; Loss
&amp;"Arial,Bold"&amp;10 For the Years: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35842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5842" r:id="rId4" name="HEADER"/>
      </mc:Fallback>
    </mc:AlternateContent>
    <mc:AlternateContent xmlns:mc="http://schemas.openxmlformats.org/markup-compatibility/2006">
      <mc:Choice Requires="x14">
        <control shapeId="35841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5841" r:id="rId6" name="FILTER"/>
      </mc:Fallback>
    </mc:AlternateContent>
  </control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5"/>
  <dimension ref="A1:J49"/>
  <sheetViews>
    <sheetView workbookViewId="0">
      <pane xSplit="5" ySplit="1" topLeftCell="F26" activePane="bottomRight" state="frozenSplit"/>
      <selection pane="topRight"/>
      <selection pane="bottomLeft"/>
      <selection pane="bottomRight" activeCell="L24" sqref="L24"/>
    </sheetView>
  </sheetViews>
  <sheetFormatPr defaultRowHeight="14.4" x14ac:dyDescent="0.3"/>
  <cols>
    <col min="1" max="4" width="3" style="50" customWidth="1"/>
    <col min="5" max="5" width="22.441406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7"/>
      <c r="G2" s="45"/>
      <c r="H2" s="57"/>
      <c r="I2" s="45"/>
      <c r="J2" s="57"/>
    </row>
    <row r="3" spans="1:10" x14ac:dyDescent="0.3">
      <c r="A3" s="43"/>
      <c r="B3" s="43" t="s">
        <v>113</v>
      </c>
      <c r="C3" s="43"/>
      <c r="D3" s="43"/>
      <c r="E3" s="43"/>
      <c r="F3" s="57"/>
      <c r="G3" s="45"/>
      <c r="H3" s="57"/>
      <c r="I3" s="45"/>
      <c r="J3" s="57"/>
    </row>
    <row r="4" spans="1:10" x14ac:dyDescent="0.3">
      <c r="A4" s="43"/>
      <c r="B4" s="43"/>
      <c r="C4" s="43" t="s">
        <v>114</v>
      </c>
      <c r="D4" s="43"/>
      <c r="E4" s="43"/>
      <c r="F4" s="57"/>
      <c r="G4" s="45"/>
      <c r="H4" s="57"/>
      <c r="I4" s="45"/>
      <c r="J4" s="57"/>
    </row>
    <row r="5" spans="1:10" ht="15" thickBot="1" x14ac:dyDescent="0.35">
      <c r="A5" s="43"/>
      <c r="B5" s="43"/>
      <c r="C5" s="43"/>
      <c r="D5" s="43" t="s">
        <v>81</v>
      </c>
      <c r="E5" s="43"/>
      <c r="F5" s="58">
        <v>68236</v>
      </c>
      <c r="G5" s="45"/>
      <c r="H5" s="58">
        <v>61092</v>
      </c>
      <c r="I5" s="45"/>
      <c r="J5" s="58">
        <v>104612</v>
      </c>
    </row>
    <row r="6" spans="1:10" x14ac:dyDescent="0.3">
      <c r="A6" s="43"/>
      <c r="B6" s="43"/>
      <c r="C6" s="43" t="s">
        <v>117</v>
      </c>
      <c r="D6" s="43"/>
      <c r="E6" s="43"/>
      <c r="F6" s="57">
        <f>ROUND(SUM(F4:F5),5)</f>
        <v>68236</v>
      </c>
      <c r="G6" s="45"/>
      <c r="H6" s="57">
        <f>ROUND(SUM(H4:H5),5)</f>
        <v>61092</v>
      </c>
      <c r="I6" s="45"/>
      <c r="J6" s="57">
        <f>ROUND(SUM(J4:J5),5)</f>
        <v>104612</v>
      </c>
    </row>
    <row r="7" spans="1:10" ht="30" customHeight="1" x14ac:dyDescent="0.3">
      <c r="A7" s="43"/>
      <c r="B7" s="43"/>
      <c r="C7" s="43" t="s">
        <v>118</v>
      </c>
      <c r="D7" s="43"/>
      <c r="E7" s="43"/>
      <c r="F7" s="57"/>
      <c r="G7" s="45"/>
      <c r="H7" s="57"/>
      <c r="I7" s="45"/>
      <c r="J7" s="57"/>
    </row>
    <row r="8" spans="1:10" ht="15" thickBot="1" x14ac:dyDescent="0.35">
      <c r="A8" s="43"/>
      <c r="B8" s="43"/>
      <c r="C8" s="43"/>
      <c r="D8" s="43" t="s">
        <v>118</v>
      </c>
      <c r="E8" s="43"/>
      <c r="F8" s="58">
        <v>-4242</v>
      </c>
      <c r="G8" s="45"/>
      <c r="H8" s="58">
        <v>-4559</v>
      </c>
      <c r="I8" s="45"/>
      <c r="J8" s="58">
        <v>-8998</v>
      </c>
    </row>
    <row r="9" spans="1:10" x14ac:dyDescent="0.3">
      <c r="A9" s="43"/>
      <c r="B9" s="43"/>
      <c r="C9" s="43" t="s">
        <v>119</v>
      </c>
      <c r="D9" s="43"/>
      <c r="E9" s="43"/>
      <c r="F9" s="57">
        <f>ROUND(SUM(F7:F8),5)</f>
        <v>-4242</v>
      </c>
      <c r="G9" s="45"/>
      <c r="H9" s="57">
        <f>ROUND(SUM(H7:H8),5)</f>
        <v>-4559</v>
      </c>
      <c r="I9" s="45"/>
      <c r="J9" s="57">
        <f>ROUND(SUM(J7:J8),5)</f>
        <v>-8998</v>
      </c>
    </row>
    <row r="10" spans="1:10" ht="30" customHeight="1" x14ac:dyDescent="0.3">
      <c r="A10" s="43"/>
      <c r="B10" s="43"/>
      <c r="C10" s="43" t="s">
        <v>120</v>
      </c>
      <c r="D10" s="43"/>
      <c r="E10" s="43"/>
      <c r="F10" s="57"/>
      <c r="G10" s="45"/>
      <c r="H10" s="57"/>
      <c r="I10" s="45"/>
      <c r="J10" s="57"/>
    </row>
    <row r="11" spans="1:10" x14ac:dyDescent="0.3">
      <c r="A11" s="43"/>
      <c r="B11" s="43"/>
      <c r="C11" s="43"/>
      <c r="D11" s="43" t="s">
        <v>772</v>
      </c>
      <c r="E11" s="43"/>
      <c r="F11" s="57">
        <v>4549</v>
      </c>
      <c r="G11" s="45"/>
      <c r="H11" s="57">
        <v>2355</v>
      </c>
      <c r="I11" s="45"/>
      <c r="J11" s="57">
        <v>0</v>
      </c>
    </row>
    <row r="12" spans="1:10" ht="15" thickBot="1" x14ac:dyDescent="0.35">
      <c r="A12" s="43"/>
      <c r="B12" s="43"/>
      <c r="C12" s="43"/>
      <c r="D12" s="43" t="s">
        <v>122</v>
      </c>
      <c r="E12" s="43"/>
      <c r="F12" s="57">
        <v>4812</v>
      </c>
      <c r="G12" s="45"/>
      <c r="H12" s="57">
        <v>5055</v>
      </c>
      <c r="I12" s="45"/>
      <c r="J12" s="57">
        <v>5074</v>
      </c>
    </row>
    <row r="13" spans="1:10" ht="15" thickBot="1" x14ac:dyDescent="0.35">
      <c r="A13" s="43"/>
      <c r="B13" s="43"/>
      <c r="C13" s="43" t="s">
        <v>124</v>
      </c>
      <c r="D13" s="43"/>
      <c r="E13" s="43"/>
      <c r="F13" s="59">
        <f>ROUND(SUM(F10:F12),5)</f>
        <v>9361</v>
      </c>
      <c r="G13" s="45"/>
      <c r="H13" s="59">
        <f>ROUND(SUM(H10:H12),5)</f>
        <v>7410</v>
      </c>
      <c r="I13" s="45"/>
      <c r="J13" s="59">
        <f>ROUND(SUM(J10:J12),5)</f>
        <v>5074</v>
      </c>
    </row>
    <row r="14" spans="1:10" ht="30" customHeight="1" x14ac:dyDescent="0.3">
      <c r="A14" s="43"/>
      <c r="B14" s="43" t="s">
        <v>125</v>
      </c>
      <c r="C14" s="43"/>
      <c r="D14" s="43"/>
      <c r="E14" s="43"/>
      <c r="F14" s="57">
        <f>ROUND(F3+F6+F9+F13,5)</f>
        <v>73355</v>
      </c>
      <c r="G14" s="45"/>
      <c r="H14" s="57">
        <f>ROUND(H3+H6+H9+H13,5)</f>
        <v>63943</v>
      </c>
      <c r="I14" s="45"/>
      <c r="J14" s="57">
        <f>ROUND(J3+J6+J9+J13,5)</f>
        <v>100688</v>
      </c>
    </row>
    <row r="15" spans="1:10" ht="30" customHeight="1" x14ac:dyDescent="0.3">
      <c r="A15" s="43"/>
      <c r="B15" s="43" t="s">
        <v>126</v>
      </c>
      <c r="C15" s="43"/>
      <c r="D15" s="43"/>
      <c r="E15" s="43"/>
      <c r="F15" s="57"/>
      <c r="G15" s="45"/>
      <c r="H15" s="57"/>
      <c r="I15" s="45"/>
      <c r="J15" s="57"/>
    </row>
    <row r="16" spans="1:10" x14ac:dyDescent="0.3">
      <c r="A16" s="43"/>
      <c r="B16" s="43"/>
      <c r="C16" s="43" t="s">
        <v>127</v>
      </c>
      <c r="D16" s="43"/>
      <c r="E16" s="43"/>
      <c r="F16" s="57">
        <v>225000</v>
      </c>
      <c r="G16" s="45"/>
      <c r="H16" s="57">
        <v>225000</v>
      </c>
      <c r="I16" s="45"/>
      <c r="J16" s="57">
        <v>225000</v>
      </c>
    </row>
    <row r="17" spans="1:10" x14ac:dyDescent="0.3">
      <c r="A17" s="43"/>
      <c r="B17" s="43"/>
      <c r="C17" s="43" t="s">
        <v>128</v>
      </c>
      <c r="D17" s="43"/>
      <c r="E17" s="43"/>
      <c r="F17" s="57">
        <v>1640056</v>
      </c>
      <c r="G17" s="45"/>
      <c r="H17" s="57">
        <v>1640056</v>
      </c>
      <c r="I17" s="45"/>
      <c r="J17" s="57">
        <v>1640056</v>
      </c>
    </row>
    <row r="18" spans="1:10" x14ac:dyDescent="0.3">
      <c r="A18" s="43"/>
      <c r="B18" s="43"/>
      <c r="C18" s="43" t="s">
        <v>773</v>
      </c>
      <c r="D18" s="43"/>
      <c r="E18" s="43"/>
      <c r="F18" s="57">
        <v>139645</v>
      </c>
      <c r="G18" s="45"/>
      <c r="H18" s="57">
        <v>139645</v>
      </c>
      <c r="I18" s="45"/>
      <c r="J18" s="57">
        <v>139645</v>
      </c>
    </row>
    <row r="19" spans="1:10" x14ac:dyDescent="0.3">
      <c r="A19" s="43"/>
      <c r="B19" s="43"/>
      <c r="C19" s="43" t="s">
        <v>774</v>
      </c>
      <c r="D19" s="43"/>
      <c r="E19" s="43"/>
      <c r="F19" s="57">
        <v>243870</v>
      </c>
      <c r="G19" s="45"/>
      <c r="H19" s="57">
        <v>243870</v>
      </c>
      <c r="I19" s="45"/>
      <c r="J19" s="57">
        <v>243870</v>
      </c>
    </row>
    <row r="20" spans="1:10" x14ac:dyDescent="0.3">
      <c r="A20" s="43"/>
      <c r="B20" s="43"/>
      <c r="C20" s="43" t="s">
        <v>775</v>
      </c>
      <c r="D20" s="43"/>
      <c r="E20" s="43"/>
      <c r="F20" s="57">
        <v>122940</v>
      </c>
      <c r="G20" s="45"/>
      <c r="H20" s="57">
        <v>122940</v>
      </c>
      <c r="I20" s="45"/>
      <c r="J20" s="57">
        <v>122940</v>
      </c>
    </row>
    <row r="21" spans="1:10" x14ac:dyDescent="0.3">
      <c r="A21" s="43"/>
      <c r="B21" s="43"/>
      <c r="C21" s="43" t="s">
        <v>776</v>
      </c>
      <c r="D21" s="43"/>
      <c r="E21" s="43"/>
      <c r="F21" s="57">
        <v>79493</v>
      </c>
      <c r="G21" s="45"/>
      <c r="H21" s="57">
        <v>79493</v>
      </c>
      <c r="I21" s="45"/>
      <c r="J21" s="57">
        <v>79493</v>
      </c>
    </row>
    <row r="22" spans="1:10" x14ac:dyDescent="0.3">
      <c r="A22" s="43"/>
      <c r="B22" s="43"/>
      <c r="C22" s="43" t="s">
        <v>132</v>
      </c>
      <c r="D22" s="43"/>
      <c r="E22" s="43"/>
      <c r="F22" s="57">
        <v>2707</v>
      </c>
      <c r="G22" s="45"/>
      <c r="H22" s="57">
        <v>2707</v>
      </c>
      <c r="I22" s="45"/>
      <c r="J22" s="57">
        <v>2707</v>
      </c>
    </row>
    <row r="23" spans="1:10" x14ac:dyDescent="0.3">
      <c r="A23" s="43"/>
      <c r="B23" s="43"/>
      <c r="C23" s="43" t="s">
        <v>306</v>
      </c>
      <c r="D23" s="43"/>
      <c r="E23" s="43"/>
      <c r="F23" s="57">
        <v>17343</v>
      </c>
      <c r="G23" s="45"/>
      <c r="H23" s="57">
        <v>17343</v>
      </c>
      <c r="I23" s="45"/>
      <c r="J23" s="57">
        <v>17343</v>
      </c>
    </row>
    <row r="24" spans="1:10" ht="15" thickBot="1" x14ac:dyDescent="0.35">
      <c r="A24" s="43"/>
      <c r="B24" s="43"/>
      <c r="C24" s="43" t="s">
        <v>135</v>
      </c>
      <c r="D24" s="43"/>
      <c r="E24" s="43"/>
      <c r="F24" s="57">
        <v>-641407</v>
      </c>
      <c r="G24" s="45"/>
      <c r="H24" s="57">
        <v>-707032</v>
      </c>
      <c r="I24" s="45"/>
      <c r="J24" s="57">
        <v>-772014</v>
      </c>
    </row>
    <row r="25" spans="1:10" ht="15" thickBot="1" x14ac:dyDescent="0.35">
      <c r="A25" s="43"/>
      <c r="B25" s="43" t="s">
        <v>136</v>
      </c>
      <c r="C25" s="43"/>
      <c r="D25" s="43"/>
      <c r="E25" s="43"/>
      <c r="F25" s="60">
        <f>ROUND(SUM(F15:F24),5)</f>
        <v>1829647</v>
      </c>
      <c r="G25" s="45"/>
      <c r="H25" s="60">
        <f>ROUND(SUM(H15:H24),5)</f>
        <v>1764022</v>
      </c>
      <c r="I25" s="45"/>
      <c r="J25" s="60">
        <f>ROUND(SUM(J15:J24),5)</f>
        <v>1699040</v>
      </c>
    </row>
    <row r="26" spans="1:10" s="50" customFormat="1" ht="30" customHeight="1" thickBot="1" x14ac:dyDescent="0.25">
      <c r="A26" s="43" t="s">
        <v>142</v>
      </c>
      <c r="B26" s="43"/>
      <c r="C26" s="43"/>
      <c r="D26" s="43"/>
      <c r="E26" s="43"/>
      <c r="F26" s="61">
        <f>ROUND(F2+F14+F25,5)</f>
        <v>1903002</v>
      </c>
      <c r="G26" s="43"/>
      <c r="H26" s="61">
        <f>ROUND(H2+H14+H25,5)</f>
        <v>1827965</v>
      </c>
      <c r="I26" s="43"/>
      <c r="J26" s="61">
        <f>ROUND(J2+J14+J25,5)</f>
        <v>1799728</v>
      </c>
    </row>
    <row r="27" spans="1:10" ht="31.5" customHeight="1" thickTop="1" x14ac:dyDescent="0.3">
      <c r="A27" s="43" t="s">
        <v>143</v>
      </c>
      <c r="B27" s="43"/>
      <c r="C27" s="43"/>
      <c r="D27" s="43"/>
      <c r="E27" s="43"/>
      <c r="F27" s="57"/>
      <c r="G27" s="45"/>
      <c r="H27" s="57"/>
      <c r="I27" s="45"/>
      <c r="J27" s="57"/>
    </row>
    <row r="28" spans="1:10" x14ac:dyDescent="0.3">
      <c r="A28" s="43"/>
      <c r="B28" s="43" t="s">
        <v>144</v>
      </c>
      <c r="C28" s="43"/>
      <c r="D28" s="43"/>
      <c r="E28" s="43"/>
      <c r="F28" s="57"/>
      <c r="G28" s="45"/>
      <c r="H28" s="57"/>
      <c r="I28" s="45"/>
      <c r="J28" s="57"/>
    </row>
    <row r="29" spans="1:10" x14ac:dyDescent="0.3">
      <c r="A29" s="43"/>
      <c r="B29" s="43"/>
      <c r="C29" s="43" t="s">
        <v>145</v>
      </c>
      <c r="D29" s="43"/>
      <c r="E29" s="43"/>
      <c r="F29" s="57"/>
      <c r="G29" s="45"/>
      <c r="H29" s="57"/>
      <c r="I29" s="45"/>
      <c r="J29" s="57"/>
    </row>
    <row r="30" spans="1:10" x14ac:dyDescent="0.3">
      <c r="A30" s="43"/>
      <c r="B30" s="43"/>
      <c r="C30" s="43"/>
      <c r="D30" s="43" t="s">
        <v>146</v>
      </c>
      <c r="E30" s="43"/>
      <c r="F30" s="57"/>
      <c r="G30" s="45"/>
      <c r="H30" s="57"/>
      <c r="I30" s="45"/>
      <c r="J30" s="57"/>
    </row>
    <row r="31" spans="1:10" ht="15" thickBot="1" x14ac:dyDescent="0.35">
      <c r="A31" s="43"/>
      <c r="B31" s="43"/>
      <c r="C31" s="43"/>
      <c r="D31" s="43"/>
      <c r="E31" s="43" t="s">
        <v>146</v>
      </c>
      <c r="F31" s="58">
        <v>14375</v>
      </c>
      <c r="G31" s="45"/>
      <c r="H31" s="58">
        <v>15229</v>
      </c>
      <c r="I31" s="45"/>
      <c r="J31" s="58">
        <v>14202</v>
      </c>
    </row>
    <row r="32" spans="1:10" x14ac:dyDescent="0.3">
      <c r="A32" s="43"/>
      <c r="B32" s="43"/>
      <c r="C32" s="43"/>
      <c r="D32" s="43" t="s">
        <v>147</v>
      </c>
      <c r="E32" s="43"/>
      <c r="F32" s="57">
        <f>ROUND(SUM(F30:F31),5)</f>
        <v>14375</v>
      </c>
      <c r="G32" s="45"/>
      <c r="H32" s="57">
        <f>ROUND(SUM(H30:H31),5)</f>
        <v>15229</v>
      </c>
      <c r="I32" s="45"/>
      <c r="J32" s="57">
        <f>ROUND(SUM(J30:J31),5)</f>
        <v>14202</v>
      </c>
    </row>
    <row r="33" spans="1:10" ht="30" customHeight="1" x14ac:dyDescent="0.3">
      <c r="A33" s="43"/>
      <c r="B33" s="43"/>
      <c r="C33" s="43"/>
      <c r="D33" s="43" t="s">
        <v>148</v>
      </c>
      <c r="E33" s="43"/>
      <c r="F33" s="57"/>
      <c r="G33" s="45"/>
      <c r="H33" s="57"/>
      <c r="I33" s="45"/>
      <c r="J33" s="57"/>
    </row>
    <row r="34" spans="1:10" x14ac:dyDescent="0.3">
      <c r="A34" s="43"/>
      <c r="B34" s="43"/>
      <c r="C34" s="43"/>
      <c r="D34" s="43"/>
      <c r="E34" s="43" t="s">
        <v>777</v>
      </c>
      <c r="F34" s="57">
        <v>32875</v>
      </c>
      <c r="G34" s="45"/>
      <c r="H34" s="57">
        <v>32956</v>
      </c>
      <c r="I34" s="45"/>
      <c r="J34" s="57">
        <v>28465</v>
      </c>
    </row>
    <row r="35" spans="1:10" ht="15" thickBot="1" x14ac:dyDescent="0.35">
      <c r="A35" s="43"/>
      <c r="B35" s="43"/>
      <c r="C35" s="43"/>
      <c r="D35" s="43"/>
      <c r="E35" s="43" t="s">
        <v>151</v>
      </c>
      <c r="F35" s="57">
        <v>27369</v>
      </c>
      <c r="G35" s="45"/>
      <c r="H35" s="57">
        <v>27369</v>
      </c>
      <c r="I35" s="45"/>
      <c r="J35" s="57">
        <v>27369</v>
      </c>
    </row>
    <row r="36" spans="1:10" ht="15" thickBot="1" x14ac:dyDescent="0.35">
      <c r="A36" s="43"/>
      <c r="B36" s="43"/>
      <c r="C36" s="43"/>
      <c r="D36" s="43" t="s">
        <v>152</v>
      </c>
      <c r="E36" s="43"/>
      <c r="F36" s="59">
        <f>ROUND(SUM(F33:F35),5)</f>
        <v>60244</v>
      </c>
      <c r="G36" s="45"/>
      <c r="H36" s="59">
        <f>ROUND(SUM(H33:H35),5)</f>
        <v>60325</v>
      </c>
      <c r="I36" s="45"/>
      <c r="J36" s="59">
        <f>ROUND(SUM(J33:J35),5)</f>
        <v>55834</v>
      </c>
    </row>
    <row r="37" spans="1:10" ht="30" customHeight="1" x14ac:dyDescent="0.3">
      <c r="A37" s="43"/>
      <c r="B37" s="43"/>
      <c r="C37" s="43" t="s">
        <v>153</v>
      </c>
      <c r="D37" s="43"/>
      <c r="E37" s="43"/>
      <c r="F37" s="57">
        <f>ROUND(F29+F32+F36,5)</f>
        <v>74619</v>
      </c>
      <c r="G37" s="45"/>
      <c r="H37" s="57">
        <f>ROUND(H29+H32+H36,5)</f>
        <v>75554</v>
      </c>
      <c r="I37" s="45"/>
      <c r="J37" s="57">
        <f>ROUND(J29+J32+J36,5)</f>
        <v>70036</v>
      </c>
    </row>
    <row r="38" spans="1:10" ht="30" customHeight="1" x14ac:dyDescent="0.3">
      <c r="A38" s="43"/>
      <c r="B38" s="43"/>
      <c r="C38" s="43" t="s">
        <v>154</v>
      </c>
      <c r="D38" s="43"/>
      <c r="E38" s="43"/>
      <c r="F38" s="57"/>
      <c r="G38" s="45"/>
      <c r="H38" s="57"/>
      <c r="I38" s="45"/>
      <c r="J38" s="57"/>
    </row>
    <row r="39" spans="1:10" ht="15" thickBot="1" x14ac:dyDescent="0.35">
      <c r="A39" s="43"/>
      <c r="B39" s="43"/>
      <c r="C39" s="43"/>
      <c r="D39" s="43" t="s">
        <v>778</v>
      </c>
      <c r="E39" s="43"/>
      <c r="F39" s="57">
        <v>1791502</v>
      </c>
      <c r="G39" s="45"/>
      <c r="H39" s="57">
        <v>1711294</v>
      </c>
      <c r="I39" s="45"/>
      <c r="J39" s="62">
        <v>1624730</v>
      </c>
    </row>
    <row r="40" spans="1:10" ht="15" thickBot="1" x14ac:dyDescent="0.35">
      <c r="A40" s="43"/>
      <c r="B40" s="43"/>
      <c r="C40" s="43" t="s">
        <v>157</v>
      </c>
      <c r="D40" s="43"/>
      <c r="E40" s="43"/>
      <c r="F40" s="59">
        <f>ROUND(SUM(F38:F39),5)</f>
        <v>1791502</v>
      </c>
      <c r="G40" s="45"/>
      <c r="H40" s="59">
        <f>ROUND(SUM(H38:H39),5)</f>
        <v>1711294</v>
      </c>
      <c r="I40" s="45"/>
      <c r="J40" s="59">
        <f>ROUND(SUM(J38:J39),5)</f>
        <v>1624730</v>
      </c>
    </row>
    <row r="41" spans="1:10" ht="30" customHeight="1" x14ac:dyDescent="0.3">
      <c r="A41" s="43"/>
      <c r="B41" s="43" t="s">
        <v>158</v>
      </c>
      <c r="C41" s="43"/>
      <c r="D41" s="43"/>
      <c r="E41" s="43"/>
      <c r="F41" s="57">
        <f>ROUND(F28+F37+F40,5)</f>
        <v>1866121</v>
      </c>
      <c r="G41" s="45"/>
      <c r="H41" s="57">
        <f>ROUND(H28+H37+H40,5)</f>
        <v>1786848</v>
      </c>
      <c r="I41" s="45"/>
      <c r="J41" s="57">
        <f>ROUND(J28+J37+J40,5)</f>
        <v>1694766</v>
      </c>
    </row>
    <row r="42" spans="1:10" ht="30" customHeight="1" x14ac:dyDescent="0.3">
      <c r="A42" s="43"/>
      <c r="B42" s="43" t="s">
        <v>159</v>
      </c>
      <c r="C42" s="43"/>
      <c r="D42" s="43"/>
      <c r="E42" s="43"/>
      <c r="F42" s="57"/>
      <c r="G42" s="45"/>
      <c r="H42" s="57"/>
      <c r="I42" s="45"/>
      <c r="J42" s="57"/>
    </row>
    <row r="43" spans="1:10" x14ac:dyDescent="0.3">
      <c r="A43" s="43"/>
      <c r="B43" s="43"/>
      <c r="C43" s="43" t="s">
        <v>779</v>
      </c>
      <c r="D43" s="43"/>
      <c r="E43" s="43"/>
      <c r="F43" s="57">
        <v>271945</v>
      </c>
      <c r="G43" s="45"/>
      <c r="H43" s="57">
        <v>339183</v>
      </c>
      <c r="I43" s="45"/>
      <c r="J43" s="57">
        <v>306183</v>
      </c>
    </row>
    <row r="44" spans="1:10" x14ac:dyDescent="0.3">
      <c r="A44" s="43"/>
      <c r="B44" s="43"/>
      <c r="C44" s="43" t="s">
        <v>780</v>
      </c>
      <c r="D44" s="43"/>
      <c r="E44" s="43"/>
      <c r="F44" s="57">
        <v>-235063</v>
      </c>
      <c r="G44" s="45"/>
      <c r="H44" s="57">
        <v>-298063</v>
      </c>
      <c r="I44" s="45"/>
      <c r="J44" s="64">
        <v>-361063</v>
      </c>
    </row>
    <row r="45" spans="1:10" x14ac:dyDescent="0.3">
      <c r="A45" s="43"/>
      <c r="B45" s="43"/>
      <c r="C45" s="43" t="s">
        <v>164</v>
      </c>
      <c r="D45" s="43"/>
      <c r="E45" s="43"/>
      <c r="F45" s="57">
        <v>-125096</v>
      </c>
      <c r="G45" s="45"/>
      <c r="H45" s="57">
        <v>-100237</v>
      </c>
      <c r="I45" s="45"/>
      <c r="J45" s="57">
        <v>0</v>
      </c>
    </row>
    <row r="46" spans="1:10" ht="15" thickBot="1" x14ac:dyDescent="0.35">
      <c r="A46" s="43"/>
      <c r="B46" s="43"/>
      <c r="C46" s="43" t="s">
        <v>165</v>
      </c>
      <c r="D46" s="43"/>
      <c r="E46" s="43"/>
      <c r="F46" s="57">
        <v>125096</v>
      </c>
      <c r="G46" s="45"/>
      <c r="H46" s="57">
        <v>100237</v>
      </c>
      <c r="I46" s="45"/>
      <c r="J46" s="57">
        <v>159842</v>
      </c>
    </row>
    <row r="47" spans="1:10" ht="15" thickBot="1" x14ac:dyDescent="0.35">
      <c r="A47" s="43"/>
      <c r="B47" s="43" t="s">
        <v>166</v>
      </c>
      <c r="C47" s="43"/>
      <c r="D47" s="43"/>
      <c r="E47" s="43"/>
      <c r="F47" s="60">
        <f>ROUND(SUM(F42:F46),5)</f>
        <v>36882</v>
      </c>
      <c r="G47" s="45"/>
      <c r="H47" s="60">
        <f>ROUND(SUM(H42:H46),5)</f>
        <v>41120</v>
      </c>
      <c r="I47" s="45"/>
      <c r="J47" s="60">
        <f>ROUND(SUM(J42:J46),5)</f>
        <v>104962</v>
      </c>
    </row>
    <row r="48" spans="1:10" s="50" customFormat="1" ht="30" customHeight="1" thickBot="1" x14ac:dyDescent="0.25">
      <c r="A48" s="43" t="s">
        <v>167</v>
      </c>
      <c r="B48" s="43"/>
      <c r="C48" s="43"/>
      <c r="D48" s="43"/>
      <c r="E48" s="43"/>
      <c r="F48" s="61">
        <f>ROUND(F27+F41+F47,5)</f>
        <v>1903003</v>
      </c>
      <c r="G48" s="43"/>
      <c r="H48" s="61">
        <f>ROUND(H27+H41+H47,5)</f>
        <v>1827968</v>
      </c>
      <c r="I48" s="43"/>
      <c r="J48" s="61">
        <f>ROUND(J27+J41+J47,5)</f>
        <v>1799728</v>
      </c>
    </row>
    <row r="49" ht="15" thickTop="1" x14ac:dyDescent="0.3"/>
  </sheetData>
  <pageMargins left="0.7" right="0.7" top="0.75" bottom="0.75" header="0.25" footer="0.3"/>
  <pageSetup orientation="portrait" r:id="rId1"/>
  <headerFooter>
    <oddHeader>&amp;L&amp;"Arial,Bold"&amp;8 02/17/14
&amp;"Arial,Bold"&amp;8 Accrual Basis&amp;C&amp;"Arial,Bold"&amp;12 Royal I, LLC
&amp;"Arial,Bold"&amp;14 Comparative Balance Sheet
&amp;"Arial,Bold"&amp;10 As of Jan 31,2014 and 2013</oddHeader>
    <oddFooter>&amp;L&amp;"Arial,Bold"&amp;8 For Management Use Only</oddFooter>
  </headerFooter>
  <drawing r:id="rId2"/>
  <legacyDrawing r:id="rId3"/>
  <controls>
    <mc:AlternateContent xmlns:mc="http://schemas.openxmlformats.org/markup-compatibility/2006">
      <mc:Choice Requires="x14">
        <control shapeId="3686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6866" r:id="rId4" name="HEADER"/>
      </mc:Fallback>
    </mc:AlternateContent>
    <mc:AlternateContent xmlns:mc="http://schemas.openxmlformats.org/markup-compatibility/2006">
      <mc:Choice Requires="x14">
        <control shapeId="3686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6865" r:id="rId6" name="FILTER"/>
      </mc:Fallback>
    </mc:AlternateContent>
  </control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57"/>
  <dimension ref="A1:M98"/>
  <sheetViews>
    <sheetView workbookViewId="0">
      <pane xSplit="6" ySplit="1" topLeftCell="G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5" width="3" style="50" customWidth="1"/>
    <col min="6" max="6" width="29.109375" style="50" customWidth="1"/>
    <col min="7" max="7" width="10.109375" bestFit="1" customWidth="1"/>
    <col min="8" max="8" width="2.33203125" customWidth="1"/>
    <col min="9" max="9" width="10.109375" bestFit="1" customWidth="1"/>
    <col min="10" max="10" width="2.33203125" customWidth="1"/>
    <col min="11" max="11" width="10.109375" bestFit="1" customWidth="1"/>
    <col min="12" max="12" width="2.33203125" customWidth="1"/>
    <col min="13" max="13" width="10" bestFit="1" customWidth="1"/>
  </cols>
  <sheetData>
    <row r="1" spans="1:13" s="39" customFormat="1" ht="15" thickBot="1" x14ac:dyDescent="0.35">
      <c r="A1" s="40"/>
      <c r="B1" s="40"/>
      <c r="C1" s="40"/>
      <c r="D1" s="40"/>
      <c r="E1" s="40"/>
      <c r="F1" s="40"/>
      <c r="G1" s="41" t="s">
        <v>168</v>
      </c>
      <c r="H1" s="42"/>
      <c r="I1" s="41" t="s">
        <v>169</v>
      </c>
      <c r="J1" s="42"/>
      <c r="K1" s="41" t="s">
        <v>170</v>
      </c>
      <c r="L1" s="42"/>
      <c r="M1" s="41" t="s">
        <v>171</v>
      </c>
    </row>
    <row r="2" spans="1:13" ht="15" thickTop="1" x14ac:dyDescent="0.3">
      <c r="A2" s="43"/>
      <c r="B2" s="43" t="s">
        <v>172</v>
      </c>
      <c r="C2" s="43"/>
      <c r="D2" s="43"/>
      <c r="E2" s="43"/>
      <c r="F2" s="43"/>
      <c r="G2" s="52"/>
      <c r="H2" s="45"/>
      <c r="I2" s="52"/>
      <c r="J2" s="45"/>
      <c r="K2" s="52"/>
      <c r="L2" s="45"/>
      <c r="M2" s="52"/>
    </row>
    <row r="3" spans="1:13" x14ac:dyDescent="0.3">
      <c r="A3" s="43"/>
      <c r="B3" s="43"/>
      <c r="C3" s="43" t="s">
        <v>173</v>
      </c>
      <c r="D3" s="43"/>
      <c r="E3" s="43"/>
      <c r="F3" s="43"/>
      <c r="G3" s="52"/>
      <c r="H3" s="45"/>
      <c r="I3" s="52"/>
      <c r="J3" s="45"/>
      <c r="K3" s="52"/>
      <c r="L3" s="45"/>
      <c r="M3" s="52"/>
    </row>
    <row r="4" spans="1:13" x14ac:dyDescent="0.3">
      <c r="A4" s="43"/>
      <c r="B4" s="43"/>
      <c r="C4" s="43"/>
      <c r="D4" s="43" t="s">
        <v>174</v>
      </c>
      <c r="E4" s="43"/>
      <c r="F4" s="43"/>
      <c r="G4" s="52">
        <v>285944.76</v>
      </c>
      <c r="H4" s="45"/>
      <c r="I4" s="52">
        <v>292716.21999999997</v>
      </c>
      <c r="J4" s="45"/>
      <c r="K4" s="52">
        <v>299758.98</v>
      </c>
      <c r="L4" s="45"/>
      <c r="M4" s="52">
        <f t="shared" ref="M4:M9" si="0">ROUND(SUM(G4:K4),5)</f>
        <v>878419.96</v>
      </c>
    </row>
    <row r="5" spans="1:13" x14ac:dyDescent="0.3">
      <c r="A5" s="43"/>
      <c r="B5" s="43"/>
      <c r="C5" s="43"/>
      <c r="D5" s="43" t="s">
        <v>175</v>
      </c>
      <c r="E5" s="43"/>
      <c r="F5" s="43"/>
      <c r="G5" s="52">
        <v>36000.19</v>
      </c>
      <c r="H5" s="45"/>
      <c r="I5" s="52">
        <v>34073.129999999997</v>
      </c>
      <c r="J5" s="45"/>
      <c r="K5" s="52">
        <v>42023.28</v>
      </c>
      <c r="L5" s="45"/>
      <c r="M5" s="52">
        <f t="shared" si="0"/>
        <v>112096.6</v>
      </c>
    </row>
    <row r="6" spans="1:13" x14ac:dyDescent="0.3">
      <c r="A6" s="43"/>
      <c r="B6" s="43"/>
      <c r="C6" s="43"/>
      <c r="D6" s="43" t="s">
        <v>176</v>
      </c>
      <c r="E6" s="43"/>
      <c r="F6" s="43"/>
      <c r="G6" s="52">
        <v>69378.27</v>
      </c>
      <c r="H6" s="45"/>
      <c r="I6" s="52">
        <v>65749.039999999994</v>
      </c>
      <c r="J6" s="45"/>
      <c r="K6" s="52">
        <v>66146.63</v>
      </c>
      <c r="L6" s="45"/>
      <c r="M6" s="52">
        <f t="shared" si="0"/>
        <v>201273.94</v>
      </c>
    </row>
    <row r="7" spans="1:13" x14ac:dyDescent="0.3">
      <c r="A7" s="43"/>
      <c r="B7" s="43"/>
      <c r="C7" s="43"/>
      <c r="D7" s="43" t="s">
        <v>177</v>
      </c>
      <c r="E7" s="43"/>
      <c r="F7" s="43"/>
      <c r="G7" s="52">
        <v>2672.12</v>
      </c>
      <c r="H7" s="45"/>
      <c r="I7" s="52">
        <v>7298.99</v>
      </c>
      <c r="J7" s="45"/>
      <c r="K7" s="52">
        <v>5126.17</v>
      </c>
      <c r="L7" s="45"/>
      <c r="M7" s="52">
        <f t="shared" si="0"/>
        <v>15097.28</v>
      </c>
    </row>
    <row r="8" spans="1:13" ht="15" thickBot="1" x14ac:dyDescent="0.35">
      <c r="A8" s="43"/>
      <c r="B8" s="43"/>
      <c r="C8" s="43"/>
      <c r="D8" s="43" t="s">
        <v>178</v>
      </c>
      <c r="E8" s="43"/>
      <c r="F8" s="43"/>
      <c r="G8" s="54">
        <v>0</v>
      </c>
      <c r="H8" s="45"/>
      <c r="I8" s="54">
        <v>0</v>
      </c>
      <c r="J8" s="45"/>
      <c r="K8" s="54">
        <v>0</v>
      </c>
      <c r="L8" s="45"/>
      <c r="M8" s="54">
        <f t="shared" si="0"/>
        <v>0</v>
      </c>
    </row>
    <row r="9" spans="1:13" x14ac:dyDescent="0.3">
      <c r="A9" s="43"/>
      <c r="B9" s="43"/>
      <c r="C9" s="43" t="s">
        <v>180</v>
      </c>
      <c r="D9" s="43"/>
      <c r="E9" s="43"/>
      <c r="F9" s="43"/>
      <c r="G9" s="52">
        <f>ROUND(SUM(G3:G8),5)</f>
        <v>393995.34</v>
      </c>
      <c r="H9" s="45"/>
      <c r="I9" s="52">
        <f>ROUND(SUM(I3:I8),5)</f>
        <v>399837.38</v>
      </c>
      <c r="J9" s="45"/>
      <c r="K9" s="52">
        <f>ROUND(SUM(K3:K8),5)</f>
        <v>413055.06</v>
      </c>
      <c r="L9" s="45"/>
      <c r="M9" s="52">
        <f t="shared" si="0"/>
        <v>1206887.78</v>
      </c>
    </row>
    <row r="10" spans="1:13" ht="30" customHeight="1" x14ac:dyDescent="0.3">
      <c r="A10" s="43"/>
      <c r="B10" s="43"/>
      <c r="C10" s="43" t="s">
        <v>182</v>
      </c>
      <c r="D10" s="43"/>
      <c r="E10" s="43"/>
      <c r="F10" s="43"/>
      <c r="G10" s="52"/>
      <c r="H10" s="45"/>
      <c r="I10" s="52"/>
      <c r="J10" s="45"/>
      <c r="K10" s="52"/>
      <c r="L10" s="45"/>
      <c r="M10" s="52"/>
    </row>
    <row r="11" spans="1:13" x14ac:dyDescent="0.3">
      <c r="A11" s="43"/>
      <c r="B11" s="43"/>
      <c r="C11" s="43"/>
      <c r="D11" s="43" t="s">
        <v>184</v>
      </c>
      <c r="E11" s="43"/>
      <c r="F11" s="43"/>
      <c r="G11" s="52">
        <v>0</v>
      </c>
      <c r="H11" s="45"/>
      <c r="I11" s="52">
        <v>0</v>
      </c>
      <c r="J11" s="45"/>
      <c r="K11" s="52">
        <v>0</v>
      </c>
      <c r="L11" s="45"/>
      <c r="M11" s="52">
        <f>ROUND(SUM(G11:K11),5)</f>
        <v>0</v>
      </c>
    </row>
    <row r="12" spans="1:13" x14ac:dyDescent="0.3">
      <c r="A12" s="43"/>
      <c r="B12" s="43"/>
      <c r="C12" s="43"/>
      <c r="D12" s="43" t="s">
        <v>183</v>
      </c>
      <c r="E12" s="43"/>
      <c r="F12" s="43"/>
      <c r="G12" s="52"/>
      <c r="H12" s="45"/>
      <c r="I12" s="52"/>
      <c r="J12" s="45"/>
      <c r="K12" s="52"/>
      <c r="L12" s="45"/>
      <c r="M12" s="52"/>
    </row>
    <row r="13" spans="1:13" x14ac:dyDescent="0.3">
      <c r="A13" s="43"/>
      <c r="B13" s="43"/>
      <c r="C13" s="43"/>
      <c r="D13" s="43"/>
      <c r="E13" s="43" t="s">
        <v>578</v>
      </c>
      <c r="F13" s="43"/>
      <c r="G13" s="52"/>
      <c r="H13" s="45"/>
      <c r="I13" s="52"/>
      <c r="J13" s="45"/>
      <c r="K13" s="52"/>
      <c r="L13" s="45"/>
      <c r="M13" s="52"/>
    </row>
    <row r="14" spans="1:13" ht="15" thickBot="1" x14ac:dyDescent="0.35">
      <c r="A14" s="43"/>
      <c r="B14" s="43"/>
      <c r="C14" s="43"/>
      <c r="D14" s="43"/>
      <c r="E14" s="43"/>
      <c r="F14" s="43" t="s">
        <v>318</v>
      </c>
      <c r="G14" s="54">
        <v>0</v>
      </c>
      <c r="H14" s="45"/>
      <c r="I14" s="54">
        <v>48645</v>
      </c>
      <c r="J14" s="45"/>
      <c r="K14" s="54">
        <v>29316.560000000001</v>
      </c>
      <c r="L14" s="45"/>
      <c r="M14" s="54">
        <f t="shared" ref="M14:M19" si="1">ROUND(SUM(G14:K14),5)</f>
        <v>77961.56</v>
      </c>
    </row>
    <row r="15" spans="1:13" x14ac:dyDescent="0.3">
      <c r="A15" s="43"/>
      <c r="B15" s="43"/>
      <c r="C15" s="43"/>
      <c r="D15" s="43"/>
      <c r="E15" s="43" t="s">
        <v>579</v>
      </c>
      <c r="F15" s="43"/>
      <c r="G15" s="52">
        <f>ROUND(SUM(G13:G14),5)</f>
        <v>0</v>
      </c>
      <c r="H15" s="45"/>
      <c r="I15" s="52">
        <f>ROUND(SUM(I13:I14),5)</f>
        <v>48645</v>
      </c>
      <c r="J15" s="45"/>
      <c r="K15" s="52">
        <f>ROUND(SUM(K13:K14),5)</f>
        <v>29316.560000000001</v>
      </c>
      <c r="L15" s="45"/>
      <c r="M15" s="52">
        <f t="shared" si="1"/>
        <v>77961.56</v>
      </c>
    </row>
    <row r="16" spans="1:13" ht="30" customHeight="1" x14ac:dyDescent="0.3">
      <c r="A16" s="43"/>
      <c r="B16" s="43"/>
      <c r="C16" s="43"/>
      <c r="D16" s="43"/>
      <c r="E16" s="43" t="s">
        <v>190</v>
      </c>
      <c r="F16" s="43"/>
      <c r="G16" s="52">
        <v>19699.77</v>
      </c>
      <c r="H16" s="45"/>
      <c r="I16" s="52">
        <v>19991.87</v>
      </c>
      <c r="J16" s="45"/>
      <c r="K16" s="52">
        <v>20652.75</v>
      </c>
      <c r="L16" s="45"/>
      <c r="M16" s="52">
        <f t="shared" si="1"/>
        <v>60344.39</v>
      </c>
    </row>
    <row r="17" spans="1:13" x14ac:dyDescent="0.3">
      <c r="A17" s="43"/>
      <c r="B17" s="43"/>
      <c r="C17" s="43"/>
      <c r="D17" s="43"/>
      <c r="E17" s="43" t="s">
        <v>191</v>
      </c>
      <c r="F17" s="43"/>
      <c r="G17" s="52">
        <v>21.55</v>
      </c>
      <c r="H17" s="45"/>
      <c r="I17" s="52">
        <v>29.5</v>
      </c>
      <c r="J17" s="45"/>
      <c r="K17" s="52">
        <v>44.9</v>
      </c>
      <c r="L17" s="45"/>
      <c r="M17" s="52">
        <f t="shared" si="1"/>
        <v>95.95</v>
      </c>
    </row>
    <row r="18" spans="1:13" x14ac:dyDescent="0.3">
      <c r="A18" s="43"/>
      <c r="B18" s="43"/>
      <c r="C18" s="43"/>
      <c r="D18" s="43"/>
      <c r="E18" s="43" t="s">
        <v>192</v>
      </c>
      <c r="F18" s="43"/>
      <c r="G18" s="52">
        <v>68.02</v>
      </c>
      <c r="H18" s="45"/>
      <c r="I18" s="52">
        <v>71.45</v>
      </c>
      <c r="J18" s="45"/>
      <c r="K18" s="52">
        <v>61.88</v>
      </c>
      <c r="L18" s="45"/>
      <c r="M18" s="52">
        <f t="shared" si="1"/>
        <v>201.35</v>
      </c>
    </row>
    <row r="19" spans="1:13" x14ac:dyDescent="0.3">
      <c r="A19" s="43"/>
      <c r="B19" s="43"/>
      <c r="C19" s="43"/>
      <c r="D19" s="43"/>
      <c r="E19" s="43" t="s">
        <v>320</v>
      </c>
      <c r="F19" s="43"/>
      <c r="G19" s="52">
        <v>0</v>
      </c>
      <c r="H19" s="45"/>
      <c r="I19" s="52">
        <v>22.56</v>
      </c>
      <c r="J19" s="45"/>
      <c r="K19" s="52">
        <v>141.65</v>
      </c>
      <c r="L19" s="45"/>
      <c r="M19" s="52">
        <f t="shared" si="1"/>
        <v>164.21</v>
      </c>
    </row>
    <row r="20" spans="1:13" x14ac:dyDescent="0.3">
      <c r="A20" s="43"/>
      <c r="B20" s="43"/>
      <c r="C20" s="43"/>
      <c r="D20" s="43"/>
      <c r="E20" s="43" t="s">
        <v>195</v>
      </c>
      <c r="F20" s="43"/>
      <c r="G20" s="52"/>
      <c r="H20" s="45"/>
      <c r="I20" s="52"/>
      <c r="J20" s="45"/>
      <c r="K20" s="52"/>
      <c r="L20" s="45"/>
      <c r="M20" s="52"/>
    </row>
    <row r="21" spans="1:13" x14ac:dyDescent="0.3">
      <c r="A21" s="43"/>
      <c r="B21" s="43"/>
      <c r="C21" s="43"/>
      <c r="D21" s="43"/>
      <c r="E21" s="43"/>
      <c r="F21" s="43" t="s">
        <v>197</v>
      </c>
      <c r="G21" s="52">
        <v>800</v>
      </c>
      <c r="H21" s="45"/>
      <c r="I21" s="52">
        <v>825</v>
      </c>
      <c r="J21" s="45"/>
      <c r="K21" s="52">
        <v>850</v>
      </c>
      <c r="L21" s="45"/>
      <c r="M21" s="52">
        <f t="shared" ref="M21:M27" si="2">ROUND(SUM(G21:K21),5)</f>
        <v>2475</v>
      </c>
    </row>
    <row r="22" spans="1:13" x14ac:dyDescent="0.3">
      <c r="A22" s="43"/>
      <c r="B22" s="43"/>
      <c r="C22" s="43"/>
      <c r="D22" s="43"/>
      <c r="E22" s="43"/>
      <c r="F22" s="43" t="s">
        <v>369</v>
      </c>
      <c r="G22" s="52">
        <v>0</v>
      </c>
      <c r="H22" s="45"/>
      <c r="I22" s="52">
        <v>0</v>
      </c>
      <c r="J22" s="45"/>
      <c r="K22" s="52">
        <v>54</v>
      </c>
      <c r="L22" s="45"/>
      <c r="M22" s="52">
        <f t="shared" si="2"/>
        <v>54</v>
      </c>
    </row>
    <row r="23" spans="1:13" x14ac:dyDescent="0.3">
      <c r="A23" s="43"/>
      <c r="B23" s="43"/>
      <c r="C23" s="43"/>
      <c r="D23" s="43"/>
      <c r="E23" s="43"/>
      <c r="F23" s="43" t="s">
        <v>198</v>
      </c>
      <c r="G23" s="52">
        <v>0</v>
      </c>
      <c r="H23" s="45"/>
      <c r="I23" s="52">
        <v>1300</v>
      </c>
      <c r="J23" s="45"/>
      <c r="K23" s="52">
        <v>0</v>
      </c>
      <c r="L23" s="45"/>
      <c r="M23" s="52">
        <f t="shared" si="2"/>
        <v>1300</v>
      </c>
    </row>
    <row r="24" spans="1:13" ht="15" thickBot="1" x14ac:dyDescent="0.35">
      <c r="A24" s="43"/>
      <c r="B24" s="43"/>
      <c r="C24" s="43"/>
      <c r="D24" s="43"/>
      <c r="E24" s="43"/>
      <c r="F24" s="43" t="s">
        <v>199</v>
      </c>
      <c r="G24" s="54">
        <v>220.68</v>
      </c>
      <c r="H24" s="45"/>
      <c r="I24" s="54">
        <v>203.52</v>
      </c>
      <c r="J24" s="45"/>
      <c r="K24" s="54">
        <v>168.85</v>
      </c>
      <c r="L24" s="45"/>
      <c r="M24" s="54">
        <f t="shared" si="2"/>
        <v>593.04999999999995</v>
      </c>
    </row>
    <row r="25" spans="1:13" x14ac:dyDescent="0.3">
      <c r="A25" s="43"/>
      <c r="B25" s="43"/>
      <c r="C25" s="43"/>
      <c r="D25" s="43"/>
      <c r="E25" s="43" t="s">
        <v>200</v>
      </c>
      <c r="F25" s="43"/>
      <c r="G25" s="52">
        <f>ROUND(SUM(G20:G24),5)</f>
        <v>1020.68</v>
      </c>
      <c r="H25" s="45"/>
      <c r="I25" s="52">
        <f>ROUND(SUM(I20:I24),5)</f>
        <v>2328.52</v>
      </c>
      <c r="J25" s="45"/>
      <c r="K25" s="52">
        <f>ROUND(SUM(K20:K24),5)</f>
        <v>1072.8499999999999</v>
      </c>
      <c r="L25" s="45"/>
      <c r="M25" s="52">
        <f t="shared" si="2"/>
        <v>4422.05</v>
      </c>
    </row>
    <row r="26" spans="1:13" ht="30" customHeight="1" thickBot="1" x14ac:dyDescent="0.35">
      <c r="A26" s="43"/>
      <c r="B26" s="43"/>
      <c r="C26" s="43"/>
      <c r="D26" s="43"/>
      <c r="E26" s="43" t="s">
        <v>201</v>
      </c>
      <c r="F26" s="43"/>
      <c r="G26" s="54">
        <v>0</v>
      </c>
      <c r="H26" s="45"/>
      <c r="I26" s="54">
        <v>0</v>
      </c>
      <c r="J26" s="45"/>
      <c r="K26" s="54">
        <v>88.52</v>
      </c>
      <c r="L26" s="45"/>
      <c r="M26" s="54">
        <f t="shared" si="2"/>
        <v>88.52</v>
      </c>
    </row>
    <row r="27" spans="1:13" x14ac:dyDescent="0.3">
      <c r="A27" s="43"/>
      <c r="B27" s="43"/>
      <c r="C27" s="43"/>
      <c r="D27" s="43" t="s">
        <v>202</v>
      </c>
      <c r="E27" s="43"/>
      <c r="F27" s="43"/>
      <c r="G27" s="52">
        <f>ROUND(G12+SUM(G15:G19)+SUM(G25:G26),5)</f>
        <v>20810.02</v>
      </c>
      <c r="H27" s="45"/>
      <c r="I27" s="52">
        <f>ROUND(I12+SUM(I15:I19)+SUM(I25:I26),5)</f>
        <v>71088.899999999994</v>
      </c>
      <c r="J27" s="45"/>
      <c r="K27" s="52">
        <f>ROUND(K12+SUM(K15:K19)+SUM(K25:K26),5)</f>
        <v>51379.11</v>
      </c>
      <c r="L27" s="45"/>
      <c r="M27" s="52">
        <f t="shared" si="2"/>
        <v>143278.03</v>
      </c>
    </row>
    <row r="28" spans="1:13" ht="30" customHeight="1" x14ac:dyDescent="0.3">
      <c r="A28" s="43"/>
      <c r="B28" s="43"/>
      <c r="C28" s="43"/>
      <c r="D28" s="43" t="s">
        <v>203</v>
      </c>
      <c r="E28" s="43"/>
      <c r="F28" s="43"/>
      <c r="G28" s="52"/>
      <c r="H28" s="45"/>
      <c r="I28" s="52"/>
      <c r="J28" s="45"/>
      <c r="K28" s="52"/>
      <c r="L28" s="45"/>
      <c r="M28" s="52"/>
    </row>
    <row r="29" spans="1:13" x14ac:dyDescent="0.3">
      <c r="A29" s="43"/>
      <c r="B29" s="43"/>
      <c r="C29" s="43"/>
      <c r="D29" s="43"/>
      <c r="E29" s="43" t="s">
        <v>204</v>
      </c>
      <c r="F29" s="43"/>
      <c r="G29" s="52">
        <v>555.83000000000004</v>
      </c>
      <c r="H29" s="45"/>
      <c r="I29" s="52">
        <v>531.05999999999995</v>
      </c>
      <c r="J29" s="45"/>
      <c r="K29" s="52">
        <v>546.46</v>
      </c>
      <c r="L29" s="45"/>
      <c r="M29" s="52">
        <f>ROUND(SUM(G29:K29),5)</f>
        <v>1633.35</v>
      </c>
    </row>
    <row r="30" spans="1:13" x14ac:dyDescent="0.3">
      <c r="A30" s="43"/>
      <c r="B30" s="43"/>
      <c r="C30" s="43"/>
      <c r="D30" s="43"/>
      <c r="E30" s="43" t="s">
        <v>205</v>
      </c>
      <c r="F30" s="43"/>
      <c r="G30" s="52"/>
      <c r="H30" s="45"/>
      <c r="I30" s="52"/>
      <c r="J30" s="45"/>
      <c r="K30" s="52"/>
      <c r="L30" s="45"/>
      <c r="M30" s="52"/>
    </row>
    <row r="31" spans="1:13" ht="15" thickBot="1" x14ac:dyDescent="0.35">
      <c r="A31" s="43"/>
      <c r="B31" s="43"/>
      <c r="C31" s="43"/>
      <c r="D31" s="43"/>
      <c r="E31" s="43"/>
      <c r="F31" s="43" t="s">
        <v>781</v>
      </c>
      <c r="G31" s="52">
        <v>2384.89</v>
      </c>
      <c r="H31" s="45"/>
      <c r="I31" s="52">
        <v>2451.12</v>
      </c>
      <c r="J31" s="45"/>
      <c r="K31" s="52">
        <v>2431.2199999999998</v>
      </c>
      <c r="L31" s="45"/>
      <c r="M31" s="52">
        <f>ROUND(SUM(G31:K31),5)</f>
        <v>7267.23</v>
      </c>
    </row>
    <row r="32" spans="1:13" ht="15" thickBot="1" x14ac:dyDescent="0.35">
      <c r="A32" s="43"/>
      <c r="B32" s="43"/>
      <c r="C32" s="43"/>
      <c r="D32" s="43"/>
      <c r="E32" s="43" t="s">
        <v>210</v>
      </c>
      <c r="F32" s="43"/>
      <c r="G32" s="53">
        <f>ROUND(SUM(G30:G31),5)</f>
        <v>2384.89</v>
      </c>
      <c r="H32" s="45"/>
      <c r="I32" s="53">
        <f>ROUND(SUM(I30:I31),5)</f>
        <v>2451.12</v>
      </c>
      <c r="J32" s="45"/>
      <c r="K32" s="53">
        <f>ROUND(SUM(K30:K31),5)</f>
        <v>2431.2199999999998</v>
      </c>
      <c r="L32" s="45"/>
      <c r="M32" s="53">
        <f>ROUND(SUM(G32:K32),5)</f>
        <v>7267.23</v>
      </c>
    </row>
    <row r="33" spans="1:13" ht="30" customHeight="1" x14ac:dyDescent="0.3">
      <c r="A33" s="43"/>
      <c r="B33" s="43"/>
      <c r="C33" s="43"/>
      <c r="D33" s="43" t="s">
        <v>213</v>
      </c>
      <c r="E33" s="43"/>
      <c r="F33" s="43"/>
      <c r="G33" s="52">
        <f>ROUND(SUM(G28:G29)+G32,5)</f>
        <v>2940.72</v>
      </c>
      <c r="H33" s="45"/>
      <c r="I33" s="52">
        <f>ROUND(SUM(I28:I29)+I32,5)</f>
        <v>2982.18</v>
      </c>
      <c r="J33" s="45"/>
      <c r="K33" s="52">
        <f>ROUND(SUM(K28:K29)+K32,5)</f>
        <v>2977.68</v>
      </c>
      <c r="L33" s="45"/>
      <c r="M33" s="52">
        <f>ROUND(SUM(G33:K33),5)</f>
        <v>8900.58</v>
      </c>
    </row>
    <row r="34" spans="1:13" ht="30" customHeight="1" x14ac:dyDescent="0.3">
      <c r="A34" s="43"/>
      <c r="B34" s="43"/>
      <c r="C34" s="43"/>
      <c r="D34" s="43" t="s">
        <v>214</v>
      </c>
      <c r="E34" s="43"/>
      <c r="F34" s="43"/>
      <c r="G34" s="52"/>
      <c r="H34" s="45"/>
      <c r="I34" s="52"/>
      <c r="J34" s="45"/>
      <c r="K34" s="52"/>
      <c r="L34" s="45"/>
      <c r="M34" s="52"/>
    </row>
    <row r="35" spans="1:13" x14ac:dyDescent="0.3">
      <c r="A35" s="43"/>
      <c r="B35" s="43"/>
      <c r="C35" s="43"/>
      <c r="D35" s="43"/>
      <c r="E35" s="43" t="s">
        <v>782</v>
      </c>
      <c r="F35" s="43"/>
      <c r="G35" s="52"/>
      <c r="H35" s="45"/>
      <c r="I35" s="52"/>
      <c r="J35" s="45"/>
      <c r="K35" s="52"/>
      <c r="L35" s="45"/>
      <c r="M35" s="52"/>
    </row>
    <row r="36" spans="1:13" x14ac:dyDescent="0.3">
      <c r="A36" s="43"/>
      <c r="B36" s="43"/>
      <c r="C36" s="43"/>
      <c r="D36" s="43"/>
      <c r="E36" s="43"/>
      <c r="F36" s="43" t="s">
        <v>483</v>
      </c>
      <c r="G36" s="52">
        <v>0</v>
      </c>
      <c r="H36" s="45"/>
      <c r="I36" s="52">
        <v>26.25</v>
      </c>
      <c r="J36" s="45"/>
      <c r="K36" s="52">
        <v>0</v>
      </c>
      <c r="L36" s="45"/>
      <c r="M36" s="52">
        <f t="shared" ref="M36:M41" si="3">ROUND(SUM(G36:K36),5)</f>
        <v>26.25</v>
      </c>
    </row>
    <row r="37" spans="1:13" x14ac:dyDescent="0.3">
      <c r="A37" s="43"/>
      <c r="B37" s="43"/>
      <c r="C37" s="43"/>
      <c r="D37" s="43"/>
      <c r="E37" s="43"/>
      <c r="F37" s="43" t="s">
        <v>217</v>
      </c>
      <c r="G37" s="52">
        <v>0</v>
      </c>
      <c r="H37" s="45"/>
      <c r="I37" s="52">
        <v>18.75</v>
      </c>
      <c r="J37" s="45"/>
      <c r="K37" s="52">
        <v>685.03</v>
      </c>
      <c r="L37" s="45"/>
      <c r="M37" s="52">
        <f t="shared" si="3"/>
        <v>703.78</v>
      </c>
    </row>
    <row r="38" spans="1:13" x14ac:dyDescent="0.3">
      <c r="A38" s="43"/>
      <c r="B38" s="43"/>
      <c r="C38" s="43"/>
      <c r="D38" s="43"/>
      <c r="E38" s="43"/>
      <c r="F38" s="43" t="s">
        <v>783</v>
      </c>
      <c r="G38" s="52">
        <v>0</v>
      </c>
      <c r="H38" s="45"/>
      <c r="I38" s="52">
        <v>146.5</v>
      </c>
      <c r="J38" s="45"/>
      <c r="K38" s="52">
        <v>0</v>
      </c>
      <c r="L38" s="45"/>
      <c r="M38" s="52">
        <f t="shared" si="3"/>
        <v>146.5</v>
      </c>
    </row>
    <row r="39" spans="1:13" x14ac:dyDescent="0.3">
      <c r="A39" s="43"/>
      <c r="B39" s="43"/>
      <c r="C39" s="43"/>
      <c r="D39" s="43"/>
      <c r="E39" s="43"/>
      <c r="F39" s="43" t="s">
        <v>219</v>
      </c>
      <c r="G39" s="52">
        <v>1400</v>
      </c>
      <c r="H39" s="45"/>
      <c r="I39" s="52">
        <v>1224.8</v>
      </c>
      <c r="J39" s="45"/>
      <c r="K39" s="52">
        <v>906.25</v>
      </c>
      <c r="L39" s="45"/>
      <c r="M39" s="52">
        <f t="shared" si="3"/>
        <v>3531.05</v>
      </c>
    </row>
    <row r="40" spans="1:13" ht="15" thickBot="1" x14ac:dyDescent="0.35">
      <c r="A40" s="43"/>
      <c r="B40" s="43"/>
      <c r="C40" s="43"/>
      <c r="D40" s="43"/>
      <c r="E40" s="43"/>
      <c r="F40" s="43" t="s">
        <v>375</v>
      </c>
      <c r="G40" s="54">
        <v>0</v>
      </c>
      <c r="H40" s="45"/>
      <c r="I40" s="54">
        <v>26.25</v>
      </c>
      <c r="J40" s="45"/>
      <c r="K40" s="54">
        <v>0</v>
      </c>
      <c r="L40" s="45"/>
      <c r="M40" s="54">
        <f t="shared" si="3"/>
        <v>26.25</v>
      </c>
    </row>
    <row r="41" spans="1:13" x14ac:dyDescent="0.3">
      <c r="A41" s="43"/>
      <c r="B41" s="43"/>
      <c r="C41" s="43"/>
      <c r="D41" s="43"/>
      <c r="E41" s="43" t="s">
        <v>784</v>
      </c>
      <c r="F41" s="43"/>
      <c r="G41" s="52">
        <f>ROUND(SUM(G35:G40),5)</f>
        <v>1400</v>
      </c>
      <c r="H41" s="45"/>
      <c r="I41" s="52">
        <f>ROUND(SUM(I35:I40),5)</f>
        <v>1442.55</v>
      </c>
      <c r="J41" s="45"/>
      <c r="K41" s="52">
        <f>ROUND(SUM(K35:K40),5)</f>
        <v>1591.28</v>
      </c>
      <c r="L41" s="45"/>
      <c r="M41" s="52">
        <f t="shared" si="3"/>
        <v>4433.83</v>
      </c>
    </row>
    <row r="42" spans="1:13" ht="30" customHeight="1" x14ac:dyDescent="0.3">
      <c r="A42" s="43"/>
      <c r="B42" s="43"/>
      <c r="C42" s="43"/>
      <c r="D42" s="43"/>
      <c r="E42" s="43" t="s">
        <v>785</v>
      </c>
      <c r="F42" s="43"/>
      <c r="G42" s="52"/>
      <c r="H42" s="45"/>
      <c r="I42" s="52"/>
      <c r="J42" s="45"/>
      <c r="K42" s="52"/>
      <c r="L42" s="45"/>
      <c r="M42" s="52"/>
    </row>
    <row r="43" spans="1:13" x14ac:dyDescent="0.3">
      <c r="A43" s="43"/>
      <c r="B43" s="43"/>
      <c r="C43" s="43"/>
      <c r="D43" s="43"/>
      <c r="E43" s="43"/>
      <c r="F43" s="43" t="s">
        <v>229</v>
      </c>
      <c r="G43" s="52">
        <v>879.2</v>
      </c>
      <c r="H43" s="45"/>
      <c r="I43" s="52">
        <v>896</v>
      </c>
      <c r="J43" s="45"/>
      <c r="K43" s="52">
        <v>1020</v>
      </c>
      <c r="L43" s="45"/>
      <c r="M43" s="52">
        <f>ROUND(SUM(G43:K43),5)</f>
        <v>2795.2</v>
      </c>
    </row>
    <row r="44" spans="1:13" ht="15" thickBot="1" x14ac:dyDescent="0.35">
      <c r="A44" s="43"/>
      <c r="B44" s="43"/>
      <c r="C44" s="43"/>
      <c r="D44" s="43"/>
      <c r="E44" s="43"/>
      <c r="F44" s="43" t="s">
        <v>336</v>
      </c>
      <c r="G44" s="54">
        <v>1218.75</v>
      </c>
      <c r="H44" s="45"/>
      <c r="I44" s="54">
        <v>1234.25</v>
      </c>
      <c r="J44" s="45"/>
      <c r="K44" s="54">
        <v>1487.5</v>
      </c>
      <c r="L44" s="45"/>
      <c r="M44" s="54">
        <f>ROUND(SUM(G44:K44),5)</f>
        <v>3940.5</v>
      </c>
    </row>
    <row r="45" spans="1:13" x14ac:dyDescent="0.3">
      <c r="A45" s="43"/>
      <c r="B45" s="43"/>
      <c r="C45" s="43"/>
      <c r="D45" s="43"/>
      <c r="E45" s="43" t="s">
        <v>786</v>
      </c>
      <c r="F45" s="43"/>
      <c r="G45" s="52">
        <f>ROUND(SUM(G42:G44),5)</f>
        <v>2097.9499999999998</v>
      </c>
      <c r="H45" s="45"/>
      <c r="I45" s="52">
        <f>ROUND(SUM(I42:I44),5)</f>
        <v>2130.25</v>
      </c>
      <c r="J45" s="45"/>
      <c r="K45" s="52">
        <f>ROUND(SUM(K42:K44),5)</f>
        <v>2507.5</v>
      </c>
      <c r="L45" s="45"/>
      <c r="M45" s="52">
        <f>ROUND(SUM(G45:K45),5)</f>
        <v>6735.7</v>
      </c>
    </row>
    <row r="46" spans="1:13" ht="30" customHeight="1" x14ac:dyDescent="0.3">
      <c r="A46" s="43"/>
      <c r="B46" s="43"/>
      <c r="C46" s="43"/>
      <c r="D46" s="43"/>
      <c r="E46" s="43" t="s">
        <v>233</v>
      </c>
      <c r="F46" s="43"/>
      <c r="G46" s="52"/>
      <c r="H46" s="45"/>
      <c r="I46" s="52"/>
      <c r="J46" s="45"/>
      <c r="K46" s="52"/>
      <c r="L46" s="45"/>
      <c r="M46" s="52"/>
    </row>
    <row r="47" spans="1:13" x14ac:dyDescent="0.3">
      <c r="A47" s="43"/>
      <c r="B47" s="43"/>
      <c r="C47" s="43"/>
      <c r="D47" s="43"/>
      <c r="E47" s="43"/>
      <c r="F47" s="43" t="s">
        <v>234</v>
      </c>
      <c r="G47" s="52">
        <v>87.5</v>
      </c>
      <c r="H47" s="45"/>
      <c r="I47" s="52">
        <v>31.25</v>
      </c>
      <c r="J47" s="45"/>
      <c r="K47" s="52">
        <v>52.5</v>
      </c>
      <c r="L47" s="45"/>
      <c r="M47" s="52">
        <f>ROUND(SUM(G47:K47),5)</f>
        <v>171.25</v>
      </c>
    </row>
    <row r="48" spans="1:13" x14ac:dyDescent="0.3">
      <c r="A48" s="43"/>
      <c r="B48" s="43"/>
      <c r="C48" s="43"/>
      <c r="D48" s="43"/>
      <c r="E48" s="43"/>
      <c r="F48" s="43" t="s">
        <v>235</v>
      </c>
      <c r="G48" s="52">
        <v>0</v>
      </c>
      <c r="H48" s="45"/>
      <c r="I48" s="52">
        <v>31.25</v>
      </c>
      <c r="J48" s="45"/>
      <c r="K48" s="52">
        <v>117.42</v>
      </c>
      <c r="L48" s="45"/>
      <c r="M48" s="52">
        <f>ROUND(SUM(G48:K48),5)</f>
        <v>148.66999999999999</v>
      </c>
    </row>
    <row r="49" spans="1:13" ht="15" thickBot="1" x14ac:dyDescent="0.35">
      <c r="A49" s="43"/>
      <c r="B49" s="43"/>
      <c r="C49" s="43"/>
      <c r="D49" s="43"/>
      <c r="E49" s="43"/>
      <c r="F49" s="43" t="s">
        <v>236</v>
      </c>
      <c r="G49" s="54">
        <v>1030</v>
      </c>
      <c r="H49" s="45"/>
      <c r="I49" s="54">
        <v>490</v>
      </c>
      <c r="J49" s="45"/>
      <c r="K49" s="54">
        <v>2507.5</v>
      </c>
      <c r="L49" s="45"/>
      <c r="M49" s="54">
        <f>ROUND(SUM(G49:K49),5)</f>
        <v>4027.5</v>
      </c>
    </row>
    <row r="50" spans="1:13" x14ac:dyDescent="0.3">
      <c r="A50" s="43"/>
      <c r="B50" s="43"/>
      <c r="C50" s="43"/>
      <c r="D50" s="43"/>
      <c r="E50" s="43" t="s">
        <v>237</v>
      </c>
      <c r="F50" s="43"/>
      <c r="G50" s="52">
        <f>ROUND(SUM(G46:G49),5)</f>
        <v>1117.5</v>
      </c>
      <c r="H50" s="45"/>
      <c r="I50" s="52">
        <f>ROUND(SUM(I46:I49),5)</f>
        <v>552.5</v>
      </c>
      <c r="J50" s="45"/>
      <c r="K50" s="52">
        <f>ROUND(SUM(K46:K49),5)</f>
        <v>2677.42</v>
      </c>
      <c r="L50" s="45"/>
      <c r="M50" s="52">
        <f>ROUND(SUM(G50:K50),5)</f>
        <v>4347.42</v>
      </c>
    </row>
    <row r="51" spans="1:13" ht="30" customHeight="1" x14ac:dyDescent="0.3">
      <c r="A51" s="43"/>
      <c r="B51" s="43"/>
      <c r="C51" s="43"/>
      <c r="D51" s="43"/>
      <c r="E51" s="43" t="s">
        <v>377</v>
      </c>
      <c r="F51" s="43"/>
      <c r="G51" s="52"/>
      <c r="H51" s="45"/>
      <c r="I51" s="52"/>
      <c r="J51" s="45"/>
      <c r="K51" s="52"/>
      <c r="L51" s="45"/>
      <c r="M51" s="52"/>
    </row>
    <row r="52" spans="1:13" x14ac:dyDescent="0.3">
      <c r="A52" s="43"/>
      <c r="B52" s="43"/>
      <c r="C52" s="43"/>
      <c r="D52" s="43"/>
      <c r="E52" s="43"/>
      <c r="F52" s="43" t="s">
        <v>337</v>
      </c>
      <c r="G52" s="52">
        <v>200</v>
      </c>
      <c r="H52" s="45"/>
      <c r="I52" s="52">
        <v>0</v>
      </c>
      <c r="J52" s="45"/>
      <c r="K52" s="52">
        <v>0</v>
      </c>
      <c r="L52" s="45"/>
      <c r="M52" s="52">
        <f>ROUND(SUM(G52:K52),5)</f>
        <v>200</v>
      </c>
    </row>
    <row r="53" spans="1:13" ht="15" thickBot="1" x14ac:dyDescent="0.35">
      <c r="A53" s="43"/>
      <c r="B53" s="43"/>
      <c r="C53" s="43"/>
      <c r="D53" s="43"/>
      <c r="E53" s="43"/>
      <c r="F53" s="43" t="s">
        <v>239</v>
      </c>
      <c r="G53" s="54">
        <v>233.95</v>
      </c>
      <c r="H53" s="45"/>
      <c r="I53" s="54">
        <v>0</v>
      </c>
      <c r="J53" s="45"/>
      <c r="K53" s="54">
        <v>0</v>
      </c>
      <c r="L53" s="45"/>
      <c r="M53" s="54">
        <f>ROUND(SUM(G53:K53),5)</f>
        <v>233.95</v>
      </c>
    </row>
    <row r="54" spans="1:13" x14ac:dyDescent="0.3">
      <c r="A54" s="43"/>
      <c r="B54" s="43"/>
      <c r="C54" s="43"/>
      <c r="D54" s="43"/>
      <c r="E54" s="43" t="s">
        <v>378</v>
      </c>
      <c r="F54" s="43"/>
      <c r="G54" s="52">
        <f>ROUND(SUM(G51:G53),5)</f>
        <v>433.95</v>
      </c>
      <c r="H54" s="45"/>
      <c r="I54" s="52">
        <f>ROUND(SUM(I51:I53),5)</f>
        <v>0</v>
      </c>
      <c r="J54" s="45"/>
      <c r="K54" s="52">
        <f>ROUND(SUM(K51:K53),5)</f>
        <v>0</v>
      </c>
      <c r="L54" s="45"/>
      <c r="M54" s="52">
        <f>ROUND(SUM(G54:K54),5)</f>
        <v>433.95</v>
      </c>
    </row>
    <row r="55" spans="1:13" ht="30" customHeight="1" x14ac:dyDescent="0.3">
      <c r="A55" s="43"/>
      <c r="B55" s="43"/>
      <c r="C55" s="43"/>
      <c r="D55" s="43"/>
      <c r="E55" s="43" t="s">
        <v>412</v>
      </c>
      <c r="F55" s="43"/>
      <c r="G55" s="52"/>
      <c r="H55" s="45"/>
      <c r="I55" s="52"/>
      <c r="J55" s="45"/>
      <c r="K55" s="52"/>
      <c r="L55" s="45"/>
      <c r="M55" s="52"/>
    </row>
    <row r="56" spans="1:13" x14ac:dyDescent="0.3">
      <c r="A56" s="43"/>
      <c r="B56" s="43"/>
      <c r="C56" s="43"/>
      <c r="D56" s="43"/>
      <c r="E56" s="43"/>
      <c r="F56" s="43" t="s">
        <v>338</v>
      </c>
      <c r="G56" s="52">
        <v>1031.25</v>
      </c>
      <c r="H56" s="45"/>
      <c r="I56" s="52">
        <v>1258.5</v>
      </c>
      <c r="J56" s="45"/>
      <c r="K56" s="52">
        <v>1618.75</v>
      </c>
      <c r="L56" s="45"/>
      <c r="M56" s="52">
        <f>ROUND(SUM(G56:K56),5)</f>
        <v>3908.5</v>
      </c>
    </row>
    <row r="57" spans="1:13" ht="15" thickBot="1" x14ac:dyDescent="0.35">
      <c r="A57" s="43"/>
      <c r="B57" s="43"/>
      <c r="C57" s="43"/>
      <c r="D57" s="43"/>
      <c r="E57" s="43"/>
      <c r="F57" s="43" t="s">
        <v>379</v>
      </c>
      <c r="G57" s="54">
        <v>0</v>
      </c>
      <c r="H57" s="45"/>
      <c r="I57" s="54">
        <v>50.1</v>
      </c>
      <c r="J57" s="45"/>
      <c r="K57" s="54">
        <v>0</v>
      </c>
      <c r="L57" s="45"/>
      <c r="M57" s="54">
        <f>ROUND(SUM(G57:K57),5)</f>
        <v>50.1</v>
      </c>
    </row>
    <row r="58" spans="1:13" x14ac:dyDescent="0.3">
      <c r="A58" s="43"/>
      <c r="B58" s="43"/>
      <c r="C58" s="43"/>
      <c r="D58" s="43"/>
      <c r="E58" s="43" t="s">
        <v>413</v>
      </c>
      <c r="F58" s="43"/>
      <c r="G58" s="52">
        <f>ROUND(SUM(G55:G57),5)</f>
        <v>1031.25</v>
      </c>
      <c r="H58" s="45"/>
      <c r="I58" s="52">
        <f>ROUND(SUM(I55:I57),5)</f>
        <v>1308.5999999999999</v>
      </c>
      <c r="J58" s="45"/>
      <c r="K58" s="52">
        <f>ROUND(SUM(K55:K57),5)</f>
        <v>1618.75</v>
      </c>
      <c r="L58" s="45"/>
      <c r="M58" s="52">
        <f>ROUND(SUM(G58:K58),5)</f>
        <v>3958.6</v>
      </c>
    </row>
    <row r="59" spans="1:13" ht="30" customHeight="1" x14ac:dyDescent="0.3">
      <c r="A59" s="43"/>
      <c r="B59" s="43"/>
      <c r="C59" s="43"/>
      <c r="D59" s="43"/>
      <c r="E59" s="43" t="s">
        <v>245</v>
      </c>
      <c r="F59" s="43"/>
      <c r="G59" s="52">
        <v>1750.8</v>
      </c>
      <c r="H59" s="45"/>
      <c r="I59" s="52">
        <v>1750.8</v>
      </c>
      <c r="J59" s="45"/>
      <c r="K59" s="52">
        <v>1855.92</v>
      </c>
      <c r="L59" s="45"/>
      <c r="M59" s="52">
        <f>ROUND(SUM(G59:K59),5)</f>
        <v>5357.52</v>
      </c>
    </row>
    <row r="60" spans="1:13" x14ac:dyDescent="0.3">
      <c r="A60" s="43"/>
      <c r="B60" s="43"/>
      <c r="C60" s="43"/>
      <c r="D60" s="43"/>
      <c r="E60" s="43" t="s">
        <v>340</v>
      </c>
      <c r="F60" s="43"/>
      <c r="G60" s="52"/>
      <c r="H60" s="45"/>
      <c r="I60" s="52"/>
      <c r="J60" s="45"/>
      <c r="K60" s="52"/>
      <c r="L60" s="45"/>
      <c r="M60" s="52"/>
    </row>
    <row r="61" spans="1:13" x14ac:dyDescent="0.3">
      <c r="A61" s="43"/>
      <c r="B61" s="43"/>
      <c r="C61" s="43"/>
      <c r="D61" s="43"/>
      <c r="E61" s="43"/>
      <c r="F61" s="43" t="s">
        <v>247</v>
      </c>
      <c r="G61" s="52">
        <v>353.6</v>
      </c>
      <c r="H61" s="45"/>
      <c r="I61" s="52">
        <v>381.93</v>
      </c>
      <c r="J61" s="45"/>
      <c r="K61" s="52">
        <v>366.77</v>
      </c>
      <c r="L61" s="45"/>
      <c r="M61" s="52">
        <f>ROUND(SUM(G61:K61),5)</f>
        <v>1102.3</v>
      </c>
    </row>
    <row r="62" spans="1:13" ht="15" thickBot="1" x14ac:dyDescent="0.35">
      <c r="A62" s="43"/>
      <c r="B62" s="43"/>
      <c r="C62" s="43"/>
      <c r="D62" s="43"/>
      <c r="E62" s="43"/>
      <c r="F62" s="43" t="s">
        <v>341</v>
      </c>
      <c r="G62" s="54">
        <v>767.2</v>
      </c>
      <c r="H62" s="45"/>
      <c r="I62" s="54">
        <v>613.04999999999995</v>
      </c>
      <c r="J62" s="45"/>
      <c r="K62" s="54">
        <v>560.23</v>
      </c>
      <c r="L62" s="45"/>
      <c r="M62" s="54">
        <f>ROUND(SUM(G62:K62),5)</f>
        <v>1940.48</v>
      </c>
    </row>
    <row r="63" spans="1:13" x14ac:dyDescent="0.3">
      <c r="A63" s="43"/>
      <c r="B63" s="43"/>
      <c r="C63" s="43"/>
      <c r="D63" s="43"/>
      <c r="E63" s="43" t="s">
        <v>342</v>
      </c>
      <c r="F63" s="43"/>
      <c r="G63" s="52">
        <f>ROUND(SUM(G60:G62),5)</f>
        <v>1120.8</v>
      </c>
      <c r="H63" s="45"/>
      <c r="I63" s="52">
        <f>ROUND(SUM(I60:I62),5)</f>
        <v>994.98</v>
      </c>
      <c r="J63" s="45"/>
      <c r="K63" s="52">
        <f>ROUND(SUM(K60:K62),5)</f>
        <v>927</v>
      </c>
      <c r="L63" s="45"/>
      <c r="M63" s="52">
        <f>ROUND(SUM(G63:K63),5)</f>
        <v>3042.78</v>
      </c>
    </row>
    <row r="64" spans="1:13" ht="30" customHeight="1" x14ac:dyDescent="0.3">
      <c r="A64" s="43"/>
      <c r="B64" s="43"/>
      <c r="C64" s="43"/>
      <c r="D64" s="43"/>
      <c r="E64" s="43" t="s">
        <v>250</v>
      </c>
      <c r="F64" s="43"/>
      <c r="G64" s="52"/>
      <c r="H64" s="45"/>
      <c r="I64" s="52"/>
      <c r="J64" s="45"/>
      <c r="K64" s="52"/>
      <c r="L64" s="45"/>
      <c r="M64" s="52"/>
    </row>
    <row r="65" spans="1:13" x14ac:dyDescent="0.3">
      <c r="A65" s="43"/>
      <c r="B65" s="43"/>
      <c r="C65" s="43"/>
      <c r="D65" s="43"/>
      <c r="E65" s="43"/>
      <c r="F65" s="43" t="s">
        <v>251</v>
      </c>
      <c r="G65" s="52">
        <v>275</v>
      </c>
      <c r="H65" s="45"/>
      <c r="I65" s="52">
        <v>37.5</v>
      </c>
      <c r="J65" s="45"/>
      <c r="K65" s="52">
        <v>201.25</v>
      </c>
      <c r="L65" s="45"/>
      <c r="M65" s="52">
        <f>ROUND(SUM(G65:K65),5)</f>
        <v>513.75</v>
      </c>
    </row>
    <row r="66" spans="1:13" x14ac:dyDescent="0.3">
      <c r="A66" s="43"/>
      <c r="B66" s="43"/>
      <c r="C66" s="43"/>
      <c r="D66" s="43"/>
      <c r="E66" s="43"/>
      <c r="F66" s="43" t="s">
        <v>343</v>
      </c>
      <c r="G66" s="52">
        <v>582.74</v>
      </c>
      <c r="H66" s="45"/>
      <c r="I66" s="52">
        <v>0</v>
      </c>
      <c r="J66" s="45"/>
      <c r="K66" s="52">
        <v>0</v>
      </c>
      <c r="L66" s="45"/>
      <c r="M66" s="52">
        <f>ROUND(SUM(G66:K66),5)</f>
        <v>582.74</v>
      </c>
    </row>
    <row r="67" spans="1:13" ht="15" thickBot="1" x14ac:dyDescent="0.35">
      <c r="A67" s="43"/>
      <c r="B67" s="43"/>
      <c r="C67" s="43"/>
      <c r="D67" s="43"/>
      <c r="E67" s="43"/>
      <c r="F67" s="43" t="s">
        <v>252</v>
      </c>
      <c r="G67" s="54">
        <v>0</v>
      </c>
      <c r="H67" s="45"/>
      <c r="I67" s="54">
        <v>162.99</v>
      </c>
      <c r="J67" s="45"/>
      <c r="K67" s="54">
        <v>462.5</v>
      </c>
      <c r="L67" s="45"/>
      <c r="M67" s="54">
        <f>ROUND(SUM(G67:K67),5)</f>
        <v>625.49</v>
      </c>
    </row>
    <row r="68" spans="1:13" x14ac:dyDescent="0.3">
      <c r="A68" s="43"/>
      <c r="B68" s="43"/>
      <c r="C68" s="43"/>
      <c r="D68" s="43"/>
      <c r="E68" s="43" t="s">
        <v>253</v>
      </c>
      <c r="F68" s="43"/>
      <c r="G68" s="52">
        <f>ROUND(SUM(G64:G67),5)</f>
        <v>857.74</v>
      </c>
      <c r="H68" s="45"/>
      <c r="I68" s="52">
        <f>ROUND(SUM(I64:I67),5)</f>
        <v>200.49</v>
      </c>
      <c r="J68" s="45"/>
      <c r="K68" s="52">
        <f>ROUND(SUM(K64:K67),5)</f>
        <v>663.75</v>
      </c>
      <c r="L68" s="45"/>
      <c r="M68" s="52">
        <f>ROUND(SUM(G68:K68),5)</f>
        <v>1721.98</v>
      </c>
    </row>
    <row r="69" spans="1:13" ht="30" customHeight="1" x14ac:dyDescent="0.3">
      <c r="A69" s="43"/>
      <c r="B69" s="43"/>
      <c r="C69" s="43"/>
      <c r="D69" s="43"/>
      <c r="E69" s="43" t="s">
        <v>254</v>
      </c>
      <c r="F69" s="43"/>
      <c r="G69" s="52"/>
      <c r="H69" s="45"/>
      <c r="I69" s="52"/>
      <c r="J69" s="45"/>
      <c r="K69" s="52"/>
      <c r="L69" s="45"/>
      <c r="M69" s="52"/>
    </row>
    <row r="70" spans="1:13" x14ac:dyDescent="0.3">
      <c r="A70" s="43"/>
      <c r="B70" s="43"/>
      <c r="C70" s="43"/>
      <c r="D70" s="43"/>
      <c r="E70" s="43"/>
      <c r="F70" s="43" t="s">
        <v>255</v>
      </c>
      <c r="G70" s="52">
        <v>200</v>
      </c>
      <c r="H70" s="45"/>
      <c r="I70" s="52">
        <v>355.8</v>
      </c>
      <c r="J70" s="45"/>
      <c r="K70" s="52">
        <v>157.5</v>
      </c>
      <c r="L70" s="45"/>
      <c r="M70" s="52">
        <f t="shared" ref="M70:M79" si="4">ROUND(SUM(G70:K70),5)</f>
        <v>713.3</v>
      </c>
    </row>
    <row r="71" spans="1:13" x14ac:dyDescent="0.3">
      <c r="A71" s="43"/>
      <c r="B71" s="43"/>
      <c r="C71" s="43"/>
      <c r="D71" s="43"/>
      <c r="E71" s="43"/>
      <c r="F71" s="43" t="s">
        <v>256</v>
      </c>
      <c r="G71" s="52">
        <v>0</v>
      </c>
      <c r="H71" s="45"/>
      <c r="I71" s="52">
        <v>138.33000000000001</v>
      </c>
      <c r="J71" s="45"/>
      <c r="K71" s="52">
        <v>28.03</v>
      </c>
      <c r="L71" s="45"/>
      <c r="M71" s="52">
        <f t="shared" si="4"/>
        <v>166.36</v>
      </c>
    </row>
    <row r="72" spans="1:13" x14ac:dyDescent="0.3">
      <c r="A72" s="43"/>
      <c r="B72" s="43"/>
      <c r="C72" s="43"/>
      <c r="D72" s="43"/>
      <c r="E72" s="43"/>
      <c r="F72" s="43" t="s">
        <v>257</v>
      </c>
      <c r="G72" s="52">
        <v>492.75</v>
      </c>
      <c r="H72" s="45"/>
      <c r="I72" s="52">
        <v>557.1</v>
      </c>
      <c r="J72" s="45"/>
      <c r="K72" s="52">
        <v>586.6</v>
      </c>
      <c r="L72" s="45"/>
      <c r="M72" s="52">
        <f t="shared" si="4"/>
        <v>1636.45</v>
      </c>
    </row>
    <row r="73" spans="1:13" x14ac:dyDescent="0.3">
      <c r="A73" s="43"/>
      <c r="B73" s="43"/>
      <c r="C73" s="43"/>
      <c r="D73" s="43"/>
      <c r="E73" s="43"/>
      <c r="F73" s="43" t="s">
        <v>258</v>
      </c>
      <c r="G73" s="52">
        <v>494.27</v>
      </c>
      <c r="H73" s="45"/>
      <c r="I73" s="52">
        <v>420.85</v>
      </c>
      <c r="J73" s="45"/>
      <c r="K73" s="52">
        <v>416.87</v>
      </c>
      <c r="L73" s="45"/>
      <c r="M73" s="52">
        <f t="shared" si="4"/>
        <v>1331.99</v>
      </c>
    </row>
    <row r="74" spans="1:13" ht="15" thickBot="1" x14ac:dyDescent="0.35">
      <c r="A74" s="43"/>
      <c r="B74" s="43"/>
      <c r="C74" s="43"/>
      <c r="D74" s="43"/>
      <c r="E74" s="43"/>
      <c r="F74" s="43" t="s">
        <v>259</v>
      </c>
      <c r="G74" s="54">
        <v>17.5</v>
      </c>
      <c r="H74" s="45"/>
      <c r="I74" s="54">
        <v>0</v>
      </c>
      <c r="J74" s="45"/>
      <c r="K74" s="54">
        <v>0</v>
      </c>
      <c r="L74" s="45"/>
      <c r="M74" s="54">
        <f t="shared" si="4"/>
        <v>17.5</v>
      </c>
    </row>
    <row r="75" spans="1:13" x14ac:dyDescent="0.3">
      <c r="A75" s="43"/>
      <c r="B75" s="43"/>
      <c r="C75" s="43"/>
      <c r="D75" s="43"/>
      <c r="E75" s="43" t="s">
        <v>261</v>
      </c>
      <c r="F75" s="43"/>
      <c r="G75" s="52">
        <f>ROUND(SUM(G69:G74),5)</f>
        <v>1204.52</v>
      </c>
      <c r="H75" s="45"/>
      <c r="I75" s="52">
        <f>ROUND(SUM(I69:I74),5)</f>
        <v>1472.08</v>
      </c>
      <c r="J75" s="45"/>
      <c r="K75" s="52">
        <f>ROUND(SUM(K69:K74),5)</f>
        <v>1189</v>
      </c>
      <c r="L75" s="45"/>
      <c r="M75" s="52">
        <f t="shared" si="4"/>
        <v>3865.6</v>
      </c>
    </row>
    <row r="76" spans="1:13" ht="30" customHeight="1" x14ac:dyDescent="0.3">
      <c r="A76" s="43"/>
      <c r="B76" s="43"/>
      <c r="C76" s="43"/>
      <c r="D76" s="43"/>
      <c r="E76" s="43" t="s">
        <v>262</v>
      </c>
      <c r="F76" s="43"/>
      <c r="G76" s="52">
        <v>0</v>
      </c>
      <c r="H76" s="45"/>
      <c r="I76" s="52">
        <v>532.85</v>
      </c>
      <c r="J76" s="45"/>
      <c r="K76" s="52">
        <v>272.58999999999997</v>
      </c>
      <c r="L76" s="45"/>
      <c r="M76" s="52">
        <f t="shared" si="4"/>
        <v>805.44</v>
      </c>
    </row>
    <row r="77" spans="1:13" ht="15" thickBot="1" x14ac:dyDescent="0.35">
      <c r="A77" s="43"/>
      <c r="B77" s="43"/>
      <c r="C77" s="43"/>
      <c r="D77" s="43"/>
      <c r="E77" s="43" t="s">
        <v>266</v>
      </c>
      <c r="F77" s="43"/>
      <c r="G77" s="54">
        <v>0</v>
      </c>
      <c r="H77" s="45"/>
      <c r="I77" s="54">
        <v>0</v>
      </c>
      <c r="J77" s="45"/>
      <c r="K77" s="54">
        <v>0</v>
      </c>
      <c r="L77" s="45"/>
      <c r="M77" s="54">
        <f t="shared" si="4"/>
        <v>0</v>
      </c>
    </row>
    <row r="78" spans="1:13" x14ac:dyDescent="0.3">
      <c r="A78" s="43"/>
      <c r="B78" s="43"/>
      <c r="C78" s="43"/>
      <c r="D78" s="43" t="s">
        <v>270</v>
      </c>
      <c r="E78" s="43"/>
      <c r="F78" s="43"/>
      <c r="G78" s="52">
        <f>ROUND(G34+G41+G45+G50+G54+SUM(G58:G59)+G63+G68+SUM(G75:G77),5)</f>
        <v>11014.51</v>
      </c>
      <c r="H78" s="45"/>
      <c r="I78" s="52">
        <f>ROUND(I34+I41+I45+I50+I54+SUM(I58:I59)+I63+I68+SUM(I75:I77),5)</f>
        <v>10385.1</v>
      </c>
      <c r="J78" s="45"/>
      <c r="K78" s="52">
        <f>ROUND(K34+K41+K45+K50+K54+SUM(K58:K59)+K63+K68+SUM(K75:K77),5)</f>
        <v>13303.21</v>
      </c>
      <c r="L78" s="45"/>
      <c r="M78" s="52">
        <f t="shared" si="4"/>
        <v>34702.82</v>
      </c>
    </row>
    <row r="79" spans="1:13" ht="30" customHeight="1" x14ac:dyDescent="0.3">
      <c r="A79" s="43"/>
      <c r="B79" s="43"/>
      <c r="C79" s="43"/>
      <c r="D79" s="43" t="s">
        <v>271</v>
      </c>
      <c r="E79" s="43"/>
      <c r="F79" s="43"/>
      <c r="G79" s="52">
        <v>3770.63</v>
      </c>
      <c r="H79" s="45"/>
      <c r="I79" s="52">
        <v>4655.8900000000003</v>
      </c>
      <c r="J79" s="45"/>
      <c r="K79" s="52">
        <v>4870.7700000000004</v>
      </c>
      <c r="L79" s="45"/>
      <c r="M79" s="52">
        <f t="shared" si="4"/>
        <v>13297.29</v>
      </c>
    </row>
    <row r="80" spans="1:13" x14ac:dyDescent="0.3">
      <c r="A80" s="43"/>
      <c r="B80" s="43"/>
      <c r="C80" s="43"/>
      <c r="D80" s="43" t="s">
        <v>272</v>
      </c>
      <c r="E80" s="43"/>
      <c r="F80" s="43"/>
      <c r="G80" s="52"/>
      <c r="H80" s="45"/>
      <c r="I80" s="52"/>
      <c r="J80" s="45"/>
      <c r="K80" s="52"/>
      <c r="L80" s="45"/>
      <c r="M80" s="52"/>
    </row>
    <row r="81" spans="1:13" x14ac:dyDescent="0.3">
      <c r="A81" s="43"/>
      <c r="B81" s="43"/>
      <c r="C81" s="43"/>
      <c r="D81" s="43"/>
      <c r="E81" s="43" t="s">
        <v>384</v>
      </c>
      <c r="F81" s="43"/>
      <c r="G81" s="52">
        <v>0</v>
      </c>
      <c r="H81" s="45"/>
      <c r="I81" s="52">
        <v>0</v>
      </c>
      <c r="J81" s="45"/>
      <c r="K81" s="52">
        <v>-8942.49</v>
      </c>
      <c r="L81" s="45"/>
      <c r="M81" s="52">
        <f t="shared" ref="M81:M88" si="5">ROUND(SUM(G81:K81),5)</f>
        <v>-8942.49</v>
      </c>
    </row>
    <row r="82" spans="1:13" x14ac:dyDescent="0.3">
      <c r="A82" s="43"/>
      <c r="B82" s="43"/>
      <c r="C82" s="43"/>
      <c r="D82" s="43"/>
      <c r="E82" s="43" t="s">
        <v>275</v>
      </c>
      <c r="F82" s="43"/>
      <c r="G82" s="52">
        <v>65749.039999999994</v>
      </c>
      <c r="H82" s="45"/>
      <c r="I82" s="52">
        <v>65911.679999999993</v>
      </c>
      <c r="J82" s="45"/>
      <c r="K82" s="52">
        <v>56990.07</v>
      </c>
      <c r="L82" s="45"/>
      <c r="M82" s="52">
        <f t="shared" si="5"/>
        <v>188650.79</v>
      </c>
    </row>
    <row r="83" spans="1:13" ht="15" thickBot="1" x14ac:dyDescent="0.35">
      <c r="A83" s="43"/>
      <c r="B83" s="43"/>
      <c r="C83" s="43"/>
      <c r="D83" s="43"/>
      <c r="E83" s="43" t="s">
        <v>385</v>
      </c>
      <c r="F83" s="43"/>
      <c r="G83" s="54">
        <v>50</v>
      </c>
      <c r="H83" s="45"/>
      <c r="I83" s="54">
        <v>50</v>
      </c>
      <c r="J83" s="45"/>
      <c r="K83" s="54">
        <v>50</v>
      </c>
      <c r="L83" s="45"/>
      <c r="M83" s="54">
        <f t="shared" si="5"/>
        <v>150</v>
      </c>
    </row>
    <row r="84" spans="1:13" x14ac:dyDescent="0.3">
      <c r="A84" s="43"/>
      <c r="B84" s="43"/>
      <c r="C84" s="43"/>
      <c r="D84" s="43" t="s">
        <v>277</v>
      </c>
      <c r="E84" s="43"/>
      <c r="F84" s="43"/>
      <c r="G84" s="52">
        <f>ROUND(SUM(G80:G83),5)</f>
        <v>65799.039999999994</v>
      </c>
      <c r="H84" s="45"/>
      <c r="I84" s="52">
        <f>ROUND(SUM(I80:I83),5)</f>
        <v>65961.679999999993</v>
      </c>
      <c r="J84" s="45"/>
      <c r="K84" s="52">
        <f>ROUND(SUM(K80:K83),5)</f>
        <v>48097.58</v>
      </c>
      <c r="L84" s="45"/>
      <c r="M84" s="52">
        <f t="shared" si="5"/>
        <v>179858.3</v>
      </c>
    </row>
    <row r="85" spans="1:13" ht="30" customHeight="1" x14ac:dyDescent="0.3">
      <c r="A85" s="43"/>
      <c r="B85" s="43"/>
      <c r="C85" s="43"/>
      <c r="D85" s="43" t="s">
        <v>278</v>
      </c>
      <c r="E85" s="43"/>
      <c r="F85" s="43"/>
      <c r="G85" s="52">
        <v>97502.99</v>
      </c>
      <c r="H85" s="45"/>
      <c r="I85" s="52">
        <v>79257.45</v>
      </c>
      <c r="J85" s="45"/>
      <c r="K85" s="52">
        <v>67796.240000000005</v>
      </c>
      <c r="L85" s="45"/>
      <c r="M85" s="52">
        <f t="shared" si="5"/>
        <v>244556.68</v>
      </c>
    </row>
    <row r="86" spans="1:13" ht="15" thickBot="1" x14ac:dyDescent="0.35">
      <c r="A86" s="43"/>
      <c r="B86" s="43"/>
      <c r="C86" s="43"/>
      <c r="D86" s="43" t="s">
        <v>284</v>
      </c>
      <c r="E86" s="43"/>
      <c r="F86" s="43"/>
      <c r="G86" s="52">
        <v>67625</v>
      </c>
      <c r="H86" s="45"/>
      <c r="I86" s="52">
        <v>65625</v>
      </c>
      <c r="J86" s="45"/>
      <c r="K86" s="52">
        <v>64982.400000000001</v>
      </c>
      <c r="L86" s="45"/>
      <c r="M86" s="52">
        <f t="shared" si="5"/>
        <v>198232.4</v>
      </c>
    </row>
    <row r="87" spans="1:13" ht="15" thickBot="1" x14ac:dyDescent="0.35">
      <c r="A87" s="43"/>
      <c r="B87" s="43"/>
      <c r="C87" s="43" t="s">
        <v>287</v>
      </c>
      <c r="D87" s="43"/>
      <c r="E87" s="43"/>
      <c r="F87" s="43"/>
      <c r="G87" s="53">
        <f>ROUND(SUM(G10:G11)+G27+G33+SUM(G78:G79)+SUM(G84:G86),5)</f>
        <v>269462.90999999997</v>
      </c>
      <c r="H87" s="45"/>
      <c r="I87" s="53">
        <f>ROUND(SUM(I10:I11)+I27+I33+SUM(I78:I79)+SUM(I84:I86),5)</f>
        <v>299956.2</v>
      </c>
      <c r="J87" s="45"/>
      <c r="K87" s="53">
        <f>ROUND(SUM(K10:K11)+K27+K33+SUM(K78:K79)+SUM(K84:K86),5)</f>
        <v>253406.99</v>
      </c>
      <c r="L87" s="45"/>
      <c r="M87" s="53">
        <f t="shared" si="5"/>
        <v>822826.1</v>
      </c>
    </row>
    <row r="88" spans="1:13" ht="30" customHeight="1" x14ac:dyDescent="0.3">
      <c r="A88" s="43"/>
      <c r="B88" s="43" t="s">
        <v>288</v>
      </c>
      <c r="C88" s="43"/>
      <c r="D88" s="43"/>
      <c r="E88" s="43"/>
      <c r="F88" s="43"/>
      <c r="G88" s="52">
        <f>ROUND(G2+G9-G87,5)</f>
        <v>124532.43</v>
      </c>
      <c r="H88" s="45"/>
      <c r="I88" s="52">
        <f>ROUND(I2+I9-I87,5)</f>
        <v>99881.18</v>
      </c>
      <c r="J88" s="45"/>
      <c r="K88" s="52">
        <f>ROUND(K2+K9-K87,5)</f>
        <v>159648.07</v>
      </c>
      <c r="L88" s="45"/>
      <c r="M88" s="52">
        <f t="shared" si="5"/>
        <v>384061.68</v>
      </c>
    </row>
    <row r="89" spans="1:13" ht="30" customHeight="1" x14ac:dyDescent="0.3">
      <c r="A89" s="43"/>
      <c r="B89" s="43" t="s">
        <v>289</v>
      </c>
      <c r="C89" s="43"/>
      <c r="D89" s="43"/>
      <c r="E89" s="43"/>
      <c r="F89" s="43"/>
      <c r="G89" s="52"/>
      <c r="H89" s="45"/>
      <c r="I89" s="52"/>
      <c r="J89" s="45"/>
      <c r="K89" s="52"/>
      <c r="L89" s="45"/>
      <c r="M89" s="52"/>
    </row>
    <row r="90" spans="1:13" x14ac:dyDescent="0.3">
      <c r="A90" s="43"/>
      <c r="B90" s="43"/>
      <c r="C90" s="43" t="s">
        <v>290</v>
      </c>
      <c r="D90" s="43"/>
      <c r="E90" s="43"/>
      <c r="F90" s="43"/>
      <c r="G90" s="52"/>
      <c r="H90" s="45"/>
      <c r="I90" s="52"/>
      <c r="J90" s="45"/>
      <c r="K90" s="52"/>
      <c r="L90" s="45"/>
      <c r="M90" s="52"/>
    </row>
    <row r="91" spans="1:13" x14ac:dyDescent="0.3">
      <c r="A91" s="43"/>
      <c r="B91" s="43"/>
      <c r="C91" s="43"/>
      <c r="D91" s="43" t="s">
        <v>291</v>
      </c>
      <c r="E91" s="43"/>
      <c r="F91" s="43"/>
      <c r="G91" s="52"/>
      <c r="H91" s="45"/>
      <c r="I91" s="52"/>
      <c r="J91" s="45"/>
      <c r="K91" s="52"/>
      <c r="L91" s="45"/>
      <c r="M91" s="52"/>
    </row>
    <row r="92" spans="1:13" ht="15" thickBot="1" x14ac:dyDescent="0.35">
      <c r="A92" s="43"/>
      <c r="B92" s="43"/>
      <c r="C92" s="43"/>
      <c r="D92" s="43"/>
      <c r="E92" s="43" t="s">
        <v>787</v>
      </c>
      <c r="F92" s="43"/>
      <c r="G92" s="52">
        <v>564.05999999999995</v>
      </c>
      <c r="H92" s="45"/>
      <c r="I92" s="52">
        <v>356.16</v>
      </c>
      <c r="J92" s="45"/>
      <c r="K92" s="52">
        <v>194.41</v>
      </c>
      <c r="L92" s="45"/>
      <c r="M92" s="52">
        <f>ROUND(SUM(G92:K92),5)</f>
        <v>1114.6300000000001</v>
      </c>
    </row>
    <row r="93" spans="1:13" ht="15" thickBot="1" x14ac:dyDescent="0.35">
      <c r="A93" s="43"/>
      <c r="B93" s="43"/>
      <c r="C93" s="43"/>
      <c r="D93" s="43" t="s">
        <v>509</v>
      </c>
      <c r="E93" s="43"/>
      <c r="F93" s="43"/>
      <c r="G93" s="55">
        <f>ROUND(SUM(G91:G92),5)</f>
        <v>564.05999999999995</v>
      </c>
      <c r="H93" s="45"/>
      <c r="I93" s="55">
        <f>ROUND(SUM(I91:I92),5)</f>
        <v>356.16</v>
      </c>
      <c r="J93" s="45"/>
      <c r="K93" s="55">
        <f>ROUND(SUM(K91:K92),5)</f>
        <v>194.41</v>
      </c>
      <c r="L93" s="45"/>
      <c r="M93" s="55">
        <f>ROUND(SUM(G93:K93),5)</f>
        <v>1114.6300000000001</v>
      </c>
    </row>
    <row r="94" spans="1:13" ht="30" customHeight="1" thickBot="1" x14ac:dyDescent="0.35">
      <c r="A94" s="43"/>
      <c r="B94" s="43"/>
      <c r="C94" s="43" t="s">
        <v>292</v>
      </c>
      <c r="D94" s="43"/>
      <c r="E94" s="43"/>
      <c r="F94" s="43"/>
      <c r="G94" s="55">
        <f>ROUND(G90+G93,5)</f>
        <v>564.05999999999995</v>
      </c>
      <c r="H94" s="45"/>
      <c r="I94" s="55">
        <f>ROUND(I90+I93,5)</f>
        <v>356.16</v>
      </c>
      <c r="J94" s="45"/>
      <c r="K94" s="55">
        <f>ROUND(K90+K93,5)</f>
        <v>194.41</v>
      </c>
      <c r="L94" s="45"/>
      <c r="M94" s="55">
        <f>ROUND(SUM(G94:K94),5)</f>
        <v>1114.6300000000001</v>
      </c>
    </row>
    <row r="95" spans="1:13" ht="30" customHeight="1" thickBot="1" x14ac:dyDescent="0.35">
      <c r="A95" s="43"/>
      <c r="B95" s="43" t="s">
        <v>296</v>
      </c>
      <c r="C95" s="43"/>
      <c r="D95" s="43"/>
      <c r="E95" s="43"/>
      <c r="F95" s="43"/>
      <c r="G95" s="55">
        <f>ROUND(G89+G94,5)</f>
        <v>564.05999999999995</v>
      </c>
      <c r="H95" s="45"/>
      <c r="I95" s="55">
        <f>ROUND(I89+I94,5)</f>
        <v>356.16</v>
      </c>
      <c r="J95" s="45"/>
      <c r="K95" s="55">
        <f>ROUND(K89+K94,5)</f>
        <v>194.41</v>
      </c>
      <c r="L95" s="45"/>
      <c r="M95" s="55">
        <f>ROUND(SUM(G95:K95),5)</f>
        <v>1114.6300000000001</v>
      </c>
    </row>
    <row r="96" spans="1:13" s="50" customFormat="1" ht="30" customHeight="1" thickBot="1" x14ac:dyDescent="0.25">
      <c r="A96" s="43" t="s">
        <v>165</v>
      </c>
      <c r="B96" s="43"/>
      <c r="C96" s="43"/>
      <c r="D96" s="43"/>
      <c r="E96" s="43"/>
      <c r="F96" s="43"/>
      <c r="G96" s="56">
        <f>ROUND(G88+G95,5)</f>
        <v>125096.49</v>
      </c>
      <c r="H96" s="43"/>
      <c r="I96" s="56">
        <f>ROUND(I88+I95,5)</f>
        <v>100237.34</v>
      </c>
      <c r="J96" s="43"/>
      <c r="K96" s="56">
        <f>ROUND(K88+K95,5)</f>
        <v>159842.48000000001</v>
      </c>
      <c r="L96" s="43"/>
      <c r="M96" s="56">
        <f>ROUND(SUM(G96:K96),5)</f>
        <v>385176.31</v>
      </c>
    </row>
    <row r="97" spans="6:13" ht="15" thickTop="1" x14ac:dyDescent="0.3"/>
    <row r="98" spans="6:13" x14ac:dyDescent="0.3">
      <c r="F98" s="43" t="s">
        <v>987</v>
      </c>
      <c r="G98" s="52">
        <f>G87-G15-G85-G86</f>
        <v>104334.91999999998</v>
      </c>
      <c r="H98" s="45"/>
      <c r="I98" s="52">
        <f>I87-I15-I85-I86</f>
        <v>106428.75</v>
      </c>
      <c r="J98" s="45"/>
      <c r="K98" s="52">
        <f>K87-K15-K85-K86</f>
        <v>91311.790000000008</v>
      </c>
      <c r="L98" s="45"/>
      <c r="M98" s="52">
        <f>(M87-M15-M85-M86)/3</f>
        <v>100691.82000000002</v>
      </c>
    </row>
  </sheetData>
  <pageMargins left="0.7" right="0.7" top="0.75" bottom="0.75" header="0.25" footer="0.3"/>
  <pageSetup orientation="portrait" r:id="rId1"/>
  <headerFooter>
    <oddHeader>&amp;L&amp;"Arial,Bold"&amp;8 02/18/14
&amp;"Arial,Bold"&amp;8 Accrual Basis&amp;C&amp;"Arial,Bold"&amp;12 Royal I, LLC
&amp;"Arial,Bold"&amp;14 3 Year Detail Comparative Statement of Income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3789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7890" r:id="rId4" name="HEADER"/>
      </mc:Fallback>
    </mc:AlternateContent>
    <mc:AlternateContent xmlns:mc="http://schemas.openxmlformats.org/markup-compatibility/2006">
      <mc:Choice Requires="x14">
        <control shapeId="3788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7889" r:id="rId6" name="FILTER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O40"/>
  <sheetViews>
    <sheetView topLeftCell="A9" zoomScale="90" zoomScaleNormal="90" workbookViewId="0">
      <selection activeCell="O18" sqref="O18"/>
    </sheetView>
  </sheetViews>
  <sheetFormatPr defaultColWidth="9.109375" defaultRowHeight="13.8" x14ac:dyDescent="0.25"/>
  <cols>
    <col min="1" max="1" width="3.6640625" style="67" customWidth="1"/>
    <col min="2" max="3" width="12.6640625" style="67" customWidth="1"/>
    <col min="4" max="9" width="12.6640625" style="68" customWidth="1"/>
    <col min="10" max="10" width="4.6640625" style="67" customWidth="1"/>
    <col min="11" max="11" width="12.6640625" style="67" customWidth="1"/>
    <col min="12" max="12" width="13.33203125" style="67" customWidth="1"/>
    <col min="13" max="15" width="12.6640625" style="67" customWidth="1"/>
    <col min="16" max="16" width="3.6640625" style="67" customWidth="1"/>
    <col min="17" max="22" width="12.6640625" style="67" customWidth="1"/>
    <col min="23" max="16384" width="9.109375" style="67"/>
  </cols>
  <sheetData>
    <row r="1" spans="2:15" ht="22.8" x14ac:dyDescent="0.4">
      <c r="B1" s="163" t="s">
        <v>992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</row>
    <row r="4" spans="2:15" ht="14.4" thickBot="1" x14ac:dyDescent="0.3"/>
    <row r="5" spans="2:15" ht="14.4" thickBot="1" x14ac:dyDescent="0.3">
      <c r="B5" s="67" t="s">
        <v>993</v>
      </c>
      <c r="D5" s="166" t="str">
        <f>Analysis!C5</f>
        <v>21 Webb</v>
      </c>
      <c r="E5" s="167"/>
      <c r="F5" s="168"/>
    </row>
    <row r="6" spans="2:15" ht="14.4" thickBot="1" x14ac:dyDescent="0.3"/>
    <row r="7" spans="2:15" ht="14.4" thickBot="1" x14ac:dyDescent="0.3">
      <c r="B7" s="67" t="s">
        <v>2</v>
      </c>
      <c r="D7" s="166" t="str">
        <f>Analysis!C7</f>
        <v>afsdj</v>
      </c>
      <c r="E7" s="167"/>
      <c r="F7" s="168"/>
    </row>
    <row r="8" spans="2:15" ht="14.4" thickBot="1" x14ac:dyDescent="0.3"/>
    <row r="9" spans="2:15" ht="14.4" thickBot="1" x14ac:dyDescent="0.3">
      <c r="B9" s="67" t="s">
        <v>1</v>
      </c>
      <c r="D9" s="98">
        <f>Analysis!C9</f>
        <v>79290</v>
      </c>
      <c r="E9" s="99"/>
      <c r="F9" s="67"/>
      <c r="G9" s="67"/>
      <c r="H9" s="67"/>
    </row>
    <row r="10" spans="2:15" ht="14.4" thickBot="1" x14ac:dyDescent="0.3">
      <c r="D10" s="99"/>
      <c r="E10" s="99"/>
      <c r="F10" s="67"/>
      <c r="G10" s="67"/>
      <c r="H10" s="67"/>
    </row>
    <row r="11" spans="2:15" ht="14.4" thickBot="1" x14ac:dyDescent="0.3">
      <c r="B11" s="67" t="s">
        <v>25</v>
      </c>
      <c r="D11" s="100">
        <v>3.9</v>
      </c>
      <c r="E11" s="80"/>
      <c r="F11" s="67"/>
      <c r="G11" s="67"/>
      <c r="H11" s="67"/>
    </row>
    <row r="12" spans="2:15" ht="14.4" thickBot="1" x14ac:dyDescent="0.3"/>
    <row r="13" spans="2:15" ht="14.4" thickBot="1" x14ac:dyDescent="0.3">
      <c r="B13" s="67" t="s">
        <v>21</v>
      </c>
      <c r="D13" s="173" t="s">
        <v>988</v>
      </c>
      <c r="E13" s="174"/>
      <c r="F13" s="175"/>
    </row>
    <row r="14" spans="2:15" ht="14.4" thickBot="1" x14ac:dyDescent="0.3"/>
    <row r="15" spans="2:15" x14ac:dyDescent="0.25">
      <c r="B15" s="101" t="s">
        <v>13</v>
      </c>
      <c r="C15" s="102"/>
      <c r="D15" s="102"/>
      <c r="E15" s="102"/>
      <c r="F15" s="102"/>
      <c r="G15" s="102"/>
      <c r="H15" s="102"/>
      <c r="I15" s="103"/>
      <c r="K15" s="169" t="s">
        <v>10</v>
      </c>
      <c r="L15" s="170"/>
      <c r="M15" s="170"/>
      <c r="N15" s="170"/>
      <c r="O15" s="171"/>
    </row>
    <row r="16" spans="2:15" ht="55.2" x14ac:dyDescent="0.25">
      <c r="B16" s="104" t="s">
        <v>0</v>
      </c>
      <c r="C16" s="77" t="s">
        <v>11</v>
      </c>
      <c r="D16" s="78" t="s">
        <v>5</v>
      </c>
      <c r="E16" s="78" t="s">
        <v>108</v>
      </c>
      <c r="F16" s="78" t="s">
        <v>989</v>
      </c>
      <c r="G16" s="78" t="s">
        <v>990</v>
      </c>
      <c r="H16" s="78" t="s">
        <v>12</v>
      </c>
      <c r="I16" s="105" t="s">
        <v>991</v>
      </c>
      <c r="K16" s="106" t="s">
        <v>4</v>
      </c>
      <c r="L16" s="77" t="s">
        <v>6</v>
      </c>
      <c r="M16" s="77" t="s">
        <v>8</v>
      </c>
      <c r="N16" s="77" t="s">
        <v>7</v>
      </c>
      <c r="O16" s="107" t="s">
        <v>9</v>
      </c>
    </row>
    <row r="17" spans="2:15" x14ac:dyDescent="0.25">
      <c r="B17" s="89"/>
      <c r="I17" s="90"/>
      <c r="K17" s="89"/>
      <c r="O17" s="108"/>
    </row>
    <row r="18" spans="2:15" x14ac:dyDescent="0.25">
      <c r="B18" s="104">
        <v>1</v>
      </c>
      <c r="C18" s="109">
        <f>Analysis!C20</f>
        <v>11.72</v>
      </c>
      <c r="D18" s="109">
        <f t="shared" ref="D18:D28" si="0">IF(C18&gt;0,ROUND($D$9*$C18,2)/12,0)</f>
        <v>77439.900000000009</v>
      </c>
      <c r="E18" s="109">
        <f>IF(Analysis!$C$12=0,0,'Analysis - TI Amort Sch'!E30)</f>
        <v>0</v>
      </c>
      <c r="F18" s="109">
        <f>IF(C18&gt;0,ROUND($D$9*$D$11,2)/12,0)</f>
        <v>25769.25</v>
      </c>
      <c r="G18" s="109">
        <f>SUM(D18:F18)</f>
        <v>103209.15000000001</v>
      </c>
      <c r="H18" s="109">
        <f>D18*12</f>
        <v>929278.8</v>
      </c>
      <c r="I18" s="110">
        <f>G18*12</f>
        <v>1238509.8</v>
      </c>
      <c r="K18" s="111">
        <f>C22</f>
        <v>12.72</v>
      </c>
      <c r="L18" s="109">
        <f>ROUND(((D9*K18)/12),2)</f>
        <v>84047.4</v>
      </c>
      <c r="M18" s="109">
        <f>$D$11</f>
        <v>3.9</v>
      </c>
      <c r="N18" s="109">
        <f>ROUND(((D9*M18)/12),2)</f>
        <v>25769.25</v>
      </c>
      <c r="O18" s="110">
        <f>L18+N18</f>
        <v>109816.65</v>
      </c>
    </row>
    <row r="19" spans="2:15" ht="14.4" thickBot="1" x14ac:dyDescent="0.3">
      <c r="B19" s="104">
        <v>2</v>
      </c>
      <c r="C19" s="109">
        <f>Analysis!C21</f>
        <v>11.97</v>
      </c>
      <c r="D19" s="109">
        <f t="shared" si="0"/>
        <v>79091.775000000009</v>
      </c>
      <c r="E19" s="109">
        <f>IF(Analysis!$C$12=0,0,'Analysis - TI Amort Sch'!E42)</f>
        <v>0</v>
      </c>
      <c r="F19" s="109">
        <f>IF(C19&gt;0,ROUND($D$9*$D$11,2)/12,0)</f>
        <v>25769.25</v>
      </c>
      <c r="G19" s="109">
        <f>SUM(D19:F19)</f>
        <v>104861.02500000001</v>
      </c>
      <c r="H19" s="109">
        <f>D19*12</f>
        <v>949101.3</v>
      </c>
      <c r="I19" s="110">
        <f>G19*12</f>
        <v>1258332.3</v>
      </c>
      <c r="K19" s="93"/>
      <c r="L19" s="94"/>
      <c r="M19" s="94"/>
      <c r="N19" s="94"/>
      <c r="O19" s="114"/>
    </row>
    <row r="20" spans="2:15" x14ac:dyDescent="0.25">
      <c r="B20" s="104">
        <v>3</v>
      </c>
      <c r="C20" s="109">
        <f>Analysis!C22</f>
        <v>12.22</v>
      </c>
      <c r="D20" s="109">
        <f t="shared" si="0"/>
        <v>80743.650000000009</v>
      </c>
      <c r="E20" s="109">
        <f>IF(Analysis!$C$12=0,0,'Analysis - TI Amort Sch'!E54)</f>
        <v>0</v>
      </c>
      <c r="F20" s="109">
        <f t="shared" ref="F20:F28" si="1">IF(C20&gt;0,ROUND($D$9*$D$11,2)/12,0)</f>
        <v>25769.25</v>
      </c>
      <c r="G20" s="109">
        <f t="shared" ref="G20:G28" si="2">SUM(D20:F20)</f>
        <v>106512.90000000001</v>
      </c>
      <c r="H20" s="109">
        <f t="shared" ref="H20:H28" si="3">D20*12</f>
        <v>968923.8</v>
      </c>
      <c r="I20" s="110">
        <f t="shared" ref="I20:I28" si="4">G20*12</f>
        <v>1278154.8</v>
      </c>
    </row>
    <row r="21" spans="2:15" x14ac:dyDescent="0.25">
      <c r="B21" s="104">
        <v>4</v>
      </c>
      <c r="C21" s="109">
        <f>Analysis!C23</f>
        <v>12.47</v>
      </c>
      <c r="D21" s="109">
        <f t="shared" si="0"/>
        <v>82395.525000000009</v>
      </c>
      <c r="E21" s="109">
        <f>IF(Analysis!$C$12=0,0,'Analysis - TI Amort Sch'!E66)</f>
        <v>0</v>
      </c>
      <c r="F21" s="109">
        <f t="shared" si="1"/>
        <v>25769.25</v>
      </c>
      <c r="G21" s="109">
        <f t="shared" si="2"/>
        <v>108164.77500000001</v>
      </c>
      <c r="H21" s="109">
        <f t="shared" si="3"/>
        <v>988746.3</v>
      </c>
      <c r="I21" s="110">
        <f t="shared" si="4"/>
        <v>1297977.3</v>
      </c>
    </row>
    <row r="22" spans="2:15" x14ac:dyDescent="0.25">
      <c r="B22" s="104">
        <v>5</v>
      </c>
      <c r="C22" s="109">
        <f>Analysis!C24</f>
        <v>12.72</v>
      </c>
      <c r="D22" s="109">
        <f t="shared" si="0"/>
        <v>84047.400000000009</v>
      </c>
      <c r="E22" s="109">
        <f>IF(Analysis!$C$12=0,0,'Analysis - TI Amort Sch'!E78)</f>
        <v>0</v>
      </c>
      <c r="F22" s="109">
        <f t="shared" si="1"/>
        <v>25769.25</v>
      </c>
      <c r="G22" s="109">
        <f t="shared" si="2"/>
        <v>109816.65000000001</v>
      </c>
      <c r="H22" s="109">
        <f t="shared" si="3"/>
        <v>1008568.8</v>
      </c>
      <c r="I22" s="110">
        <f t="shared" si="4"/>
        <v>1317799.8</v>
      </c>
      <c r="K22" s="115" t="s">
        <v>24</v>
      </c>
    </row>
    <row r="23" spans="2:15" x14ac:dyDescent="0.25">
      <c r="B23" s="104">
        <v>6</v>
      </c>
      <c r="C23" s="112">
        <f>Analysis!C25</f>
        <v>0</v>
      </c>
      <c r="D23" s="112">
        <f t="shared" si="0"/>
        <v>0</v>
      </c>
      <c r="E23" s="112">
        <f>IF(Analysis!$C$12=0,0,'Analysis - TI Amort Sch'!E90)</f>
        <v>0</v>
      </c>
      <c r="F23" s="112">
        <f t="shared" si="1"/>
        <v>0</v>
      </c>
      <c r="G23" s="112">
        <f t="shared" si="2"/>
        <v>0</v>
      </c>
      <c r="H23" s="112">
        <f t="shared" si="3"/>
        <v>0</v>
      </c>
      <c r="I23" s="113">
        <f t="shared" si="4"/>
        <v>0</v>
      </c>
    </row>
    <row r="24" spans="2:15" x14ac:dyDescent="0.25">
      <c r="B24" s="104">
        <v>7</v>
      </c>
      <c r="C24" s="112">
        <f>Analysis!C26</f>
        <v>0</v>
      </c>
      <c r="D24" s="112">
        <f t="shared" si="0"/>
        <v>0</v>
      </c>
      <c r="E24" s="112">
        <f>IF(Analysis!$C$12=0,0,'Analysis - TI Amort Sch'!E102)</f>
        <v>0</v>
      </c>
      <c r="F24" s="112">
        <f t="shared" si="1"/>
        <v>0</v>
      </c>
      <c r="G24" s="112">
        <f t="shared" si="2"/>
        <v>0</v>
      </c>
      <c r="H24" s="112">
        <f t="shared" si="3"/>
        <v>0</v>
      </c>
      <c r="I24" s="113">
        <f t="shared" si="4"/>
        <v>0</v>
      </c>
      <c r="K24" s="116"/>
      <c r="L24" s="116"/>
      <c r="M24" s="116"/>
      <c r="N24" s="116"/>
      <c r="O24" s="116"/>
    </row>
    <row r="25" spans="2:15" x14ac:dyDescent="0.25">
      <c r="B25" s="104">
        <v>8</v>
      </c>
      <c r="C25" s="112">
        <f>Analysis!C27</f>
        <v>0</v>
      </c>
      <c r="D25" s="112">
        <f t="shared" si="0"/>
        <v>0</v>
      </c>
      <c r="E25" s="112">
        <f>IF(Analysis!$C$12=0,0,'Analysis - TI Amort Sch'!E114)</f>
        <v>0</v>
      </c>
      <c r="F25" s="112">
        <f t="shared" si="1"/>
        <v>0</v>
      </c>
      <c r="G25" s="112">
        <f t="shared" si="2"/>
        <v>0</v>
      </c>
      <c r="H25" s="112">
        <f t="shared" si="3"/>
        <v>0</v>
      </c>
      <c r="I25" s="113">
        <f t="shared" si="4"/>
        <v>0</v>
      </c>
    </row>
    <row r="26" spans="2:15" x14ac:dyDescent="0.25">
      <c r="B26" s="104">
        <v>9</v>
      </c>
      <c r="C26" s="112">
        <f>Analysis!C28</f>
        <v>0</v>
      </c>
      <c r="D26" s="112">
        <f t="shared" si="0"/>
        <v>0</v>
      </c>
      <c r="E26" s="112">
        <f>IF(Analysis!$C$12=0,0,'Analysis - TI Amort Sch'!E126)</f>
        <v>0</v>
      </c>
      <c r="F26" s="112">
        <f t="shared" si="1"/>
        <v>0</v>
      </c>
      <c r="G26" s="112">
        <f t="shared" si="2"/>
        <v>0</v>
      </c>
      <c r="H26" s="112">
        <f t="shared" si="3"/>
        <v>0</v>
      </c>
      <c r="I26" s="113">
        <f t="shared" si="4"/>
        <v>0</v>
      </c>
      <c r="K26" s="116"/>
      <c r="L26" s="116"/>
      <c r="M26" s="116"/>
      <c r="N26" s="116"/>
      <c r="O26" s="116"/>
    </row>
    <row r="27" spans="2:15" x14ac:dyDescent="0.25">
      <c r="B27" s="104">
        <v>10</v>
      </c>
      <c r="C27" s="112">
        <f>Analysis!C29</f>
        <v>0</v>
      </c>
      <c r="D27" s="112">
        <f t="shared" si="0"/>
        <v>0</v>
      </c>
      <c r="E27" s="112">
        <f>IF(Analysis!$C$12=0,0,'Analysis - TI Amort Sch'!E138)</f>
        <v>0</v>
      </c>
      <c r="F27" s="112">
        <f t="shared" ref="F27" si="5">IF(C27&gt;0,ROUND($D$9*$D$11,2)/12,0)</f>
        <v>0</v>
      </c>
      <c r="G27" s="112">
        <f t="shared" ref="G27" si="6">SUM(D27:F27)</f>
        <v>0</v>
      </c>
      <c r="H27" s="112">
        <f t="shared" si="3"/>
        <v>0</v>
      </c>
      <c r="I27" s="113">
        <f t="shared" ref="I27" si="7">G27*12</f>
        <v>0</v>
      </c>
    </row>
    <row r="28" spans="2:15" x14ac:dyDescent="0.25">
      <c r="B28" s="104">
        <v>11</v>
      </c>
      <c r="C28" s="112">
        <f>Analysis!C30</f>
        <v>0</v>
      </c>
      <c r="D28" s="112">
        <f t="shared" si="0"/>
        <v>0</v>
      </c>
      <c r="E28" s="112">
        <f>IF(Analysis!$C$12=0,0,'Analysis - TI Amort Sch'!E150)</f>
        <v>0</v>
      </c>
      <c r="F28" s="112">
        <f t="shared" si="1"/>
        <v>0</v>
      </c>
      <c r="G28" s="112">
        <f t="shared" si="2"/>
        <v>0</v>
      </c>
      <c r="H28" s="112">
        <f t="shared" si="3"/>
        <v>0</v>
      </c>
      <c r="I28" s="113">
        <f t="shared" si="4"/>
        <v>0</v>
      </c>
      <c r="K28" s="116"/>
      <c r="L28" s="116"/>
      <c r="M28" s="116"/>
      <c r="N28" s="116"/>
      <c r="O28" s="116"/>
    </row>
    <row r="29" spans="2:15" x14ac:dyDescent="0.25">
      <c r="B29" s="89"/>
      <c r="H29" s="109">
        <f>SUM(H18:H28)</f>
        <v>4844619</v>
      </c>
      <c r="I29" s="110">
        <f>SUM(I18:I28)</f>
        <v>6390774</v>
      </c>
    </row>
    <row r="30" spans="2:15" ht="14.4" thickBot="1" x14ac:dyDescent="0.3">
      <c r="B30" s="93"/>
      <c r="C30" s="94"/>
      <c r="D30" s="95"/>
      <c r="E30" s="95"/>
      <c r="F30" s="95"/>
      <c r="G30" s="95"/>
      <c r="H30" s="95"/>
      <c r="I30" s="96"/>
      <c r="K30" s="116"/>
      <c r="L30" s="116"/>
      <c r="M30" s="116"/>
      <c r="N30" s="116"/>
      <c r="O30" s="116"/>
    </row>
    <row r="31" spans="2:15" ht="14.4" thickBot="1" x14ac:dyDescent="0.3"/>
    <row r="32" spans="2:15" x14ac:dyDescent="0.25">
      <c r="B32" s="169" t="s">
        <v>17</v>
      </c>
      <c r="C32" s="170"/>
      <c r="D32" s="170"/>
      <c r="E32" s="170"/>
      <c r="F32" s="170"/>
      <c r="G32" s="171"/>
      <c r="H32" s="117"/>
      <c r="I32" s="75"/>
      <c r="J32" s="75"/>
    </row>
    <row r="33" spans="2:9" ht="41.4" x14ac:dyDescent="0.25">
      <c r="B33" s="106" t="s">
        <v>14</v>
      </c>
      <c r="C33" s="77" t="s">
        <v>15</v>
      </c>
      <c r="D33" s="77" t="s">
        <v>16</v>
      </c>
      <c r="E33" s="77" t="s">
        <v>18</v>
      </c>
      <c r="F33" s="77" t="s">
        <v>19</v>
      </c>
      <c r="G33" s="107" t="s">
        <v>20</v>
      </c>
      <c r="H33" s="77"/>
      <c r="I33" s="67"/>
    </row>
    <row r="34" spans="2:9" x14ac:dyDescent="0.25">
      <c r="B34" s="89"/>
      <c r="D34" s="67"/>
      <c r="E34" s="67"/>
      <c r="F34" s="67"/>
      <c r="G34" s="108"/>
      <c r="H34" s="67"/>
      <c r="I34" s="67"/>
    </row>
    <row r="35" spans="2:9" x14ac:dyDescent="0.25">
      <c r="B35" s="119">
        <f>H29</f>
        <v>4844619</v>
      </c>
      <c r="C35" s="120">
        <f>Analysis!C15</f>
        <v>0.06</v>
      </c>
      <c r="D35" s="109">
        <f>B35*C35</f>
        <v>290677.14</v>
      </c>
      <c r="E35" s="109">
        <f>IF(D13&lt;&gt;"None",D35*0.5,D35)</f>
        <v>290677.14</v>
      </c>
      <c r="F35" s="109">
        <f>E35*0.5</f>
        <v>145338.57</v>
      </c>
      <c r="G35" s="110">
        <f>IF(D13&lt;&gt;"None",0.5*D35,0)</f>
        <v>0</v>
      </c>
      <c r="H35" s="80"/>
      <c r="I35" s="67"/>
    </row>
    <row r="36" spans="2:9" ht="14.4" thickBot="1" x14ac:dyDescent="0.3">
      <c r="B36" s="93"/>
      <c r="C36" s="94"/>
      <c r="D36" s="94"/>
      <c r="E36" s="94"/>
      <c r="F36" s="94"/>
      <c r="G36" s="114"/>
      <c r="H36" s="67"/>
      <c r="I36" s="67"/>
    </row>
    <row r="39" spans="2:9" x14ac:dyDescent="0.25">
      <c r="C39" s="172"/>
    </row>
    <row r="40" spans="2:9" x14ac:dyDescent="0.25">
      <c r="C40" s="172"/>
    </row>
  </sheetData>
  <sheetProtection selectLockedCells="1"/>
  <protectedRanges>
    <protectedRange sqref="M18" name="Range5"/>
    <protectedRange sqref="C18:C28" name="Range3"/>
    <protectedRange sqref="D7:F7 D5:F5" name="Range1"/>
    <protectedRange sqref="D9:H11" name="Range2"/>
    <protectedRange sqref="K18" name="Range4"/>
    <protectedRange sqref="D13:F13" name="Range1_1"/>
  </protectedRanges>
  <mergeCells count="7">
    <mergeCell ref="B1:O1"/>
    <mergeCell ref="D5:F5"/>
    <mergeCell ref="K15:O15"/>
    <mergeCell ref="C39:C40"/>
    <mergeCell ref="B32:G32"/>
    <mergeCell ref="D7:F7"/>
    <mergeCell ref="D13:F13"/>
  </mergeCells>
  <dataValidations disablePrompts="1" count="1">
    <dataValidation type="list" allowBlank="1" showInputMessage="1" showErrorMessage="1" error="Invalid Entry" sqref="I13" xr:uid="{00000000-0002-0000-0300-000000000000}">
      <formula1>$L$25:$L$36</formula1>
    </dataValidation>
  </dataValidations>
  <printOptions horizontalCentered="1"/>
  <pageMargins left="0.25" right="0.25" top="0.5" bottom="0.5" header="0.3" footer="0.3"/>
  <pageSetup scale="75" orientation="landscape" r:id="rId1"/>
  <headerFooter>
    <oddFooter>&amp;L&amp;8&amp;F - &amp;A&amp;C&amp;8Page &amp;P of &amp;N&amp;R&amp;8&amp;D -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16"/>
  <dimension ref="A1:J47"/>
  <sheetViews>
    <sheetView workbookViewId="0">
      <pane xSplit="5" ySplit="1" topLeftCell="F2" activePane="bottomRight" state="frozenSplit"/>
      <selection pane="topRight"/>
      <selection pane="bottomLeft"/>
      <selection pane="bottomRight" activeCell="F2" sqref="F2"/>
    </sheetView>
  </sheetViews>
  <sheetFormatPr defaultRowHeight="14.4" x14ac:dyDescent="0.3"/>
  <cols>
    <col min="1" max="4" width="3" style="50" customWidth="1"/>
    <col min="5" max="5" width="26.10937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7"/>
      <c r="G2" s="45"/>
      <c r="H2" s="57"/>
      <c r="I2" s="45"/>
      <c r="J2" s="57"/>
    </row>
    <row r="3" spans="1:10" x14ac:dyDescent="0.3">
      <c r="A3" s="43"/>
      <c r="B3" s="43" t="s">
        <v>113</v>
      </c>
      <c r="C3" s="43"/>
      <c r="D3" s="43"/>
      <c r="E3" s="43"/>
      <c r="F3" s="57"/>
      <c r="G3" s="45"/>
      <c r="H3" s="57"/>
      <c r="I3" s="45"/>
      <c r="J3" s="57"/>
    </row>
    <row r="4" spans="1:10" x14ac:dyDescent="0.3">
      <c r="A4" s="43"/>
      <c r="B4" s="43"/>
      <c r="C4" s="43" t="s">
        <v>114</v>
      </c>
      <c r="D4" s="43"/>
      <c r="E4" s="43"/>
      <c r="F4" s="57"/>
      <c r="G4" s="45"/>
      <c r="H4" s="57"/>
      <c r="I4" s="45"/>
      <c r="J4" s="57"/>
    </row>
    <row r="5" spans="1:10" ht="15" thickBot="1" x14ac:dyDescent="0.35">
      <c r="A5" s="43"/>
      <c r="B5" s="43"/>
      <c r="C5" s="43"/>
      <c r="D5" s="43" t="s">
        <v>788</v>
      </c>
      <c r="E5" s="43"/>
      <c r="F5" s="58">
        <v>6114</v>
      </c>
      <c r="G5" s="45"/>
      <c r="H5" s="58">
        <v>11963</v>
      </c>
      <c r="I5" s="45"/>
      <c r="J5" s="58">
        <v>11544</v>
      </c>
    </row>
    <row r="6" spans="1:10" x14ac:dyDescent="0.3">
      <c r="A6" s="43"/>
      <c r="B6" s="43"/>
      <c r="C6" s="43" t="s">
        <v>117</v>
      </c>
      <c r="D6" s="43"/>
      <c r="E6" s="43"/>
      <c r="F6" s="57">
        <f>ROUND(SUM(F4:F5),5)</f>
        <v>6114</v>
      </c>
      <c r="G6" s="45"/>
      <c r="H6" s="57">
        <f>ROUND(SUM(H4:H5),5)</f>
        <v>11963</v>
      </c>
      <c r="I6" s="45"/>
      <c r="J6" s="57">
        <f>ROUND(SUM(J4:J5),5)</f>
        <v>11544</v>
      </c>
    </row>
    <row r="7" spans="1:10" ht="30" customHeight="1" x14ac:dyDescent="0.3">
      <c r="A7" s="43"/>
      <c r="B7" s="43"/>
      <c r="C7" s="43" t="s">
        <v>118</v>
      </c>
      <c r="D7" s="43"/>
      <c r="E7" s="43"/>
      <c r="F7" s="57"/>
      <c r="G7" s="45"/>
      <c r="H7" s="57"/>
      <c r="I7" s="45"/>
      <c r="J7" s="57"/>
    </row>
    <row r="8" spans="1:10" ht="15" thickBot="1" x14ac:dyDescent="0.35">
      <c r="A8" s="43"/>
      <c r="B8" s="43"/>
      <c r="C8" s="43"/>
      <c r="D8" s="43" t="s">
        <v>118</v>
      </c>
      <c r="E8" s="43"/>
      <c r="F8" s="58">
        <v>53</v>
      </c>
      <c r="G8" s="45"/>
      <c r="H8" s="58">
        <v>-1306</v>
      </c>
      <c r="I8" s="45"/>
      <c r="J8" s="58">
        <v>-9017</v>
      </c>
    </row>
    <row r="9" spans="1:10" x14ac:dyDescent="0.3">
      <c r="A9" s="43"/>
      <c r="B9" s="43"/>
      <c r="C9" s="43" t="s">
        <v>119</v>
      </c>
      <c r="D9" s="43"/>
      <c r="E9" s="43"/>
      <c r="F9" s="57">
        <f>ROUND(SUM(F7:F8),5)</f>
        <v>53</v>
      </c>
      <c r="G9" s="45"/>
      <c r="H9" s="57">
        <f>ROUND(SUM(H7:H8),5)</f>
        <v>-1306</v>
      </c>
      <c r="I9" s="45"/>
      <c r="J9" s="57">
        <f>ROUND(SUM(J7:J8),5)</f>
        <v>-9017</v>
      </c>
    </row>
    <row r="10" spans="1:10" ht="30" customHeight="1" x14ac:dyDescent="0.3">
      <c r="A10" s="43"/>
      <c r="B10" s="43"/>
      <c r="C10" s="43" t="s">
        <v>120</v>
      </c>
      <c r="D10" s="43"/>
      <c r="E10" s="43"/>
      <c r="F10" s="57"/>
      <c r="G10" s="45"/>
      <c r="H10" s="57"/>
      <c r="I10" s="45"/>
      <c r="J10" s="57"/>
    </row>
    <row r="11" spans="1:10" ht="15" thickBot="1" x14ac:dyDescent="0.35">
      <c r="A11" s="43"/>
      <c r="B11" s="43"/>
      <c r="C11" s="43"/>
      <c r="D11" s="43" t="s">
        <v>122</v>
      </c>
      <c r="E11" s="43"/>
      <c r="F11" s="57">
        <v>7361</v>
      </c>
      <c r="G11" s="45"/>
      <c r="H11" s="57">
        <v>6374</v>
      </c>
      <c r="I11" s="45"/>
      <c r="J11" s="57">
        <v>6578</v>
      </c>
    </row>
    <row r="12" spans="1:10" ht="15" thickBot="1" x14ac:dyDescent="0.35">
      <c r="A12" s="43"/>
      <c r="B12" s="43"/>
      <c r="C12" s="43" t="s">
        <v>124</v>
      </c>
      <c r="D12" s="43"/>
      <c r="E12" s="43"/>
      <c r="F12" s="59">
        <f>ROUND(SUM(F10:F11),5)</f>
        <v>7361</v>
      </c>
      <c r="G12" s="45"/>
      <c r="H12" s="59">
        <f>ROUND(SUM(H10:H11),5)</f>
        <v>6374</v>
      </c>
      <c r="I12" s="45"/>
      <c r="J12" s="59">
        <f>ROUND(SUM(J10:J11),5)</f>
        <v>6578</v>
      </c>
    </row>
    <row r="13" spans="1:10" ht="30" customHeight="1" x14ac:dyDescent="0.3">
      <c r="A13" s="43"/>
      <c r="B13" s="43" t="s">
        <v>125</v>
      </c>
      <c r="C13" s="43"/>
      <c r="D13" s="43"/>
      <c r="E13" s="43"/>
      <c r="F13" s="57">
        <f>ROUND(F3+F6+F9+F12,5)</f>
        <v>13528</v>
      </c>
      <c r="G13" s="45"/>
      <c r="H13" s="57">
        <f>ROUND(H3+H6+H9+H12,5)</f>
        <v>17031</v>
      </c>
      <c r="I13" s="45"/>
      <c r="J13" s="57">
        <f>ROUND(J3+J6+J9+J12,5)</f>
        <v>9105</v>
      </c>
    </row>
    <row r="14" spans="1:10" ht="30" customHeight="1" x14ac:dyDescent="0.3">
      <c r="A14" s="43"/>
      <c r="B14" s="43" t="s">
        <v>126</v>
      </c>
      <c r="C14" s="43"/>
      <c r="D14" s="43"/>
      <c r="E14" s="43"/>
      <c r="F14" s="57"/>
      <c r="G14" s="45"/>
      <c r="H14" s="57"/>
      <c r="I14" s="45"/>
      <c r="J14" s="57"/>
    </row>
    <row r="15" spans="1:10" x14ac:dyDescent="0.3">
      <c r="A15" s="43"/>
      <c r="B15" s="43"/>
      <c r="C15" s="43" t="s">
        <v>127</v>
      </c>
      <c r="D15" s="43"/>
      <c r="E15" s="43"/>
      <c r="F15" s="57">
        <v>992243</v>
      </c>
      <c r="G15" s="45"/>
      <c r="H15" s="57">
        <v>992243</v>
      </c>
      <c r="I15" s="45"/>
      <c r="J15" s="57">
        <v>1030700</v>
      </c>
    </row>
    <row r="16" spans="1:10" x14ac:dyDescent="0.3">
      <c r="A16" s="43"/>
      <c r="B16" s="43"/>
      <c r="C16" s="43" t="s">
        <v>789</v>
      </c>
      <c r="D16" s="43"/>
      <c r="E16" s="43"/>
      <c r="F16" s="57">
        <v>1211969</v>
      </c>
      <c r="G16" s="45"/>
      <c r="H16" s="57">
        <v>1211969</v>
      </c>
      <c r="I16" s="45"/>
      <c r="J16" s="57">
        <v>1211969</v>
      </c>
    </row>
    <row r="17" spans="1:10" x14ac:dyDescent="0.3">
      <c r="A17" s="43"/>
      <c r="B17" s="43"/>
      <c r="C17" s="43" t="s">
        <v>129</v>
      </c>
      <c r="D17" s="43"/>
      <c r="E17" s="43"/>
      <c r="F17" s="57">
        <v>480626</v>
      </c>
      <c r="G17" s="45"/>
      <c r="H17" s="57">
        <v>480626</v>
      </c>
      <c r="I17" s="45"/>
      <c r="J17" s="57">
        <v>480626</v>
      </c>
    </row>
    <row r="18" spans="1:10" x14ac:dyDescent="0.3">
      <c r="A18" s="43"/>
      <c r="B18" s="43"/>
      <c r="C18" s="43" t="s">
        <v>133</v>
      </c>
      <c r="D18" s="43"/>
      <c r="E18" s="43"/>
      <c r="F18" s="57">
        <v>377842</v>
      </c>
      <c r="G18" s="45"/>
      <c r="H18" s="57">
        <v>435832</v>
      </c>
      <c r="I18" s="45"/>
      <c r="J18" s="57">
        <v>435832</v>
      </c>
    </row>
    <row r="19" spans="1:10" x14ac:dyDescent="0.3">
      <c r="A19" s="43"/>
      <c r="B19" s="43"/>
      <c r="C19" s="43" t="s">
        <v>790</v>
      </c>
      <c r="D19" s="43"/>
      <c r="E19" s="43"/>
      <c r="F19" s="57">
        <v>57837</v>
      </c>
      <c r="G19" s="45"/>
      <c r="H19" s="57">
        <v>57837</v>
      </c>
      <c r="I19" s="45"/>
      <c r="J19" s="57">
        <v>57837</v>
      </c>
    </row>
    <row r="20" spans="1:10" x14ac:dyDescent="0.3">
      <c r="A20" s="43"/>
      <c r="B20" s="43"/>
      <c r="C20" s="43" t="s">
        <v>131</v>
      </c>
      <c r="D20" s="43"/>
      <c r="E20" s="43"/>
      <c r="F20" s="57">
        <v>8420</v>
      </c>
      <c r="G20" s="45"/>
      <c r="H20" s="57">
        <v>8420</v>
      </c>
      <c r="I20" s="45"/>
      <c r="J20" s="57">
        <v>8420</v>
      </c>
    </row>
    <row r="21" spans="1:10" x14ac:dyDescent="0.3">
      <c r="A21" s="43"/>
      <c r="B21" s="43"/>
      <c r="C21" s="43" t="s">
        <v>791</v>
      </c>
      <c r="D21" s="43"/>
      <c r="E21" s="43"/>
      <c r="F21" s="57">
        <v>3931</v>
      </c>
      <c r="G21" s="45"/>
      <c r="H21" s="57">
        <v>3931</v>
      </c>
      <c r="I21" s="45"/>
      <c r="J21" s="57">
        <v>3931</v>
      </c>
    </row>
    <row r="22" spans="1:10" ht="15" thickBot="1" x14ac:dyDescent="0.35">
      <c r="A22" s="43"/>
      <c r="B22" s="43"/>
      <c r="C22" s="43" t="s">
        <v>135</v>
      </c>
      <c r="D22" s="43"/>
      <c r="E22" s="43"/>
      <c r="F22" s="57">
        <v>-426290</v>
      </c>
      <c r="G22" s="45"/>
      <c r="H22" s="57">
        <v>-530532</v>
      </c>
      <c r="I22" s="45"/>
      <c r="J22" s="57">
        <v>-614532</v>
      </c>
    </row>
    <row r="23" spans="1:10" ht="15" thickBot="1" x14ac:dyDescent="0.35">
      <c r="A23" s="43"/>
      <c r="B23" s="43" t="s">
        <v>136</v>
      </c>
      <c r="C23" s="43"/>
      <c r="D23" s="43"/>
      <c r="E23" s="43"/>
      <c r="F23" s="60">
        <f>ROUND(SUM(F14:F22),5)</f>
        <v>2706578</v>
      </c>
      <c r="G23" s="45"/>
      <c r="H23" s="60">
        <f>ROUND(SUM(H14:H22),5)</f>
        <v>2660326</v>
      </c>
      <c r="I23" s="45"/>
      <c r="J23" s="60">
        <f>ROUND(SUM(J14:J22),5)</f>
        <v>2614783</v>
      </c>
    </row>
    <row r="24" spans="1:10" s="50" customFormat="1" ht="30" customHeight="1" thickBot="1" x14ac:dyDescent="0.25">
      <c r="A24" s="43" t="s">
        <v>142</v>
      </c>
      <c r="B24" s="43"/>
      <c r="C24" s="43"/>
      <c r="D24" s="43"/>
      <c r="E24" s="43"/>
      <c r="F24" s="61">
        <f>ROUND(F2+F13+F23,5)</f>
        <v>2720106</v>
      </c>
      <c r="G24" s="43"/>
      <c r="H24" s="61">
        <f>ROUND(H2+H13+H23,5)</f>
        <v>2677357</v>
      </c>
      <c r="I24" s="43"/>
      <c r="J24" s="61">
        <f>ROUND(J2+J13+J23,5)</f>
        <v>2623888</v>
      </c>
    </row>
    <row r="25" spans="1:10" ht="31.5" customHeight="1" thickTop="1" x14ac:dyDescent="0.3">
      <c r="A25" s="43" t="s">
        <v>143</v>
      </c>
      <c r="B25" s="43"/>
      <c r="C25" s="43"/>
      <c r="D25" s="43"/>
      <c r="E25" s="43"/>
      <c r="F25" s="57"/>
      <c r="G25" s="45"/>
      <c r="H25" s="57"/>
      <c r="I25" s="45"/>
      <c r="J25" s="57"/>
    </row>
    <row r="26" spans="1:10" x14ac:dyDescent="0.3">
      <c r="A26" s="43"/>
      <c r="B26" s="43" t="s">
        <v>144</v>
      </c>
      <c r="C26" s="43"/>
      <c r="D26" s="43"/>
      <c r="E26" s="43"/>
      <c r="F26" s="57"/>
      <c r="G26" s="45"/>
      <c r="H26" s="57"/>
      <c r="I26" s="45"/>
      <c r="J26" s="57"/>
    </row>
    <row r="27" spans="1:10" x14ac:dyDescent="0.3">
      <c r="A27" s="43"/>
      <c r="B27" s="43"/>
      <c r="C27" s="43" t="s">
        <v>145</v>
      </c>
      <c r="D27" s="43"/>
      <c r="E27" s="43"/>
      <c r="F27" s="57"/>
      <c r="G27" s="45"/>
      <c r="H27" s="57"/>
      <c r="I27" s="45"/>
      <c r="J27" s="57"/>
    </row>
    <row r="28" spans="1:10" x14ac:dyDescent="0.3">
      <c r="A28" s="43"/>
      <c r="B28" s="43"/>
      <c r="C28" s="43"/>
      <c r="D28" s="43" t="s">
        <v>146</v>
      </c>
      <c r="E28" s="43"/>
      <c r="F28" s="57"/>
      <c r="G28" s="45"/>
      <c r="H28" s="57"/>
      <c r="I28" s="45"/>
      <c r="J28" s="57"/>
    </row>
    <row r="29" spans="1:10" ht="15" thickBot="1" x14ac:dyDescent="0.35">
      <c r="A29" s="43"/>
      <c r="B29" s="43"/>
      <c r="C29" s="43"/>
      <c r="D29" s="43"/>
      <c r="E29" s="43" t="s">
        <v>146</v>
      </c>
      <c r="F29" s="58">
        <v>34905</v>
      </c>
      <c r="G29" s="45"/>
      <c r="H29" s="58">
        <v>27094</v>
      </c>
      <c r="I29" s="45"/>
      <c r="J29" s="58">
        <v>25229</v>
      </c>
    </row>
    <row r="30" spans="1:10" x14ac:dyDescent="0.3">
      <c r="A30" s="43"/>
      <c r="B30" s="43"/>
      <c r="C30" s="43"/>
      <c r="D30" s="43" t="s">
        <v>147</v>
      </c>
      <c r="E30" s="43"/>
      <c r="F30" s="57">
        <f>ROUND(SUM(F28:F29),5)</f>
        <v>34905</v>
      </c>
      <c r="G30" s="45"/>
      <c r="H30" s="57">
        <f>ROUND(SUM(H28:H29),5)</f>
        <v>27094</v>
      </c>
      <c r="I30" s="45"/>
      <c r="J30" s="57">
        <f>ROUND(SUM(J28:J29),5)</f>
        <v>25229</v>
      </c>
    </row>
    <row r="31" spans="1:10" ht="30" customHeight="1" x14ac:dyDescent="0.3">
      <c r="A31" s="43"/>
      <c r="B31" s="43"/>
      <c r="C31" s="43"/>
      <c r="D31" s="43" t="s">
        <v>148</v>
      </c>
      <c r="E31" s="43"/>
      <c r="F31" s="57"/>
      <c r="G31" s="45"/>
      <c r="H31" s="57"/>
      <c r="I31" s="45"/>
      <c r="J31" s="57"/>
    </row>
    <row r="32" spans="1:10" x14ac:dyDescent="0.3">
      <c r="A32" s="43"/>
      <c r="B32" s="43"/>
      <c r="C32" s="43"/>
      <c r="D32" s="43"/>
      <c r="E32" s="43" t="s">
        <v>669</v>
      </c>
      <c r="F32" s="57">
        <v>54171</v>
      </c>
      <c r="G32" s="45"/>
      <c r="H32" s="57">
        <v>46681</v>
      </c>
      <c r="I32" s="45"/>
      <c r="J32" s="57">
        <v>53065</v>
      </c>
    </row>
    <row r="33" spans="1:10" ht="15" thickBot="1" x14ac:dyDescent="0.35">
      <c r="A33" s="43"/>
      <c r="B33" s="43"/>
      <c r="C33" s="43"/>
      <c r="D33" s="43"/>
      <c r="E33" s="43" t="s">
        <v>151</v>
      </c>
      <c r="F33" s="57">
        <v>37507</v>
      </c>
      <c r="G33" s="45"/>
      <c r="H33" s="57">
        <v>40415</v>
      </c>
      <c r="I33" s="45"/>
      <c r="J33" s="57">
        <v>43290</v>
      </c>
    </row>
    <row r="34" spans="1:10" ht="15" thickBot="1" x14ac:dyDescent="0.35">
      <c r="A34" s="43"/>
      <c r="B34" s="43"/>
      <c r="C34" s="43"/>
      <c r="D34" s="43" t="s">
        <v>152</v>
      </c>
      <c r="E34" s="43"/>
      <c r="F34" s="59">
        <f>ROUND(SUM(F31:F33),5)</f>
        <v>91678</v>
      </c>
      <c r="G34" s="45"/>
      <c r="H34" s="59">
        <f>ROUND(SUM(H31:H33),5)</f>
        <v>87096</v>
      </c>
      <c r="I34" s="45"/>
      <c r="J34" s="59">
        <f>ROUND(SUM(J31:J33),5)</f>
        <v>96355</v>
      </c>
    </row>
    <row r="35" spans="1:10" ht="30" customHeight="1" x14ac:dyDescent="0.3">
      <c r="A35" s="43"/>
      <c r="B35" s="43"/>
      <c r="C35" s="43" t="s">
        <v>153</v>
      </c>
      <c r="D35" s="43"/>
      <c r="E35" s="43"/>
      <c r="F35" s="57">
        <f>ROUND(F27+F30+F34,5)</f>
        <v>126583</v>
      </c>
      <c r="G35" s="45"/>
      <c r="H35" s="57">
        <f>ROUND(H27+H30+H34,5)</f>
        <v>114190</v>
      </c>
      <c r="I35" s="45"/>
      <c r="J35" s="57">
        <f>ROUND(J27+J30+J34,5)</f>
        <v>121584</v>
      </c>
    </row>
    <row r="36" spans="1:10" ht="30" customHeight="1" x14ac:dyDescent="0.3">
      <c r="A36" s="43"/>
      <c r="B36" s="43"/>
      <c r="C36" s="43" t="s">
        <v>154</v>
      </c>
      <c r="D36" s="43"/>
      <c r="E36" s="43"/>
      <c r="F36" s="57"/>
      <c r="G36" s="45"/>
      <c r="H36" s="57"/>
      <c r="I36" s="45"/>
      <c r="J36" s="57"/>
    </row>
    <row r="37" spans="1:10" x14ac:dyDescent="0.3">
      <c r="A37" s="43"/>
      <c r="B37" s="43"/>
      <c r="C37" s="43"/>
      <c r="D37" s="43" t="s">
        <v>792</v>
      </c>
      <c r="E37" s="43"/>
      <c r="F37" s="57">
        <v>3064697</v>
      </c>
      <c r="G37" s="45"/>
      <c r="H37" s="57">
        <v>2961050</v>
      </c>
      <c r="I37" s="45"/>
      <c r="J37" s="62">
        <v>2938660</v>
      </c>
    </row>
    <row r="38" spans="1:10" ht="15" thickBot="1" x14ac:dyDescent="0.35">
      <c r="A38" s="43"/>
      <c r="B38" s="43"/>
      <c r="C38" s="43"/>
      <c r="D38" s="43" t="s">
        <v>793</v>
      </c>
      <c r="E38" s="43"/>
      <c r="F38" s="57">
        <v>60100</v>
      </c>
      <c r="G38" s="45"/>
      <c r="H38" s="57">
        <v>118102</v>
      </c>
      <c r="I38" s="45"/>
      <c r="J38" s="57">
        <v>0</v>
      </c>
    </row>
    <row r="39" spans="1:10" ht="15" thickBot="1" x14ac:dyDescent="0.35">
      <c r="A39" s="43"/>
      <c r="B39" s="43"/>
      <c r="C39" s="43" t="s">
        <v>157</v>
      </c>
      <c r="D39" s="43"/>
      <c r="E39" s="43"/>
      <c r="F39" s="59">
        <f>ROUND(SUM(F36:F38),5)</f>
        <v>3124797</v>
      </c>
      <c r="G39" s="45"/>
      <c r="H39" s="59">
        <f>ROUND(SUM(H36:H38),5)</f>
        <v>3079152</v>
      </c>
      <c r="I39" s="45"/>
      <c r="J39" s="59">
        <f>ROUND(SUM(J36:J38),5)</f>
        <v>2938660</v>
      </c>
    </row>
    <row r="40" spans="1:10" ht="30" customHeight="1" x14ac:dyDescent="0.3">
      <c r="A40" s="43"/>
      <c r="B40" s="43" t="s">
        <v>158</v>
      </c>
      <c r="C40" s="43"/>
      <c r="D40" s="43"/>
      <c r="E40" s="43"/>
      <c r="F40" s="57">
        <f>ROUND(F26+F35+F39,5)</f>
        <v>3251380</v>
      </c>
      <c r="G40" s="45"/>
      <c r="H40" s="57">
        <f>ROUND(H26+H35+H39,5)</f>
        <v>3193342</v>
      </c>
      <c r="I40" s="45"/>
      <c r="J40" s="57">
        <f>ROUND(J26+J35+J39,5)</f>
        <v>3060244</v>
      </c>
    </row>
    <row r="41" spans="1:10" ht="30" customHeight="1" x14ac:dyDescent="0.3">
      <c r="A41" s="43"/>
      <c r="B41" s="43" t="s">
        <v>159</v>
      </c>
      <c r="C41" s="43"/>
      <c r="D41" s="43"/>
      <c r="E41" s="43"/>
      <c r="F41" s="57"/>
      <c r="G41" s="45"/>
      <c r="H41" s="57"/>
      <c r="I41" s="45"/>
      <c r="J41" s="57"/>
    </row>
    <row r="42" spans="1:10" x14ac:dyDescent="0.3">
      <c r="A42" s="43"/>
      <c r="B42" s="43"/>
      <c r="C42" s="43" t="s">
        <v>794</v>
      </c>
      <c r="D42" s="43"/>
      <c r="E42" s="43"/>
      <c r="F42" s="57">
        <v>-350678</v>
      </c>
      <c r="G42" s="45"/>
      <c r="H42" s="57">
        <v>-515987</v>
      </c>
      <c r="I42" s="45"/>
      <c r="J42" s="57">
        <v>-503987</v>
      </c>
    </row>
    <row r="43" spans="1:10" x14ac:dyDescent="0.3">
      <c r="A43" s="43"/>
      <c r="B43" s="43"/>
      <c r="C43" s="43" t="s">
        <v>164</v>
      </c>
      <c r="D43" s="43"/>
      <c r="E43" s="43"/>
      <c r="F43" s="57">
        <v>0</v>
      </c>
      <c r="G43" s="45"/>
      <c r="H43" s="57">
        <v>12705</v>
      </c>
      <c r="I43" s="45"/>
      <c r="J43" s="57">
        <v>0</v>
      </c>
    </row>
    <row r="44" spans="1:10" ht="15" thickBot="1" x14ac:dyDescent="0.35">
      <c r="A44" s="43"/>
      <c r="B44" s="43"/>
      <c r="C44" s="43" t="s">
        <v>165</v>
      </c>
      <c r="D44" s="43"/>
      <c r="E44" s="43"/>
      <c r="F44" s="57">
        <v>-180596</v>
      </c>
      <c r="G44" s="45"/>
      <c r="H44" s="57">
        <v>-12705</v>
      </c>
      <c r="I44" s="45"/>
      <c r="J44" s="57">
        <v>67631</v>
      </c>
    </row>
    <row r="45" spans="1:10" ht="15" thickBot="1" x14ac:dyDescent="0.35">
      <c r="A45" s="43"/>
      <c r="B45" s="43" t="s">
        <v>166</v>
      </c>
      <c r="C45" s="43"/>
      <c r="D45" s="43"/>
      <c r="E45" s="43"/>
      <c r="F45" s="60">
        <f>ROUND(SUM(F41:F44),5)</f>
        <v>-531274</v>
      </c>
      <c r="G45" s="45"/>
      <c r="H45" s="60">
        <f>ROUND(SUM(H41:H44),5)</f>
        <v>-515987</v>
      </c>
      <c r="I45" s="45"/>
      <c r="J45" s="60">
        <f>ROUND(SUM(J41:J44),5)</f>
        <v>-436356</v>
      </c>
    </row>
    <row r="46" spans="1:10" s="50" customFormat="1" ht="30" customHeight="1" thickBot="1" x14ac:dyDescent="0.25">
      <c r="A46" s="43" t="s">
        <v>167</v>
      </c>
      <c r="B46" s="43"/>
      <c r="C46" s="43"/>
      <c r="D46" s="43"/>
      <c r="E46" s="43"/>
      <c r="F46" s="61">
        <f>ROUND(F25+F40+F45,5)</f>
        <v>2720106</v>
      </c>
      <c r="G46" s="43"/>
      <c r="H46" s="61">
        <f>ROUND(H25+H40+H45,5)</f>
        <v>2677355</v>
      </c>
      <c r="I46" s="43"/>
      <c r="J46" s="61">
        <f>ROUND(J25+J40+J45,5)</f>
        <v>2623888</v>
      </c>
    </row>
    <row r="47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11:29 AM
&amp;"Arial,Bold"&amp;8 02/17/14
&amp;"Arial,Bold"&amp;8 Accrual Basis&amp;C&amp;"Arial,Bold"&amp;12 SPC Real Estate, LLC
&amp;"Arial,Bold"&amp;14 Comparative Balance Sheet
&amp;"Arial,Bold"&amp;10 As of Jan 31, 2014 and 2013</oddHeader>
    <oddFooter>&amp;L&amp;"Arial,Bold"&amp;8 For Management Use Only</oddFooter>
  </headerFooter>
  <drawing r:id="rId2"/>
  <legacyDrawing r:id="rId3"/>
  <controls>
    <mc:AlternateContent xmlns:mc="http://schemas.openxmlformats.org/markup-compatibility/2006">
      <mc:Choice Requires="x14">
        <control shapeId="38914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8914" r:id="rId4" name="HEADER"/>
      </mc:Fallback>
    </mc:AlternateContent>
    <mc:AlternateContent xmlns:mc="http://schemas.openxmlformats.org/markup-compatibility/2006">
      <mc:Choice Requires="x14">
        <control shapeId="38913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8913" r:id="rId6" name="FILTER"/>
      </mc:Fallback>
    </mc:AlternateContent>
  </control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58"/>
  <dimension ref="A1:M150"/>
  <sheetViews>
    <sheetView workbookViewId="0">
      <pane xSplit="6" ySplit="1" topLeftCell="G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5" width="3" style="50" customWidth="1"/>
    <col min="6" max="6" width="32.109375" style="50" customWidth="1"/>
    <col min="7" max="7" width="10.109375" bestFit="1" customWidth="1"/>
    <col min="8" max="8" width="2.33203125" customWidth="1"/>
    <col min="9" max="9" width="10.109375" bestFit="1" customWidth="1"/>
    <col min="10" max="10" width="2.33203125" customWidth="1"/>
    <col min="11" max="11" width="10.109375" bestFit="1" customWidth="1"/>
    <col min="12" max="12" width="2.33203125" customWidth="1"/>
    <col min="13" max="13" width="10" bestFit="1" customWidth="1"/>
  </cols>
  <sheetData>
    <row r="1" spans="1:13" s="39" customFormat="1" ht="15" thickBot="1" x14ac:dyDescent="0.35">
      <c r="A1" s="40"/>
      <c r="B1" s="40"/>
      <c r="C1" s="40"/>
      <c r="D1" s="40"/>
      <c r="E1" s="40"/>
      <c r="F1" s="40"/>
      <c r="G1" s="41" t="s">
        <v>168</v>
      </c>
      <c r="H1" s="42"/>
      <c r="I1" s="41" t="s">
        <v>169</v>
      </c>
      <c r="J1" s="42"/>
      <c r="K1" s="41" t="s">
        <v>170</v>
      </c>
      <c r="L1" s="42"/>
      <c r="M1" s="41" t="s">
        <v>171</v>
      </c>
    </row>
    <row r="2" spans="1:13" ht="15" thickTop="1" x14ac:dyDescent="0.3">
      <c r="A2" s="43"/>
      <c r="B2" s="43" t="s">
        <v>172</v>
      </c>
      <c r="C2" s="43"/>
      <c r="D2" s="43"/>
      <c r="E2" s="43"/>
      <c r="F2" s="43"/>
      <c r="G2" s="52"/>
      <c r="H2" s="45"/>
      <c r="I2" s="52"/>
      <c r="J2" s="45"/>
      <c r="K2" s="52"/>
      <c r="L2" s="45"/>
      <c r="M2" s="52"/>
    </row>
    <row r="3" spans="1:13" x14ac:dyDescent="0.3">
      <c r="A3" s="43"/>
      <c r="B3" s="43"/>
      <c r="C3" s="43" t="s">
        <v>173</v>
      </c>
      <c r="D3" s="43"/>
      <c r="E3" s="43"/>
      <c r="F3" s="43"/>
      <c r="G3" s="52"/>
      <c r="H3" s="45"/>
      <c r="I3" s="52"/>
      <c r="J3" s="45"/>
      <c r="K3" s="52"/>
      <c r="L3" s="45"/>
      <c r="M3" s="52"/>
    </row>
    <row r="4" spans="1:13" x14ac:dyDescent="0.3">
      <c r="A4" s="43"/>
      <c r="B4" s="43"/>
      <c r="C4" s="43"/>
      <c r="D4" s="43" t="s">
        <v>174</v>
      </c>
      <c r="E4" s="43"/>
      <c r="F4" s="43"/>
      <c r="G4" s="52">
        <v>243615.12</v>
      </c>
      <c r="H4" s="45"/>
      <c r="I4" s="52">
        <v>295340.15999999997</v>
      </c>
      <c r="J4" s="45"/>
      <c r="K4" s="52">
        <v>313485.93</v>
      </c>
      <c r="L4" s="45"/>
      <c r="M4" s="52">
        <f t="shared" ref="M4:M11" si="0">ROUND(SUM(G4:K4),5)</f>
        <v>852441.21</v>
      </c>
    </row>
    <row r="5" spans="1:13" x14ac:dyDescent="0.3">
      <c r="A5" s="43"/>
      <c r="B5" s="43"/>
      <c r="C5" s="43"/>
      <c r="D5" s="43" t="s">
        <v>175</v>
      </c>
      <c r="E5" s="43"/>
      <c r="F5" s="43"/>
      <c r="G5" s="52">
        <v>38544.910000000003</v>
      </c>
      <c r="H5" s="45"/>
      <c r="I5" s="52">
        <v>32445.81</v>
      </c>
      <c r="J5" s="45"/>
      <c r="K5" s="52">
        <v>51070.879999999997</v>
      </c>
      <c r="L5" s="45"/>
      <c r="M5" s="52">
        <f t="shared" si="0"/>
        <v>122061.6</v>
      </c>
    </row>
    <row r="6" spans="1:13" x14ac:dyDescent="0.3">
      <c r="A6" s="43"/>
      <c r="B6" s="43"/>
      <c r="C6" s="43"/>
      <c r="D6" s="43" t="s">
        <v>176</v>
      </c>
      <c r="E6" s="43"/>
      <c r="F6" s="43"/>
      <c r="G6" s="52">
        <v>59029.7</v>
      </c>
      <c r="H6" s="45"/>
      <c r="I6" s="52">
        <v>74650.759999999995</v>
      </c>
      <c r="J6" s="45"/>
      <c r="K6" s="52">
        <v>74749.77</v>
      </c>
      <c r="L6" s="45"/>
      <c r="M6" s="52">
        <f t="shared" si="0"/>
        <v>208430.23</v>
      </c>
    </row>
    <row r="7" spans="1:13" x14ac:dyDescent="0.3">
      <c r="A7" s="43"/>
      <c r="B7" s="43"/>
      <c r="C7" s="43"/>
      <c r="D7" s="43" t="s">
        <v>177</v>
      </c>
      <c r="E7" s="43"/>
      <c r="F7" s="43"/>
      <c r="G7" s="52">
        <v>2449.14</v>
      </c>
      <c r="H7" s="45"/>
      <c r="I7" s="52">
        <v>8312.1299999999992</v>
      </c>
      <c r="J7" s="45"/>
      <c r="K7" s="52">
        <v>6485.54</v>
      </c>
      <c r="L7" s="45"/>
      <c r="M7" s="52">
        <f t="shared" si="0"/>
        <v>17246.810000000001</v>
      </c>
    </row>
    <row r="8" spans="1:13" x14ac:dyDescent="0.3">
      <c r="A8" s="43"/>
      <c r="B8" s="43"/>
      <c r="C8" s="43"/>
      <c r="D8" s="43" t="s">
        <v>314</v>
      </c>
      <c r="E8" s="43"/>
      <c r="F8" s="43"/>
      <c r="G8" s="52">
        <v>0</v>
      </c>
      <c r="H8" s="45"/>
      <c r="I8" s="52">
        <v>0</v>
      </c>
      <c r="J8" s="45"/>
      <c r="K8" s="52">
        <v>0</v>
      </c>
      <c r="L8" s="45"/>
      <c r="M8" s="52">
        <f t="shared" si="0"/>
        <v>0</v>
      </c>
    </row>
    <row r="9" spans="1:13" x14ac:dyDescent="0.3">
      <c r="A9" s="43"/>
      <c r="B9" s="43"/>
      <c r="C9" s="43"/>
      <c r="D9" s="43" t="s">
        <v>795</v>
      </c>
      <c r="E9" s="43"/>
      <c r="F9" s="43"/>
      <c r="G9" s="52">
        <v>1500</v>
      </c>
      <c r="H9" s="45"/>
      <c r="I9" s="52">
        <v>3000</v>
      </c>
      <c r="J9" s="45"/>
      <c r="K9" s="52">
        <v>0</v>
      </c>
      <c r="L9" s="45"/>
      <c r="M9" s="52">
        <f t="shared" si="0"/>
        <v>4500</v>
      </c>
    </row>
    <row r="10" spans="1:13" ht="15" thickBot="1" x14ac:dyDescent="0.35">
      <c r="A10" s="43"/>
      <c r="B10" s="43"/>
      <c r="C10" s="43"/>
      <c r="D10" s="43" t="s">
        <v>796</v>
      </c>
      <c r="E10" s="43"/>
      <c r="F10" s="43"/>
      <c r="G10" s="54">
        <v>2333.33</v>
      </c>
      <c r="H10" s="45"/>
      <c r="I10" s="54">
        <v>0</v>
      </c>
      <c r="J10" s="45"/>
      <c r="K10" s="54">
        <v>0</v>
      </c>
      <c r="L10" s="45"/>
      <c r="M10" s="54">
        <f t="shared" si="0"/>
        <v>2333.33</v>
      </c>
    </row>
    <row r="11" spans="1:13" x14ac:dyDescent="0.3">
      <c r="A11" s="43"/>
      <c r="B11" s="43"/>
      <c r="C11" s="43" t="s">
        <v>180</v>
      </c>
      <c r="D11" s="43"/>
      <c r="E11" s="43"/>
      <c r="F11" s="43"/>
      <c r="G11" s="52">
        <f>ROUND(SUM(G3:G10),5)</f>
        <v>347472.2</v>
      </c>
      <c r="H11" s="45"/>
      <c r="I11" s="52">
        <f>ROUND(SUM(I3:I10),5)</f>
        <v>413748.86</v>
      </c>
      <c r="J11" s="45"/>
      <c r="K11" s="52">
        <f>ROUND(SUM(K3:K10),5)</f>
        <v>445792.12</v>
      </c>
      <c r="L11" s="45"/>
      <c r="M11" s="52">
        <f t="shared" si="0"/>
        <v>1207013.18</v>
      </c>
    </row>
    <row r="12" spans="1:13" ht="30" customHeight="1" x14ac:dyDescent="0.3">
      <c r="A12" s="43"/>
      <c r="B12" s="43"/>
      <c r="C12" s="43" t="s">
        <v>182</v>
      </c>
      <c r="D12" s="43"/>
      <c r="E12" s="43"/>
      <c r="F12" s="43"/>
      <c r="G12" s="52"/>
      <c r="H12" s="45"/>
      <c r="I12" s="52"/>
      <c r="J12" s="45"/>
      <c r="K12" s="52"/>
      <c r="L12" s="45"/>
      <c r="M12" s="52"/>
    </row>
    <row r="13" spans="1:13" x14ac:dyDescent="0.3">
      <c r="A13" s="43"/>
      <c r="B13" s="43"/>
      <c r="C13" s="43"/>
      <c r="D13" s="43" t="s">
        <v>184</v>
      </c>
      <c r="E13" s="43"/>
      <c r="F13" s="43"/>
      <c r="G13" s="52">
        <v>0</v>
      </c>
      <c r="H13" s="45"/>
      <c r="I13" s="52">
        <v>0.7</v>
      </c>
      <c r="J13" s="45"/>
      <c r="K13" s="52">
        <v>0.02</v>
      </c>
      <c r="L13" s="45"/>
      <c r="M13" s="52">
        <f>ROUND(SUM(G13:K13),5)</f>
        <v>0.72</v>
      </c>
    </row>
    <row r="14" spans="1:13" x14ac:dyDescent="0.3">
      <c r="A14" s="43"/>
      <c r="B14" s="43"/>
      <c r="C14" s="43"/>
      <c r="D14" s="43" t="s">
        <v>183</v>
      </c>
      <c r="E14" s="43"/>
      <c r="F14" s="43"/>
      <c r="G14" s="52"/>
      <c r="H14" s="45"/>
      <c r="I14" s="52"/>
      <c r="J14" s="45"/>
      <c r="K14" s="52"/>
      <c r="L14" s="45"/>
      <c r="M14" s="52"/>
    </row>
    <row r="15" spans="1:13" x14ac:dyDescent="0.3">
      <c r="A15" s="43"/>
      <c r="B15" s="43"/>
      <c r="C15" s="43"/>
      <c r="D15" s="43"/>
      <c r="E15" s="43" t="s">
        <v>186</v>
      </c>
      <c r="F15" s="43"/>
      <c r="G15" s="52"/>
      <c r="H15" s="45"/>
      <c r="I15" s="52"/>
      <c r="J15" s="45"/>
      <c r="K15" s="52"/>
      <c r="L15" s="45"/>
      <c r="M15" s="52"/>
    </row>
    <row r="16" spans="1:13" x14ac:dyDescent="0.3">
      <c r="A16" s="43"/>
      <c r="B16" s="43"/>
      <c r="C16" s="43"/>
      <c r="D16" s="43"/>
      <c r="E16" s="43"/>
      <c r="F16" s="43" t="s">
        <v>317</v>
      </c>
      <c r="G16" s="52">
        <v>29442.400000000001</v>
      </c>
      <c r="H16" s="45"/>
      <c r="I16" s="52">
        <v>9888</v>
      </c>
      <c r="J16" s="45"/>
      <c r="K16" s="52">
        <v>6480</v>
      </c>
      <c r="L16" s="45"/>
      <c r="M16" s="52">
        <f t="shared" ref="M16:M23" si="1">ROUND(SUM(G16:K16),5)</f>
        <v>45810.400000000001</v>
      </c>
    </row>
    <row r="17" spans="1:13" ht="15" thickBot="1" x14ac:dyDescent="0.35">
      <c r="A17" s="43"/>
      <c r="B17" s="43"/>
      <c r="C17" s="43"/>
      <c r="D17" s="43"/>
      <c r="E17" s="43"/>
      <c r="F17" s="43" t="s">
        <v>318</v>
      </c>
      <c r="G17" s="54">
        <v>15149.95</v>
      </c>
      <c r="H17" s="45"/>
      <c r="I17" s="54">
        <v>9961.65</v>
      </c>
      <c r="J17" s="45"/>
      <c r="K17" s="54">
        <v>31791.360000000001</v>
      </c>
      <c r="L17" s="45"/>
      <c r="M17" s="54">
        <f t="shared" si="1"/>
        <v>56902.96</v>
      </c>
    </row>
    <row r="18" spans="1:13" x14ac:dyDescent="0.3">
      <c r="A18" s="43"/>
      <c r="B18" s="43"/>
      <c r="C18" s="43"/>
      <c r="D18" s="43"/>
      <c r="E18" s="43" t="s">
        <v>189</v>
      </c>
      <c r="F18" s="43"/>
      <c r="G18" s="52">
        <f>ROUND(SUM(G15:G17),5)</f>
        <v>44592.35</v>
      </c>
      <c r="H18" s="45"/>
      <c r="I18" s="52">
        <f>ROUND(SUM(I15:I17),5)</f>
        <v>19849.650000000001</v>
      </c>
      <c r="J18" s="45"/>
      <c r="K18" s="52">
        <f>ROUND(SUM(K15:K17),5)</f>
        <v>38271.360000000001</v>
      </c>
      <c r="L18" s="45"/>
      <c r="M18" s="52">
        <f t="shared" si="1"/>
        <v>102713.36</v>
      </c>
    </row>
    <row r="19" spans="1:13" ht="30" customHeight="1" x14ac:dyDescent="0.3">
      <c r="A19" s="43"/>
      <c r="B19" s="43"/>
      <c r="C19" s="43"/>
      <c r="D19" s="43"/>
      <c r="E19" s="43" t="s">
        <v>190</v>
      </c>
      <c r="F19" s="43"/>
      <c r="G19" s="52">
        <v>17373.61</v>
      </c>
      <c r="H19" s="45"/>
      <c r="I19" s="52">
        <v>20687.439999999999</v>
      </c>
      <c r="J19" s="45"/>
      <c r="K19" s="52">
        <v>22328.42</v>
      </c>
      <c r="L19" s="45"/>
      <c r="M19" s="52">
        <f t="shared" si="1"/>
        <v>60389.47</v>
      </c>
    </row>
    <row r="20" spans="1:13" x14ac:dyDescent="0.3">
      <c r="A20" s="43"/>
      <c r="B20" s="43"/>
      <c r="C20" s="43"/>
      <c r="D20" s="43"/>
      <c r="E20" s="43" t="s">
        <v>191</v>
      </c>
      <c r="F20" s="43"/>
      <c r="G20" s="52">
        <v>49.7</v>
      </c>
      <c r="H20" s="45"/>
      <c r="I20" s="52">
        <v>50.85</v>
      </c>
      <c r="J20" s="45"/>
      <c r="K20" s="52">
        <v>87.19</v>
      </c>
      <c r="L20" s="45"/>
      <c r="M20" s="52">
        <f t="shared" si="1"/>
        <v>187.74</v>
      </c>
    </row>
    <row r="21" spans="1:13" x14ac:dyDescent="0.3">
      <c r="A21" s="43"/>
      <c r="B21" s="43"/>
      <c r="C21" s="43"/>
      <c r="D21" s="43"/>
      <c r="E21" s="43" t="s">
        <v>192</v>
      </c>
      <c r="F21" s="43"/>
      <c r="G21" s="52">
        <v>96.26</v>
      </c>
      <c r="H21" s="45"/>
      <c r="I21" s="52">
        <v>83.05</v>
      </c>
      <c r="J21" s="45"/>
      <c r="K21" s="52">
        <v>53.36</v>
      </c>
      <c r="L21" s="45"/>
      <c r="M21" s="52">
        <f t="shared" si="1"/>
        <v>232.67</v>
      </c>
    </row>
    <row r="22" spans="1:13" x14ac:dyDescent="0.3">
      <c r="A22" s="43"/>
      <c r="B22" s="43"/>
      <c r="C22" s="43"/>
      <c r="D22" s="43"/>
      <c r="E22" s="43" t="s">
        <v>193</v>
      </c>
      <c r="F22" s="43"/>
      <c r="G22" s="52">
        <v>11.87</v>
      </c>
      <c r="H22" s="45"/>
      <c r="I22" s="52">
        <v>11.87</v>
      </c>
      <c r="J22" s="45"/>
      <c r="K22" s="52">
        <v>0</v>
      </c>
      <c r="L22" s="45"/>
      <c r="M22" s="52">
        <f t="shared" si="1"/>
        <v>23.74</v>
      </c>
    </row>
    <row r="23" spans="1:13" x14ac:dyDescent="0.3">
      <c r="A23" s="43"/>
      <c r="B23" s="43"/>
      <c r="C23" s="43"/>
      <c r="D23" s="43"/>
      <c r="E23" s="43" t="s">
        <v>398</v>
      </c>
      <c r="F23" s="43"/>
      <c r="G23" s="52">
        <v>35</v>
      </c>
      <c r="H23" s="45"/>
      <c r="I23" s="52">
        <v>0</v>
      </c>
      <c r="J23" s="45"/>
      <c r="K23" s="52">
        <v>30</v>
      </c>
      <c r="L23" s="45"/>
      <c r="M23" s="52">
        <f t="shared" si="1"/>
        <v>65</v>
      </c>
    </row>
    <row r="24" spans="1:13" x14ac:dyDescent="0.3">
      <c r="A24" s="43"/>
      <c r="B24" s="43"/>
      <c r="C24" s="43"/>
      <c r="D24" s="43"/>
      <c r="E24" s="43" t="s">
        <v>195</v>
      </c>
      <c r="F24" s="43"/>
      <c r="G24" s="52"/>
      <c r="H24" s="45"/>
      <c r="I24" s="52"/>
      <c r="J24" s="45"/>
      <c r="K24" s="52"/>
      <c r="L24" s="45"/>
      <c r="M24" s="52"/>
    </row>
    <row r="25" spans="1:13" x14ac:dyDescent="0.3">
      <c r="A25" s="43"/>
      <c r="B25" s="43"/>
      <c r="C25" s="43"/>
      <c r="D25" s="43"/>
      <c r="E25" s="43"/>
      <c r="F25" s="43" t="s">
        <v>197</v>
      </c>
      <c r="G25" s="52">
        <v>1135</v>
      </c>
      <c r="H25" s="45"/>
      <c r="I25" s="52">
        <v>860</v>
      </c>
      <c r="J25" s="45"/>
      <c r="K25" s="52">
        <v>885</v>
      </c>
      <c r="L25" s="45"/>
      <c r="M25" s="52">
        <f t="shared" ref="M25:M32" si="2">ROUND(SUM(G25:K25),5)</f>
        <v>2880</v>
      </c>
    </row>
    <row r="26" spans="1:13" x14ac:dyDescent="0.3">
      <c r="A26" s="43"/>
      <c r="B26" s="43"/>
      <c r="C26" s="43"/>
      <c r="D26" s="43"/>
      <c r="E26" s="43"/>
      <c r="F26" s="43" t="s">
        <v>369</v>
      </c>
      <c r="G26" s="52">
        <v>3667.87</v>
      </c>
      <c r="H26" s="45"/>
      <c r="I26" s="52">
        <v>1308.52</v>
      </c>
      <c r="J26" s="45"/>
      <c r="K26" s="52">
        <v>384</v>
      </c>
      <c r="L26" s="45"/>
      <c r="M26" s="52">
        <f t="shared" si="2"/>
        <v>5360.39</v>
      </c>
    </row>
    <row r="27" spans="1:13" x14ac:dyDescent="0.3">
      <c r="A27" s="43"/>
      <c r="B27" s="43"/>
      <c r="C27" s="43"/>
      <c r="D27" s="43"/>
      <c r="E27" s="43"/>
      <c r="F27" s="43" t="s">
        <v>797</v>
      </c>
      <c r="G27" s="52">
        <v>465</v>
      </c>
      <c r="H27" s="45"/>
      <c r="I27" s="52">
        <v>125</v>
      </c>
      <c r="J27" s="45"/>
      <c r="K27" s="52">
        <v>0</v>
      </c>
      <c r="L27" s="45"/>
      <c r="M27" s="52">
        <f t="shared" si="2"/>
        <v>590</v>
      </c>
    </row>
    <row r="28" spans="1:13" ht="15" thickBot="1" x14ac:dyDescent="0.35">
      <c r="A28" s="43"/>
      <c r="B28" s="43"/>
      <c r="C28" s="43"/>
      <c r="D28" s="43"/>
      <c r="E28" s="43"/>
      <c r="F28" s="43" t="s">
        <v>199</v>
      </c>
      <c r="G28" s="54">
        <v>220.68</v>
      </c>
      <c r="H28" s="45"/>
      <c r="I28" s="54">
        <v>184.99</v>
      </c>
      <c r="J28" s="45"/>
      <c r="K28" s="54">
        <v>168.85</v>
      </c>
      <c r="L28" s="45"/>
      <c r="M28" s="54">
        <f t="shared" si="2"/>
        <v>574.52</v>
      </c>
    </row>
    <row r="29" spans="1:13" x14ac:dyDescent="0.3">
      <c r="A29" s="43"/>
      <c r="B29" s="43"/>
      <c r="C29" s="43"/>
      <c r="D29" s="43"/>
      <c r="E29" s="43" t="s">
        <v>200</v>
      </c>
      <c r="F29" s="43"/>
      <c r="G29" s="52">
        <f>ROUND(SUM(G24:G28),5)</f>
        <v>5488.55</v>
      </c>
      <c r="H29" s="45"/>
      <c r="I29" s="52">
        <f>ROUND(SUM(I24:I28),5)</f>
        <v>2478.5100000000002</v>
      </c>
      <c r="J29" s="45"/>
      <c r="K29" s="52">
        <f>ROUND(SUM(K24:K28),5)</f>
        <v>1437.85</v>
      </c>
      <c r="L29" s="45"/>
      <c r="M29" s="52">
        <f t="shared" si="2"/>
        <v>9404.91</v>
      </c>
    </row>
    <row r="30" spans="1:13" ht="30" customHeight="1" x14ac:dyDescent="0.3">
      <c r="A30" s="43"/>
      <c r="B30" s="43"/>
      <c r="C30" s="43"/>
      <c r="D30" s="43"/>
      <c r="E30" s="43" t="s">
        <v>320</v>
      </c>
      <c r="F30" s="43"/>
      <c r="G30" s="52">
        <v>0</v>
      </c>
      <c r="H30" s="45"/>
      <c r="I30" s="52">
        <v>22.55</v>
      </c>
      <c r="J30" s="45"/>
      <c r="K30" s="52">
        <v>141.65</v>
      </c>
      <c r="L30" s="45"/>
      <c r="M30" s="52">
        <f t="shared" si="2"/>
        <v>164.2</v>
      </c>
    </row>
    <row r="31" spans="1:13" ht="15" thickBot="1" x14ac:dyDescent="0.35">
      <c r="A31" s="43"/>
      <c r="B31" s="43"/>
      <c r="C31" s="43"/>
      <c r="D31" s="43"/>
      <c r="E31" s="43" t="s">
        <v>201</v>
      </c>
      <c r="F31" s="43"/>
      <c r="G31" s="54">
        <v>0</v>
      </c>
      <c r="H31" s="45"/>
      <c r="I31" s="54">
        <v>18.54</v>
      </c>
      <c r="J31" s="45"/>
      <c r="K31" s="54">
        <v>113.53</v>
      </c>
      <c r="L31" s="45"/>
      <c r="M31" s="54">
        <f t="shared" si="2"/>
        <v>132.07</v>
      </c>
    </row>
    <row r="32" spans="1:13" x14ac:dyDescent="0.3">
      <c r="A32" s="43"/>
      <c r="B32" s="43"/>
      <c r="C32" s="43"/>
      <c r="D32" s="43" t="s">
        <v>202</v>
      </c>
      <c r="E32" s="43"/>
      <c r="F32" s="43"/>
      <c r="G32" s="52">
        <f>ROUND(G14+SUM(G18:G23)+SUM(G29:G31),5)</f>
        <v>67647.34</v>
      </c>
      <c r="H32" s="45"/>
      <c r="I32" s="52">
        <f>ROUND(I14+SUM(I18:I23)+SUM(I29:I31),5)</f>
        <v>43202.46</v>
      </c>
      <c r="J32" s="45"/>
      <c r="K32" s="52">
        <f>ROUND(K14+SUM(K18:K23)+SUM(K29:K31),5)</f>
        <v>62463.360000000001</v>
      </c>
      <c r="L32" s="45"/>
      <c r="M32" s="52">
        <f t="shared" si="2"/>
        <v>173313.16</v>
      </c>
    </row>
    <row r="33" spans="1:13" ht="30" customHeight="1" x14ac:dyDescent="0.3">
      <c r="A33" s="43"/>
      <c r="B33" s="43"/>
      <c r="C33" s="43"/>
      <c r="D33" s="43" t="s">
        <v>203</v>
      </c>
      <c r="E33" s="43"/>
      <c r="F33" s="43"/>
      <c r="G33" s="52"/>
      <c r="H33" s="45"/>
      <c r="I33" s="52"/>
      <c r="J33" s="45"/>
      <c r="K33" s="52"/>
      <c r="L33" s="45"/>
      <c r="M33" s="52"/>
    </row>
    <row r="34" spans="1:13" x14ac:dyDescent="0.3">
      <c r="A34" s="43"/>
      <c r="B34" s="43"/>
      <c r="C34" s="43"/>
      <c r="D34" s="43"/>
      <c r="E34" s="43" t="s">
        <v>204</v>
      </c>
      <c r="F34" s="43"/>
      <c r="G34" s="52">
        <v>739.3</v>
      </c>
      <c r="H34" s="45"/>
      <c r="I34" s="52">
        <v>698.82</v>
      </c>
      <c r="J34" s="45"/>
      <c r="K34" s="52">
        <v>735.28</v>
      </c>
      <c r="L34" s="45"/>
      <c r="M34" s="52">
        <f>ROUND(SUM(G34:K34),5)</f>
        <v>2173.4</v>
      </c>
    </row>
    <row r="35" spans="1:13" x14ac:dyDescent="0.3">
      <c r="A35" s="43"/>
      <c r="B35" s="43"/>
      <c r="C35" s="43"/>
      <c r="D35" s="43"/>
      <c r="E35" s="43" t="s">
        <v>205</v>
      </c>
      <c r="F35" s="43"/>
      <c r="G35" s="52"/>
      <c r="H35" s="45"/>
      <c r="I35" s="52"/>
      <c r="J35" s="45"/>
      <c r="K35" s="52"/>
      <c r="L35" s="45"/>
      <c r="M35" s="52"/>
    </row>
    <row r="36" spans="1:13" x14ac:dyDescent="0.3">
      <c r="A36" s="43"/>
      <c r="B36" s="43"/>
      <c r="C36" s="43"/>
      <c r="D36" s="43"/>
      <c r="E36" s="43"/>
      <c r="F36" s="43" t="s">
        <v>798</v>
      </c>
      <c r="G36" s="52">
        <v>856.63</v>
      </c>
      <c r="H36" s="45"/>
      <c r="I36" s="52">
        <v>782.22</v>
      </c>
      <c r="J36" s="45"/>
      <c r="K36" s="52">
        <v>711.61</v>
      </c>
      <c r="L36" s="45"/>
      <c r="M36" s="52">
        <f>ROUND(SUM(G36:K36),5)</f>
        <v>2350.46</v>
      </c>
    </row>
    <row r="37" spans="1:13" ht="15" thickBot="1" x14ac:dyDescent="0.35">
      <c r="A37" s="43"/>
      <c r="B37" s="43"/>
      <c r="C37" s="43"/>
      <c r="D37" s="43"/>
      <c r="E37" s="43"/>
      <c r="F37" s="43" t="s">
        <v>799</v>
      </c>
      <c r="G37" s="54">
        <v>4050.56</v>
      </c>
      <c r="H37" s="45"/>
      <c r="I37" s="54">
        <v>4673.84</v>
      </c>
      <c r="J37" s="45"/>
      <c r="K37" s="54">
        <v>4496.8500000000004</v>
      </c>
      <c r="L37" s="45"/>
      <c r="M37" s="54">
        <f>ROUND(SUM(G37:K37),5)</f>
        <v>13221.25</v>
      </c>
    </row>
    <row r="38" spans="1:13" x14ac:dyDescent="0.3">
      <c r="A38" s="43"/>
      <c r="B38" s="43"/>
      <c r="C38" s="43"/>
      <c r="D38" s="43"/>
      <c r="E38" s="43" t="s">
        <v>210</v>
      </c>
      <c r="F38" s="43"/>
      <c r="G38" s="52">
        <f>ROUND(SUM(G35:G37),5)</f>
        <v>4907.1899999999996</v>
      </c>
      <c r="H38" s="45"/>
      <c r="I38" s="52">
        <f>ROUND(SUM(I35:I37),5)</f>
        <v>5456.06</v>
      </c>
      <c r="J38" s="45"/>
      <c r="K38" s="52">
        <f>ROUND(SUM(K35:K37),5)</f>
        <v>5208.46</v>
      </c>
      <c r="L38" s="45"/>
      <c r="M38" s="52">
        <f>ROUND(SUM(G38:K38),5)</f>
        <v>15571.71</v>
      </c>
    </row>
    <row r="39" spans="1:13" ht="30" customHeight="1" x14ac:dyDescent="0.3">
      <c r="A39" s="43"/>
      <c r="B39" s="43"/>
      <c r="C39" s="43"/>
      <c r="D39" s="43"/>
      <c r="E39" s="43" t="s">
        <v>472</v>
      </c>
      <c r="F39" s="43"/>
      <c r="G39" s="52"/>
      <c r="H39" s="45"/>
      <c r="I39" s="52"/>
      <c r="J39" s="45"/>
      <c r="K39" s="52"/>
      <c r="L39" s="45"/>
      <c r="M39" s="52"/>
    </row>
    <row r="40" spans="1:13" x14ac:dyDescent="0.3">
      <c r="A40" s="43"/>
      <c r="B40" s="43"/>
      <c r="C40" s="43"/>
      <c r="D40" s="43"/>
      <c r="E40" s="43"/>
      <c r="F40" s="43" t="s">
        <v>800</v>
      </c>
      <c r="G40" s="52">
        <v>184.73</v>
      </c>
      <c r="H40" s="45"/>
      <c r="I40" s="52">
        <v>251.11</v>
      </c>
      <c r="J40" s="45"/>
      <c r="K40" s="52">
        <v>220.62</v>
      </c>
      <c r="L40" s="45"/>
      <c r="M40" s="52">
        <f t="shared" ref="M40:M45" si="3">ROUND(SUM(G40:K40),5)</f>
        <v>656.46</v>
      </c>
    </row>
    <row r="41" spans="1:13" x14ac:dyDescent="0.3">
      <c r="A41" s="43"/>
      <c r="B41" s="43"/>
      <c r="C41" s="43"/>
      <c r="D41" s="43"/>
      <c r="E41" s="43"/>
      <c r="F41" s="43" t="s">
        <v>801</v>
      </c>
      <c r="G41" s="52">
        <v>893.3</v>
      </c>
      <c r="H41" s="45"/>
      <c r="I41" s="52">
        <v>0</v>
      </c>
      <c r="J41" s="45"/>
      <c r="K41" s="52">
        <v>0</v>
      </c>
      <c r="L41" s="45"/>
      <c r="M41" s="52">
        <f t="shared" si="3"/>
        <v>893.3</v>
      </c>
    </row>
    <row r="42" spans="1:13" x14ac:dyDescent="0.3">
      <c r="A42" s="43"/>
      <c r="B42" s="43"/>
      <c r="C42" s="43"/>
      <c r="D42" s="43"/>
      <c r="E42" s="43"/>
      <c r="F42" s="43" t="s">
        <v>802</v>
      </c>
      <c r="G42" s="52">
        <v>111.39</v>
      </c>
      <c r="H42" s="45"/>
      <c r="I42" s="52">
        <v>9.36</v>
      </c>
      <c r="J42" s="45"/>
      <c r="K42" s="52">
        <v>0</v>
      </c>
      <c r="L42" s="45"/>
      <c r="M42" s="52">
        <f t="shared" si="3"/>
        <v>120.75</v>
      </c>
    </row>
    <row r="43" spans="1:13" x14ac:dyDescent="0.3">
      <c r="A43" s="43"/>
      <c r="B43" s="43"/>
      <c r="C43" s="43"/>
      <c r="D43" s="43"/>
      <c r="E43" s="43"/>
      <c r="F43" s="43" t="s">
        <v>803</v>
      </c>
      <c r="G43" s="52">
        <v>34.270000000000003</v>
      </c>
      <c r="H43" s="45"/>
      <c r="I43" s="52">
        <v>550.35</v>
      </c>
      <c r="J43" s="45"/>
      <c r="K43" s="52">
        <v>358.98</v>
      </c>
      <c r="L43" s="45"/>
      <c r="M43" s="52">
        <f t="shared" si="3"/>
        <v>943.6</v>
      </c>
    </row>
    <row r="44" spans="1:13" ht="15" thickBot="1" x14ac:dyDescent="0.35">
      <c r="A44" s="43"/>
      <c r="B44" s="43"/>
      <c r="C44" s="43"/>
      <c r="D44" s="43"/>
      <c r="E44" s="43"/>
      <c r="F44" s="43" t="s">
        <v>804</v>
      </c>
      <c r="G44" s="54">
        <v>236.97</v>
      </c>
      <c r="H44" s="45"/>
      <c r="I44" s="54">
        <v>259.24</v>
      </c>
      <c r="J44" s="45"/>
      <c r="K44" s="54">
        <v>288.19</v>
      </c>
      <c r="L44" s="45"/>
      <c r="M44" s="54">
        <f t="shared" si="3"/>
        <v>784.4</v>
      </c>
    </row>
    <row r="45" spans="1:13" x14ac:dyDescent="0.3">
      <c r="A45" s="43"/>
      <c r="B45" s="43"/>
      <c r="C45" s="43"/>
      <c r="D45" s="43"/>
      <c r="E45" s="43" t="s">
        <v>475</v>
      </c>
      <c r="F45" s="43"/>
      <c r="G45" s="52">
        <f>ROUND(SUM(G39:G44),5)</f>
        <v>1460.66</v>
      </c>
      <c r="H45" s="45"/>
      <c r="I45" s="52">
        <f>ROUND(SUM(I39:I44),5)</f>
        <v>1070.06</v>
      </c>
      <c r="J45" s="45"/>
      <c r="K45" s="52">
        <f>ROUND(SUM(K39:K44),5)</f>
        <v>867.79</v>
      </c>
      <c r="L45" s="45"/>
      <c r="M45" s="52">
        <f t="shared" si="3"/>
        <v>3398.51</v>
      </c>
    </row>
    <row r="46" spans="1:13" ht="30" customHeight="1" x14ac:dyDescent="0.3">
      <c r="A46" s="43"/>
      <c r="B46" s="43"/>
      <c r="C46" s="43"/>
      <c r="D46" s="43"/>
      <c r="E46" s="43" t="s">
        <v>211</v>
      </c>
      <c r="F46" s="43"/>
      <c r="G46" s="52"/>
      <c r="H46" s="45"/>
      <c r="I46" s="52"/>
      <c r="J46" s="45"/>
      <c r="K46" s="52"/>
      <c r="L46" s="45"/>
      <c r="M46" s="52"/>
    </row>
    <row r="47" spans="1:13" x14ac:dyDescent="0.3">
      <c r="A47" s="43"/>
      <c r="B47" s="43"/>
      <c r="C47" s="43"/>
      <c r="D47" s="43"/>
      <c r="E47" s="43"/>
      <c r="F47" s="43" t="s">
        <v>805</v>
      </c>
      <c r="G47" s="52">
        <v>886.84</v>
      </c>
      <c r="H47" s="45"/>
      <c r="I47" s="52">
        <v>3833.82</v>
      </c>
      <c r="J47" s="45"/>
      <c r="K47" s="52">
        <v>797.32</v>
      </c>
      <c r="L47" s="45"/>
      <c r="M47" s="52">
        <f>ROUND(SUM(G47:K47),5)</f>
        <v>5517.98</v>
      </c>
    </row>
    <row r="48" spans="1:13" x14ac:dyDescent="0.3">
      <c r="A48" s="43"/>
      <c r="B48" s="43"/>
      <c r="C48" s="43"/>
      <c r="D48" s="43"/>
      <c r="E48" s="43"/>
      <c r="F48" s="43" t="s">
        <v>806</v>
      </c>
      <c r="G48" s="52">
        <v>5785.67</v>
      </c>
      <c r="H48" s="45"/>
      <c r="I48" s="52">
        <v>7238.87</v>
      </c>
      <c r="J48" s="45"/>
      <c r="K48" s="52">
        <v>8938.0499999999993</v>
      </c>
      <c r="L48" s="45"/>
      <c r="M48" s="52">
        <f>ROUND(SUM(G48:K48),5)</f>
        <v>21962.59</v>
      </c>
    </row>
    <row r="49" spans="1:13" x14ac:dyDescent="0.3">
      <c r="A49" s="43"/>
      <c r="B49" s="43"/>
      <c r="C49" s="43"/>
      <c r="D49" s="43"/>
      <c r="E49" s="43"/>
      <c r="F49" s="43" t="s">
        <v>807</v>
      </c>
      <c r="G49" s="52">
        <v>1657.42</v>
      </c>
      <c r="H49" s="45"/>
      <c r="I49" s="52">
        <v>179.18</v>
      </c>
      <c r="J49" s="45"/>
      <c r="K49" s="52">
        <v>2485.38</v>
      </c>
      <c r="L49" s="45"/>
      <c r="M49" s="52">
        <f>ROUND(SUM(G49:K49),5)</f>
        <v>4321.9799999999996</v>
      </c>
    </row>
    <row r="50" spans="1:13" ht="15" thickBot="1" x14ac:dyDescent="0.35">
      <c r="A50" s="43"/>
      <c r="B50" s="43"/>
      <c r="C50" s="43"/>
      <c r="D50" s="43"/>
      <c r="E50" s="43"/>
      <c r="F50" s="43" t="s">
        <v>410</v>
      </c>
      <c r="G50" s="54">
        <v>-6735.13</v>
      </c>
      <c r="H50" s="45"/>
      <c r="I50" s="54">
        <v>-5681.92</v>
      </c>
      <c r="J50" s="45"/>
      <c r="K50" s="54">
        <v>-7172.59</v>
      </c>
      <c r="L50" s="45"/>
      <c r="M50" s="54">
        <f>ROUND(SUM(G50:K50),5)</f>
        <v>-19589.64</v>
      </c>
    </row>
    <row r="51" spans="1:13" x14ac:dyDescent="0.3">
      <c r="A51" s="43"/>
      <c r="B51" s="43"/>
      <c r="C51" s="43"/>
      <c r="D51" s="43"/>
      <c r="E51" s="43" t="s">
        <v>329</v>
      </c>
      <c r="F51" s="43"/>
      <c r="G51" s="52">
        <f>ROUND(SUM(G46:G50),5)</f>
        <v>1594.8</v>
      </c>
      <c r="H51" s="45"/>
      <c r="I51" s="52">
        <f>ROUND(SUM(I46:I50),5)</f>
        <v>5569.95</v>
      </c>
      <c r="J51" s="45"/>
      <c r="K51" s="52">
        <f>ROUND(SUM(K46:K50),5)</f>
        <v>5048.16</v>
      </c>
      <c r="L51" s="45"/>
      <c r="M51" s="52">
        <f>ROUND(SUM(G51:K51),5)</f>
        <v>12212.91</v>
      </c>
    </row>
    <row r="52" spans="1:13" ht="30" customHeight="1" x14ac:dyDescent="0.3">
      <c r="A52" s="43"/>
      <c r="B52" s="43"/>
      <c r="C52" s="43"/>
      <c r="D52" s="43"/>
      <c r="E52" s="43" t="s">
        <v>585</v>
      </c>
      <c r="F52" s="43"/>
      <c r="G52" s="52"/>
      <c r="H52" s="45"/>
      <c r="I52" s="52"/>
      <c r="J52" s="45"/>
      <c r="K52" s="52"/>
      <c r="L52" s="45"/>
      <c r="M52" s="52"/>
    </row>
    <row r="53" spans="1:13" x14ac:dyDescent="0.3">
      <c r="A53" s="43"/>
      <c r="B53" s="43"/>
      <c r="C53" s="43"/>
      <c r="D53" s="43"/>
      <c r="E53" s="43"/>
      <c r="F53" s="43" t="s">
        <v>808</v>
      </c>
      <c r="G53" s="52">
        <v>332.11</v>
      </c>
      <c r="H53" s="45"/>
      <c r="I53" s="52">
        <v>384.62</v>
      </c>
      <c r="J53" s="45"/>
      <c r="K53" s="52">
        <v>364.12</v>
      </c>
      <c r="L53" s="45"/>
      <c r="M53" s="52">
        <f t="shared" ref="M53:M59" si="4">ROUND(SUM(G53:K53),5)</f>
        <v>1080.8499999999999</v>
      </c>
    </row>
    <row r="54" spans="1:13" x14ac:dyDescent="0.3">
      <c r="A54" s="43"/>
      <c r="B54" s="43"/>
      <c r="C54" s="43"/>
      <c r="D54" s="43"/>
      <c r="E54" s="43"/>
      <c r="F54" s="43" t="s">
        <v>809</v>
      </c>
      <c r="G54" s="52">
        <v>213.7</v>
      </c>
      <c r="H54" s="45"/>
      <c r="I54" s="52">
        <v>0</v>
      </c>
      <c r="J54" s="45"/>
      <c r="K54" s="52">
        <v>0</v>
      </c>
      <c r="L54" s="45"/>
      <c r="M54" s="52">
        <f t="shared" si="4"/>
        <v>213.7</v>
      </c>
    </row>
    <row r="55" spans="1:13" x14ac:dyDescent="0.3">
      <c r="A55" s="43"/>
      <c r="B55" s="43"/>
      <c r="C55" s="43"/>
      <c r="D55" s="43"/>
      <c r="E55" s="43"/>
      <c r="F55" s="43" t="s">
        <v>810</v>
      </c>
      <c r="G55" s="52">
        <v>200.62</v>
      </c>
      <c r="H55" s="45"/>
      <c r="I55" s="52">
        <v>5.92</v>
      </c>
      <c r="J55" s="45"/>
      <c r="K55" s="52">
        <v>0</v>
      </c>
      <c r="L55" s="45"/>
      <c r="M55" s="52">
        <f t="shared" si="4"/>
        <v>206.54</v>
      </c>
    </row>
    <row r="56" spans="1:13" x14ac:dyDescent="0.3">
      <c r="A56" s="43"/>
      <c r="B56" s="43"/>
      <c r="C56" s="43"/>
      <c r="D56" s="43"/>
      <c r="E56" s="43"/>
      <c r="F56" s="43" t="s">
        <v>811</v>
      </c>
      <c r="G56" s="52">
        <v>42.28</v>
      </c>
      <c r="H56" s="45"/>
      <c r="I56" s="52">
        <v>121.33</v>
      </c>
      <c r="J56" s="45"/>
      <c r="K56" s="52">
        <v>346.15</v>
      </c>
      <c r="L56" s="45"/>
      <c r="M56" s="52">
        <f t="shared" si="4"/>
        <v>509.76</v>
      </c>
    </row>
    <row r="57" spans="1:13" ht="15" thickBot="1" x14ac:dyDescent="0.35">
      <c r="A57" s="43"/>
      <c r="B57" s="43"/>
      <c r="C57" s="43"/>
      <c r="D57" s="43"/>
      <c r="E57" s="43"/>
      <c r="F57" s="43" t="s">
        <v>812</v>
      </c>
      <c r="G57" s="52">
        <v>349.76</v>
      </c>
      <c r="H57" s="45"/>
      <c r="I57" s="52">
        <v>376.51</v>
      </c>
      <c r="J57" s="45"/>
      <c r="K57" s="52">
        <v>403.13</v>
      </c>
      <c r="L57" s="45"/>
      <c r="M57" s="52">
        <f t="shared" si="4"/>
        <v>1129.4000000000001</v>
      </c>
    </row>
    <row r="58" spans="1:13" ht="15" thickBot="1" x14ac:dyDescent="0.35">
      <c r="A58" s="43"/>
      <c r="B58" s="43"/>
      <c r="C58" s="43"/>
      <c r="D58" s="43"/>
      <c r="E58" s="43" t="s">
        <v>613</v>
      </c>
      <c r="F58" s="43"/>
      <c r="G58" s="53">
        <f>ROUND(SUM(G52:G57),5)</f>
        <v>1138.47</v>
      </c>
      <c r="H58" s="45"/>
      <c r="I58" s="53">
        <f>ROUND(SUM(I52:I57),5)</f>
        <v>888.38</v>
      </c>
      <c r="J58" s="45"/>
      <c r="K58" s="53">
        <f>ROUND(SUM(K52:K57),5)</f>
        <v>1113.4000000000001</v>
      </c>
      <c r="L58" s="45"/>
      <c r="M58" s="53">
        <f t="shared" si="4"/>
        <v>3140.25</v>
      </c>
    </row>
    <row r="59" spans="1:13" ht="30" customHeight="1" x14ac:dyDescent="0.3">
      <c r="A59" s="43"/>
      <c r="B59" s="43"/>
      <c r="C59" s="43"/>
      <c r="D59" s="43" t="s">
        <v>213</v>
      </c>
      <c r="E59" s="43"/>
      <c r="F59" s="43"/>
      <c r="G59" s="52">
        <f>ROUND(SUM(G33:G34)+G38+G45+G51+G58,5)</f>
        <v>9840.42</v>
      </c>
      <c r="H59" s="45"/>
      <c r="I59" s="52">
        <f>ROUND(SUM(I33:I34)+I38+I45+I51+I58,5)</f>
        <v>13683.27</v>
      </c>
      <c r="J59" s="45"/>
      <c r="K59" s="52">
        <f>ROUND(SUM(K33:K34)+K38+K45+K51+K58,5)</f>
        <v>12973.09</v>
      </c>
      <c r="L59" s="45"/>
      <c r="M59" s="52">
        <f t="shared" si="4"/>
        <v>36496.78</v>
      </c>
    </row>
    <row r="60" spans="1:13" ht="30" customHeight="1" x14ac:dyDescent="0.3">
      <c r="A60" s="43"/>
      <c r="B60" s="43"/>
      <c r="C60" s="43"/>
      <c r="D60" s="43" t="s">
        <v>214</v>
      </c>
      <c r="E60" s="43"/>
      <c r="F60" s="43"/>
      <c r="G60" s="52"/>
      <c r="H60" s="45"/>
      <c r="I60" s="52"/>
      <c r="J60" s="45"/>
      <c r="K60" s="52"/>
      <c r="L60" s="45"/>
      <c r="M60" s="52"/>
    </row>
    <row r="61" spans="1:13" x14ac:dyDescent="0.3">
      <c r="A61" s="43"/>
      <c r="B61" s="43"/>
      <c r="C61" s="43"/>
      <c r="D61" s="43"/>
      <c r="E61" s="43" t="s">
        <v>215</v>
      </c>
      <c r="F61" s="43"/>
      <c r="G61" s="52"/>
      <c r="H61" s="45"/>
      <c r="I61" s="52"/>
      <c r="J61" s="45"/>
      <c r="K61" s="52"/>
      <c r="L61" s="45"/>
      <c r="M61" s="52"/>
    </row>
    <row r="62" spans="1:13" x14ac:dyDescent="0.3">
      <c r="A62" s="43"/>
      <c r="B62" s="43"/>
      <c r="C62" s="43"/>
      <c r="D62" s="43"/>
      <c r="E62" s="43"/>
      <c r="F62" s="43" t="s">
        <v>483</v>
      </c>
      <c r="G62" s="52">
        <v>1828.75</v>
      </c>
      <c r="H62" s="45"/>
      <c r="I62" s="52">
        <v>636.75</v>
      </c>
      <c r="J62" s="45"/>
      <c r="K62" s="52">
        <v>79.819999999999993</v>
      </c>
      <c r="L62" s="45"/>
      <c r="M62" s="52">
        <f t="shared" ref="M62:M69" si="5">ROUND(SUM(G62:K62),5)</f>
        <v>2545.3200000000002</v>
      </c>
    </row>
    <row r="63" spans="1:13" x14ac:dyDescent="0.3">
      <c r="A63" s="43"/>
      <c r="B63" s="43"/>
      <c r="C63" s="43"/>
      <c r="D63" s="43"/>
      <c r="E63" s="43"/>
      <c r="F63" s="43" t="s">
        <v>217</v>
      </c>
      <c r="G63" s="52">
        <v>720.7</v>
      </c>
      <c r="H63" s="45"/>
      <c r="I63" s="52">
        <v>0</v>
      </c>
      <c r="J63" s="45"/>
      <c r="K63" s="52">
        <v>1755.84</v>
      </c>
      <c r="L63" s="45"/>
      <c r="M63" s="52">
        <f t="shared" si="5"/>
        <v>2476.54</v>
      </c>
    </row>
    <row r="64" spans="1:13" x14ac:dyDescent="0.3">
      <c r="A64" s="43"/>
      <c r="B64" s="43"/>
      <c r="C64" s="43"/>
      <c r="D64" s="43"/>
      <c r="E64" s="43"/>
      <c r="F64" s="43" t="s">
        <v>783</v>
      </c>
      <c r="G64" s="52">
        <v>0</v>
      </c>
      <c r="H64" s="45"/>
      <c r="I64" s="52">
        <v>195.5</v>
      </c>
      <c r="J64" s="45"/>
      <c r="K64" s="52">
        <v>0</v>
      </c>
      <c r="L64" s="45"/>
      <c r="M64" s="52">
        <f t="shared" si="5"/>
        <v>195.5</v>
      </c>
    </row>
    <row r="65" spans="1:13" x14ac:dyDescent="0.3">
      <c r="A65" s="43"/>
      <c r="B65" s="43"/>
      <c r="C65" s="43"/>
      <c r="D65" s="43"/>
      <c r="E65" s="43"/>
      <c r="F65" s="43" t="s">
        <v>219</v>
      </c>
      <c r="G65" s="52">
        <v>2587.5</v>
      </c>
      <c r="H65" s="45"/>
      <c r="I65" s="52">
        <v>3197.8</v>
      </c>
      <c r="J65" s="45"/>
      <c r="K65" s="52">
        <v>1936.25</v>
      </c>
      <c r="L65" s="45"/>
      <c r="M65" s="52">
        <f t="shared" si="5"/>
        <v>7721.55</v>
      </c>
    </row>
    <row r="66" spans="1:13" x14ac:dyDescent="0.3">
      <c r="A66" s="43"/>
      <c r="B66" s="43"/>
      <c r="C66" s="43"/>
      <c r="D66" s="43"/>
      <c r="E66" s="43"/>
      <c r="F66" s="43" t="s">
        <v>220</v>
      </c>
      <c r="G66" s="52">
        <v>0</v>
      </c>
      <c r="H66" s="45"/>
      <c r="I66" s="52">
        <v>192.5</v>
      </c>
      <c r="J66" s="45"/>
      <c r="K66" s="52">
        <v>125</v>
      </c>
      <c r="L66" s="45"/>
      <c r="M66" s="52">
        <f t="shared" si="5"/>
        <v>317.5</v>
      </c>
    </row>
    <row r="67" spans="1:13" x14ac:dyDescent="0.3">
      <c r="A67" s="43"/>
      <c r="B67" s="43"/>
      <c r="C67" s="43"/>
      <c r="D67" s="43"/>
      <c r="E67" s="43"/>
      <c r="F67" s="43" t="s">
        <v>485</v>
      </c>
      <c r="G67" s="52">
        <v>0</v>
      </c>
      <c r="H67" s="45"/>
      <c r="I67" s="52">
        <v>0</v>
      </c>
      <c r="J67" s="45"/>
      <c r="K67" s="52">
        <v>25.7</v>
      </c>
      <c r="L67" s="45"/>
      <c r="M67" s="52">
        <f t="shared" si="5"/>
        <v>25.7</v>
      </c>
    </row>
    <row r="68" spans="1:13" ht="15" thickBot="1" x14ac:dyDescent="0.35">
      <c r="A68" s="43"/>
      <c r="B68" s="43"/>
      <c r="C68" s="43"/>
      <c r="D68" s="43"/>
      <c r="E68" s="43"/>
      <c r="F68" s="43" t="s">
        <v>330</v>
      </c>
      <c r="G68" s="54">
        <v>0</v>
      </c>
      <c r="H68" s="45"/>
      <c r="I68" s="54">
        <v>911.18</v>
      </c>
      <c r="J68" s="45"/>
      <c r="K68" s="54">
        <v>0</v>
      </c>
      <c r="L68" s="45"/>
      <c r="M68" s="54">
        <f t="shared" si="5"/>
        <v>911.18</v>
      </c>
    </row>
    <row r="69" spans="1:13" x14ac:dyDescent="0.3">
      <c r="A69" s="43"/>
      <c r="B69" s="43"/>
      <c r="C69" s="43"/>
      <c r="D69" s="43"/>
      <c r="E69" s="43" t="s">
        <v>223</v>
      </c>
      <c r="F69" s="43"/>
      <c r="G69" s="52">
        <f>ROUND(SUM(G61:G68),5)</f>
        <v>5136.95</v>
      </c>
      <c r="H69" s="45"/>
      <c r="I69" s="52">
        <f>ROUND(SUM(I61:I68),5)</f>
        <v>5133.7299999999996</v>
      </c>
      <c r="J69" s="45"/>
      <c r="K69" s="52">
        <f>ROUND(SUM(K61:K68),5)</f>
        <v>3922.61</v>
      </c>
      <c r="L69" s="45"/>
      <c r="M69" s="52">
        <f t="shared" si="5"/>
        <v>14193.29</v>
      </c>
    </row>
    <row r="70" spans="1:13" ht="30" customHeight="1" x14ac:dyDescent="0.3">
      <c r="A70" s="43"/>
      <c r="B70" s="43"/>
      <c r="C70" s="43"/>
      <c r="D70" s="43"/>
      <c r="E70" s="43" t="s">
        <v>331</v>
      </c>
      <c r="F70" s="43"/>
      <c r="G70" s="52"/>
      <c r="H70" s="45"/>
      <c r="I70" s="52"/>
      <c r="J70" s="45"/>
      <c r="K70" s="52"/>
      <c r="L70" s="45"/>
      <c r="M70" s="52"/>
    </row>
    <row r="71" spans="1:13" x14ac:dyDescent="0.3">
      <c r="A71" s="43"/>
      <c r="B71" s="43"/>
      <c r="C71" s="43"/>
      <c r="D71" s="43"/>
      <c r="E71" s="43"/>
      <c r="F71" s="43" t="s">
        <v>225</v>
      </c>
      <c r="G71" s="52">
        <v>18.75</v>
      </c>
      <c r="H71" s="45"/>
      <c r="I71" s="52">
        <v>109.75</v>
      </c>
      <c r="J71" s="45"/>
      <c r="K71" s="52">
        <v>70</v>
      </c>
      <c r="L71" s="45"/>
      <c r="M71" s="52">
        <f>ROUND(SUM(G71:K71),5)</f>
        <v>198.5</v>
      </c>
    </row>
    <row r="72" spans="1:13" ht="15" thickBot="1" x14ac:dyDescent="0.35">
      <c r="A72" s="43"/>
      <c r="B72" s="43"/>
      <c r="C72" s="43"/>
      <c r="D72" s="43"/>
      <c r="E72" s="43"/>
      <c r="F72" s="43" t="s">
        <v>334</v>
      </c>
      <c r="G72" s="54">
        <v>522</v>
      </c>
      <c r="H72" s="45"/>
      <c r="I72" s="54">
        <v>490.64</v>
      </c>
      <c r="J72" s="45"/>
      <c r="K72" s="54">
        <v>832.79</v>
      </c>
      <c r="L72" s="45"/>
      <c r="M72" s="54">
        <f>ROUND(SUM(G72:K72),5)</f>
        <v>1845.43</v>
      </c>
    </row>
    <row r="73" spans="1:13" x14ac:dyDescent="0.3">
      <c r="A73" s="43"/>
      <c r="B73" s="43"/>
      <c r="C73" s="43"/>
      <c r="D73" s="43"/>
      <c r="E73" s="43" t="s">
        <v>335</v>
      </c>
      <c r="F73" s="43"/>
      <c r="G73" s="52">
        <f>ROUND(SUM(G70:G72),5)</f>
        <v>540.75</v>
      </c>
      <c r="H73" s="45"/>
      <c r="I73" s="52">
        <f>ROUND(SUM(I70:I72),5)</f>
        <v>600.39</v>
      </c>
      <c r="J73" s="45"/>
      <c r="K73" s="52">
        <f>ROUND(SUM(K70:K72),5)</f>
        <v>902.79</v>
      </c>
      <c r="L73" s="45"/>
      <c r="M73" s="52">
        <f>ROUND(SUM(G73:K73),5)</f>
        <v>2043.93</v>
      </c>
    </row>
    <row r="74" spans="1:13" ht="30" customHeight="1" x14ac:dyDescent="0.3">
      <c r="A74" s="43"/>
      <c r="B74" s="43"/>
      <c r="C74" s="43"/>
      <c r="D74" s="43"/>
      <c r="E74" s="43" t="s">
        <v>228</v>
      </c>
      <c r="F74" s="43"/>
      <c r="G74" s="52"/>
      <c r="H74" s="45"/>
      <c r="I74" s="52"/>
      <c r="J74" s="45"/>
      <c r="K74" s="52"/>
      <c r="L74" s="45"/>
      <c r="M74" s="52"/>
    </row>
    <row r="75" spans="1:13" x14ac:dyDescent="0.3">
      <c r="A75" s="43"/>
      <c r="B75" s="43"/>
      <c r="C75" s="43"/>
      <c r="D75" s="43"/>
      <c r="E75" s="43"/>
      <c r="F75" s="43" t="s">
        <v>229</v>
      </c>
      <c r="G75" s="52">
        <v>780.1</v>
      </c>
      <c r="H75" s="45"/>
      <c r="I75" s="52">
        <v>800</v>
      </c>
      <c r="J75" s="45"/>
      <c r="K75" s="52">
        <v>1020</v>
      </c>
      <c r="L75" s="45"/>
      <c r="M75" s="52">
        <f>ROUND(SUM(G75:K75),5)</f>
        <v>2600.1</v>
      </c>
    </row>
    <row r="76" spans="1:13" ht="15" thickBot="1" x14ac:dyDescent="0.35">
      <c r="A76" s="43"/>
      <c r="B76" s="43"/>
      <c r="C76" s="43"/>
      <c r="D76" s="43"/>
      <c r="E76" s="43"/>
      <c r="F76" s="43" t="s">
        <v>376</v>
      </c>
      <c r="G76" s="54">
        <v>2218.75</v>
      </c>
      <c r="H76" s="45"/>
      <c r="I76" s="54">
        <v>2231.4499999999998</v>
      </c>
      <c r="J76" s="45"/>
      <c r="K76" s="54">
        <v>2730</v>
      </c>
      <c r="L76" s="45"/>
      <c r="M76" s="54">
        <f>ROUND(SUM(G76:K76),5)</f>
        <v>7180.2</v>
      </c>
    </row>
    <row r="77" spans="1:13" x14ac:dyDescent="0.3">
      <c r="A77" s="43"/>
      <c r="B77" s="43"/>
      <c r="C77" s="43"/>
      <c r="D77" s="43"/>
      <c r="E77" s="43" t="s">
        <v>232</v>
      </c>
      <c r="F77" s="43"/>
      <c r="G77" s="52">
        <f>ROUND(SUM(G74:G76),5)</f>
        <v>2998.85</v>
      </c>
      <c r="H77" s="45"/>
      <c r="I77" s="52">
        <f>ROUND(SUM(I74:I76),5)</f>
        <v>3031.45</v>
      </c>
      <c r="J77" s="45"/>
      <c r="K77" s="52">
        <f>ROUND(SUM(K74:K76),5)</f>
        <v>3750</v>
      </c>
      <c r="L77" s="45"/>
      <c r="M77" s="52">
        <f>ROUND(SUM(G77:K77),5)</f>
        <v>9780.2999999999993</v>
      </c>
    </row>
    <row r="78" spans="1:13" ht="30" customHeight="1" x14ac:dyDescent="0.3">
      <c r="A78" s="43"/>
      <c r="B78" s="43"/>
      <c r="C78" s="43"/>
      <c r="D78" s="43"/>
      <c r="E78" s="43" t="s">
        <v>233</v>
      </c>
      <c r="F78" s="43"/>
      <c r="G78" s="52"/>
      <c r="H78" s="45"/>
      <c r="I78" s="52"/>
      <c r="J78" s="45"/>
      <c r="K78" s="52"/>
      <c r="L78" s="45"/>
      <c r="M78" s="52"/>
    </row>
    <row r="79" spans="1:13" x14ac:dyDescent="0.3">
      <c r="A79" s="43"/>
      <c r="B79" s="43"/>
      <c r="C79" s="43"/>
      <c r="D79" s="43"/>
      <c r="E79" s="43"/>
      <c r="F79" s="43" t="s">
        <v>236</v>
      </c>
      <c r="G79" s="52">
        <v>0</v>
      </c>
      <c r="H79" s="45"/>
      <c r="I79" s="52">
        <v>0</v>
      </c>
      <c r="J79" s="45"/>
      <c r="K79" s="52">
        <v>210</v>
      </c>
      <c r="L79" s="45"/>
      <c r="M79" s="52">
        <f>ROUND(SUM(G79:K79),5)</f>
        <v>210</v>
      </c>
    </row>
    <row r="80" spans="1:13" x14ac:dyDescent="0.3">
      <c r="A80" s="43"/>
      <c r="B80" s="43"/>
      <c r="C80" s="43"/>
      <c r="D80" s="43"/>
      <c r="E80" s="43"/>
      <c r="F80" s="43" t="s">
        <v>234</v>
      </c>
      <c r="G80" s="52">
        <v>187.5</v>
      </c>
      <c r="H80" s="45"/>
      <c r="I80" s="52">
        <v>56.25</v>
      </c>
      <c r="J80" s="45"/>
      <c r="K80" s="52">
        <v>0</v>
      </c>
      <c r="L80" s="45"/>
      <c r="M80" s="52">
        <f>ROUND(SUM(G80:K80),5)</f>
        <v>243.75</v>
      </c>
    </row>
    <row r="81" spans="1:13" x14ac:dyDescent="0.3">
      <c r="A81" s="43"/>
      <c r="B81" s="43"/>
      <c r="C81" s="43"/>
      <c r="D81" s="43"/>
      <c r="E81" s="43"/>
      <c r="F81" s="43" t="s">
        <v>235</v>
      </c>
      <c r="G81" s="52">
        <v>0</v>
      </c>
      <c r="H81" s="45"/>
      <c r="I81" s="52">
        <v>31.26</v>
      </c>
      <c r="J81" s="45"/>
      <c r="K81" s="52">
        <v>176.13</v>
      </c>
      <c r="L81" s="45"/>
      <c r="M81" s="52">
        <f>ROUND(SUM(G81:K81),5)</f>
        <v>207.39</v>
      </c>
    </row>
    <row r="82" spans="1:13" ht="15" thickBot="1" x14ac:dyDescent="0.35">
      <c r="A82" s="43"/>
      <c r="B82" s="43"/>
      <c r="C82" s="43"/>
      <c r="D82" s="43"/>
      <c r="E82" s="43"/>
      <c r="F82" s="43" t="s">
        <v>236</v>
      </c>
      <c r="G82" s="54">
        <v>1290</v>
      </c>
      <c r="H82" s="45"/>
      <c r="I82" s="54">
        <v>35</v>
      </c>
      <c r="J82" s="45"/>
      <c r="K82" s="54">
        <v>2545.5</v>
      </c>
      <c r="L82" s="45"/>
      <c r="M82" s="54">
        <f>ROUND(SUM(G82:K82),5)</f>
        <v>3870.5</v>
      </c>
    </row>
    <row r="83" spans="1:13" x14ac:dyDescent="0.3">
      <c r="A83" s="43"/>
      <c r="B83" s="43"/>
      <c r="C83" s="43"/>
      <c r="D83" s="43"/>
      <c r="E83" s="43" t="s">
        <v>237</v>
      </c>
      <c r="F83" s="43"/>
      <c r="G83" s="52">
        <f>ROUND(SUM(G78:G82),5)</f>
        <v>1477.5</v>
      </c>
      <c r="H83" s="45"/>
      <c r="I83" s="52">
        <f>ROUND(SUM(I78:I82),5)</f>
        <v>122.51</v>
      </c>
      <c r="J83" s="45"/>
      <c r="K83" s="52">
        <f>ROUND(SUM(K78:K82),5)</f>
        <v>2931.63</v>
      </c>
      <c r="L83" s="45"/>
      <c r="M83" s="52">
        <f>ROUND(SUM(G83:K83),5)</f>
        <v>4531.6400000000003</v>
      </c>
    </row>
    <row r="84" spans="1:13" ht="30" customHeight="1" x14ac:dyDescent="0.3">
      <c r="A84" s="43"/>
      <c r="B84" s="43"/>
      <c r="C84" s="43"/>
      <c r="D84" s="43"/>
      <c r="E84" s="43" t="s">
        <v>377</v>
      </c>
      <c r="F84" s="43"/>
      <c r="G84" s="52"/>
      <c r="H84" s="45"/>
      <c r="I84" s="52"/>
      <c r="J84" s="45"/>
      <c r="K84" s="52"/>
      <c r="L84" s="45"/>
      <c r="M84" s="52"/>
    </row>
    <row r="85" spans="1:13" x14ac:dyDescent="0.3">
      <c r="A85" s="43"/>
      <c r="B85" s="43"/>
      <c r="C85" s="43"/>
      <c r="D85" s="43"/>
      <c r="E85" s="43"/>
      <c r="F85" s="43" t="s">
        <v>337</v>
      </c>
      <c r="G85" s="52">
        <v>56.25</v>
      </c>
      <c r="H85" s="45"/>
      <c r="I85" s="52">
        <v>0</v>
      </c>
      <c r="J85" s="45"/>
      <c r="K85" s="52">
        <v>0</v>
      </c>
      <c r="L85" s="45"/>
      <c r="M85" s="52">
        <f>ROUND(SUM(G85:K85),5)</f>
        <v>56.25</v>
      </c>
    </row>
    <row r="86" spans="1:13" x14ac:dyDescent="0.3">
      <c r="A86" s="43"/>
      <c r="B86" s="43"/>
      <c r="C86" s="43"/>
      <c r="D86" s="43"/>
      <c r="E86" s="43"/>
      <c r="F86" s="43" t="s">
        <v>239</v>
      </c>
      <c r="G86" s="52">
        <v>118.54</v>
      </c>
      <c r="H86" s="45"/>
      <c r="I86" s="52">
        <v>0</v>
      </c>
      <c r="J86" s="45"/>
      <c r="K86" s="52">
        <v>0</v>
      </c>
      <c r="L86" s="45"/>
      <c r="M86" s="52">
        <f>ROUND(SUM(G86:K86),5)</f>
        <v>118.54</v>
      </c>
    </row>
    <row r="87" spans="1:13" ht="15" thickBot="1" x14ac:dyDescent="0.35">
      <c r="A87" s="43"/>
      <c r="B87" s="43"/>
      <c r="C87" s="43"/>
      <c r="D87" s="43"/>
      <c r="E87" s="43"/>
      <c r="F87" s="43" t="s">
        <v>411</v>
      </c>
      <c r="G87" s="54">
        <v>134.13</v>
      </c>
      <c r="H87" s="45"/>
      <c r="I87" s="54">
        <v>11785</v>
      </c>
      <c r="J87" s="45"/>
      <c r="K87" s="54">
        <v>0</v>
      </c>
      <c r="L87" s="45"/>
      <c r="M87" s="54">
        <f>ROUND(SUM(G87:K87),5)</f>
        <v>11919.13</v>
      </c>
    </row>
    <row r="88" spans="1:13" x14ac:dyDescent="0.3">
      <c r="A88" s="43"/>
      <c r="B88" s="43"/>
      <c r="C88" s="43"/>
      <c r="D88" s="43"/>
      <c r="E88" s="43" t="s">
        <v>378</v>
      </c>
      <c r="F88" s="43"/>
      <c r="G88" s="52">
        <f>ROUND(SUM(G84:G87),5)</f>
        <v>308.92</v>
      </c>
      <c r="H88" s="45"/>
      <c r="I88" s="52">
        <f>ROUND(SUM(I84:I87),5)</f>
        <v>11785</v>
      </c>
      <c r="J88" s="45"/>
      <c r="K88" s="52">
        <f>ROUND(SUM(K84:K87),5)</f>
        <v>0</v>
      </c>
      <c r="L88" s="45"/>
      <c r="M88" s="52">
        <f>ROUND(SUM(G88:K88),5)</f>
        <v>12093.92</v>
      </c>
    </row>
    <row r="89" spans="1:13" ht="30" customHeight="1" x14ac:dyDescent="0.3">
      <c r="A89" s="43"/>
      <c r="B89" s="43"/>
      <c r="C89" s="43"/>
      <c r="D89" s="43"/>
      <c r="E89" s="43" t="s">
        <v>242</v>
      </c>
      <c r="F89" s="43"/>
      <c r="G89" s="52"/>
      <c r="H89" s="45"/>
      <c r="I89" s="52"/>
      <c r="J89" s="45"/>
      <c r="K89" s="52"/>
      <c r="L89" s="45"/>
      <c r="M89" s="52"/>
    </row>
    <row r="90" spans="1:13" x14ac:dyDescent="0.3">
      <c r="A90" s="43"/>
      <c r="B90" s="43"/>
      <c r="C90" s="43"/>
      <c r="D90" s="43"/>
      <c r="E90" s="43"/>
      <c r="F90" s="43" t="s">
        <v>338</v>
      </c>
      <c r="G90" s="52">
        <v>1056.25</v>
      </c>
      <c r="H90" s="45"/>
      <c r="I90" s="52">
        <v>605.95000000000005</v>
      </c>
      <c r="J90" s="45"/>
      <c r="K90" s="52">
        <v>2336.25</v>
      </c>
      <c r="L90" s="45"/>
      <c r="M90" s="52">
        <f>ROUND(SUM(G90:K90),5)</f>
        <v>3998.45</v>
      </c>
    </row>
    <row r="91" spans="1:13" x14ac:dyDescent="0.3">
      <c r="A91" s="43"/>
      <c r="B91" s="43"/>
      <c r="C91" s="43"/>
      <c r="D91" s="43"/>
      <c r="E91" s="43"/>
      <c r="F91" s="43" t="s">
        <v>379</v>
      </c>
      <c r="G91" s="52">
        <v>0</v>
      </c>
      <c r="H91" s="45"/>
      <c r="I91" s="52">
        <v>0</v>
      </c>
      <c r="J91" s="45"/>
      <c r="K91" s="52">
        <v>15.01</v>
      </c>
      <c r="L91" s="45"/>
      <c r="M91" s="52">
        <f>ROUND(SUM(G91:K91),5)</f>
        <v>15.01</v>
      </c>
    </row>
    <row r="92" spans="1:13" ht="15" thickBot="1" x14ac:dyDescent="0.35">
      <c r="A92" s="43"/>
      <c r="B92" s="43"/>
      <c r="C92" s="43"/>
      <c r="D92" s="43"/>
      <c r="E92" s="43"/>
      <c r="F92" s="43" t="s">
        <v>339</v>
      </c>
      <c r="G92" s="54">
        <v>0</v>
      </c>
      <c r="H92" s="45"/>
      <c r="I92" s="54">
        <v>0</v>
      </c>
      <c r="J92" s="45"/>
      <c r="K92" s="54">
        <v>305.19</v>
      </c>
      <c r="L92" s="45"/>
      <c r="M92" s="54">
        <f>ROUND(SUM(G92:K92),5)</f>
        <v>305.19</v>
      </c>
    </row>
    <row r="93" spans="1:13" x14ac:dyDescent="0.3">
      <c r="A93" s="43"/>
      <c r="B93" s="43"/>
      <c r="C93" s="43"/>
      <c r="D93" s="43"/>
      <c r="E93" s="43" t="s">
        <v>244</v>
      </c>
      <c r="F93" s="43"/>
      <c r="G93" s="52">
        <f>ROUND(SUM(G89:G92),5)</f>
        <v>1056.25</v>
      </c>
      <c r="H93" s="45"/>
      <c r="I93" s="52">
        <f>ROUND(SUM(I89:I92),5)</f>
        <v>605.95000000000005</v>
      </c>
      <c r="J93" s="45"/>
      <c r="K93" s="52">
        <f>ROUND(SUM(K89:K92),5)</f>
        <v>2656.45</v>
      </c>
      <c r="L93" s="45"/>
      <c r="M93" s="52">
        <f>ROUND(SUM(G93:K93),5)</f>
        <v>4318.6499999999996</v>
      </c>
    </row>
    <row r="94" spans="1:13" ht="30" customHeight="1" x14ac:dyDescent="0.3">
      <c r="A94" s="43"/>
      <c r="B94" s="43"/>
      <c r="C94" s="43"/>
      <c r="D94" s="43"/>
      <c r="E94" s="43" t="s">
        <v>245</v>
      </c>
      <c r="F94" s="43"/>
      <c r="G94" s="52">
        <v>5327.59</v>
      </c>
      <c r="H94" s="45"/>
      <c r="I94" s="52">
        <v>5016.84</v>
      </c>
      <c r="J94" s="45"/>
      <c r="K94" s="52">
        <v>5317.92</v>
      </c>
      <c r="L94" s="45"/>
      <c r="M94" s="52">
        <f>ROUND(SUM(G94:K94),5)</f>
        <v>15662.35</v>
      </c>
    </row>
    <row r="95" spans="1:13" x14ac:dyDescent="0.3">
      <c r="A95" s="43"/>
      <c r="B95" s="43"/>
      <c r="C95" s="43"/>
      <c r="D95" s="43"/>
      <c r="E95" s="43" t="s">
        <v>340</v>
      </c>
      <c r="F95" s="43"/>
      <c r="G95" s="52"/>
      <c r="H95" s="45"/>
      <c r="I95" s="52"/>
      <c r="J95" s="45"/>
      <c r="K95" s="52"/>
      <c r="L95" s="45"/>
      <c r="M95" s="52"/>
    </row>
    <row r="96" spans="1:13" x14ac:dyDescent="0.3">
      <c r="A96" s="43"/>
      <c r="B96" s="43"/>
      <c r="C96" s="43"/>
      <c r="D96" s="43"/>
      <c r="E96" s="43"/>
      <c r="F96" s="43" t="s">
        <v>698</v>
      </c>
      <c r="G96" s="52">
        <v>0</v>
      </c>
      <c r="H96" s="45"/>
      <c r="I96" s="52">
        <v>0</v>
      </c>
      <c r="J96" s="45"/>
      <c r="K96" s="52">
        <v>611.45000000000005</v>
      </c>
      <c r="L96" s="45"/>
      <c r="M96" s="52">
        <f>ROUND(SUM(G96:K96),5)</f>
        <v>611.45000000000005</v>
      </c>
    </row>
    <row r="97" spans="1:13" x14ac:dyDescent="0.3">
      <c r="A97" s="43"/>
      <c r="B97" s="43"/>
      <c r="C97" s="43"/>
      <c r="D97" s="43"/>
      <c r="E97" s="43"/>
      <c r="F97" s="43" t="s">
        <v>247</v>
      </c>
      <c r="G97" s="52">
        <v>108.17</v>
      </c>
      <c r="H97" s="45"/>
      <c r="I97" s="52">
        <v>186.69</v>
      </c>
      <c r="J97" s="45"/>
      <c r="K97" s="52">
        <v>154.04</v>
      </c>
      <c r="L97" s="45"/>
      <c r="M97" s="52">
        <f>ROUND(SUM(G97:K97),5)</f>
        <v>448.9</v>
      </c>
    </row>
    <row r="98" spans="1:13" ht="15" thickBot="1" x14ac:dyDescent="0.35">
      <c r="A98" s="43"/>
      <c r="B98" s="43"/>
      <c r="C98" s="43"/>
      <c r="D98" s="43"/>
      <c r="E98" s="43"/>
      <c r="F98" s="43" t="s">
        <v>341</v>
      </c>
      <c r="G98" s="54">
        <v>944.24</v>
      </c>
      <c r="H98" s="45"/>
      <c r="I98" s="54">
        <v>2297.5</v>
      </c>
      <c r="J98" s="45"/>
      <c r="K98" s="54">
        <v>317.51</v>
      </c>
      <c r="L98" s="45"/>
      <c r="M98" s="54">
        <f>ROUND(SUM(G98:K98),5)</f>
        <v>3559.25</v>
      </c>
    </row>
    <row r="99" spans="1:13" x14ac:dyDescent="0.3">
      <c r="A99" s="43"/>
      <c r="B99" s="43"/>
      <c r="C99" s="43"/>
      <c r="D99" s="43"/>
      <c r="E99" s="43" t="s">
        <v>342</v>
      </c>
      <c r="F99" s="43"/>
      <c r="G99" s="52">
        <f>ROUND(SUM(G95:G98),5)</f>
        <v>1052.4100000000001</v>
      </c>
      <c r="H99" s="45"/>
      <c r="I99" s="52">
        <f>ROUND(SUM(I95:I98),5)</f>
        <v>2484.19</v>
      </c>
      <c r="J99" s="45"/>
      <c r="K99" s="52">
        <f>ROUND(SUM(K95:K98),5)</f>
        <v>1083</v>
      </c>
      <c r="L99" s="45"/>
      <c r="M99" s="52">
        <f>ROUND(SUM(G99:K99),5)</f>
        <v>4619.6000000000004</v>
      </c>
    </row>
    <row r="100" spans="1:13" ht="30" customHeight="1" x14ac:dyDescent="0.3">
      <c r="A100" s="43"/>
      <c r="B100" s="43"/>
      <c r="C100" s="43"/>
      <c r="D100" s="43"/>
      <c r="E100" s="43" t="s">
        <v>250</v>
      </c>
      <c r="F100" s="43"/>
      <c r="G100" s="52"/>
      <c r="H100" s="45"/>
      <c r="I100" s="52"/>
      <c r="J100" s="45"/>
      <c r="K100" s="52"/>
      <c r="L100" s="45"/>
      <c r="M100" s="52"/>
    </row>
    <row r="101" spans="1:13" x14ac:dyDescent="0.3">
      <c r="A101" s="43"/>
      <c r="B101" s="43"/>
      <c r="C101" s="43"/>
      <c r="D101" s="43"/>
      <c r="E101" s="43"/>
      <c r="F101" s="43" t="s">
        <v>251</v>
      </c>
      <c r="G101" s="52">
        <v>231.25</v>
      </c>
      <c r="H101" s="45"/>
      <c r="I101" s="52">
        <v>221.5</v>
      </c>
      <c r="J101" s="45"/>
      <c r="K101" s="52">
        <v>420</v>
      </c>
      <c r="L101" s="45"/>
      <c r="M101" s="52">
        <f>ROUND(SUM(G101:K101),5)</f>
        <v>872.75</v>
      </c>
    </row>
    <row r="102" spans="1:13" x14ac:dyDescent="0.3">
      <c r="A102" s="43"/>
      <c r="B102" s="43"/>
      <c r="C102" s="43"/>
      <c r="D102" s="43"/>
      <c r="E102" s="43"/>
      <c r="F102" s="43" t="s">
        <v>343</v>
      </c>
      <c r="G102" s="52">
        <v>164.14</v>
      </c>
      <c r="H102" s="45"/>
      <c r="I102" s="52">
        <v>118.93</v>
      </c>
      <c r="J102" s="45"/>
      <c r="K102" s="52">
        <v>513.04999999999995</v>
      </c>
      <c r="L102" s="45"/>
      <c r="M102" s="52">
        <f>ROUND(SUM(G102:K102),5)</f>
        <v>796.12</v>
      </c>
    </row>
    <row r="103" spans="1:13" ht="15" thickBot="1" x14ac:dyDescent="0.35">
      <c r="A103" s="43"/>
      <c r="B103" s="43"/>
      <c r="C103" s="43"/>
      <c r="D103" s="43"/>
      <c r="E103" s="43"/>
      <c r="F103" s="43" t="s">
        <v>252</v>
      </c>
      <c r="G103" s="54">
        <v>544.70000000000005</v>
      </c>
      <c r="H103" s="45"/>
      <c r="I103" s="54">
        <v>0</v>
      </c>
      <c r="J103" s="45"/>
      <c r="K103" s="54">
        <v>523.29999999999995</v>
      </c>
      <c r="L103" s="45"/>
      <c r="M103" s="54">
        <f>ROUND(SUM(G103:K103),5)</f>
        <v>1068</v>
      </c>
    </row>
    <row r="104" spans="1:13" x14ac:dyDescent="0.3">
      <c r="A104" s="43"/>
      <c r="B104" s="43"/>
      <c r="C104" s="43"/>
      <c r="D104" s="43"/>
      <c r="E104" s="43" t="s">
        <v>253</v>
      </c>
      <c r="F104" s="43"/>
      <c r="G104" s="52">
        <f>ROUND(SUM(G100:G103),5)</f>
        <v>940.09</v>
      </c>
      <c r="H104" s="45"/>
      <c r="I104" s="52">
        <f>ROUND(SUM(I100:I103),5)</f>
        <v>340.43</v>
      </c>
      <c r="J104" s="45"/>
      <c r="K104" s="52">
        <f>ROUND(SUM(K100:K103),5)</f>
        <v>1456.35</v>
      </c>
      <c r="L104" s="45"/>
      <c r="M104" s="52">
        <f>ROUND(SUM(G104:K104),5)</f>
        <v>2736.87</v>
      </c>
    </row>
    <row r="105" spans="1:13" ht="30" customHeight="1" x14ac:dyDescent="0.3">
      <c r="A105" s="43"/>
      <c r="B105" s="43"/>
      <c r="C105" s="43"/>
      <c r="D105" s="43"/>
      <c r="E105" s="43" t="s">
        <v>493</v>
      </c>
      <c r="F105" s="43"/>
      <c r="G105" s="52"/>
      <c r="H105" s="45"/>
      <c r="I105" s="52"/>
      <c r="J105" s="45"/>
      <c r="K105" s="52"/>
      <c r="L105" s="45"/>
      <c r="M105" s="52"/>
    </row>
    <row r="106" spans="1:13" x14ac:dyDescent="0.3">
      <c r="A106" s="43"/>
      <c r="B106" s="43"/>
      <c r="C106" s="43"/>
      <c r="D106" s="43"/>
      <c r="E106" s="43"/>
      <c r="F106" s="43" t="s">
        <v>345</v>
      </c>
      <c r="G106" s="52">
        <v>0</v>
      </c>
      <c r="H106" s="45"/>
      <c r="I106" s="52">
        <v>0</v>
      </c>
      <c r="J106" s="45"/>
      <c r="K106" s="52">
        <v>0</v>
      </c>
      <c r="L106" s="45"/>
      <c r="M106" s="52">
        <f>ROUND(SUM(G106:K106),5)</f>
        <v>0</v>
      </c>
    </row>
    <row r="107" spans="1:13" ht="15" thickBot="1" x14ac:dyDescent="0.35">
      <c r="A107" s="43"/>
      <c r="B107" s="43"/>
      <c r="C107" s="43"/>
      <c r="D107" s="43"/>
      <c r="E107" s="43"/>
      <c r="F107" s="43" t="s">
        <v>494</v>
      </c>
      <c r="G107" s="54">
        <v>0</v>
      </c>
      <c r="H107" s="45"/>
      <c r="I107" s="54">
        <v>0</v>
      </c>
      <c r="J107" s="45"/>
      <c r="K107" s="54">
        <v>265.87</v>
      </c>
      <c r="L107" s="45"/>
      <c r="M107" s="54">
        <f>ROUND(SUM(G107:K107),5)</f>
        <v>265.87</v>
      </c>
    </row>
    <row r="108" spans="1:13" x14ac:dyDescent="0.3">
      <c r="A108" s="43"/>
      <c r="B108" s="43"/>
      <c r="C108" s="43"/>
      <c r="D108" s="43"/>
      <c r="E108" s="43" t="s">
        <v>495</v>
      </c>
      <c r="F108" s="43"/>
      <c r="G108" s="52">
        <f>ROUND(SUM(G105:G107),5)</f>
        <v>0</v>
      </c>
      <c r="H108" s="45"/>
      <c r="I108" s="52">
        <f>ROUND(SUM(I105:I107),5)</f>
        <v>0</v>
      </c>
      <c r="J108" s="45"/>
      <c r="K108" s="52">
        <f>ROUND(SUM(K105:K107),5)</f>
        <v>265.87</v>
      </c>
      <c r="L108" s="45"/>
      <c r="M108" s="52">
        <f>ROUND(SUM(G108:K108),5)</f>
        <v>265.87</v>
      </c>
    </row>
    <row r="109" spans="1:13" ht="30" customHeight="1" x14ac:dyDescent="0.3">
      <c r="A109" s="43"/>
      <c r="B109" s="43"/>
      <c r="C109" s="43"/>
      <c r="D109" s="43"/>
      <c r="E109" s="43" t="s">
        <v>254</v>
      </c>
      <c r="F109" s="43"/>
      <c r="G109" s="52"/>
      <c r="H109" s="45"/>
      <c r="I109" s="52"/>
      <c r="J109" s="45"/>
      <c r="K109" s="52"/>
      <c r="L109" s="45"/>
      <c r="M109" s="52"/>
    </row>
    <row r="110" spans="1:13" x14ac:dyDescent="0.3">
      <c r="A110" s="43"/>
      <c r="B110" s="43"/>
      <c r="C110" s="43"/>
      <c r="D110" s="43"/>
      <c r="E110" s="43"/>
      <c r="F110" s="43" t="s">
        <v>255</v>
      </c>
      <c r="G110" s="52">
        <v>365.6</v>
      </c>
      <c r="H110" s="45"/>
      <c r="I110" s="52">
        <v>1053.75</v>
      </c>
      <c r="J110" s="45"/>
      <c r="K110" s="52">
        <v>1312.5</v>
      </c>
      <c r="L110" s="45"/>
      <c r="M110" s="52">
        <f t="shared" ref="M110:M116" si="6">ROUND(SUM(G110:K110),5)</f>
        <v>2731.85</v>
      </c>
    </row>
    <row r="111" spans="1:13" x14ac:dyDescent="0.3">
      <c r="A111" s="43"/>
      <c r="B111" s="43"/>
      <c r="C111" s="43"/>
      <c r="D111" s="43"/>
      <c r="E111" s="43"/>
      <c r="F111" s="43" t="s">
        <v>256</v>
      </c>
      <c r="G111" s="52">
        <v>131</v>
      </c>
      <c r="H111" s="45"/>
      <c r="I111" s="52">
        <v>25.12</v>
      </c>
      <c r="J111" s="45"/>
      <c r="K111" s="52">
        <v>144.88999999999999</v>
      </c>
      <c r="L111" s="45"/>
      <c r="M111" s="52">
        <f t="shared" si="6"/>
        <v>301.01</v>
      </c>
    </row>
    <row r="112" spans="1:13" x14ac:dyDescent="0.3">
      <c r="A112" s="43"/>
      <c r="B112" s="43"/>
      <c r="C112" s="43"/>
      <c r="D112" s="43"/>
      <c r="E112" s="43"/>
      <c r="F112" s="43" t="s">
        <v>257</v>
      </c>
      <c r="G112" s="52">
        <v>412.5</v>
      </c>
      <c r="H112" s="45"/>
      <c r="I112" s="52">
        <v>484.8</v>
      </c>
      <c r="J112" s="45"/>
      <c r="K112" s="52">
        <v>724.5</v>
      </c>
      <c r="L112" s="45"/>
      <c r="M112" s="52">
        <f t="shared" si="6"/>
        <v>1621.8</v>
      </c>
    </row>
    <row r="113" spans="1:13" x14ac:dyDescent="0.3">
      <c r="A113" s="43"/>
      <c r="B113" s="43"/>
      <c r="C113" s="43"/>
      <c r="D113" s="43"/>
      <c r="E113" s="43"/>
      <c r="F113" s="43" t="s">
        <v>258</v>
      </c>
      <c r="G113" s="52">
        <v>1081.44</v>
      </c>
      <c r="H113" s="45"/>
      <c r="I113" s="52">
        <v>701.65</v>
      </c>
      <c r="J113" s="45"/>
      <c r="K113" s="52">
        <v>798.55</v>
      </c>
      <c r="L113" s="45"/>
      <c r="M113" s="52">
        <f t="shared" si="6"/>
        <v>2581.64</v>
      </c>
    </row>
    <row r="114" spans="1:13" x14ac:dyDescent="0.3">
      <c r="A114" s="43"/>
      <c r="B114" s="43"/>
      <c r="C114" s="43"/>
      <c r="D114" s="43"/>
      <c r="E114" s="43"/>
      <c r="F114" s="43" t="s">
        <v>259</v>
      </c>
      <c r="G114" s="52">
        <v>70</v>
      </c>
      <c r="H114" s="45"/>
      <c r="I114" s="52">
        <v>0</v>
      </c>
      <c r="J114" s="45"/>
      <c r="K114" s="52">
        <v>0</v>
      </c>
      <c r="L114" s="45"/>
      <c r="M114" s="52">
        <f t="shared" si="6"/>
        <v>70</v>
      </c>
    </row>
    <row r="115" spans="1:13" ht="15" thickBot="1" x14ac:dyDescent="0.35">
      <c r="A115" s="43"/>
      <c r="B115" s="43"/>
      <c r="C115" s="43"/>
      <c r="D115" s="43"/>
      <c r="E115" s="43"/>
      <c r="F115" s="43" t="s">
        <v>260</v>
      </c>
      <c r="G115" s="54">
        <v>0</v>
      </c>
      <c r="H115" s="45"/>
      <c r="I115" s="54">
        <v>0</v>
      </c>
      <c r="J115" s="45"/>
      <c r="K115" s="54">
        <v>3816.64</v>
      </c>
      <c r="L115" s="45"/>
      <c r="M115" s="54">
        <f t="shared" si="6"/>
        <v>3816.64</v>
      </c>
    </row>
    <row r="116" spans="1:13" x14ac:dyDescent="0.3">
      <c r="A116" s="43"/>
      <c r="B116" s="43"/>
      <c r="C116" s="43"/>
      <c r="D116" s="43"/>
      <c r="E116" s="43" t="s">
        <v>261</v>
      </c>
      <c r="F116" s="43"/>
      <c r="G116" s="52">
        <f>ROUND(SUM(G109:G115),5)</f>
        <v>2060.54</v>
      </c>
      <c r="H116" s="45"/>
      <c r="I116" s="52">
        <f>ROUND(SUM(I109:I115),5)</f>
        <v>2265.3200000000002</v>
      </c>
      <c r="J116" s="45"/>
      <c r="K116" s="52">
        <f>ROUND(SUM(K109:K115),5)</f>
        <v>6797.08</v>
      </c>
      <c r="L116" s="45"/>
      <c r="M116" s="52">
        <f t="shared" si="6"/>
        <v>11122.94</v>
      </c>
    </row>
    <row r="117" spans="1:13" ht="30" customHeight="1" x14ac:dyDescent="0.3">
      <c r="A117" s="43"/>
      <c r="B117" s="43"/>
      <c r="C117" s="43"/>
      <c r="D117" s="43"/>
      <c r="E117" s="43" t="s">
        <v>262</v>
      </c>
      <c r="F117" s="43"/>
      <c r="G117" s="52"/>
      <c r="H117" s="45"/>
      <c r="I117" s="52"/>
      <c r="J117" s="45"/>
      <c r="K117" s="52"/>
      <c r="L117" s="45"/>
      <c r="M117" s="52"/>
    </row>
    <row r="118" spans="1:13" ht="15" thickBot="1" x14ac:dyDescent="0.35">
      <c r="A118" s="43"/>
      <c r="B118" s="43"/>
      <c r="C118" s="43"/>
      <c r="D118" s="43"/>
      <c r="E118" s="43"/>
      <c r="F118" s="43" t="s">
        <v>263</v>
      </c>
      <c r="G118" s="54">
        <v>31.25</v>
      </c>
      <c r="H118" s="45"/>
      <c r="I118" s="54">
        <v>0</v>
      </c>
      <c r="J118" s="45"/>
      <c r="K118" s="54">
        <v>0</v>
      </c>
      <c r="L118" s="45"/>
      <c r="M118" s="54">
        <f>ROUND(SUM(G118:K118),5)</f>
        <v>31.25</v>
      </c>
    </row>
    <row r="119" spans="1:13" x14ac:dyDescent="0.3">
      <c r="A119" s="43"/>
      <c r="B119" s="43"/>
      <c r="C119" s="43"/>
      <c r="D119" s="43"/>
      <c r="E119" s="43" t="s">
        <v>265</v>
      </c>
      <c r="F119" s="43"/>
      <c r="G119" s="52">
        <f>ROUND(SUM(G117:G118),5)</f>
        <v>31.25</v>
      </c>
      <c r="H119" s="45"/>
      <c r="I119" s="52">
        <f>ROUND(SUM(I117:I118),5)</f>
        <v>0</v>
      </c>
      <c r="J119" s="45"/>
      <c r="K119" s="52">
        <f>ROUND(SUM(K117:K118),5)</f>
        <v>0</v>
      </c>
      <c r="L119" s="45"/>
      <c r="M119" s="52">
        <f>ROUND(SUM(G119:K119),5)</f>
        <v>31.25</v>
      </c>
    </row>
    <row r="120" spans="1:13" ht="30" customHeight="1" x14ac:dyDescent="0.3">
      <c r="A120" s="43"/>
      <c r="B120" s="43"/>
      <c r="C120" s="43"/>
      <c r="D120" s="43"/>
      <c r="E120" s="43" t="s">
        <v>266</v>
      </c>
      <c r="F120" s="43"/>
      <c r="G120" s="52"/>
      <c r="H120" s="45"/>
      <c r="I120" s="52"/>
      <c r="J120" s="45"/>
      <c r="K120" s="52"/>
      <c r="L120" s="45"/>
      <c r="M120" s="52"/>
    </row>
    <row r="121" spans="1:13" x14ac:dyDescent="0.3">
      <c r="A121" s="43"/>
      <c r="B121" s="43"/>
      <c r="C121" s="43"/>
      <c r="D121" s="43"/>
      <c r="E121" s="43"/>
      <c r="F121" s="43" t="s">
        <v>347</v>
      </c>
      <c r="G121" s="52">
        <v>931.25</v>
      </c>
      <c r="H121" s="45"/>
      <c r="I121" s="52">
        <v>536.25</v>
      </c>
      <c r="J121" s="45"/>
      <c r="K121" s="52">
        <v>409.5</v>
      </c>
      <c r="L121" s="45"/>
      <c r="M121" s="52">
        <f>ROUND(SUM(G121:K121),5)</f>
        <v>1877</v>
      </c>
    </row>
    <row r="122" spans="1:13" ht="15" thickBot="1" x14ac:dyDescent="0.35">
      <c r="A122" s="43"/>
      <c r="B122" s="43"/>
      <c r="C122" s="43"/>
      <c r="D122" s="43"/>
      <c r="E122" s="43"/>
      <c r="F122" s="43" t="s">
        <v>268</v>
      </c>
      <c r="G122" s="52">
        <v>3182.1</v>
      </c>
      <c r="H122" s="45"/>
      <c r="I122" s="52">
        <v>413.7</v>
      </c>
      <c r="J122" s="45"/>
      <c r="K122" s="52">
        <v>0</v>
      </c>
      <c r="L122" s="45"/>
      <c r="M122" s="52">
        <f>ROUND(SUM(G122:K122),5)</f>
        <v>3595.8</v>
      </c>
    </row>
    <row r="123" spans="1:13" ht="15" thickBot="1" x14ac:dyDescent="0.35">
      <c r="A123" s="43"/>
      <c r="B123" s="43"/>
      <c r="C123" s="43"/>
      <c r="D123" s="43"/>
      <c r="E123" s="43" t="s">
        <v>269</v>
      </c>
      <c r="F123" s="43"/>
      <c r="G123" s="53">
        <f>ROUND(SUM(G120:G122),5)</f>
        <v>4113.3500000000004</v>
      </c>
      <c r="H123" s="45"/>
      <c r="I123" s="53">
        <f>ROUND(SUM(I120:I122),5)</f>
        <v>949.95</v>
      </c>
      <c r="J123" s="45"/>
      <c r="K123" s="53">
        <f>ROUND(SUM(K120:K122),5)</f>
        <v>409.5</v>
      </c>
      <c r="L123" s="45"/>
      <c r="M123" s="53">
        <f>ROUND(SUM(G123:K123),5)</f>
        <v>5472.8</v>
      </c>
    </row>
    <row r="124" spans="1:13" ht="30" customHeight="1" x14ac:dyDescent="0.3">
      <c r="A124" s="43"/>
      <c r="B124" s="43"/>
      <c r="C124" s="43"/>
      <c r="D124" s="43" t="s">
        <v>270</v>
      </c>
      <c r="E124" s="43"/>
      <c r="F124" s="43"/>
      <c r="G124" s="52">
        <f>ROUND(G60+G69+G73+G77+G83+G88+SUM(G93:G94)+G99+G104+G108+G116+G119+G123,5)</f>
        <v>25044.45</v>
      </c>
      <c r="H124" s="45"/>
      <c r="I124" s="52">
        <f>ROUND(I60+I69+I73+I77+I83+I88+SUM(I93:I94)+I99+I104+I108+I116+I119+I123,5)</f>
        <v>32335.759999999998</v>
      </c>
      <c r="J124" s="45"/>
      <c r="K124" s="52">
        <f>ROUND(K60+K69+K73+K77+K83+K88+SUM(K93:K94)+K99+K104+K108+K116+K119+K123,5)</f>
        <v>29493.200000000001</v>
      </c>
      <c r="L124" s="45"/>
      <c r="M124" s="52">
        <f>ROUND(SUM(G124:K124),5)</f>
        <v>86873.41</v>
      </c>
    </row>
    <row r="125" spans="1:13" ht="30" customHeight="1" x14ac:dyDescent="0.3">
      <c r="A125" s="43"/>
      <c r="B125" s="43"/>
      <c r="C125" s="43"/>
      <c r="D125" s="43" t="s">
        <v>271</v>
      </c>
      <c r="E125" s="43"/>
      <c r="F125" s="43"/>
      <c r="G125" s="52"/>
      <c r="H125" s="45"/>
      <c r="I125" s="52"/>
      <c r="J125" s="45"/>
      <c r="K125" s="52"/>
      <c r="L125" s="45"/>
      <c r="M125" s="52"/>
    </row>
    <row r="126" spans="1:13" ht="15" thickBot="1" x14ac:dyDescent="0.35">
      <c r="A126" s="43"/>
      <c r="B126" s="43"/>
      <c r="C126" s="43"/>
      <c r="D126" s="43"/>
      <c r="E126" s="43" t="s">
        <v>813</v>
      </c>
      <c r="F126" s="43"/>
      <c r="G126" s="54">
        <v>5652.23</v>
      </c>
      <c r="H126" s="45"/>
      <c r="I126" s="54">
        <v>7169.85</v>
      </c>
      <c r="J126" s="45"/>
      <c r="K126" s="54">
        <v>6208.38</v>
      </c>
      <c r="L126" s="45"/>
      <c r="M126" s="54">
        <f>ROUND(SUM(G126:K126),5)</f>
        <v>19030.46</v>
      </c>
    </row>
    <row r="127" spans="1:13" x14ac:dyDescent="0.3">
      <c r="A127" s="43"/>
      <c r="B127" s="43"/>
      <c r="C127" s="43"/>
      <c r="D127" s="43" t="s">
        <v>417</v>
      </c>
      <c r="E127" s="43"/>
      <c r="F127" s="43"/>
      <c r="G127" s="52">
        <f>ROUND(SUM(G125:G126),5)</f>
        <v>5652.23</v>
      </c>
      <c r="H127" s="45"/>
      <c r="I127" s="52">
        <f>ROUND(SUM(I125:I126),5)</f>
        <v>7169.85</v>
      </c>
      <c r="J127" s="45"/>
      <c r="K127" s="52">
        <f>ROUND(SUM(K125:K126),5)</f>
        <v>6208.38</v>
      </c>
      <c r="L127" s="45"/>
      <c r="M127" s="52">
        <f>ROUND(SUM(G127:K127),5)</f>
        <v>19030.46</v>
      </c>
    </row>
    <row r="128" spans="1:13" ht="30" customHeight="1" x14ac:dyDescent="0.3">
      <c r="A128" s="43"/>
      <c r="B128" s="43"/>
      <c r="C128" s="43"/>
      <c r="D128" s="43" t="s">
        <v>272</v>
      </c>
      <c r="E128" s="43"/>
      <c r="F128" s="43"/>
      <c r="G128" s="52"/>
      <c r="H128" s="45"/>
      <c r="I128" s="52"/>
      <c r="J128" s="45"/>
      <c r="K128" s="52"/>
      <c r="L128" s="45"/>
      <c r="M128" s="52"/>
    </row>
    <row r="129" spans="1:13" x14ac:dyDescent="0.3">
      <c r="A129" s="43"/>
      <c r="B129" s="43"/>
      <c r="C129" s="43"/>
      <c r="D129" s="43"/>
      <c r="E129" s="43" t="s">
        <v>814</v>
      </c>
      <c r="F129" s="43"/>
      <c r="G129" s="52">
        <v>0</v>
      </c>
      <c r="H129" s="45"/>
      <c r="I129" s="52">
        <v>0</v>
      </c>
      <c r="J129" s="45"/>
      <c r="K129" s="52">
        <v>-56188.5</v>
      </c>
      <c r="L129" s="45"/>
      <c r="M129" s="52">
        <f t="shared" ref="M129:M134" si="7">ROUND(SUM(G129:K129),5)</f>
        <v>-56188.5</v>
      </c>
    </row>
    <row r="130" spans="1:13" x14ac:dyDescent="0.3">
      <c r="A130" s="43"/>
      <c r="B130" s="43"/>
      <c r="C130" s="43"/>
      <c r="D130" s="43"/>
      <c r="E130" s="43" t="s">
        <v>815</v>
      </c>
      <c r="F130" s="43"/>
      <c r="G130" s="52">
        <v>0</v>
      </c>
      <c r="H130" s="45"/>
      <c r="I130" s="52">
        <v>0</v>
      </c>
      <c r="J130" s="45"/>
      <c r="K130" s="52">
        <v>-606.34</v>
      </c>
      <c r="L130" s="45"/>
      <c r="M130" s="52">
        <f t="shared" si="7"/>
        <v>-606.34</v>
      </c>
    </row>
    <row r="131" spans="1:13" x14ac:dyDescent="0.3">
      <c r="A131" s="43"/>
      <c r="B131" s="43"/>
      <c r="C131" s="43"/>
      <c r="D131" s="43"/>
      <c r="E131" s="43" t="s">
        <v>348</v>
      </c>
      <c r="F131" s="43"/>
      <c r="G131" s="52">
        <v>80349.52</v>
      </c>
      <c r="H131" s="45"/>
      <c r="I131" s="52">
        <v>77598</v>
      </c>
      <c r="J131" s="45"/>
      <c r="K131" s="52">
        <v>106129.19</v>
      </c>
      <c r="L131" s="45"/>
      <c r="M131" s="52">
        <f t="shared" si="7"/>
        <v>264076.71000000002</v>
      </c>
    </row>
    <row r="132" spans="1:13" ht="15" thickBot="1" x14ac:dyDescent="0.35">
      <c r="A132" s="43"/>
      <c r="B132" s="43"/>
      <c r="C132" s="43"/>
      <c r="D132" s="43"/>
      <c r="E132" s="43" t="s">
        <v>385</v>
      </c>
      <c r="F132" s="43"/>
      <c r="G132" s="54">
        <v>50</v>
      </c>
      <c r="H132" s="45"/>
      <c r="I132" s="54">
        <v>50</v>
      </c>
      <c r="J132" s="45"/>
      <c r="K132" s="54">
        <v>50</v>
      </c>
      <c r="L132" s="45"/>
      <c r="M132" s="54">
        <f t="shared" si="7"/>
        <v>150</v>
      </c>
    </row>
    <row r="133" spans="1:13" x14ac:dyDescent="0.3">
      <c r="A133" s="43"/>
      <c r="B133" s="43"/>
      <c r="C133" s="43"/>
      <c r="D133" s="43" t="s">
        <v>277</v>
      </c>
      <c r="E133" s="43"/>
      <c r="F133" s="43"/>
      <c r="G133" s="52">
        <f>ROUND(SUM(G128:G132),5)</f>
        <v>80399.520000000004</v>
      </c>
      <c r="H133" s="45"/>
      <c r="I133" s="52">
        <f>ROUND(SUM(I128:I132),5)</f>
        <v>77648</v>
      </c>
      <c r="J133" s="45"/>
      <c r="K133" s="52">
        <f>ROUND(SUM(K128:K132),5)</f>
        <v>49384.35</v>
      </c>
      <c r="L133" s="45"/>
      <c r="M133" s="52">
        <f t="shared" si="7"/>
        <v>207431.87</v>
      </c>
    </row>
    <row r="134" spans="1:13" ht="30" customHeight="1" x14ac:dyDescent="0.3">
      <c r="A134" s="43"/>
      <c r="B134" s="43"/>
      <c r="C134" s="43"/>
      <c r="D134" s="43" t="s">
        <v>681</v>
      </c>
      <c r="E134" s="43"/>
      <c r="F134" s="43"/>
      <c r="G134" s="52">
        <v>0</v>
      </c>
      <c r="H134" s="45"/>
      <c r="I134" s="52">
        <v>-215.94</v>
      </c>
      <c r="J134" s="45"/>
      <c r="K134" s="52">
        <v>0</v>
      </c>
      <c r="L134" s="45"/>
      <c r="M134" s="52">
        <f t="shared" si="7"/>
        <v>-215.94</v>
      </c>
    </row>
    <row r="135" spans="1:13" x14ac:dyDescent="0.3">
      <c r="A135" s="43"/>
      <c r="B135" s="43"/>
      <c r="C135" s="43"/>
      <c r="D135" s="43" t="s">
        <v>278</v>
      </c>
      <c r="E135" s="43"/>
      <c r="F135" s="43"/>
      <c r="G135" s="52"/>
      <c r="H135" s="45"/>
      <c r="I135" s="52"/>
      <c r="J135" s="45"/>
      <c r="K135" s="52"/>
      <c r="L135" s="45"/>
      <c r="M135" s="52"/>
    </row>
    <row r="136" spans="1:13" x14ac:dyDescent="0.3">
      <c r="A136" s="43"/>
      <c r="B136" s="43"/>
      <c r="C136" s="43"/>
      <c r="D136" s="43"/>
      <c r="E136" s="43" t="s">
        <v>279</v>
      </c>
      <c r="F136" s="43"/>
      <c r="G136" s="52">
        <v>0</v>
      </c>
      <c r="H136" s="45"/>
      <c r="I136" s="52">
        <v>0</v>
      </c>
      <c r="J136" s="45"/>
      <c r="K136" s="52">
        <v>17731.8</v>
      </c>
      <c r="L136" s="45"/>
      <c r="M136" s="52">
        <f t="shared" ref="M136:M142" si="8">ROUND(SUM(G136:K136),5)</f>
        <v>17731.8</v>
      </c>
    </row>
    <row r="137" spans="1:13" x14ac:dyDescent="0.3">
      <c r="A137" s="43"/>
      <c r="B137" s="43"/>
      <c r="C137" s="43"/>
      <c r="D137" s="43"/>
      <c r="E137" s="43" t="s">
        <v>83</v>
      </c>
      <c r="F137" s="43"/>
      <c r="G137" s="52">
        <v>166486.88</v>
      </c>
      <c r="H137" s="45"/>
      <c r="I137" s="52">
        <v>148387.81</v>
      </c>
      <c r="J137" s="45"/>
      <c r="K137" s="52">
        <v>115907.37</v>
      </c>
      <c r="L137" s="45"/>
      <c r="M137" s="52">
        <f t="shared" si="8"/>
        <v>430782.06</v>
      </c>
    </row>
    <row r="138" spans="1:13" ht="15" thickBot="1" x14ac:dyDescent="0.35">
      <c r="A138" s="43"/>
      <c r="B138" s="43"/>
      <c r="C138" s="43"/>
      <c r="D138" s="43"/>
      <c r="E138" s="43" t="s">
        <v>282</v>
      </c>
      <c r="F138" s="43"/>
      <c r="G138" s="54">
        <v>10334.9</v>
      </c>
      <c r="H138" s="45"/>
      <c r="I138" s="54">
        <v>0</v>
      </c>
      <c r="J138" s="45"/>
      <c r="K138" s="54">
        <v>0</v>
      </c>
      <c r="L138" s="45"/>
      <c r="M138" s="54">
        <f t="shared" si="8"/>
        <v>10334.9</v>
      </c>
    </row>
    <row r="139" spans="1:13" x14ac:dyDescent="0.3">
      <c r="A139" s="43"/>
      <c r="B139" s="43"/>
      <c r="C139" s="43"/>
      <c r="D139" s="43" t="s">
        <v>283</v>
      </c>
      <c r="E139" s="43"/>
      <c r="F139" s="43"/>
      <c r="G139" s="52">
        <f>ROUND(SUM(G135:G138),5)</f>
        <v>176821.78</v>
      </c>
      <c r="H139" s="45"/>
      <c r="I139" s="52">
        <f>ROUND(SUM(I135:I138),5)</f>
        <v>148387.81</v>
      </c>
      <c r="J139" s="45"/>
      <c r="K139" s="52">
        <f>ROUND(SUM(K135:K138),5)</f>
        <v>133639.17000000001</v>
      </c>
      <c r="L139" s="45"/>
      <c r="M139" s="52">
        <f t="shared" si="8"/>
        <v>458848.76</v>
      </c>
    </row>
    <row r="140" spans="1:13" ht="30" customHeight="1" thickBot="1" x14ac:dyDescent="0.35">
      <c r="A140" s="43"/>
      <c r="B140" s="43"/>
      <c r="C140" s="43"/>
      <c r="D140" s="43" t="s">
        <v>284</v>
      </c>
      <c r="E140" s="43"/>
      <c r="F140" s="43"/>
      <c r="G140" s="52">
        <v>84000</v>
      </c>
      <c r="H140" s="45"/>
      <c r="I140" s="52">
        <v>104242</v>
      </c>
      <c r="J140" s="45"/>
      <c r="K140" s="52">
        <v>84000</v>
      </c>
      <c r="L140" s="45"/>
      <c r="M140" s="52">
        <f t="shared" si="8"/>
        <v>272242</v>
      </c>
    </row>
    <row r="141" spans="1:13" ht="15" thickBot="1" x14ac:dyDescent="0.35">
      <c r="A141" s="43"/>
      <c r="B141" s="43"/>
      <c r="C141" s="43" t="s">
        <v>287</v>
      </c>
      <c r="D141" s="43"/>
      <c r="E141" s="43"/>
      <c r="F141" s="43"/>
      <c r="G141" s="53">
        <f>ROUND(SUM(G12:G13)+G32+G59+G124+G127+SUM(G133:G134)+SUM(G139:G140),5)</f>
        <v>449405.74</v>
      </c>
      <c r="H141" s="45"/>
      <c r="I141" s="53">
        <f>ROUND(SUM(I12:I13)+I32+I59+I124+I127+SUM(I133:I134)+SUM(I139:I140),5)</f>
        <v>426453.91</v>
      </c>
      <c r="J141" s="45"/>
      <c r="K141" s="53">
        <f>ROUND(SUM(K12:K13)+K32+K59+K124+K127+SUM(K133:K134)+SUM(K139:K140),5)</f>
        <v>378161.57</v>
      </c>
      <c r="L141" s="45"/>
      <c r="M141" s="53">
        <f t="shared" si="8"/>
        <v>1254021.22</v>
      </c>
    </row>
    <row r="142" spans="1:13" ht="30" customHeight="1" x14ac:dyDescent="0.3">
      <c r="A142" s="43"/>
      <c r="B142" s="43" t="s">
        <v>288</v>
      </c>
      <c r="C142" s="43"/>
      <c r="D142" s="43"/>
      <c r="E142" s="43"/>
      <c r="F142" s="43"/>
      <c r="G142" s="52">
        <f>ROUND(G2+G11-G141,5)</f>
        <v>-101933.54</v>
      </c>
      <c r="H142" s="45"/>
      <c r="I142" s="52">
        <f>ROUND(I2+I11-I141,5)</f>
        <v>-12705.05</v>
      </c>
      <c r="J142" s="45"/>
      <c r="K142" s="52">
        <f>ROUND(K2+K11-K141,5)</f>
        <v>67630.55</v>
      </c>
      <c r="L142" s="45"/>
      <c r="M142" s="52">
        <f t="shared" si="8"/>
        <v>-47008.04</v>
      </c>
    </row>
    <row r="143" spans="1:13" ht="30" customHeight="1" x14ac:dyDescent="0.3">
      <c r="A143" s="43"/>
      <c r="B143" s="43" t="s">
        <v>289</v>
      </c>
      <c r="C143" s="43"/>
      <c r="D143" s="43"/>
      <c r="E143" s="43"/>
      <c r="F143" s="43"/>
      <c r="G143" s="52"/>
      <c r="H143" s="45"/>
      <c r="I143" s="52"/>
      <c r="J143" s="45"/>
      <c r="K143" s="52"/>
      <c r="L143" s="45"/>
      <c r="M143" s="52"/>
    </row>
    <row r="144" spans="1:13" x14ac:dyDescent="0.3">
      <c r="A144" s="43"/>
      <c r="B144" s="43"/>
      <c r="C144" s="43" t="s">
        <v>293</v>
      </c>
      <c r="D144" s="43"/>
      <c r="E144" s="43"/>
      <c r="F144" s="43"/>
      <c r="G144" s="52"/>
      <c r="H144" s="45"/>
      <c r="I144" s="52"/>
      <c r="J144" s="45"/>
      <c r="K144" s="52"/>
      <c r="L144" s="45"/>
      <c r="M144" s="52"/>
    </row>
    <row r="145" spans="1:13" ht="15" thickBot="1" x14ac:dyDescent="0.35">
      <c r="A145" s="43"/>
      <c r="B145" s="43"/>
      <c r="C145" s="43"/>
      <c r="D145" s="43" t="s">
        <v>511</v>
      </c>
      <c r="E145" s="43"/>
      <c r="F145" s="43"/>
      <c r="G145" s="52">
        <v>78662.320000000007</v>
      </c>
      <c r="H145" s="45"/>
      <c r="I145" s="52">
        <v>0</v>
      </c>
      <c r="J145" s="45"/>
      <c r="K145" s="52">
        <v>0</v>
      </c>
      <c r="L145" s="45"/>
      <c r="M145" s="52">
        <f>ROUND(SUM(G145:K145),5)</f>
        <v>78662.320000000007</v>
      </c>
    </row>
    <row r="146" spans="1:13" ht="15" thickBot="1" x14ac:dyDescent="0.35">
      <c r="A146" s="43"/>
      <c r="B146" s="43"/>
      <c r="C146" s="43" t="s">
        <v>295</v>
      </c>
      <c r="D146" s="43"/>
      <c r="E146" s="43"/>
      <c r="F146" s="43"/>
      <c r="G146" s="55">
        <f>ROUND(SUM(G144:G145),5)</f>
        <v>78662.320000000007</v>
      </c>
      <c r="H146" s="45"/>
      <c r="I146" s="55">
        <f>ROUND(SUM(I144:I145),5)</f>
        <v>0</v>
      </c>
      <c r="J146" s="45"/>
      <c r="K146" s="55">
        <f>ROUND(SUM(K144:K145),5)</f>
        <v>0</v>
      </c>
      <c r="L146" s="45"/>
      <c r="M146" s="55">
        <f>ROUND(SUM(G146:K146),5)</f>
        <v>78662.320000000007</v>
      </c>
    </row>
    <row r="147" spans="1:13" ht="30" customHeight="1" thickBot="1" x14ac:dyDescent="0.35">
      <c r="A147" s="43"/>
      <c r="B147" s="43" t="s">
        <v>296</v>
      </c>
      <c r="C147" s="43"/>
      <c r="D147" s="43"/>
      <c r="E147" s="43"/>
      <c r="F147" s="43"/>
      <c r="G147" s="55">
        <f>ROUND(G143-G146,5)</f>
        <v>-78662.320000000007</v>
      </c>
      <c r="H147" s="45"/>
      <c r="I147" s="55">
        <f>ROUND(I143-I146,5)</f>
        <v>0</v>
      </c>
      <c r="J147" s="45"/>
      <c r="K147" s="55">
        <f>ROUND(K143-K146,5)</f>
        <v>0</v>
      </c>
      <c r="L147" s="45"/>
      <c r="M147" s="55">
        <f>ROUND(SUM(G147:K147),5)</f>
        <v>-78662.320000000007</v>
      </c>
    </row>
    <row r="148" spans="1:13" s="50" customFormat="1" ht="30" customHeight="1" thickBot="1" x14ac:dyDescent="0.25">
      <c r="A148" s="43" t="s">
        <v>165</v>
      </c>
      <c r="B148" s="43"/>
      <c r="C148" s="43"/>
      <c r="D148" s="43"/>
      <c r="E148" s="43"/>
      <c r="F148" s="43"/>
      <c r="G148" s="56">
        <f>ROUND(G142+G147,5)</f>
        <v>-180595.86</v>
      </c>
      <c r="H148" s="43"/>
      <c r="I148" s="56">
        <f>ROUND(I142+I147,5)</f>
        <v>-12705.05</v>
      </c>
      <c r="J148" s="43"/>
      <c r="K148" s="56">
        <f>ROUND(K142+K147,5)</f>
        <v>67630.55</v>
      </c>
      <c r="L148" s="43"/>
      <c r="M148" s="56">
        <f>ROUND(SUM(G148:K148),5)</f>
        <v>-125670.36</v>
      </c>
    </row>
    <row r="149" spans="1:13" ht="15" thickTop="1" x14ac:dyDescent="0.3"/>
    <row r="150" spans="1:13" x14ac:dyDescent="0.3">
      <c r="F150" s="43" t="s">
        <v>987</v>
      </c>
      <c r="G150" s="52">
        <f>G141-G18-G139-G140</f>
        <v>143991.61000000002</v>
      </c>
      <c r="H150" s="45"/>
      <c r="I150" s="52">
        <f>I141-I18-I139-I140</f>
        <v>153974.44999999995</v>
      </c>
      <c r="J150" s="45"/>
      <c r="K150" s="52">
        <f>K141-K18-K139-K140</f>
        <v>122251.04000000001</v>
      </c>
      <c r="L150" s="45"/>
      <c r="M150" s="52">
        <f>(M141-M18-M139-M140)/3</f>
        <v>140072.36666666661</v>
      </c>
    </row>
  </sheetData>
  <pageMargins left="0.7" right="0.7" top="0.75" bottom="0.75" header="0.25" footer="0.3"/>
  <pageSetup orientation="portrait" r:id="rId1"/>
  <headerFooter>
    <oddHeader>&amp;L&amp;"Arial,Bold"&amp;8 02/18/14
&amp;"Arial,Bold"&amp;8 Accrual Basis&amp;C&amp;"Arial,Bold"&amp;12 SPC Real Estate, LLC
&amp;"Arial,Bold"&amp;14 3 Yr Detail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3993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9938" r:id="rId4" name="HEADER"/>
      </mc:Fallback>
    </mc:AlternateContent>
    <mc:AlternateContent xmlns:mc="http://schemas.openxmlformats.org/markup-compatibility/2006">
      <mc:Choice Requires="x14">
        <control shapeId="3993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9937" r:id="rId6" name="FILTER"/>
      </mc:Fallback>
    </mc:AlternateContent>
  </controls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17"/>
  <dimension ref="A1:J34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2.441406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664062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2"/>
      <c r="G2" s="45"/>
      <c r="H2" s="52"/>
      <c r="I2" s="45"/>
      <c r="J2" s="52"/>
    </row>
    <row r="3" spans="1:10" x14ac:dyDescent="0.3">
      <c r="A3" s="43"/>
      <c r="B3" s="43" t="s">
        <v>113</v>
      </c>
      <c r="C3" s="43"/>
      <c r="D3" s="43"/>
      <c r="E3" s="43"/>
      <c r="F3" s="52"/>
      <c r="G3" s="45"/>
      <c r="H3" s="52"/>
      <c r="I3" s="45"/>
      <c r="J3" s="52"/>
    </row>
    <row r="4" spans="1:10" x14ac:dyDescent="0.3">
      <c r="A4" s="43"/>
      <c r="B4" s="43"/>
      <c r="C4" s="43" t="s">
        <v>114</v>
      </c>
      <c r="D4" s="43"/>
      <c r="E4" s="43"/>
      <c r="F4" s="52"/>
      <c r="G4" s="45"/>
      <c r="H4" s="52"/>
      <c r="I4" s="45"/>
      <c r="J4" s="52"/>
    </row>
    <row r="5" spans="1:10" ht="15" thickBot="1" x14ac:dyDescent="0.35">
      <c r="A5" s="43"/>
      <c r="B5" s="43"/>
      <c r="C5" s="43"/>
      <c r="D5" s="43" t="s">
        <v>816</v>
      </c>
      <c r="E5" s="43"/>
      <c r="F5" s="52">
        <v>0</v>
      </c>
      <c r="G5" s="45"/>
      <c r="H5" s="52">
        <v>0</v>
      </c>
      <c r="I5" s="45"/>
      <c r="J5" s="52">
        <v>123972.35</v>
      </c>
    </row>
    <row r="6" spans="1:10" ht="15" thickBot="1" x14ac:dyDescent="0.35">
      <c r="A6" s="43"/>
      <c r="B6" s="43"/>
      <c r="C6" s="43" t="s">
        <v>117</v>
      </c>
      <c r="D6" s="43"/>
      <c r="E6" s="43"/>
      <c r="F6" s="53">
        <f>ROUND(SUM(F4:F5),5)</f>
        <v>0</v>
      </c>
      <c r="G6" s="45"/>
      <c r="H6" s="53">
        <f>ROUND(SUM(H4:H5),5)</f>
        <v>0</v>
      </c>
      <c r="I6" s="45"/>
      <c r="J6" s="53">
        <f>ROUND(SUM(J4:J5),5)</f>
        <v>123972.35</v>
      </c>
    </row>
    <row r="7" spans="1:10" ht="30" customHeight="1" x14ac:dyDescent="0.3">
      <c r="A7" s="43"/>
      <c r="B7" s="43" t="s">
        <v>125</v>
      </c>
      <c r="C7" s="43"/>
      <c r="D7" s="43"/>
      <c r="E7" s="43"/>
      <c r="F7" s="52">
        <f>ROUND(F3+F6,5)</f>
        <v>0</v>
      </c>
      <c r="G7" s="45"/>
      <c r="H7" s="52">
        <f>ROUND(H3+H6,5)</f>
        <v>0</v>
      </c>
      <c r="I7" s="45"/>
      <c r="J7" s="52">
        <f>ROUND(J3+J6,5)</f>
        <v>123972.35</v>
      </c>
    </row>
    <row r="8" spans="1:10" ht="30" customHeight="1" x14ac:dyDescent="0.3">
      <c r="A8" s="43"/>
      <c r="B8" s="43" t="s">
        <v>126</v>
      </c>
      <c r="C8" s="43"/>
      <c r="D8" s="43"/>
      <c r="E8" s="43"/>
      <c r="F8" s="52"/>
      <c r="G8" s="45"/>
      <c r="H8" s="52"/>
      <c r="I8" s="45"/>
      <c r="J8" s="52"/>
    </row>
    <row r="9" spans="1:10" x14ac:dyDescent="0.3">
      <c r="A9" s="43"/>
      <c r="B9" s="43"/>
      <c r="C9" s="43" t="s">
        <v>817</v>
      </c>
      <c r="D9" s="43"/>
      <c r="E9" s="43"/>
      <c r="F9" s="52"/>
      <c r="G9" s="45"/>
      <c r="H9" s="52"/>
      <c r="I9" s="45"/>
      <c r="J9" s="52"/>
    </row>
    <row r="10" spans="1:10" x14ac:dyDescent="0.3">
      <c r="A10" s="43"/>
      <c r="B10" s="43"/>
      <c r="C10" s="43"/>
      <c r="D10" s="43" t="s">
        <v>399</v>
      </c>
      <c r="E10" s="43"/>
      <c r="F10" s="52">
        <v>0</v>
      </c>
      <c r="G10" s="45"/>
      <c r="H10" s="52">
        <v>0</v>
      </c>
      <c r="I10" s="45"/>
      <c r="J10" s="52">
        <v>4752</v>
      </c>
    </row>
    <row r="11" spans="1:10" ht="15" thickBot="1" x14ac:dyDescent="0.35">
      <c r="A11" s="43"/>
      <c r="B11" s="43"/>
      <c r="C11" s="43"/>
      <c r="D11" s="43" t="s">
        <v>818</v>
      </c>
      <c r="E11" s="43"/>
      <c r="F11" s="52">
        <v>0</v>
      </c>
      <c r="G11" s="45"/>
      <c r="H11" s="52">
        <v>0</v>
      </c>
      <c r="I11" s="45"/>
      <c r="J11" s="52">
        <v>52305.37</v>
      </c>
    </row>
    <row r="12" spans="1:10" ht="15" thickBot="1" x14ac:dyDescent="0.35">
      <c r="A12" s="43"/>
      <c r="B12" s="43"/>
      <c r="C12" s="43" t="s">
        <v>819</v>
      </c>
      <c r="D12" s="43"/>
      <c r="E12" s="43"/>
      <c r="F12" s="53">
        <f>ROUND(SUM(F9:F11),5)</f>
        <v>0</v>
      </c>
      <c r="G12" s="45"/>
      <c r="H12" s="53">
        <f>ROUND(SUM(H9:H11),5)</f>
        <v>0</v>
      </c>
      <c r="I12" s="45"/>
      <c r="J12" s="53">
        <f>ROUND(SUM(J9:J11),5)</f>
        <v>57057.37</v>
      </c>
    </row>
    <row r="13" spans="1:10" ht="30" customHeight="1" x14ac:dyDescent="0.3">
      <c r="A13" s="43"/>
      <c r="B13" s="43" t="s">
        <v>136</v>
      </c>
      <c r="C13" s="43"/>
      <c r="D13" s="43"/>
      <c r="E13" s="43"/>
      <c r="F13" s="52">
        <f>ROUND(F8+F12,5)</f>
        <v>0</v>
      </c>
      <c r="G13" s="45"/>
      <c r="H13" s="52">
        <f>ROUND(H8+H12,5)</f>
        <v>0</v>
      </c>
      <c r="I13" s="45"/>
      <c r="J13" s="52">
        <f>ROUND(J8+J12,5)</f>
        <v>57057.37</v>
      </c>
    </row>
    <row r="14" spans="1:10" ht="30" customHeight="1" x14ac:dyDescent="0.3">
      <c r="A14" s="43"/>
      <c r="B14" s="43" t="s">
        <v>137</v>
      </c>
      <c r="C14" s="43"/>
      <c r="D14" s="43"/>
      <c r="E14" s="43"/>
      <c r="F14" s="52"/>
      <c r="G14" s="45"/>
      <c r="H14" s="52"/>
      <c r="I14" s="45"/>
      <c r="J14" s="52"/>
    </row>
    <row r="15" spans="1:10" ht="15" thickBot="1" x14ac:dyDescent="0.35">
      <c r="A15" s="43"/>
      <c r="B15" s="43"/>
      <c r="C15" s="43" t="s">
        <v>820</v>
      </c>
      <c r="D15" s="43"/>
      <c r="E15" s="43"/>
      <c r="F15" s="52">
        <v>0</v>
      </c>
      <c r="G15" s="45"/>
      <c r="H15" s="52">
        <v>0</v>
      </c>
      <c r="I15" s="45"/>
      <c r="J15" s="52">
        <v>14057.84</v>
      </c>
    </row>
    <row r="16" spans="1:10" ht="15" thickBot="1" x14ac:dyDescent="0.35">
      <c r="A16" s="43"/>
      <c r="B16" s="43" t="s">
        <v>141</v>
      </c>
      <c r="C16" s="43"/>
      <c r="D16" s="43"/>
      <c r="E16" s="43"/>
      <c r="F16" s="55">
        <f>ROUND(SUM(F14:F15),5)</f>
        <v>0</v>
      </c>
      <c r="G16" s="45"/>
      <c r="H16" s="55">
        <f>ROUND(SUM(H14:H15),5)</f>
        <v>0</v>
      </c>
      <c r="I16" s="45"/>
      <c r="J16" s="55">
        <f>ROUND(SUM(J14:J15),5)</f>
        <v>14057.84</v>
      </c>
    </row>
    <row r="17" spans="1:10" s="50" customFormat="1" ht="30" customHeight="1" thickBot="1" x14ac:dyDescent="0.25">
      <c r="A17" s="43" t="s">
        <v>142</v>
      </c>
      <c r="B17" s="43"/>
      <c r="C17" s="43"/>
      <c r="D17" s="43"/>
      <c r="E17" s="43"/>
      <c r="F17" s="56">
        <f>ROUND(F2+F7+F13+F16,5)</f>
        <v>0</v>
      </c>
      <c r="G17" s="43"/>
      <c r="H17" s="56">
        <f>ROUND(H2+H7+H13+H16,5)</f>
        <v>0</v>
      </c>
      <c r="I17" s="43"/>
      <c r="J17" s="56">
        <f>ROUND(J2+J7+J13+J16,5)</f>
        <v>195087.56</v>
      </c>
    </row>
    <row r="18" spans="1:10" ht="31.5" customHeight="1" thickTop="1" x14ac:dyDescent="0.3">
      <c r="A18" s="43" t="s">
        <v>143</v>
      </c>
      <c r="B18" s="43"/>
      <c r="C18" s="43"/>
      <c r="D18" s="43"/>
      <c r="E18" s="43"/>
      <c r="F18" s="52"/>
      <c r="G18" s="45"/>
      <c r="H18" s="52"/>
      <c r="I18" s="45"/>
      <c r="J18" s="52"/>
    </row>
    <row r="19" spans="1:10" x14ac:dyDescent="0.3">
      <c r="A19" s="43"/>
      <c r="B19" s="43" t="s">
        <v>144</v>
      </c>
      <c r="C19" s="43"/>
      <c r="D19" s="43"/>
      <c r="E19" s="43"/>
      <c r="F19" s="52"/>
      <c r="G19" s="45"/>
      <c r="H19" s="52"/>
      <c r="I19" s="45"/>
      <c r="J19" s="52"/>
    </row>
    <row r="20" spans="1:10" x14ac:dyDescent="0.3">
      <c r="A20" s="43"/>
      <c r="B20" s="43"/>
      <c r="C20" s="43" t="s">
        <v>145</v>
      </c>
      <c r="D20" s="43"/>
      <c r="E20" s="43"/>
      <c r="F20" s="52"/>
      <c r="G20" s="45"/>
      <c r="H20" s="52"/>
      <c r="I20" s="45"/>
      <c r="J20" s="52"/>
    </row>
    <row r="21" spans="1:10" x14ac:dyDescent="0.3">
      <c r="A21" s="43"/>
      <c r="B21" s="43"/>
      <c r="C21" s="43"/>
      <c r="D21" s="43" t="s">
        <v>146</v>
      </c>
      <c r="E21" s="43"/>
      <c r="F21" s="52"/>
      <c r="G21" s="45"/>
      <c r="H21" s="52"/>
      <c r="I21" s="45"/>
      <c r="J21" s="52"/>
    </row>
    <row r="22" spans="1:10" ht="15" thickBot="1" x14ac:dyDescent="0.35">
      <c r="A22" s="43"/>
      <c r="B22" s="43"/>
      <c r="C22" s="43"/>
      <c r="D22" s="43"/>
      <c r="E22" s="43" t="s">
        <v>146</v>
      </c>
      <c r="F22" s="54">
        <v>0</v>
      </c>
      <c r="G22" s="45"/>
      <c r="H22" s="54">
        <v>0</v>
      </c>
      <c r="I22" s="45"/>
      <c r="J22" s="54">
        <v>57.45</v>
      </c>
    </row>
    <row r="23" spans="1:10" x14ac:dyDescent="0.3">
      <c r="A23" s="43"/>
      <c r="B23" s="43"/>
      <c r="C23" s="43"/>
      <c r="D23" s="43" t="s">
        <v>147</v>
      </c>
      <c r="E23" s="43"/>
      <c r="F23" s="52">
        <f>ROUND(SUM(F21:F22),5)</f>
        <v>0</v>
      </c>
      <c r="G23" s="45"/>
      <c r="H23" s="52">
        <f>ROUND(SUM(H21:H22),5)</f>
        <v>0</v>
      </c>
      <c r="I23" s="45"/>
      <c r="J23" s="52">
        <f>ROUND(SUM(J21:J22),5)</f>
        <v>57.45</v>
      </c>
    </row>
    <row r="24" spans="1:10" ht="30" customHeight="1" x14ac:dyDescent="0.3">
      <c r="A24" s="43"/>
      <c r="B24" s="43"/>
      <c r="C24" s="43"/>
      <c r="D24" s="43" t="s">
        <v>148</v>
      </c>
      <c r="E24" s="43"/>
      <c r="F24" s="52"/>
      <c r="G24" s="45"/>
      <c r="H24" s="52"/>
      <c r="I24" s="45"/>
      <c r="J24" s="52"/>
    </row>
    <row r="25" spans="1:10" ht="15" thickBot="1" x14ac:dyDescent="0.35">
      <c r="A25" s="43"/>
      <c r="B25" s="43"/>
      <c r="C25" s="43"/>
      <c r="D25" s="43"/>
      <c r="E25" s="43" t="s">
        <v>122</v>
      </c>
      <c r="F25" s="52">
        <v>0</v>
      </c>
      <c r="G25" s="45"/>
      <c r="H25" s="52">
        <v>0</v>
      </c>
      <c r="I25" s="45"/>
      <c r="J25" s="52">
        <v>-41.26</v>
      </c>
    </row>
    <row r="26" spans="1:10" ht="15" thickBot="1" x14ac:dyDescent="0.35">
      <c r="A26" s="43"/>
      <c r="B26" s="43"/>
      <c r="C26" s="43"/>
      <c r="D26" s="43" t="s">
        <v>152</v>
      </c>
      <c r="E26" s="43"/>
      <c r="F26" s="55">
        <f>ROUND(SUM(F24:F25),5)</f>
        <v>0</v>
      </c>
      <c r="G26" s="45"/>
      <c r="H26" s="55">
        <f>ROUND(SUM(H24:H25),5)</f>
        <v>0</v>
      </c>
      <c r="I26" s="45"/>
      <c r="J26" s="55">
        <f>ROUND(SUM(J24:J25),5)</f>
        <v>-41.26</v>
      </c>
    </row>
    <row r="27" spans="1:10" ht="30" customHeight="1" thickBot="1" x14ac:dyDescent="0.35">
      <c r="A27" s="43"/>
      <c r="B27" s="43"/>
      <c r="C27" s="43" t="s">
        <v>153</v>
      </c>
      <c r="D27" s="43"/>
      <c r="E27" s="43"/>
      <c r="F27" s="53">
        <f>ROUND(F20+F23+F26,5)</f>
        <v>0</v>
      </c>
      <c r="G27" s="45"/>
      <c r="H27" s="53">
        <f>ROUND(H20+H23+H26,5)</f>
        <v>0</v>
      </c>
      <c r="I27" s="45"/>
      <c r="J27" s="53">
        <f>ROUND(J20+J23+J26,5)</f>
        <v>16.190000000000001</v>
      </c>
    </row>
    <row r="28" spans="1:10" ht="30" customHeight="1" x14ac:dyDescent="0.3">
      <c r="A28" s="43"/>
      <c r="B28" s="43" t="s">
        <v>158</v>
      </c>
      <c r="C28" s="43"/>
      <c r="D28" s="43"/>
      <c r="E28" s="43"/>
      <c r="F28" s="52">
        <f>ROUND(F19+F27,5)</f>
        <v>0</v>
      </c>
      <c r="G28" s="45"/>
      <c r="H28" s="52">
        <f>ROUND(H19+H27,5)</f>
        <v>0</v>
      </c>
      <c r="I28" s="45"/>
      <c r="J28" s="52">
        <f>ROUND(J19+J27,5)</f>
        <v>16.190000000000001</v>
      </c>
    </row>
    <row r="29" spans="1:10" ht="30" customHeight="1" x14ac:dyDescent="0.3">
      <c r="A29" s="43"/>
      <c r="B29" s="43" t="s">
        <v>159</v>
      </c>
      <c r="C29" s="43"/>
      <c r="D29" s="43"/>
      <c r="E29" s="43"/>
      <c r="F29" s="52"/>
      <c r="G29" s="45"/>
      <c r="H29" s="52"/>
      <c r="I29" s="45"/>
      <c r="J29" s="52"/>
    </row>
    <row r="30" spans="1:10" x14ac:dyDescent="0.3">
      <c r="A30" s="43"/>
      <c r="B30" s="43"/>
      <c r="C30" s="43" t="s">
        <v>821</v>
      </c>
      <c r="D30" s="43"/>
      <c r="E30" s="43"/>
      <c r="F30" s="52">
        <v>0</v>
      </c>
      <c r="G30" s="45"/>
      <c r="H30" s="52">
        <v>0</v>
      </c>
      <c r="I30" s="45"/>
      <c r="J30" s="52">
        <v>200000</v>
      </c>
    </row>
    <row r="31" spans="1:10" ht="15" thickBot="1" x14ac:dyDescent="0.35">
      <c r="A31" s="43"/>
      <c r="B31" s="43"/>
      <c r="C31" s="43" t="s">
        <v>165</v>
      </c>
      <c r="D31" s="43"/>
      <c r="E31" s="43"/>
      <c r="F31" s="52">
        <v>0</v>
      </c>
      <c r="G31" s="45"/>
      <c r="H31" s="52">
        <v>0</v>
      </c>
      <c r="I31" s="45"/>
      <c r="J31" s="52">
        <v>-4928.63</v>
      </c>
    </row>
    <row r="32" spans="1:10" ht="15" thickBot="1" x14ac:dyDescent="0.35">
      <c r="A32" s="43"/>
      <c r="B32" s="43" t="s">
        <v>166</v>
      </c>
      <c r="C32" s="43"/>
      <c r="D32" s="43"/>
      <c r="E32" s="43"/>
      <c r="F32" s="55">
        <f>ROUND(SUM(F29:F31),5)</f>
        <v>0</v>
      </c>
      <c r="G32" s="45"/>
      <c r="H32" s="55">
        <f>ROUND(SUM(H29:H31),5)</f>
        <v>0</v>
      </c>
      <c r="I32" s="45"/>
      <c r="J32" s="55">
        <f>ROUND(SUM(J29:J31),5)</f>
        <v>195071.37</v>
      </c>
    </row>
    <row r="33" spans="1:10" s="50" customFormat="1" ht="30" customHeight="1" thickBot="1" x14ac:dyDescent="0.25">
      <c r="A33" s="43" t="s">
        <v>167</v>
      </c>
      <c r="B33" s="43"/>
      <c r="C33" s="43"/>
      <c r="D33" s="43"/>
      <c r="E33" s="43"/>
      <c r="F33" s="56">
        <f>ROUND(F18+F28+F32,5)</f>
        <v>0</v>
      </c>
      <c r="G33" s="43"/>
      <c r="H33" s="56">
        <f>ROUND(H18+H28+H32,5)</f>
        <v>0</v>
      </c>
      <c r="I33" s="43"/>
      <c r="J33" s="56">
        <f>ROUND(J18+J28+J32,5)</f>
        <v>195087.56</v>
      </c>
    </row>
    <row r="34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11:30 AM
&amp;"Arial,Bold"&amp;8 02/17/14
&amp;"Arial,Bold"&amp;8 Accrual Basis&amp;C&amp;"Arial,Bold"&amp;12 Tyler Pointe, LLC
&amp;"Arial,Bold"&amp;14 Balance Sheet
&amp;"Arial,Bold"&amp;10 As of  Jan 31, 2013 and  2012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0962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0962" r:id="rId4" name="HEADER"/>
      </mc:Fallback>
    </mc:AlternateContent>
    <mc:AlternateContent xmlns:mc="http://schemas.openxmlformats.org/markup-compatibility/2006">
      <mc:Choice Requires="x14">
        <control shapeId="40961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0961" r:id="rId6" name="FILTER"/>
      </mc:Fallback>
    </mc:AlternateContent>
  </control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61"/>
  <dimension ref="A1:M25"/>
  <sheetViews>
    <sheetView workbookViewId="0">
      <pane xSplit="6" ySplit="1" topLeftCell="G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5" width="3" style="50" customWidth="1"/>
    <col min="6" max="6" width="21.109375" style="50" customWidth="1"/>
    <col min="7" max="7" width="10.109375" bestFit="1" customWidth="1"/>
    <col min="8" max="8" width="2.33203125" customWidth="1"/>
    <col min="9" max="9" width="10.109375" bestFit="1" customWidth="1"/>
    <col min="10" max="10" width="2.33203125" customWidth="1"/>
    <col min="11" max="11" width="10.109375" bestFit="1" customWidth="1"/>
    <col min="12" max="12" width="2.33203125" customWidth="1"/>
    <col min="13" max="13" width="7.5546875" bestFit="1" customWidth="1"/>
  </cols>
  <sheetData>
    <row r="1" spans="1:13" s="39" customFormat="1" ht="15" thickBot="1" x14ac:dyDescent="0.35">
      <c r="A1" s="40"/>
      <c r="B1" s="40"/>
      <c r="C1" s="40"/>
      <c r="D1" s="40"/>
      <c r="E1" s="40"/>
      <c r="F1" s="40"/>
      <c r="G1" s="41" t="s">
        <v>168</v>
      </c>
      <c r="H1" s="42"/>
      <c r="I1" s="41" t="s">
        <v>169</v>
      </c>
      <c r="J1" s="42"/>
      <c r="K1" s="41" t="s">
        <v>170</v>
      </c>
      <c r="L1" s="42"/>
      <c r="M1" s="41" t="s">
        <v>171</v>
      </c>
    </row>
    <row r="2" spans="1:13" ht="15" thickTop="1" x14ac:dyDescent="0.3">
      <c r="A2" s="43"/>
      <c r="B2" s="43" t="s">
        <v>172</v>
      </c>
      <c r="C2" s="43"/>
      <c r="D2" s="43"/>
      <c r="E2" s="43"/>
      <c r="F2" s="43"/>
      <c r="G2" s="52"/>
      <c r="H2" s="45"/>
      <c r="I2" s="52"/>
      <c r="J2" s="45"/>
      <c r="K2" s="52"/>
      <c r="L2" s="45"/>
      <c r="M2" s="52"/>
    </row>
    <row r="3" spans="1:13" x14ac:dyDescent="0.3">
      <c r="A3" s="43"/>
      <c r="B3" s="43"/>
      <c r="C3" s="43"/>
      <c r="D3" s="43" t="s">
        <v>182</v>
      </c>
      <c r="E3" s="43"/>
      <c r="F3" s="43"/>
      <c r="G3" s="52"/>
      <c r="H3" s="45"/>
      <c r="I3" s="52"/>
      <c r="J3" s="45"/>
      <c r="K3" s="52"/>
      <c r="L3" s="45"/>
      <c r="M3" s="52"/>
    </row>
    <row r="4" spans="1:13" x14ac:dyDescent="0.3">
      <c r="A4" s="43"/>
      <c r="B4" s="43"/>
      <c r="C4" s="43"/>
      <c r="D4" s="43"/>
      <c r="E4" s="43" t="s">
        <v>434</v>
      </c>
      <c r="F4" s="43"/>
      <c r="G4" s="52">
        <v>0</v>
      </c>
      <c r="H4" s="45"/>
      <c r="I4" s="52">
        <v>0</v>
      </c>
      <c r="J4" s="45"/>
      <c r="K4" s="52">
        <v>43.74</v>
      </c>
      <c r="L4" s="45"/>
      <c r="M4" s="52">
        <f>ROUND(SUM(G4:K4),5)</f>
        <v>43.74</v>
      </c>
    </row>
    <row r="5" spans="1:13" x14ac:dyDescent="0.3">
      <c r="A5" s="43"/>
      <c r="B5" s="43"/>
      <c r="C5" s="43"/>
      <c r="D5" s="43"/>
      <c r="E5" s="43" t="s">
        <v>822</v>
      </c>
      <c r="F5" s="43"/>
      <c r="G5" s="52"/>
      <c r="H5" s="45"/>
      <c r="I5" s="52"/>
      <c r="J5" s="45"/>
      <c r="K5" s="52"/>
      <c r="L5" s="45"/>
      <c r="M5" s="52"/>
    </row>
    <row r="6" spans="1:13" x14ac:dyDescent="0.3">
      <c r="A6" s="43"/>
      <c r="B6" s="43"/>
      <c r="C6" s="43"/>
      <c r="D6" s="43"/>
      <c r="E6" s="43"/>
      <c r="F6" s="43" t="s">
        <v>192</v>
      </c>
      <c r="G6" s="52">
        <v>0</v>
      </c>
      <c r="H6" s="45"/>
      <c r="I6" s="52">
        <v>0</v>
      </c>
      <c r="J6" s="45"/>
      <c r="K6" s="52">
        <v>16.100000000000001</v>
      </c>
      <c r="L6" s="45"/>
      <c r="M6" s="52">
        <f>ROUND(SUM(G6:K6),5)</f>
        <v>16.100000000000001</v>
      </c>
    </row>
    <row r="7" spans="1:13" ht="15" thickBot="1" x14ac:dyDescent="0.35">
      <c r="A7" s="43"/>
      <c r="B7" s="43"/>
      <c r="C7" s="43"/>
      <c r="D7" s="43"/>
      <c r="E7" s="43"/>
      <c r="F7" s="43" t="s">
        <v>823</v>
      </c>
      <c r="G7" s="54">
        <v>0</v>
      </c>
      <c r="H7" s="45"/>
      <c r="I7" s="54">
        <v>0</v>
      </c>
      <c r="J7" s="45"/>
      <c r="K7" s="54">
        <v>42.7</v>
      </c>
      <c r="L7" s="45"/>
      <c r="M7" s="54">
        <f>ROUND(SUM(G7:K7),5)</f>
        <v>42.7</v>
      </c>
    </row>
    <row r="8" spans="1:13" x14ac:dyDescent="0.3">
      <c r="A8" s="43"/>
      <c r="B8" s="43"/>
      <c r="C8" s="43"/>
      <c r="D8" s="43"/>
      <c r="E8" s="43" t="s">
        <v>824</v>
      </c>
      <c r="F8" s="43"/>
      <c r="G8" s="52">
        <f>ROUND(G5+G7+G6,5)</f>
        <v>0</v>
      </c>
      <c r="H8" s="45"/>
      <c r="I8" s="52">
        <f>ROUND(I5+I7+I6,5)</f>
        <v>0</v>
      </c>
      <c r="J8" s="45"/>
      <c r="K8" s="52">
        <f>ROUND(K5+K7+K6,5)</f>
        <v>58.8</v>
      </c>
      <c r="L8" s="45"/>
      <c r="M8" s="52">
        <f>ROUND(SUM(G8:K8),5)</f>
        <v>58.8</v>
      </c>
    </row>
    <row r="9" spans="1:13" ht="30" customHeight="1" x14ac:dyDescent="0.3">
      <c r="A9" s="43"/>
      <c r="B9" s="43"/>
      <c r="C9" s="43"/>
      <c r="D9" s="43"/>
      <c r="E9" s="43" t="s">
        <v>258</v>
      </c>
      <c r="F9" s="43"/>
      <c r="G9" s="52">
        <v>0</v>
      </c>
      <c r="H9" s="45"/>
      <c r="I9" s="52">
        <v>0</v>
      </c>
      <c r="J9" s="45"/>
      <c r="K9" s="52">
        <v>132.24</v>
      </c>
      <c r="L9" s="45"/>
      <c r="M9" s="52">
        <f>ROUND(SUM(G9:K9),5)</f>
        <v>132.24</v>
      </c>
    </row>
    <row r="10" spans="1:13" x14ac:dyDescent="0.3">
      <c r="A10" s="43"/>
      <c r="B10" s="43"/>
      <c r="C10" s="43"/>
      <c r="D10" s="43"/>
      <c r="E10" s="43" t="s">
        <v>195</v>
      </c>
      <c r="F10" s="43"/>
      <c r="G10" s="52"/>
      <c r="H10" s="45"/>
      <c r="I10" s="52"/>
      <c r="J10" s="45"/>
      <c r="K10" s="52"/>
      <c r="L10" s="45"/>
      <c r="M10" s="52"/>
    </row>
    <row r="11" spans="1:13" ht="15" thickBot="1" x14ac:dyDescent="0.35">
      <c r="A11" s="43"/>
      <c r="B11" s="43"/>
      <c r="C11" s="43"/>
      <c r="D11" s="43"/>
      <c r="E11" s="43"/>
      <c r="F11" s="43" t="s">
        <v>825</v>
      </c>
      <c r="G11" s="54">
        <v>0</v>
      </c>
      <c r="H11" s="45"/>
      <c r="I11" s="54">
        <v>0</v>
      </c>
      <c r="J11" s="45"/>
      <c r="K11" s="54">
        <v>153.35</v>
      </c>
      <c r="L11" s="45"/>
      <c r="M11" s="54">
        <f>ROUND(SUM(G11:K11),5)</f>
        <v>153.35</v>
      </c>
    </row>
    <row r="12" spans="1:13" x14ac:dyDescent="0.3">
      <c r="A12" s="43"/>
      <c r="B12" s="43"/>
      <c r="C12" s="43"/>
      <c r="D12" s="43"/>
      <c r="E12" s="43" t="s">
        <v>200</v>
      </c>
      <c r="F12" s="43"/>
      <c r="G12" s="52">
        <f>ROUND(SUM(G10:G11),5)</f>
        <v>0</v>
      </c>
      <c r="H12" s="45"/>
      <c r="I12" s="52">
        <f>ROUND(SUM(I10:I11),5)</f>
        <v>0</v>
      </c>
      <c r="J12" s="45"/>
      <c r="K12" s="52">
        <f>ROUND(SUM(K10:K11),5)</f>
        <v>153.35</v>
      </c>
      <c r="L12" s="45"/>
      <c r="M12" s="52">
        <f>ROUND(SUM(G12:K12),5)</f>
        <v>153.35</v>
      </c>
    </row>
    <row r="13" spans="1:13" ht="30" customHeight="1" x14ac:dyDescent="0.3">
      <c r="A13" s="43"/>
      <c r="B13" s="43"/>
      <c r="C13" s="43"/>
      <c r="D13" s="43"/>
      <c r="E13" s="43" t="s">
        <v>370</v>
      </c>
      <c r="F13" s="43"/>
      <c r="G13" s="52">
        <v>0</v>
      </c>
      <c r="H13" s="45"/>
      <c r="I13" s="52">
        <v>0</v>
      </c>
      <c r="J13" s="45"/>
      <c r="K13" s="52">
        <v>248.4</v>
      </c>
      <c r="L13" s="45"/>
      <c r="M13" s="52">
        <f>ROUND(SUM(G13:K13),5)</f>
        <v>248.4</v>
      </c>
    </row>
    <row r="14" spans="1:13" x14ac:dyDescent="0.3">
      <c r="A14" s="43"/>
      <c r="B14" s="43"/>
      <c r="C14" s="43"/>
      <c r="D14" s="43"/>
      <c r="E14" s="43" t="s">
        <v>272</v>
      </c>
      <c r="F14" s="43"/>
      <c r="G14" s="52"/>
      <c r="H14" s="45"/>
      <c r="I14" s="52"/>
      <c r="J14" s="45"/>
      <c r="K14" s="52"/>
      <c r="L14" s="45"/>
      <c r="M14" s="52"/>
    </row>
    <row r="15" spans="1:13" ht="15" thickBot="1" x14ac:dyDescent="0.35">
      <c r="A15" s="43"/>
      <c r="B15" s="43"/>
      <c r="C15" s="43"/>
      <c r="D15" s="43"/>
      <c r="E15" s="43"/>
      <c r="F15" s="43" t="s">
        <v>420</v>
      </c>
      <c r="G15" s="52">
        <v>0</v>
      </c>
      <c r="H15" s="45"/>
      <c r="I15" s="52">
        <v>0</v>
      </c>
      <c r="J15" s="45"/>
      <c r="K15" s="52">
        <v>4592.1000000000004</v>
      </c>
      <c r="L15" s="45"/>
      <c r="M15" s="52">
        <f>ROUND(SUM(G15:K15),5)</f>
        <v>4592.1000000000004</v>
      </c>
    </row>
    <row r="16" spans="1:13" ht="15" thickBot="1" x14ac:dyDescent="0.35">
      <c r="A16" s="43"/>
      <c r="B16" s="43"/>
      <c r="C16" s="43"/>
      <c r="D16" s="43"/>
      <c r="E16" s="43" t="s">
        <v>277</v>
      </c>
      <c r="F16" s="43"/>
      <c r="G16" s="55">
        <f>ROUND(SUM(G14:G15),5)</f>
        <v>0</v>
      </c>
      <c r="H16" s="45"/>
      <c r="I16" s="55">
        <f>ROUND(SUM(I14:I15),5)</f>
        <v>0</v>
      </c>
      <c r="J16" s="45"/>
      <c r="K16" s="55">
        <f>ROUND(SUM(K14:K15),5)</f>
        <v>4592.1000000000004</v>
      </c>
      <c r="L16" s="45"/>
      <c r="M16" s="55">
        <f>ROUND(SUM(G16:K16),5)</f>
        <v>4592.1000000000004</v>
      </c>
    </row>
    <row r="17" spans="1:13" ht="30" customHeight="1" thickBot="1" x14ac:dyDescent="0.35">
      <c r="A17" s="43"/>
      <c r="B17" s="43"/>
      <c r="C17" s="43"/>
      <c r="D17" s="43" t="s">
        <v>287</v>
      </c>
      <c r="E17" s="43"/>
      <c r="F17" s="43"/>
      <c r="G17" s="53">
        <f>ROUND(G3+G8+G4+G9+G12+G16+G13,5)</f>
        <v>0</v>
      </c>
      <c r="H17" s="45"/>
      <c r="I17" s="53">
        <f>ROUND(I3+I8+I4+I9+I12+I16+I13,5)</f>
        <v>0</v>
      </c>
      <c r="J17" s="45"/>
      <c r="K17" s="53">
        <f>ROUND(K3+K8+K4+K9+K12+K16+K13,5)</f>
        <v>5228.63</v>
      </c>
      <c r="L17" s="45"/>
      <c r="M17" s="53">
        <f>ROUND(SUM(G17:K17),5)</f>
        <v>5228.63</v>
      </c>
    </row>
    <row r="18" spans="1:13" ht="30" customHeight="1" x14ac:dyDescent="0.3">
      <c r="A18" s="43"/>
      <c r="B18" s="43" t="s">
        <v>288</v>
      </c>
      <c r="C18" s="43"/>
      <c r="D18" s="43"/>
      <c r="E18" s="43"/>
      <c r="F18" s="43"/>
      <c r="G18" s="52">
        <f>ROUND(G2-G17,5)</f>
        <v>0</v>
      </c>
      <c r="H18" s="45"/>
      <c r="I18" s="52">
        <f>ROUND(I2-I17,5)</f>
        <v>0</v>
      </c>
      <c r="J18" s="45"/>
      <c r="K18" s="52">
        <f>ROUND(K2-K17,5)</f>
        <v>-5228.63</v>
      </c>
      <c r="L18" s="45"/>
      <c r="M18" s="52">
        <f>ROUND(SUM(G18:K18),5)</f>
        <v>-5228.63</v>
      </c>
    </row>
    <row r="19" spans="1:13" ht="30" customHeight="1" x14ac:dyDescent="0.3">
      <c r="A19" s="43"/>
      <c r="B19" s="43" t="s">
        <v>289</v>
      </c>
      <c r="C19" s="43"/>
      <c r="D19" s="43"/>
      <c r="E19" s="43"/>
      <c r="F19" s="43"/>
      <c r="G19" s="52"/>
      <c r="H19" s="45"/>
      <c r="I19" s="52"/>
      <c r="J19" s="45"/>
      <c r="K19" s="52"/>
      <c r="L19" s="45"/>
      <c r="M19" s="52"/>
    </row>
    <row r="20" spans="1:13" x14ac:dyDescent="0.3">
      <c r="A20" s="43"/>
      <c r="B20" s="43"/>
      <c r="C20" s="43" t="s">
        <v>290</v>
      </c>
      <c r="D20" s="43"/>
      <c r="E20" s="43"/>
      <c r="F20" s="43"/>
      <c r="G20" s="52"/>
      <c r="H20" s="45"/>
      <c r="I20" s="52"/>
      <c r="J20" s="45"/>
      <c r="K20" s="52"/>
      <c r="L20" s="45"/>
      <c r="M20" s="52"/>
    </row>
    <row r="21" spans="1:13" ht="15" thickBot="1" x14ac:dyDescent="0.35">
      <c r="A21" s="43"/>
      <c r="B21" s="43"/>
      <c r="C21" s="43"/>
      <c r="D21" s="43" t="s">
        <v>826</v>
      </c>
      <c r="E21" s="43"/>
      <c r="F21" s="43"/>
      <c r="G21" s="52">
        <v>0</v>
      </c>
      <c r="H21" s="45"/>
      <c r="I21" s="52">
        <v>0</v>
      </c>
      <c r="J21" s="45"/>
      <c r="K21" s="52">
        <v>300</v>
      </c>
      <c r="L21" s="45"/>
      <c r="M21" s="52">
        <f>ROUND(SUM(G21:K21),5)</f>
        <v>300</v>
      </c>
    </row>
    <row r="22" spans="1:13" ht="15" thickBot="1" x14ac:dyDescent="0.35">
      <c r="A22" s="43"/>
      <c r="B22" s="43"/>
      <c r="C22" s="43" t="s">
        <v>292</v>
      </c>
      <c r="D22" s="43"/>
      <c r="E22" s="43"/>
      <c r="F22" s="43"/>
      <c r="G22" s="55">
        <f>ROUND(SUM(G20:G21),5)</f>
        <v>0</v>
      </c>
      <c r="H22" s="45"/>
      <c r="I22" s="55">
        <f>ROUND(SUM(I20:I21),5)</f>
        <v>0</v>
      </c>
      <c r="J22" s="45"/>
      <c r="K22" s="55">
        <f>ROUND(SUM(K20:K21),5)</f>
        <v>300</v>
      </c>
      <c r="L22" s="45"/>
      <c r="M22" s="55">
        <f>ROUND(SUM(G22:K22),5)</f>
        <v>300</v>
      </c>
    </row>
    <row r="23" spans="1:13" ht="30" customHeight="1" thickBot="1" x14ac:dyDescent="0.35">
      <c r="A23" s="43"/>
      <c r="B23" s="43" t="s">
        <v>296</v>
      </c>
      <c r="C23" s="43"/>
      <c r="D23" s="43"/>
      <c r="E23" s="43"/>
      <c r="F23" s="43"/>
      <c r="G23" s="55">
        <f>ROUND(G19+G22,5)</f>
        <v>0</v>
      </c>
      <c r="H23" s="45"/>
      <c r="I23" s="55">
        <f>ROUND(I19+I22,5)</f>
        <v>0</v>
      </c>
      <c r="J23" s="45"/>
      <c r="K23" s="55">
        <f>ROUND(K19+K22,5)</f>
        <v>300</v>
      </c>
      <c r="L23" s="45"/>
      <c r="M23" s="55">
        <f>ROUND(SUM(G23:K23),5)</f>
        <v>300</v>
      </c>
    </row>
    <row r="24" spans="1:13" s="50" customFormat="1" ht="30" customHeight="1" thickBot="1" x14ac:dyDescent="0.25">
      <c r="A24" s="43" t="s">
        <v>165</v>
      </c>
      <c r="B24" s="43"/>
      <c r="C24" s="43"/>
      <c r="D24" s="43"/>
      <c r="E24" s="43"/>
      <c r="F24" s="43"/>
      <c r="G24" s="56">
        <f>ROUND(G18+G23,5)</f>
        <v>0</v>
      </c>
      <c r="H24" s="43"/>
      <c r="I24" s="56">
        <f>ROUND(I18+I23,5)</f>
        <v>0</v>
      </c>
      <c r="J24" s="43"/>
      <c r="K24" s="56">
        <f>ROUND(K18+K23,5)</f>
        <v>-4928.63</v>
      </c>
      <c r="L24" s="43"/>
      <c r="M24" s="56">
        <f>ROUND(SUM(G24:K24),5)</f>
        <v>-4928.63</v>
      </c>
    </row>
    <row r="25" spans="1:13" ht="15" thickTop="1" x14ac:dyDescent="0.3"/>
  </sheetData>
  <pageMargins left="0.7" right="0.7" top="0.75" bottom="0.75" header="0.25" footer="0.3"/>
  <pageSetup orientation="portrait" r:id="rId1"/>
  <headerFooter>
    <oddHeader>&amp;L&amp;"Arial,Bold"&amp;8 9:35 AM
&amp;"Arial,Bold"&amp;8 02/18/14
&amp;"Arial,Bold"&amp;8 Accrual Basis&amp;C&amp;"Arial,Bold"&amp;12 Tyler Pointe, LLC
&amp;"Arial,Bold"&amp;14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198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1986" r:id="rId4" name="HEADER"/>
      </mc:Fallback>
    </mc:AlternateContent>
    <mc:AlternateContent xmlns:mc="http://schemas.openxmlformats.org/markup-compatibility/2006">
      <mc:Choice Requires="x14">
        <control shapeId="4198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1985" r:id="rId6" name="FILTER"/>
      </mc:Fallback>
    </mc:AlternateContent>
  </controls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18"/>
  <dimension ref="A1:J54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7.66406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10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2"/>
      <c r="G2" s="45"/>
      <c r="H2" s="52"/>
      <c r="I2" s="45"/>
      <c r="J2" s="52"/>
    </row>
    <row r="3" spans="1:10" x14ac:dyDescent="0.3">
      <c r="A3" s="43"/>
      <c r="B3" s="43" t="s">
        <v>113</v>
      </c>
      <c r="C3" s="43"/>
      <c r="D3" s="43"/>
      <c r="E3" s="43"/>
      <c r="F3" s="52"/>
      <c r="G3" s="45"/>
      <c r="H3" s="52"/>
      <c r="I3" s="45"/>
      <c r="J3" s="52"/>
    </row>
    <row r="4" spans="1:10" x14ac:dyDescent="0.3">
      <c r="A4" s="43"/>
      <c r="B4" s="43"/>
      <c r="C4" s="43" t="s">
        <v>114</v>
      </c>
      <c r="D4" s="43"/>
      <c r="E4" s="43"/>
      <c r="F4" s="52"/>
      <c r="G4" s="45"/>
      <c r="H4" s="52"/>
      <c r="I4" s="45"/>
      <c r="J4" s="52"/>
    </row>
    <row r="5" spans="1:10" ht="15" thickBot="1" x14ac:dyDescent="0.35">
      <c r="A5" s="43"/>
      <c r="B5" s="43"/>
      <c r="C5" s="43"/>
      <c r="D5" s="43" t="s">
        <v>84</v>
      </c>
      <c r="E5" s="43"/>
      <c r="F5" s="54">
        <v>0</v>
      </c>
      <c r="G5" s="45"/>
      <c r="H5" s="54">
        <v>0</v>
      </c>
      <c r="I5" s="45"/>
      <c r="J5" s="54">
        <v>9652.52</v>
      </c>
    </row>
    <row r="6" spans="1:10" x14ac:dyDescent="0.3">
      <c r="A6" s="43"/>
      <c r="B6" s="43"/>
      <c r="C6" s="43" t="s">
        <v>117</v>
      </c>
      <c r="D6" s="43"/>
      <c r="E6" s="43"/>
      <c r="F6" s="52">
        <f>ROUND(SUM(F4:F5),5)</f>
        <v>0</v>
      </c>
      <c r="G6" s="45"/>
      <c r="H6" s="52">
        <f>ROUND(SUM(H4:H5),5)</f>
        <v>0</v>
      </c>
      <c r="I6" s="45"/>
      <c r="J6" s="52">
        <f>ROUND(SUM(J4:J5),5)</f>
        <v>9652.52</v>
      </c>
    </row>
    <row r="7" spans="1:10" ht="30" customHeight="1" x14ac:dyDescent="0.3">
      <c r="A7" s="43"/>
      <c r="B7" s="43"/>
      <c r="C7" s="43" t="s">
        <v>118</v>
      </c>
      <c r="D7" s="43"/>
      <c r="E7" s="43"/>
      <c r="F7" s="52"/>
      <c r="G7" s="45"/>
      <c r="H7" s="52"/>
      <c r="I7" s="45"/>
      <c r="J7" s="52"/>
    </row>
    <row r="8" spans="1:10" ht="15" thickBot="1" x14ac:dyDescent="0.35">
      <c r="A8" s="43"/>
      <c r="B8" s="43"/>
      <c r="C8" s="43"/>
      <c r="D8" s="43" t="s">
        <v>118</v>
      </c>
      <c r="E8" s="43"/>
      <c r="F8" s="54">
        <v>0</v>
      </c>
      <c r="G8" s="45"/>
      <c r="H8" s="54">
        <v>0</v>
      </c>
      <c r="I8" s="45"/>
      <c r="J8" s="54">
        <v>-2362.5</v>
      </c>
    </row>
    <row r="9" spans="1:10" x14ac:dyDescent="0.3">
      <c r="A9" s="43"/>
      <c r="B9" s="43"/>
      <c r="C9" s="43" t="s">
        <v>119</v>
      </c>
      <c r="D9" s="43"/>
      <c r="E9" s="43"/>
      <c r="F9" s="52">
        <f>ROUND(SUM(F7:F8),5)</f>
        <v>0</v>
      </c>
      <c r="G9" s="45"/>
      <c r="H9" s="52">
        <f>ROUND(SUM(H7:H8),5)</f>
        <v>0</v>
      </c>
      <c r="I9" s="45"/>
      <c r="J9" s="52">
        <f>ROUND(SUM(J7:J8),5)</f>
        <v>-2362.5</v>
      </c>
    </row>
    <row r="10" spans="1:10" ht="30" customHeight="1" x14ac:dyDescent="0.3">
      <c r="A10" s="43"/>
      <c r="B10" s="43"/>
      <c r="C10" s="43" t="s">
        <v>120</v>
      </c>
      <c r="D10" s="43"/>
      <c r="E10" s="43"/>
      <c r="F10" s="52"/>
      <c r="G10" s="45"/>
      <c r="H10" s="52"/>
      <c r="I10" s="45"/>
      <c r="J10" s="52"/>
    </row>
    <row r="11" spans="1:10" x14ac:dyDescent="0.3">
      <c r="A11" s="43"/>
      <c r="B11" s="43"/>
      <c r="C11" s="43"/>
      <c r="D11" s="43" t="s">
        <v>827</v>
      </c>
      <c r="E11" s="43"/>
      <c r="F11" s="52">
        <v>0</v>
      </c>
      <c r="G11" s="45"/>
      <c r="H11" s="52">
        <v>0</v>
      </c>
      <c r="I11" s="45"/>
      <c r="J11" s="52">
        <v>-10485.75</v>
      </c>
    </row>
    <row r="12" spans="1:10" x14ac:dyDescent="0.3">
      <c r="A12" s="43"/>
      <c r="B12" s="43"/>
      <c r="C12" s="43"/>
      <c r="D12" s="43" t="s">
        <v>425</v>
      </c>
      <c r="E12" s="43"/>
      <c r="F12" s="52">
        <v>0</v>
      </c>
      <c r="G12" s="45"/>
      <c r="H12" s="52">
        <v>0</v>
      </c>
      <c r="I12" s="45"/>
      <c r="J12" s="52">
        <v>11439</v>
      </c>
    </row>
    <row r="13" spans="1:10" x14ac:dyDescent="0.3">
      <c r="A13" s="43"/>
      <c r="B13" s="43"/>
      <c r="C13" s="43"/>
      <c r="D13" s="43" t="s">
        <v>513</v>
      </c>
      <c r="E13" s="43"/>
      <c r="F13" s="52">
        <v>0</v>
      </c>
      <c r="G13" s="45"/>
      <c r="H13" s="52">
        <v>0</v>
      </c>
      <c r="I13" s="45"/>
      <c r="J13" s="52">
        <v>1698.75</v>
      </c>
    </row>
    <row r="14" spans="1:10" x14ac:dyDescent="0.3">
      <c r="A14" s="43"/>
      <c r="B14" s="43"/>
      <c r="C14" s="43"/>
      <c r="D14" s="43" t="s">
        <v>828</v>
      </c>
      <c r="E14" s="43"/>
      <c r="F14" s="52">
        <v>0</v>
      </c>
      <c r="G14" s="45"/>
      <c r="H14" s="52">
        <v>0</v>
      </c>
      <c r="I14" s="45"/>
      <c r="J14" s="52">
        <v>2342.81</v>
      </c>
    </row>
    <row r="15" spans="1:10" x14ac:dyDescent="0.3">
      <c r="A15" s="43"/>
      <c r="B15" s="43"/>
      <c r="C15" s="43"/>
      <c r="D15" s="43" t="s">
        <v>829</v>
      </c>
      <c r="E15" s="43"/>
      <c r="F15" s="52"/>
      <c r="G15" s="45"/>
      <c r="H15" s="52"/>
      <c r="I15" s="45"/>
      <c r="J15" s="52"/>
    </row>
    <row r="16" spans="1:10" x14ac:dyDescent="0.3">
      <c r="A16" s="43"/>
      <c r="B16" s="43"/>
      <c r="C16" s="43"/>
      <c r="D16" s="43"/>
      <c r="E16" s="43" t="s">
        <v>830</v>
      </c>
      <c r="F16" s="52">
        <v>0</v>
      </c>
      <c r="G16" s="45"/>
      <c r="H16" s="52">
        <v>0</v>
      </c>
      <c r="I16" s="45"/>
      <c r="J16" s="52">
        <v>739.02</v>
      </c>
    </row>
    <row r="17" spans="1:10" ht="15" thickBot="1" x14ac:dyDescent="0.35">
      <c r="A17" s="43"/>
      <c r="B17" s="43"/>
      <c r="C17" s="43"/>
      <c r="D17" s="43"/>
      <c r="E17" s="43" t="s">
        <v>831</v>
      </c>
      <c r="F17" s="54">
        <v>0</v>
      </c>
      <c r="G17" s="45"/>
      <c r="H17" s="54">
        <v>0</v>
      </c>
      <c r="I17" s="45"/>
      <c r="J17" s="54">
        <v>-875.09</v>
      </c>
    </row>
    <row r="18" spans="1:10" x14ac:dyDescent="0.3">
      <c r="A18" s="43"/>
      <c r="B18" s="43"/>
      <c r="C18" s="43"/>
      <c r="D18" s="43" t="s">
        <v>832</v>
      </c>
      <c r="E18" s="43"/>
      <c r="F18" s="52">
        <f>ROUND(SUM(F15:F17),5)</f>
        <v>0</v>
      </c>
      <c r="G18" s="45"/>
      <c r="H18" s="52">
        <f>ROUND(SUM(H15:H17),5)</f>
        <v>0</v>
      </c>
      <c r="I18" s="45"/>
      <c r="J18" s="52">
        <f>ROUND(SUM(J15:J17),5)</f>
        <v>-136.07</v>
      </c>
    </row>
    <row r="19" spans="1:10" ht="30" customHeight="1" thickBot="1" x14ac:dyDescent="0.35">
      <c r="A19" s="43"/>
      <c r="B19" s="43"/>
      <c r="C19" s="43"/>
      <c r="D19" s="43" t="s">
        <v>122</v>
      </c>
      <c r="E19" s="43"/>
      <c r="F19" s="52">
        <v>0</v>
      </c>
      <c r="G19" s="45"/>
      <c r="H19" s="52">
        <v>0</v>
      </c>
      <c r="I19" s="45"/>
      <c r="J19" s="52">
        <v>6892.55</v>
      </c>
    </row>
    <row r="20" spans="1:10" ht="15" thickBot="1" x14ac:dyDescent="0.35">
      <c r="A20" s="43"/>
      <c r="B20" s="43"/>
      <c r="C20" s="43" t="s">
        <v>124</v>
      </c>
      <c r="D20" s="43"/>
      <c r="E20" s="43"/>
      <c r="F20" s="53">
        <f>ROUND(SUM(F10:F14)+SUM(F18:F19),5)</f>
        <v>0</v>
      </c>
      <c r="G20" s="45"/>
      <c r="H20" s="53">
        <f>ROUND(SUM(H10:H14)+SUM(H18:H19),5)</f>
        <v>0</v>
      </c>
      <c r="I20" s="45"/>
      <c r="J20" s="53">
        <f>ROUND(SUM(J10:J14)+SUM(J18:J19),5)</f>
        <v>11751.29</v>
      </c>
    </row>
    <row r="21" spans="1:10" ht="30" customHeight="1" x14ac:dyDescent="0.3">
      <c r="A21" s="43"/>
      <c r="B21" s="43" t="s">
        <v>125</v>
      </c>
      <c r="C21" s="43"/>
      <c r="D21" s="43"/>
      <c r="E21" s="43"/>
      <c r="F21" s="52">
        <f>ROUND(F3+F6+F9+F20,5)</f>
        <v>0</v>
      </c>
      <c r="G21" s="45"/>
      <c r="H21" s="52">
        <f>ROUND(H3+H6+H9+H20,5)</f>
        <v>0</v>
      </c>
      <c r="I21" s="45"/>
      <c r="J21" s="52">
        <f>ROUND(J3+J6+J9+J20,5)</f>
        <v>19041.310000000001</v>
      </c>
    </row>
    <row r="22" spans="1:10" ht="30" customHeight="1" x14ac:dyDescent="0.3">
      <c r="A22" s="43"/>
      <c r="B22" s="43" t="s">
        <v>126</v>
      </c>
      <c r="C22" s="43"/>
      <c r="D22" s="43"/>
      <c r="E22" s="43"/>
      <c r="F22" s="52"/>
      <c r="G22" s="45"/>
      <c r="H22" s="52"/>
      <c r="I22" s="45"/>
      <c r="J22" s="52"/>
    </row>
    <row r="23" spans="1:10" x14ac:dyDescent="0.3">
      <c r="A23" s="43"/>
      <c r="B23" s="43"/>
      <c r="C23" s="43" t="s">
        <v>833</v>
      </c>
      <c r="D23" s="43"/>
      <c r="E23" s="43"/>
      <c r="F23" s="52">
        <v>0</v>
      </c>
      <c r="G23" s="45"/>
      <c r="H23" s="52">
        <v>0</v>
      </c>
      <c r="I23" s="45"/>
      <c r="J23" s="52">
        <v>1275000</v>
      </c>
    </row>
    <row r="24" spans="1:10" ht="15" thickBot="1" x14ac:dyDescent="0.35">
      <c r="A24" s="43"/>
      <c r="B24" s="43"/>
      <c r="C24" s="43" t="s">
        <v>127</v>
      </c>
      <c r="D24" s="43"/>
      <c r="E24" s="43"/>
      <c r="F24" s="54">
        <v>0</v>
      </c>
      <c r="G24" s="45"/>
      <c r="H24" s="54">
        <v>0</v>
      </c>
      <c r="I24" s="45"/>
      <c r="J24" s="54">
        <v>225000</v>
      </c>
    </row>
    <row r="25" spans="1:10" x14ac:dyDescent="0.3">
      <c r="A25" s="43"/>
      <c r="B25" s="43" t="s">
        <v>136</v>
      </c>
      <c r="C25" s="43"/>
      <c r="D25" s="43"/>
      <c r="E25" s="43"/>
      <c r="F25" s="52">
        <f>ROUND(SUM(F22:F24),5)</f>
        <v>0</v>
      </c>
      <c r="G25" s="45"/>
      <c r="H25" s="52">
        <f>ROUND(SUM(H22:H24),5)</f>
        <v>0</v>
      </c>
      <c r="I25" s="45"/>
      <c r="J25" s="52">
        <f>ROUND(SUM(J22:J24),5)</f>
        <v>1500000</v>
      </c>
    </row>
    <row r="26" spans="1:10" ht="30" customHeight="1" x14ac:dyDescent="0.3">
      <c r="A26" s="43"/>
      <c r="B26" s="43" t="s">
        <v>137</v>
      </c>
      <c r="C26" s="43"/>
      <c r="D26" s="43"/>
      <c r="E26" s="43"/>
      <c r="F26" s="52"/>
      <c r="G26" s="45"/>
      <c r="H26" s="52"/>
      <c r="I26" s="45"/>
      <c r="J26" s="52"/>
    </row>
    <row r="27" spans="1:10" x14ac:dyDescent="0.3">
      <c r="A27" s="43"/>
      <c r="B27" s="43"/>
      <c r="C27" s="43" t="s">
        <v>820</v>
      </c>
      <c r="D27" s="43"/>
      <c r="E27" s="43"/>
      <c r="F27" s="52"/>
      <c r="G27" s="45"/>
      <c r="H27" s="52"/>
      <c r="I27" s="45"/>
      <c r="J27" s="52"/>
    </row>
    <row r="28" spans="1:10" x14ac:dyDescent="0.3">
      <c r="A28" s="43"/>
      <c r="B28" s="43"/>
      <c r="C28" s="43"/>
      <c r="D28" s="43" t="s">
        <v>399</v>
      </c>
      <c r="E28" s="43"/>
      <c r="F28" s="52">
        <v>0</v>
      </c>
      <c r="G28" s="45"/>
      <c r="H28" s="52">
        <v>0</v>
      </c>
      <c r="I28" s="45"/>
      <c r="J28" s="52">
        <v>10891.5</v>
      </c>
    </row>
    <row r="29" spans="1:10" ht="15" thickBot="1" x14ac:dyDescent="0.35">
      <c r="A29" s="43"/>
      <c r="B29" s="43"/>
      <c r="C29" s="43"/>
      <c r="D29" s="43" t="s">
        <v>834</v>
      </c>
      <c r="E29" s="43"/>
      <c r="F29" s="52">
        <v>0</v>
      </c>
      <c r="G29" s="45"/>
      <c r="H29" s="52">
        <v>0</v>
      </c>
      <c r="I29" s="45"/>
      <c r="J29" s="52">
        <v>30895.11</v>
      </c>
    </row>
    <row r="30" spans="1:10" ht="15" thickBot="1" x14ac:dyDescent="0.35">
      <c r="A30" s="43"/>
      <c r="B30" s="43"/>
      <c r="C30" s="43" t="s">
        <v>835</v>
      </c>
      <c r="D30" s="43"/>
      <c r="E30" s="43"/>
      <c r="F30" s="55">
        <f>ROUND(SUM(F27:F29),5)</f>
        <v>0</v>
      </c>
      <c r="G30" s="45"/>
      <c r="H30" s="55">
        <f>ROUND(SUM(H27:H29),5)</f>
        <v>0</v>
      </c>
      <c r="I30" s="45"/>
      <c r="J30" s="55">
        <f>ROUND(SUM(J27:J29),5)</f>
        <v>41786.61</v>
      </c>
    </row>
    <row r="31" spans="1:10" ht="30" customHeight="1" thickBot="1" x14ac:dyDescent="0.35">
      <c r="A31" s="43"/>
      <c r="B31" s="43" t="s">
        <v>141</v>
      </c>
      <c r="C31" s="43"/>
      <c r="D31" s="43"/>
      <c r="E31" s="43"/>
      <c r="F31" s="55">
        <f>ROUND(F26+F30,5)</f>
        <v>0</v>
      </c>
      <c r="G31" s="45"/>
      <c r="H31" s="55">
        <f>ROUND(H26+H30,5)</f>
        <v>0</v>
      </c>
      <c r="I31" s="45"/>
      <c r="J31" s="55">
        <f>ROUND(J26+J30,5)</f>
        <v>41786.61</v>
      </c>
    </row>
    <row r="32" spans="1:10" s="50" customFormat="1" ht="30" customHeight="1" thickBot="1" x14ac:dyDescent="0.25">
      <c r="A32" s="43" t="s">
        <v>142</v>
      </c>
      <c r="B32" s="43"/>
      <c r="C32" s="43"/>
      <c r="D32" s="43"/>
      <c r="E32" s="43"/>
      <c r="F32" s="56">
        <f>ROUND(F2+F21+F25+F31,5)</f>
        <v>0</v>
      </c>
      <c r="G32" s="43"/>
      <c r="H32" s="56">
        <f>ROUND(H2+H21+H25+H31,5)</f>
        <v>0</v>
      </c>
      <c r="I32" s="43"/>
      <c r="J32" s="56">
        <f>ROUND(J2+J21+J25+J31,5)</f>
        <v>1560827.92</v>
      </c>
    </row>
    <row r="33" spans="1:10" ht="31.5" customHeight="1" thickTop="1" x14ac:dyDescent="0.3">
      <c r="A33" s="43" t="s">
        <v>143</v>
      </c>
      <c r="B33" s="43"/>
      <c r="C33" s="43"/>
      <c r="D33" s="43"/>
      <c r="E33" s="43"/>
      <c r="F33" s="52"/>
      <c r="G33" s="45"/>
      <c r="H33" s="52"/>
      <c r="I33" s="45"/>
      <c r="J33" s="52"/>
    </row>
    <row r="34" spans="1:10" x14ac:dyDescent="0.3">
      <c r="A34" s="43"/>
      <c r="B34" s="43" t="s">
        <v>144</v>
      </c>
      <c r="C34" s="43"/>
      <c r="D34" s="43"/>
      <c r="E34" s="43"/>
      <c r="F34" s="52"/>
      <c r="G34" s="45"/>
      <c r="H34" s="52"/>
      <c r="I34" s="45"/>
      <c r="J34" s="52"/>
    </row>
    <row r="35" spans="1:10" x14ac:dyDescent="0.3">
      <c r="A35" s="43"/>
      <c r="B35" s="43"/>
      <c r="C35" s="43" t="s">
        <v>145</v>
      </c>
      <c r="D35" s="43"/>
      <c r="E35" s="43"/>
      <c r="F35" s="52"/>
      <c r="G35" s="45"/>
      <c r="H35" s="52"/>
      <c r="I35" s="45"/>
      <c r="J35" s="52"/>
    </row>
    <row r="36" spans="1:10" x14ac:dyDescent="0.3">
      <c r="A36" s="43"/>
      <c r="B36" s="43"/>
      <c r="C36" s="43"/>
      <c r="D36" s="43" t="s">
        <v>146</v>
      </c>
      <c r="E36" s="43"/>
      <c r="F36" s="52"/>
      <c r="G36" s="45"/>
      <c r="H36" s="52"/>
      <c r="I36" s="45"/>
      <c r="J36" s="52"/>
    </row>
    <row r="37" spans="1:10" ht="15" thickBot="1" x14ac:dyDescent="0.35">
      <c r="A37" s="43"/>
      <c r="B37" s="43"/>
      <c r="C37" s="43"/>
      <c r="D37" s="43"/>
      <c r="E37" s="43" t="s">
        <v>146</v>
      </c>
      <c r="F37" s="54">
        <v>0</v>
      </c>
      <c r="G37" s="45"/>
      <c r="H37" s="54">
        <v>0</v>
      </c>
      <c r="I37" s="45"/>
      <c r="J37" s="54">
        <v>92119.1</v>
      </c>
    </row>
    <row r="38" spans="1:10" x14ac:dyDescent="0.3">
      <c r="A38" s="43"/>
      <c r="B38" s="43"/>
      <c r="C38" s="43"/>
      <c r="D38" s="43" t="s">
        <v>147</v>
      </c>
      <c r="E38" s="43"/>
      <c r="F38" s="52">
        <f>ROUND(SUM(F36:F37),5)</f>
        <v>0</v>
      </c>
      <c r="G38" s="45"/>
      <c r="H38" s="52">
        <f>ROUND(SUM(H36:H37),5)</f>
        <v>0</v>
      </c>
      <c r="I38" s="45"/>
      <c r="J38" s="52">
        <f>ROUND(SUM(J36:J37),5)</f>
        <v>92119.1</v>
      </c>
    </row>
    <row r="39" spans="1:10" ht="30" customHeight="1" x14ac:dyDescent="0.3">
      <c r="A39" s="43"/>
      <c r="B39" s="43"/>
      <c r="C39" s="43"/>
      <c r="D39" s="43" t="s">
        <v>148</v>
      </c>
      <c r="E39" s="43"/>
      <c r="F39" s="52"/>
      <c r="G39" s="45"/>
      <c r="H39" s="52"/>
      <c r="I39" s="45"/>
      <c r="J39" s="52"/>
    </row>
    <row r="40" spans="1:10" x14ac:dyDescent="0.3">
      <c r="A40" s="43"/>
      <c r="B40" s="43"/>
      <c r="C40" s="43"/>
      <c r="D40" s="43"/>
      <c r="E40" s="43" t="s">
        <v>390</v>
      </c>
      <c r="F40" s="52">
        <v>0</v>
      </c>
      <c r="G40" s="45"/>
      <c r="H40" s="52">
        <v>0</v>
      </c>
      <c r="I40" s="45"/>
      <c r="J40" s="52">
        <v>15691.19</v>
      </c>
    </row>
    <row r="41" spans="1:10" ht="15" thickBot="1" x14ac:dyDescent="0.35">
      <c r="A41" s="43"/>
      <c r="B41" s="43"/>
      <c r="C41" s="43"/>
      <c r="D41" s="43"/>
      <c r="E41" s="43" t="s">
        <v>356</v>
      </c>
      <c r="F41" s="52">
        <v>0</v>
      </c>
      <c r="G41" s="45"/>
      <c r="H41" s="52">
        <v>0</v>
      </c>
      <c r="I41" s="45"/>
      <c r="J41" s="52">
        <v>8067.24</v>
      </c>
    </row>
    <row r="42" spans="1:10" ht="15" thickBot="1" x14ac:dyDescent="0.35">
      <c r="A42" s="43"/>
      <c r="B42" s="43"/>
      <c r="C42" s="43"/>
      <c r="D42" s="43" t="s">
        <v>152</v>
      </c>
      <c r="E42" s="43"/>
      <c r="F42" s="53">
        <f>ROUND(SUM(F39:F41),5)</f>
        <v>0</v>
      </c>
      <c r="G42" s="45"/>
      <c r="H42" s="53">
        <f>ROUND(SUM(H39:H41),5)</f>
        <v>0</v>
      </c>
      <c r="I42" s="45"/>
      <c r="J42" s="53">
        <f>ROUND(SUM(J39:J41),5)</f>
        <v>23758.43</v>
      </c>
    </row>
    <row r="43" spans="1:10" ht="30" customHeight="1" x14ac:dyDescent="0.3">
      <c r="A43" s="43"/>
      <c r="B43" s="43"/>
      <c r="C43" s="43" t="s">
        <v>153</v>
      </c>
      <c r="D43" s="43"/>
      <c r="E43" s="43"/>
      <c r="F43" s="52">
        <f>ROUND(F35+F38+F42,5)</f>
        <v>0</v>
      </c>
      <c r="G43" s="45"/>
      <c r="H43" s="52">
        <f>ROUND(H35+H38+H42,5)</f>
        <v>0</v>
      </c>
      <c r="I43" s="45"/>
      <c r="J43" s="52">
        <f>ROUND(J35+J38+J42,5)</f>
        <v>115877.53</v>
      </c>
    </row>
    <row r="44" spans="1:10" ht="30" customHeight="1" x14ac:dyDescent="0.3">
      <c r="A44" s="43"/>
      <c r="B44" s="43"/>
      <c r="C44" s="43" t="s">
        <v>154</v>
      </c>
      <c r="D44" s="43"/>
      <c r="E44" s="43"/>
      <c r="F44" s="52"/>
      <c r="G44" s="45"/>
      <c r="H44" s="52"/>
      <c r="I44" s="45"/>
      <c r="J44" s="52"/>
    </row>
    <row r="45" spans="1:10" x14ac:dyDescent="0.3">
      <c r="A45" s="43"/>
      <c r="B45" s="43"/>
      <c r="C45" s="43"/>
      <c r="D45" s="43" t="s">
        <v>836</v>
      </c>
      <c r="E45" s="43"/>
      <c r="F45" s="52">
        <v>0</v>
      </c>
      <c r="G45" s="45"/>
      <c r="H45" s="52">
        <v>0</v>
      </c>
      <c r="I45" s="45"/>
      <c r="J45" s="65">
        <v>1000000</v>
      </c>
    </row>
    <row r="46" spans="1:10" ht="15" thickBot="1" x14ac:dyDescent="0.35">
      <c r="A46" s="43"/>
      <c r="B46" s="43"/>
      <c r="C46" s="43"/>
      <c r="D46" s="43" t="s">
        <v>837</v>
      </c>
      <c r="E46" s="43"/>
      <c r="F46" s="52">
        <v>0</v>
      </c>
      <c r="G46" s="45"/>
      <c r="H46" s="52">
        <v>0</v>
      </c>
      <c r="I46" s="45"/>
      <c r="J46" s="52">
        <v>370000</v>
      </c>
    </row>
    <row r="47" spans="1:10" ht="15" thickBot="1" x14ac:dyDescent="0.35">
      <c r="A47" s="43"/>
      <c r="B47" s="43"/>
      <c r="C47" s="43" t="s">
        <v>157</v>
      </c>
      <c r="D47" s="43"/>
      <c r="E47" s="43"/>
      <c r="F47" s="53">
        <f>ROUND(SUM(F44:F46),5)</f>
        <v>0</v>
      </c>
      <c r="G47" s="45"/>
      <c r="H47" s="53">
        <f>ROUND(SUM(H44:H46),5)</f>
        <v>0</v>
      </c>
      <c r="I47" s="45"/>
      <c r="J47" s="53">
        <f>ROUND(SUM(J44:J46),5)</f>
        <v>1370000</v>
      </c>
    </row>
    <row r="48" spans="1:10" ht="30" customHeight="1" x14ac:dyDescent="0.3">
      <c r="A48" s="43"/>
      <c r="B48" s="43" t="s">
        <v>158</v>
      </c>
      <c r="C48" s="43"/>
      <c r="D48" s="43"/>
      <c r="E48" s="43"/>
      <c r="F48" s="52">
        <f>ROUND(F34+F43+F47,5)</f>
        <v>0</v>
      </c>
      <c r="G48" s="45"/>
      <c r="H48" s="52">
        <f>ROUND(H34+H43+H47,5)</f>
        <v>0</v>
      </c>
      <c r="I48" s="45"/>
      <c r="J48" s="52">
        <f>ROUND(J34+J43+J47,5)</f>
        <v>1485877.53</v>
      </c>
    </row>
    <row r="49" spans="1:10" ht="30" customHeight="1" x14ac:dyDescent="0.3">
      <c r="A49" s="43"/>
      <c r="B49" s="43" t="s">
        <v>159</v>
      </c>
      <c r="C49" s="43"/>
      <c r="D49" s="43"/>
      <c r="E49" s="43"/>
      <c r="F49" s="52"/>
      <c r="G49" s="45"/>
      <c r="H49" s="52"/>
      <c r="I49" s="45"/>
      <c r="J49" s="52"/>
    </row>
    <row r="50" spans="1:10" x14ac:dyDescent="0.3">
      <c r="A50" s="43"/>
      <c r="B50" s="43"/>
      <c r="C50" s="43" t="s">
        <v>838</v>
      </c>
      <c r="D50" s="43"/>
      <c r="E50" s="43"/>
      <c r="F50" s="52">
        <v>0</v>
      </c>
      <c r="G50" s="45"/>
      <c r="H50" s="52">
        <v>0</v>
      </c>
      <c r="I50" s="45"/>
      <c r="J50" s="52">
        <v>270000</v>
      </c>
    </row>
    <row r="51" spans="1:10" ht="15" thickBot="1" x14ac:dyDescent="0.35">
      <c r="A51" s="43"/>
      <c r="B51" s="43"/>
      <c r="C51" s="43" t="s">
        <v>165</v>
      </c>
      <c r="D51" s="43"/>
      <c r="E51" s="43"/>
      <c r="F51" s="52">
        <v>0</v>
      </c>
      <c r="G51" s="45"/>
      <c r="H51" s="52">
        <v>0</v>
      </c>
      <c r="I51" s="45"/>
      <c r="J51" s="52">
        <v>-195049.61</v>
      </c>
    </row>
    <row r="52" spans="1:10" ht="15" thickBot="1" x14ac:dyDescent="0.35">
      <c r="A52" s="43"/>
      <c r="B52" s="43" t="s">
        <v>166</v>
      </c>
      <c r="C52" s="43"/>
      <c r="D52" s="43"/>
      <c r="E52" s="43"/>
      <c r="F52" s="55">
        <f>ROUND(SUM(F49:F51),5)</f>
        <v>0</v>
      </c>
      <c r="G52" s="45"/>
      <c r="H52" s="55">
        <f>ROUND(SUM(H49:H51),5)</f>
        <v>0</v>
      </c>
      <c r="I52" s="45"/>
      <c r="J52" s="55">
        <f>ROUND(SUM(J49:J51),5)</f>
        <v>74950.39</v>
      </c>
    </row>
    <row r="53" spans="1:10" s="50" customFormat="1" ht="30" customHeight="1" thickBot="1" x14ac:dyDescent="0.25">
      <c r="A53" s="43" t="s">
        <v>167</v>
      </c>
      <c r="B53" s="43"/>
      <c r="C53" s="43"/>
      <c r="D53" s="43"/>
      <c r="E53" s="43"/>
      <c r="F53" s="56">
        <f>ROUND(F33+F48+F52,5)</f>
        <v>0</v>
      </c>
      <c r="G53" s="43"/>
      <c r="H53" s="56">
        <f>ROUND(H33+H48+H52,5)</f>
        <v>0</v>
      </c>
      <c r="I53" s="43"/>
      <c r="J53" s="56">
        <f>ROUND(J33+J48+J52,5)</f>
        <v>1560827.92</v>
      </c>
    </row>
    <row r="54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11:32 AM
&amp;"Arial,Bold"&amp;8 02/17/14
&amp;"Arial,Bold"&amp;8 Accrual Basis&amp;C&amp;"Arial,Bold"&amp;12 Union Station, LLC
&amp;"Arial,Bold"&amp;14 Comparative Balance Sheet
&amp;"Arial,Bold"&amp;10 As of Jan31,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301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3010" r:id="rId4" name="HEADER"/>
      </mc:Fallback>
    </mc:AlternateContent>
    <mc:AlternateContent xmlns:mc="http://schemas.openxmlformats.org/markup-compatibility/2006">
      <mc:Choice Requires="x14">
        <control shapeId="4300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3009" r:id="rId6" name="FILTER"/>
      </mc:Fallback>
    </mc:AlternateContent>
  </control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62"/>
  <dimension ref="A1:N102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4.6640625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9.3320312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52"/>
      <c r="I2" s="45"/>
      <c r="J2" s="52"/>
      <c r="K2" s="45"/>
      <c r="L2" s="52"/>
      <c r="M2" s="45"/>
      <c r="N2" s="52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52"/>
      <c r="I3" s="45"/>
      <c r="J3" s="52"/>
      <c r="K3" s="45"/>
      <c r="L3" s="52"/>
      <c r="M3" s="45"/>
      <c r="N3" s="52"/>
    </row>
    <row r="4" spans="1:14" x14ac:dyDescent="0.3">
      <c r="A4" s="43"/>
      <c r="B4" s="43"/>
      <c r="C4" s="43"/>
      <c r="D4" s="43"/>
      <c r="E4" s="43" t="s">
        <v>839</v>
      </c>
      <c r="F4" s="43"/>
      <c r="G4" s="43"/>
      <c r="H4" s="52">
        <v>0</v>
      </c>
      <c r="I4" s="45"/>
      <c r="J4" s="52">
        <v>0</v>
      </c>
      <c r="K4" s="45"/>
      <c r="L4" s="52">
        <v>6187.5</v>
      </c>
      <c r="M4" s="45"/>
      <c r="N4" s="52">
        <f>ROUND(SUM(H4:L4),5)</f>
        <v>6187.5</v>
      </c>
    </row>
    <row r="5" spans="1:14" x14ac:dyDescent="0.3">
      <c r="A5" s="43"/>
      <c r="B5" s="43"/>
      <c r="C5" s="43"/>
      <c r="D5" s="43"/>
      <c r="E5" s="43" t="s">
        <v>840</v>
      </c>
      <c r="F5" s="43"/>
      <c r="G5" s="43"/>
      <c r="H5" s="52"/>
      <c r="I5" s="45"/>
      <c r="J5" s="52"/>
      <c r="K5" s="45"/>
      <c r="L5" s="52"/>
      <c r="M5" s="45"/>
      <c r="N5" s="52"/>
    </row>
    <row r="6" spans="1:14" x14ac:dyDescent="0.3">
      <c r="A6" s="43"/>
      <c r="B6" s="43"/>
      <c r="C6" s="43"/>
      <c r="D6" s="43"/>
      <c r="E6" s="43"/>
      <c r="F6" s="43" t="s">
        <v>841</v>
      </c>
      <c r="G6" s="43"/>
      <c r="H6" s="52">
        <v>0</v>
      </c>
      <c r="I6" s="45"/>
      <c r="J6" s="52">
        <v>0</v>
      </c>
      <c r="K6" s="45"/>
      <c r="L6" s="52">
        <v>28074.23</v>
      </c>
      <c r="M6" s="45"/>
      <c r="N6" s="52">
        <f t="shared" ref="N6:N11" si="0">ROUND(SUM(H6:L6),5)</f>
        <v>28074.23</v>
      </c>
    </row>
    <row r="7" spans="1:14" ht="15" thickBot="1" x14ac:dyDescent="0.35">
      <c r="A7" s="43"/>
      <c r="B7" s="43"/>
      <c r="C7" s="43"/>
      <c r="D7" s="43"/>
      <c r="E7" s="43"/>
      <c r="F7" s="43" t="s">
        <v>842</v>
      </c>
      <c r="G7" s="43"/>
      <c r="H7" s="54">
        <v>0</v>
      </c>
      <c r="I7" s="45"/>
      <c r="J7" s="54">
        <v>0</v>
      </c>
      <c r="K7" s="45"/>
      <c r="L7" s="54">
        <v>0</v>
      </c>
      <c r="M7" s="45"/>
      <c r="N7" s="54">
        <f t="shared" si="0"/>
        <v>0</v>
      </c>
    </row>
    <row r="8" spans="1:14" x14ac:dyDescent="0.3">
      <c r="A8" s="43"/>
      <c r="B8" s="43"/>
      <c r="C8" s="43"/>
      <c r="D8" s="43"/>
      <c r="E8" s="43" t="s">
        <v>843</v>
      </c>
      <c r="F8" s="43"/>
      <c r="G8" s="43"/>
      <c r="H8" s="52">
        <f>ROUND(SUM(H5:H7),5)</f>
        <v>0</v>
      </c>
      <c r="I8" s="45"/>
      <c r="J8" s="52">
        <f>ROUND(SUM(J5:J7),5)</f>
        <v>0</v>
      </c>
      <c r="K8" s="45"/>
      <c r="L8" s="52">
        <f>ROUND(SUM(L5:L7),5)</f>
        <v>28074.23</v>
      </c>
      <c r="M8" s="45"/>
      <c r="N8" s="52">
        <f t="shared" si="0"/>
        <v>28074.23</v>
      </c>
    </row>
    <row r="9" spans="1:14" ht="30" customHeight="1" thickBot="1" x14ac:dyDescent="0.35">
      <c r="A9" s="43"/>
      <c r="B9" s="43"/>
      <c r="C9" s="43"/>
      <c r="D9" s="43"/>
      <c r="E9" s="43" t="s">
        <v>174</v>
      </c>
      <c r="F9" s="43"/>
      <c r="G9" s="43"/>
      <c r="H9" s="52">
        <v>0</v>
      </c>
      <c r="I9" s="45"/>
      <c r="J9" s="52">
        <v>0</v>
      </c>
      <c r="K9" s="45"/>
      <c r="L9" s="52">
        <v>32349.46</v>
      </c>
      <c r="M9" s="45"/>
      <c r="N9" s="52">
        <f t="shared" si="0"/>
        <v>32349.46</v>
      </c>
    </row>
    <row r="10" spans="1:14" ht="15" thickBot="1" x14ac:dyDescent="0.35">
      <c r="A10" s="43"/>
      <c r="B10" s="43"/>
      <c r="C10" s="43"/>
      <c r="D10" s="43" t="s">
        <v>180</v>
      </c>
      <c r="E10" s="43"/>
      <c r="F10" s="43"/>
      <c r="G10" s="43"/>
      <c r="H10" s="53">
        <f>ROUND(SUM(H3:H4)+SUM(H8:H9),5)</f>
        <v>0</v>
      </c>
      <c r="I10" s="45"/>
      <c r="J10" s="53">
        <f>ROUND(SUM(J3:J4)+SUM(J8:J9),5)</f>
        <v>0</v>
      </c>
      <c r="K10" s="45"/>
      <c r="L10" s="53">
        <f>ROUND(SUM(L3:L4)+SUM(L8:L9),5)</f>
        <v>66611.19</v>
      </c>
      <c r="M10" s="45"/>
      <c r="N10" s="53">
        <f t="shared" si="0"/>
        <v>66611.19</v>
      </c>
    </row>
    <row r="11" spans="1:14" ht="30" customHeight="1" x14ac:dyDescent="0.3">
      <c r="A11" s="43"/>
      <c r="B11" s="43"/>
      <c r="C11" s="43" t="s">
        <v>181</v>
      </c>
      <c r="D11" s="43"/>
      <c r="E11" s="43"/>
      <c r="F11" s="43"/>
      <c r="G11" s="43"/>
      <c r="H11" s="52">
        <f>H10</f>
        <v>0</v>
      </c>
      <c r="I11" s="45"/>
      <c r="J11" s="52">
        <f>J10</f>
        <v>0</v>
      </c>
      <c r="K11" s="45"/>
      <c r="L11" s="52">
        <f>L10</f>
        <v>66611.19</v>
      </c>
      <c r="M11" s="45"/>
      <c r="N11" s="52">
        <f t="shared" si="0"/>
        <v>66611.19</v>
      </c>
    </row>
    <row r="12" spans="1:14" ht="30" customHeight="1" x14ac:dyDescent="0.3">
      <c r="A12" s="43"/>
      <c r="B12" s="43"/>
      <c r="C12" s="43"/>
      <c r="D12" s="43" t="s">
        <v>182</v>
      </c>
      <c r="E12" s="43"/>
      <c r="F12" s="43"/>
      <c r="G12" s="43"/>
      <c r="H12" s="52"/>
      <c r="I12" s="45"/>
      <c r="J12" s="52"/>
      <c r="K12" s="45"/>
      <c r="L12" s="52"/>
      <c r="M12" s="45"/>
      <c r="N12" s="52"/>
    </row>
    <row r="13" spans="1:14" x14ac:dyDescent="0.3">
      <c r="A13" s="43"/>
      <c r="B13" s="43"/>
      <c r="C13" s="43"/>
      <c r="D13" s="43"/>
      <c r="E13" s="43" t="s">
        <v>544</v>
      </c>
      <c r="F13" s="43"/>
      <c r="G13" s="43"/>
      <c r="H13" s="52">
        <v>0</v>
      </c>
      <c r="I13" s="45"/>
      <c r="J13" s="52">
        <v>0</v>
      </c>
      <c r="K13" s="45"/>
      <c r="L13" s="52">
        <v>141.19999999999999</v>
      </c>
      <c r="M13" s="45"/>
      <c r="N13" s="52">
        <f>ROUND(SUM(H13:L13),5)</f>
        <v>141.19999999999999</v>
      </c>
    </row>
    <row r="14" spans="1:14" x14ac:dyDescent="0.3">
      <c r="A14" s="43"/>
      <c r="B14" s="43"/>
      <c r="C14" s="43"/>
      <c r="D14" s="43"/>
      <c r="E14" s="43" t="s">
        <v>844</v>
      </c>
      <c r="F14" s="43"/>
      <c r="G14" s="43"/>
      <c r="H14" s="52">
        <v>0</v>
      </c>
      <c r="I14" s="45"/>
      <c r="J14" s="52">
        <v>0</v>
      </c>
      <c r="K14" s="45"/>
      <c r="L14" s="52">
        <v>787.5</v>
      </c>
      <c r="M14" s="45"/>
      <c r="N14" s="52">
        <f>ROUND(SUM(H14:L14),5)</f>
        <v>787.5</v>
      </c>
    </row>
    <row r="15" spans="1:14" x14ac:dyDescent="0.3">
      <c r="A15" s="43"/>
      <c r="B15" s="43"/>
      <c r="C15" s="43"/>
      <c r="D15" s="43"/>
      <c r="E15" s="43" t="s">
        <v>845</v>
      </c>
      <c r="F15" s="43"/>
      <c r="G15" s="43"/>
      <c r="H15" s="52">
        <v>0</v>
      </c>
      <c r="I15" s="45"/>
      <c r="J15" s="52">
        <v>0</v>
      </c>
      <c r="K15" s="45"/>
      <c r="L15" s="52">
        <v>13</v>
      </c>
      <c r="M15" s="45"/>
      <c r="N15" s="52">
        <f>ROUND(SUM(H15:L15),5)</f>
        <v>13</v>
      </c>
    </row>
    <row r="16" spans="1:14" x14ac:dyDescent="0.3">
      <c r="A16" s="43"/>
      <c r="B16" s="43"/>
      <c r="C16" s="43"/>
      <c r="D16" s="43"/>
      <c r="E16" s="43" t="s">
        <v>432</v>
      </c>
      <c r="F16" s="43"/>
      <c r="G16" s="43"/>
      <c r="H16" s="52">
        <v>0</v>
      </c>
      <c r="I16" s="45"/>
      <c r="J16" s="52">
        <v>0</v>
      </c>
      <c r="K16" s="45"/>
      <c r="L16" s="52">
        <v>10485.75</v>
      </c>
      <c r="M16" s="45"/>
      <c r="N16" s="52">
        <f>ROUND(SUM(H16:L16),5)</f>
        <v>10485.75</v>
      </c>
    </row>
    <row r="17" spans="1:14" x14ac:dyDescent="0.3">
      <c r="A17" s="43"/>
      <c r="B17" s="43"/>
      <c r="C17" s="43"/>
      <c r="D17" s="43"/>
      <c r="E17" s="43" t="s">
        <v>846</v>
      </c>
      <c r="F17" s="43"/>
      <c r="G17" s="43"/>
      <c r="H17" s="52">
        <v>0</v>
      </c>
      <c r="I17" s="45"/>
      <c r="J17" s="52">
        <v>0</v>
      </c>
      <c r="K17" s="45"/>
      <c r="L17" s="52">
        <v>705.76</v>
      </c>
      <c r="M17" s="45"/>
      <c r="N17" s="52">
        <f>ROUND(SUM(H17:L17),5)</f>
        <v>705.76</v>
      </c>
    </row>
    <row r="18" spans="1:14" x14ac:dyDescent="0.3">
      <c r="A18" s="43"/>
      <c r="B18" s="43"/>
      <c r="C18" s="43"/>
      <c r="D18" s="43"/>
      <c r="E18" s="43" t="s">
        <v>434</v>
      </c>
      <c r="F18" s="43"/>
      <c r="G18" s="43"/>
      <c r="H18" s="52"/>
      <c r="I18" s="45"/>
      <c r="J18" s="52"/>
      <c r="K18" s="45"/>
      <c r="L18" s="52"/>
      <c r="M18" s="45"/>
      <c r="N18" s="52"/>
    </row>
    <row r="19" spans="1:14" ht="15" thickBot="1" x14ac:dyDescent="0.35">
      <c r="A19" s="43"/>
      <c r="B19" s="43"/>
      <c r="C19" s="43"/>
      <c r="D19" s="43"/>
      <c r="E19" s="43"/>
      <c r="F19" s="43" t="s">
        <v>847</v>
      </c>
      <c r="G19" s="43"/>
      <c r="H19" s="54">
        <v>0</v>
      </c>
      <c r="I19" s="45"/>
      <c r="J19" s="54">
        <v>0</v>
      </c>
      <c r="K19" s="45"/>
      <c r="L19" s="54">
        <v>37493.51</v>
      </c>
      <c r="M19" s="45"/>
      <c r="N19" s="54">
        <f>ROUND(SUM(H19:L19),5)</f>
        <v>37493.51</v>
      </c>
    </row>
    <row r="20" spans="1:14" x14ac:dyDescent="0.3">
      <c r="A20" s="43"/>
      <c r="B20" s="43"/>
      <c r="C20" s="43"/>
      <c r="D20" s="43"/>
      <c r="E20" s="43" t="s">
        <v>848</v>
      </c>
      <c r="F20" s="43"/>
      <c r="G20" s="43"/>
      <c r="H20" s="52">
        <f>ROUND(SUM(H18:H19),5)</f>
        <v>0</v>
      </c>
      <c r="I20" s="45"/>
      <c r="J20" s="52">
        <f>ROUND(SUM(J18:J19),5)</f>
        <v>0</v>
      </c>
      <c r="K20" s="45"/>
      <c r="L20" s="52">
        <f>ROUND(SUM(L18:L19),5)</f>
        <v>37493.51</v>
      </c>
      <c r="M20" s="45"/>
      <c r="N20" s="52">
        <f>ROUND(SUM(H20:L20),5)</f>
        <v>37493.51</v>
      </c>
    </row>
    <row r="21" spans="1:14" ht="30" customHeight="1" x14ac:dyDescent="0.3">
      <c r="A21" s="43"/>
      <c r="B21" s="43"/>
      <c r="C21" s="43"/>
      <c r="D21" s="43"/>
      <c r="E21" s="43" t="s">
        <v>278</v>
      </c>
      <c r="F21" s="43"/>
      <c r="G21" s="43"/>
      <c r="H21" s="52">
        <v>0</v>
      </c>
      <c r="I21" s="45"/>
      <c r="J21" s="52">
        <v>0</v>
      </c>
      <c r="K21" s="45"/>
      <c r="L21" s="52">
        <v>20111.11</v>
      </c>
      <c r="M21" s="45"/>
      <c r="N21" s="52">
        <f>ROUND(SUM(H21:L21),5)</f>
        <v>20111.11</v>
      </c>
    </row>
    <row r="22" spans="1:14" x14ac:dyDescent="0.3">
      <c r="A22" s="43"/>
      <c r="B22" s="43"/>
      <c r="C22" s="43"/>
      <c r="D22" s="43"/>
      <c r="E22" s="43" t="s">
        <v>578</v>
      </c>
      <c r="F22" s="43"/>
      <c r="G22" s="43"/>
      <c r="H22" s="52"/>
      <c r="I22" s="45"/>
      <c r="J22" s="52"/>
      <c r="K22" s="45"/>
      <c r="L22" s="52"/>
      <c r="M22" s="45"/>
      <c r="N22" s="52"/>
    </row>
    <row r="23" spans="1:14" x14ac:dyDescent="0.3">
      <c r="A23" s="43"/>
      <c r="B23" s="43"/>
      <c r="C23" s="43"/>
      <c r="D23" s="43"/>
      <c r="E23" s="43"/>
      <c r="F23" s="43" t="s">
        <v>849</v>
      </c>
      <c r="G23" s="43"/>
      <c r="H23" s="52"/>
      <c r="I23" s="45"/>
      <c r="J23" s="52"/>
      <c r="K23" s="45"/>
      <c r="L23" s="52"/>
      <c r="M23" s="45"/>
      <c r="N23" s="52"/>
    </row>
    <row r="24" spans="1:14" ht="15" thickBot="1" x14ac:dyDescent="0.35">
      <c r="A24" s="43"/>
      <c r="B24" s="43"/>
      <c r="C24" s="43"/>
      <c r="D24" s="43"/>
      <c r="E24" s="43"/>
      <c r="F24" s="43"/>
      <c r="G24" s="43" t="s">
        <v>850</v>
      </c>
      <c r="H24" s="52">
        <v>0</v>
      </c>
      <c r="I24" s="45"/>
      <c r="J24" s="52">
        <v>0</v>
      </c>
      <c r="K24" s="45"/>
      <c r="L24" s="52">
        <v>37683.980000000003</v>
      </c>
      <c r="M24" s="45"/>
      <c r="N24" s="52">
        <f>ROUND(SUM(H24:L24),5)</f>
        <v>37683.980000000003</v>
      </c>
    </row>
    <row r="25" spans="1:14" ht="15" thickBot="1" x14ac:dyDescent="0.35">
      <c r="A25" s="43"/>
      <c r="B25" s="43"/>
      <c r="C25" s="43"/>
      <c r="D25" s="43"/>
      <c r="E25" s="43"/>
      <c r="F25" s="43" t="s">
        <v>851</v>
      </c>
      <c r="G25" s="43"/>
      <c r="H25" s="53">
        <f>ROUND(SUM(H23:H24),5)</f>
        <v>0</v>
      </c>
      <c r="I25" s="45"/>
      <c r="J25" s="53">
        <f>ROUND(SUM(J23:J24),5)</f>
        <v>0</v>
      </c>
      <c r="K25" s="45"/>
      <c r="L25" s="53">
        <f>ROUND(SUM(L23:L24),5)</f>
        <v>37683.980000000003</v>
      </c>
      <c r="M25" s="45"/>
      <c r="N25" s="53">
        <f>ROUND(SUM(H25:L25),5)</f>
        <v>37683.980000000003</v>
      </c>
    </row>
    <row r="26" spans="1:14" ht="30" customHeight="1" x14ac:dyDescent="0.3">
      <c r="A26" s="43"/>
      <c r="B26" s="43"/>
      <c r="C26" s="43"/>
      <c r="D26" s="43"/>
      <c r="E26" s="43" t="s">
        <v>579</v>
      </c>
      <c r="F26" s="43"/>
      <c r="G26" s="43"/>
      <c r="H26" s="52">
        <f>ROUND(H22+H25,5)</f>
        <v>0</v>
      </c>
      <c r="I26" s="45"/>
      <c r="J26" s="52">
        <f>ROUND(J22+J25,5)</f>
        <v>0</v>
      </c>
      <c r="K26" s="45"/>
      <c r="L26" s="52">
        <f>ROUND(L22+L25,5)</f>
        <v>37683.980000000003</v>
      </c>
      <c r="M26" s="45"/>
      <c r="N26" s="52">
        <f>ROUND(SUM(H26:L26),5)</f>
        <v>37683.980000000003</v>
      </c>
    </row>
    <row r="27" spans="1:14" ht="30" customHeight="1" x14ac:dyDescent="0.3">
      <c r="A27" s="43"/>
      <c r="B27" s="43"/>
      <c r="C27" s="43"/>
      <c r="D27" s="43"/>
      <c r="E27" s="43" t="s">
        <v>214</v>
      </c>
      <c r="F27" s="43"/>
      <c r="G27" s="43"/>
      <c r="H27" s="52"/>
      <c r="I27" s="45"/>
      <c r="J27" s="52"/>
      <c r="K27" s="45"/>
      <c r="L27" s="52"/>
      <c r="M27" s="45"/>
      <c r="N27" s="52"/>
    </row>
    <row r="28" spans="1:14" x14ac:dyDescent="0.3">
      <c r="A28" s="43"/>
      <c r="B28" s="43"/>
      <c r="C28" s="43"/>
      <c r="D28" s="43"/>
      <c r="E28" s="43"/>
      <c r="F28" s="43" t="s">
        <v>852</v>
      </c>
      <c r="G28" s="43"/>
      <c r="H28" s="52">
        <v>0</v>
      </c>
      <c r="I28" s="45"/>
      <c r="J28" s="52">
        <v>0</v>
      </c>
      <c r="K28" s="45"/>
      <c r="L28" s="52">
        <v>645.04999999999995</v>
      </c>
      <c r="M28" s="45"/>
      <c r="N28" s="52">
        <f>ROUND(SUM(H28:L28),5)</f>
        <v>645.04999999999995</v>
      </c>
    </row>
    <row r="29" spans="1:14" x14ac:dyDescent="0.3">
      <c r="A29" s="43"/>
      <c r="B29" s="43"/>
      <c r="C29" s="43"/>
      <c r="D29" s="43"/>
      <c r="E29" s="43"/>
      <c r="F29" s="43" t="s">
        <v>503</v>
      </c>
      <c r="G29" s="43"/>
      <c r="H29" s="52">
        <v>0</v>
      </c>
      <c r="I29" s="45"/>
      <c r="J29" s="52">
        <v>0</v>
      </c>
      <c r="K29" s="45"/>
      <c r="L29" s="52">
        <v>367.18</v>
      </c>
      <c r="M29" s="45"/>
      <c r="N29" s="52">
        <f>ROUND(SUM(H29:L29),5)</f>
        <v>367.18</v>
      </c>
    </row>
    <row r="30" spans="1:14" x14ac:dyDescent="0.3">
      <c r="A30" s="43"/>
      <c r="B30" s="43"/>
      <c r="C30" s="43"/>
      <c r="D30" s="43"/>
      <c r="E30" s="43"/>
      <c r="F30" s="43" t="s">
        <v>853</v>
      </c>
      <c r="G30" s="43"/>
      <c r="H30" s="52">
        <v>0</v>
      </c>
      <c r="I30" s="45"/>
      <c r="J30" s="52">
        <v>0</v>
      </c>
      <c r="K30" s="45"/>
      <c r="L30" s="52">
        <v>1872.5</v>
      </c>
      <c r="M30" s="45"/>
      <c r="N30" s="52">
        <f>ROUND(SUM(H30:L30),5)</f>
        <v>1872.5</v>
      </c>
    </row>
    <row r="31" spans="1:14" x14ac:dyDescent="0.3">
      <c r="A31" s="43"/>
      <c r="B31" s="43"/>
      <c r="C31" s="43"/>
      <c r="D31" s="43"/>
      <c r="E31" s="43"/>
      <c r="F31" s="43" t="s">
        <v>854</v>
      </c>
      <c r="G31" s="43"/>
      <c r="H31" s="52"/>
      <c r="I31" s="45"/>
      <c r="J31" s="52"/>
      <c r="K31" s="45"/>
      <c r="L31" s="52"/>
      <c r="M31" s="45"/>
      <c r="N31" s="52"/>
    </row>
    <row r="32" spans="1:14" x14ac:dyDescent="0.3">
      <c r="A32" s="43"/>
      <c r="B32" s="43"/>
      <c r="C32" s="43"/>
      <c r="D32" s="43"/>
      <c r="E32" s="43"/>
      <c r="F32" s="43"/>
      <c r="G32" s="43" t="s">
        <v>855</v>
      </c>
      <c r="H32" s="52">
        <v>0</v>
      </c>
      <c r="I32" s="45"/>
      <c r="J32" s="52">
        <v>0</v>
      </c>
      <c r="K32" s="45"/>
      <c r="L32" s="52">
        <v>870.92</v>
      </c>
      <c r="M32" s="45"/>
      <c r="N32" s="52">
        <f>ROUND(SUM(H32:L32),5)</f>
        <v>870.92</v>
      </c>
    </row>
    <row r="33" spans="1:14" ht="15" thickBot="1" x14ac:dyDescent="0.35">
      <c r="A33" s="43"/>
      <c r="B33" s="43"/>
      <c r="C33" s="43"/>
      <c r="D33" s="43"/>
      <c r="E33" s="43"/>
      <c r="F33" s="43"/>
      <c r="G33" s="43" t="s">
        <v>856</v>
      </c>
      <c r="H33" s="54">
        <v>0</v>
      </c>
      <c r="I33" s="45"/>
      <c r="J33" s="54">
        <v>0</v>
      </c>
      <c r="K33" s="45"/>
      <c r="L33" s="54">
        <v>2503.13</v>
      </c>
      <c r="M33" s="45"/>
      <c r="N33" s="54">
        <f>ROUND(SUM(H33:L33),5)</f>
        <v>2503.13</v>
      </c>
    </row>
    <row r="34" spans="1:14" x14ac:dyDescent="0.3">
      <c r="A34" s="43"/>
      <c r="B34" s="43"/>
      <c r="C34" s="43"/>
      <c r="D34" s="43"/>
      <c r="E34" s="43"/>
      <c r="F34" s="43" t="s">
        <v>857</v>
      </c>
      <c r="G34" s="43"/>
      <c r="H34" s="52">
        <f>ROUND(SUM(H31:H33),5)</f>
        <v>0</v>
      </c>
      <c r="I34" s="45"/>
      <c r="J34" s="52">
        <f>ROUND(SUM(J31:J33),5)</f>
        <v>0</v>
      </c>
      <c r="K34" s="45"/>
      <c r="L34" s="52">
        <f>ROUND(SUM(L31:L33),5)</f>
        <v>3374.05</v>
      </c>
      <c r="M34" s="45"/>
      <c r="N34" s="52">
        <f>ROUND(SUM(H34:L34),5)</f>
        <v>3374.05</v>
      </c>
    </row>
    <row r="35" spans="1:14" ht="30" customHeight="1" x14ac:dyDescent="0.3">
      <c r="A35" s="43"/>
      <c r="B35" s="43"/>
      <c r="C35" s="43"/>
      <c r="D35" s="43"/>
      <c r="E35" s="43"/>
      <c r="F35" s="43" t="s">
        <v>858</v>
      </c>
      <c r="G35" s="43"/>
      <c r="H35" s="52"/>
      <c r="I35" s="45"/>
      <c r="J35" s="52"/>
      <c r="K35" s="45"/>
      <c r="L35" s="52"/>
      <c r="M35" s="45"/>
      <c r="N35" s="52"/>
    </row>
    <row r="36" spans="1:14" ht="15" thickBot="1" x14ac:dyDescent="0.35">
      <c r="A36" s="43"/>
      <c r="B36" s="43"/>
      <c r="C36" s="43"/>
      <c r="D36" s="43"/>
      <c r="E36" s="43"/>
      <c r="F36" s="43"/>
      <c r="G36" s="43" t="s">
        <v>230</v>
      </c>
      <c r="H36" s="54">
        <v>0</v>
      </c>
      <c r="I36" s="45"/>
      <c r="J36" s="54">
        <v>0</v>
      </c>
      <c r="K36" s="45"/>
      <c r="L36" s="54">
        <v>1531.25</v>
      </c>
      <c r="M36" s="45"/>
      <c r="N36" s="54">
        <f>ROUND(SUM(H36:L36),5)</f>
        <v>1531.25</v>
      </c>
    </row>
    <row r="37" spans="1:14" x14ac:dyDescent="0.3">
      <c r="A37" s="43"/>
      <c r="B37" s="43"/>
      <c r="C37" s="43"/>
      <c r="D37" s="43"/>
      <c r="E37" s="43"/>
      <c r="F37" s="43" t="s">
        <v>859</v>
      </c>
      <c r="G37" s="43"/>
      <c r="H37" s="52">
        <f>ROUND(SUM(H35:H36),5)</f>
        <v>0</v>
      </c>
      <c r="I37" s="45"/>
      <c r="J37" s="52">
        <f>ROUND(SUM(J35:J36),5)</f>
        <v>0</v>
      </c>
      <c r="K37" s="45"/>
      <c r="L37" s="52">
        <f>ROUND(SUM(L35:L36),5)</f>
        <v>1531.25</v>
      </c>
      <c r="M37" s="45"/>
      <c r="N37" s="52">
        <f>ROUND(SUM(H37:L37),5)</f>
        <v>1531.25</v>
      </c>
    </row>
    <row r="38" spans="1:14" ht="30" customHeight="1" x14ac:dyDescent="0.3">
      <c r="A38" s="43"/>
      <c r="B38" s="43"/>
      <c r="C38" s="43"/>
      <c r="D38" s="43"/>
      <c r="E38" s="43"/>
      <c r="F38" s="43" t="s">
        <v>860</v>
      </c>
      <c r="G38" s="43"/>
      <c r="H38" s="52">
        <v>0</v>
      </c>
      <c r="I38" s="45"/>
      <c r="J38" s="52">
        <v>0</v>
      </c>
      <c r="K38" s="45"/>
      <c r="L38" s="52">
        <v>366.16</v>
      </c>
      <c r="M38" s="45"/>
      <c r="N38" s="52">
        <f>ROUND(SUM(H38:L38),5)</f>
        <v>366.16</v>
      </c>
    </row>
    <row r="39" spans="1:14" x14ac:dyDescent="0.3">
      <c r="A39" s="43"/>
      <c r="B39" s="43"/>
      <c r="C39" s="43"/>
      <c r="D39" s="43"/>
      <c r="E39" s="43"/>
      <c r="F39" s="43" t="s">
        <v>861</v>
      </c>
      <c r="G39" s="43"/>
      <c r="H39" s="52"/>
      <c r="I39" s="45"/>
      <c r="J39" s="52"/>
      <c r="K39" s="45"/>
      <c r="L39" s="52"/>
      <c r="M39" s="45"/>
      <c r="N39" s="52"/>
    </row>
    <row r="40" spans="1:14" x14ac:dyDescent="0.3">
      <c r="A40" s="43"/>
      <c r="B40" s="43"/>
      <c r="C40" s="43"/>
      <c r="D40" s="43"/>
      <c r="E40" s="43"/>
      <c r="F40" s="43"/>
      <c r="G40" s="43" t="s">
        <v>217</v>
      </c>
      <c r="H40" s="52">
        <v>0</v>
      </c>
      <c r="I40" s="45"/>
      <c r="J40" s="52">
        <v>0</v>
      </c>
      <c r="K40" s="45"/>
      <c r="L40" s="52">
        <v>764.59</v>
      </c>
      <c r="M40" s="45"/>
      <c r="N40" s="52">
        <f t="shared" ref="N40:N47" si="1">ROUND(SUM(H40:L40),5)</f>
        <v>764.59</v>
      </c>
    </row>
    <row r="41" spans="1:14" x14ac:dyDescent="0.3">
      <c r="A41" s="43"/>
      <c r="B41" s="43"/>
      <c r="C41" s="43"/>
      <c r="D41" s="43"/>
      <c r="E41" s="43"/>
      <c r="F41" s="43"/>
      <c r="G41" s="43" t="s">
        <v>219</v>
      </c>
      <c r="H41" s="52">
        <v>0</v>
      </c>
      <c r="I41" s="45"/>
      <c r="J41" s="52">
        <v>0</v>
      </c>
      <c r="K41" s="45"/>
      <c r="L41" s="52">
        <v>48</v>
      </c>
      <c r="M41" s="45"/>
      <c r="N41" s="52">
        <f t="shared" si="1"/>
        <v>48</v>
      </c>
    </row>
    <row r="42" spans="1:14" x14ac:dyDescent="0.3">
      <c r="A42" s="43"/>
      <c r="B42" s="43"/>
      <c r="C42" s="43"/>
      <c r="D42" s="43"/>
      <c r="E42" s="43"/>
      <c r="F42" s="43"/>
      <c r="G42" s="43" t="s">
        <v>220</v>
      </c>
      <c r="H42" s="52">
        <v>0</v>
      </c>
      <c r="I42" s="45"/>
      <c r="J42" s="52">
        <v>0</v>
      </c>
      <c r="K42" s="45"/>
      <c r="L42" s="52">
        <v>192.5</v>
      </c>
      <c r="M42" s="45"/>
      <c r="N42" s="52">
        <f t="shared" si="1"/>
        <v>192.5</v>
      </c>
    </row>
    <row r="43" spans="1:14" ht="15" thickBot="1" x14ac:dyDescent="0.35">
      <c r="A43" s="43"/>
      <c r="B43" s="43"/>
      <c r="C43" s="43"/>
      <c r="D43" s="43"/>
      <c r="E43" s="43"/>
      <c r="F43" s="43"/>
      <c r="G43" s="43" t="s">
        <v>862</v>
      </c>
      <c r="H43" s="54">
        <v>0</v>
      </c>
      <c r="I43" s="45"/>
      <c r="J43" s="54">
        <v>0</v>
      </c>
      <c r="K43" s="45"/>
      <c r="L43" s="54">
        <v>1083</v>
      </c>
      <c r="M43" s="45"/>
      <c r="N43" s="54">
        <f t="shared" si="1"/>
        <v>1083</v>
      </c>
    </row>
    <row r="44" spans="1:14" x14ac:dyDescent="0.3">
      <c r="A44" s="43"/>
      <c r="B44" s="43"/>
      <c r="C44" s="43"/>
      <c r="D44" s="43"/>
      <c r="E44" s="43"/>
      <c r="F44" s="43" t="s">
        <v>863</v>
      </c>
      <c r="G44" s="43"/>
      <c r="H44" s="52">
        <f>ROUND(SUM(H39:H43),5)</f>
        <v>0</v>
      </c>
      <c r="I44" s="45"/>
      <c r="J44" s="52">
        <f>ROUND(SUM(J39:J43),5)</f>
        <v>0</v>
      </c>
      <c r="K44" s="45"/>
      <c r="L44" s="52">
        <f>ROUND(SUM(L39:L43),5)</f>
        <v>2088.09</v>
      </c>
      <c r="M44" s="45"/>
      <c r="N44" s="52">
        <f t="shared" si="1"/>
        <v>2088.09</v>
      </c>
    </row>
    <row r="45" spans="1:14" ht="30" customHeight="1" x14ac:dyDescent="0.3">
      <c r="A45" s="43"/>
      <c r="B45" s="43"/>
      <c r="C45" s="43"/>
      <c r="D45" s="43"/>
      <c r="E45" s="43"/>
      <c r="F45" s="43" t="s">
        <v>864</v>
      </c>
      <c r="G45" s="43"/>
      <c r="H45" s="52">
        <v>0</v>
      </c>
      <c r="I45" s="45"/>
      <c r="J45" s="52">
        <v>0</v>
      </c>
      <c r="K45" s="45"/>
      <c r="L45" s="52">
        <v>1596.63</v>
      </c>
      <c r="M45" s="45"/>
      <c r="N45" s="52">
        <f t="shared" si="1"/>
        <v>1596.63</v>
      </c>
    </row>
    <row r="46" spans="1:14" x14ac:dyDescent="0.3">
      <c r="A46" s="43"/>
      <c r="B46" s="43"/>
      <c r="C46" s="43"/>
      <c r="D46" s="43"/>
      <c r="E46" s="43"/>
      <c r="F46" s="43" t="s">
        <v>865</v>
      </c>
      <c r="G46" s="43"/>
      <c r="H46" s="52">
        <v>0</v>
      </c>
      <c r="I46" s="45"/>
      <c r="J46" s="52">
        <v>0</v>
      </c>
      <c r="K46" s="45"/>
      <c r="L46" s="52">
        <v>210</v>
      </c>
      <c r="M46" s="45"/>
      <c r="N46" s="52">
        <f t="shared" si="1"/>
        <v>210</v>
      </c>
    </row>
    <row r="47" spans="1:14" x14ac:dyDescent="0.3">
      <c r="A47" s="43"/>
      <c r="B47" s="43"/>
      <c r="C47" s="43"/>
      <c r="D47" s="43"/>
      <c r="E47" s="43"/>
      <c r="F47" s="43" t="s">
        <v>353</v>
      </c>
      <c r="G47" s="43"/>
      <c r="H47" s="52">
        <v>0</v>
      </c>
      <c r="I47" s="45"/>
      <c r="J47" s="52">
        <v>0</v>
      </c>
      <c r="K47" s="45"/>
      <c r="L47" s="52">
        <v>105</v>
      </c>
      <c r="M47" s="45"/>
      <c r="N47" s="52">
        <f t="shared" si="1"/>
        <v>105</v>
      </c>
    </row>
    <row r="48" spans="1:14" x14ac:dyDescent="0.3">
      <c r="A48" s="43"/>
      <c r="B48" s="43"/>
      <c r="C48" s="43"/>
      <c r="D48" s="43"/>
      <c r="E48" s="43"/>
      <c r="F48" s="43" t="s">
        <v>866</v>
      </c>
      <c r="G48" s="43"/>
      <c r="H48" s="52"/>
      <c r="I48" s="45"/>
      <c r="J48" s="52"/>
      <c r="K48" s="45"/>
      <c r="L48" s="52"/>
      <c r="M48" s="45"/>
      <c r="N48" s="52"/>
    </row>
    <row r="49" spans="1:14" x14ac:dyDescent="0.3">
      <c r="A49" s="43"/>
      <c r="B49" s="43"/>
      <c r="C49" s="43"/>
      <c r="D49" s="43"/>
      <c r="E49" s="43"/>
      <c r="F49" s="43"/>
      <c r="G49" s="43" t="s">
        <v>867</v>
      </c>
      <c r="H49" s="52">
        <v>0</v>
      </c>
      <c r="I49" s="45"/>
      <c r="J49" s="52">
        <v>0</v>
      </c>
      <c r="K49" s="45"/>
      <c r="L49" s="52">
        <v>442.16</v>
      </c>
      <c r="M49" s="45"/>
      <c r="N49" s="52">
        <f t="shared" ref="N49:N59" si="2">ROUND(SUM(H49:L49),5)</f>
        <v>442.16</v>
      </c>
    </row>
    <row r="50" spans="1:14" ht="15" thickBot="1" x14ac:dyDescent="0.35">
      <c r="A50" s="43"/>
      <c r="B50" s="43"/>
      <c r="C50" s="43"/>
      <c r="D50" s="43"/>
      <c r="E50" s="43"/>
      <c r="F50" s="43"/>
      <c r="G50" s="43" t="s">
        <v>868</v>
      </c>
      <c r="H50" s="54">
        <v>0</v>
      </c>
      <c r="I50" s="45"/>
      <c r="J50" s="54">
        <v>0</v>
      </c>
      <c r="K50" s="45"/>
      <c r="L50" s="54">
        <v>61.25</v>
      </c>
      <c r="M50" s="45"/>
      <c r="N50" s="54">
        <f t="shared" si="2"/>
        <v>61.25</v>
      </c>
    </row>
    <row r="51" spans="1:14" x14ac:dyDescent="0.3">
      <c r="A51" s="43"/>
      <c r="B51" s="43"/>
      <c r="C51" s="43"/>
      <c r="D51" s="43"/>
      <c r="E51" s="43"/>
      <c r="F51" s="43" t="s">
        <v>869</v>
      </c>
      <c r="G51" s="43"/>
      <c r="H51" s="52">
        <f>ROUND(SUM(H48:H50),5)</f>
        <v>0</v>
      </c>
      <c r="I51" s="45"/>
      <c r="J51" s="52">
        <f>ROUND(SUM(J48:J50),5)</f>
        <v>0</v>
      </c>
      <c r="K51" s="45"/>
      <c r="L51" s="52">
        <f>ROUND(SUM(L48:L50),5)</f>
        <v>503.41</v>
      </c>
      <c r="M51" s="45"/>
      <c r="N51" s="52">
        <f t="shared" si="2"/>
        <v>503.41</v>
      </c>
    </row>
    <row r="52" spans="1:14" ht="30" customHeight="1" x14ac:dyDescent="0.3">
      <c r="A52" s="43"/>
      <c r="B52" s="43"/>
      <c r="C52" s="43"/>
      <c r="D52" s="43"/>
      <c r="E52" s="43"/>
      <c r="F52" s="43" t="s">
        <v>870</v>
      </c>
      <c r="G52" s="43"/>
      <c r="H52" s="52">
        <v>0</v>
      </c>
      <c r="I52" s="45"/>
      <c r="J52" s="52">
        <v>0</v>
      </c>
      <c r="K52" s="45"/>
      <c r="L52" s="52">
        <v>78.75</v>
      </c>
      <c r="M52" s="45"/>
      <c r="N52" s="52">
        <f t="shared" si="2"/>
        <v>78.75</v>
      </c>
    </row>
    <row r="53" spans="1:14" x14ac:dyDescent="0.3">
      <c r="A53" s="43"/>
      <c r="B53" s="43"/>
      <c r="C53" s="43"/>
      <c r="D53" s="43"/>
      <c r="E53" s="43"/>
      <c r="F53" s="43" t="s">
        <v>530</v>
      </c>
      <c r="G53" s="43"/>
      <c r="H53" s="52">
        <v>0</v>
      </c>
      <c r="I53" s="45"/>
      <c r="J53" s="52">
        <v>0</v>
      </c>
      <c r="K53" s="45"/>
      <c r="L53" s="52">
        <v>116.79</v>
      </c>
      <c r="M53" s="45"/>
      <c r="N53" s="52">
        <f t="shared" si="2"/>
        <v>116.79</v>
      </c>
    </row>
    <row r="54" spans="1:14" ht="15" thickBot="1" x14ac:dyDescent="0.35">
      <c r="A54" s="43"/>
      <c r="B54" s="43"/>
      <c r="C54" s="43"/>
      <c r="D54" s="43"/>
      <c r="E54" s="43"/>
      <c r="F54" s="43" t="s">
        <v>871</v>
      </c>
      <c r="G54" s="43"/>
      <c r="H54" s="54">
        <v>0</v>
      </c>
      <c r="I54" s="45"/>
      <c r="J54" s="54">
        <v>0</v>
      </c>
      <c r="K54" s="45"/>
      <c r="L54" s="54">
        <v>290</v>
      </c>
      <c r="M54" s="45"/>
      <c r="N54" s="54">
        <f t="shared" si="2"/>
        <v>290</v>
      </c>
    </row>
    <row r="55" spans="1:14" x14ac:dyDescent="0.3">
      <c r="A55" s="43"/>
      <c r="B55" s="43"/>
      <c r="C55" s="43"/>
      <c r="D55" s="43"/>
      <c r="E55" s="43" t="s">
        <v>270</v>
      </c>
      <c r="F55" s="43"/>
      <c r="G55" s="43"/>
      <c r="H55" s="52">
        <f>ROUND(SUM(H27:H30)+H34+SUM(H37:H38)+SUM(H44:H47)+SUM(H51:H54),5)</f>
        <v>0</v>
      </c>
      <c r="I55" s="45"/>
      <c r="J55" s="52">
        <f>ROUND(SUM(J27:J30)+J34+SUM(J37:J38)+SUM(J44:J47)+SUM(J51:J54),5)</f>
        <v>0</v>
      </c>
      <c r="K55" s="45"/>
      <c r="L55" s="52">
        <f>ROUND(SUM(L27:L30)+L34+SUM(L37:L38)+SUM(L44:L47)+SUM(L51:L54),5)</f>
        <v>13144.86</v>
      </c>
      <c r="M55" s="45"/>
      <c r="N55" s="52">
        <f t="shared" si="2"/>
        <v>13144.86</v>
      </c>
    </row>
    <row r="56" spans="1:14" ht="30" customHeight="1" x14ac:dyDescent="0.3">
      <c r="A56" s="43"/>
      <c r="B56" s="43"/>
      <c r="C56" s="43"/>
      <c r="D56" s="43"/>
      <c r="E56" s="43" t="s">
        <v>190</v>
      </c>
      <c r="F56" s="43"/>
      <c r="G56" s="43"/>
      <c r="H56" s="52">
        <v>0</v>
      </c>
      <c r="I56" s="45"/>
      <c r="J56" s="52">
        <v>0</v>
      </c>
      <c r="K56" s="45"/>
      <c r="L56" s="52">
        <v>1926.85</v>
      </c>
      <c r="M56" s="45"/>
      <c r="N56" s="52">
        <f t="shared" si="2"/>
        <v>1926.85</v>
      </c>
    </row>
    <row r="57" spans="1:14" x14ac:dyDescent="0.3">
      <c r="A57" s="43"/>
      <c r="B57" s="43"/>
      <c r="C57" s="43"/>
      <c r="D57" s="43"/>
      <c r="E57" s="43" t="s">
        <v>872</v>
      </c>
      <c r="F57" s="43"/>
      <c r="G57" s="43"/>
      <c r="H57" s="52">
        <v>0</v>
      </c>
      <c r="I57" s="45"/>
      <c r="J57" s="52">
        <v>0</v>
      </c>
      <c r="K57" s="45"/>
      <c r="L57" s="52">
        <v>63.15</v>
      </c>
      <c r="M57" s="45"/>
      <c r="N57" s="52">
        <f t="shared" si="2"/>
        <v>63.15</v>
      </c>
    </row>
    <row r="58" spans="1:14" x14ac:dyDescent="0.3">
      <c r="A58" s="43"/>
      <c r="B58" s="43"/>
      <c r="C58" s="43"/>
      <c r="D58" s="43"/>
      <c r="E58" s="43" t="s">
        <v>258</v>
      </c>
      <c r="F58" s="43"/>
      <c r="G58" s="43"/>
      <c r="H58" s="52">
        <v>0</v>
      </c>
      <c r="I58" s="45"/>
      <c r="J58" s="52">
        <v>0</v>
      </c>
      <c r="K58" s="45"/>
      <c r="L58" s="52">
        <v>1663.17</v>
      </c>
      <c r="M58" s="45"/>
      <c r="N58" s="52">
        <f t="shared" si="2"/>
        <v>1663.17</v>
      </c>
    </row>
    <row r="59" spans="1:14" x14ac:dyDescent="0.3">
      <c r="A59" s="43"/>
      <c r="B59" s="43"/>
      <c r="C59" s="43"/>
      <c r="D59" s="43"/>
      <c r="E59" s="43" t="s">
        <v>435</v>
      </c>
      <c r="F59" s="43"/>
      <c r="G59" s="43"/>
      <c r="H59" s="52">
        <v>0</v>
      </c>
      <c r="I59" s="45"/>
      <c r="J59" s="52">
        <v>0</v>
      </c>
      <c r="K59" s="45"/>
      <c r="L59" s="52">
        <v>24.11</v>
      </c>
      <c r="M59" s="45"/>
      <c r="N59" s="52">
        <f t="shared" si="2"/>
        <v>24.11</v>
      </c>
    </row>
    <row r="60" spans="1:14" x14ac:dyDescent="0.3">
      <c r="A60" s="43"/>
      <c r="B60" s="43"/>
      <c r="C60" s="43"/>
      <c r="D60" s="43"/>
      <c r="E60" s="43" t="s">
        <v>873</v>
      </c>
      <c r="F60" s="43"/>
      <c r="G60" s="43"/>
      <c r="H60" s="52"/>
      <c r="I60" s="45"/>
      <c r="J60" s="52"/>
      <c r="K60" s="45"/>
      <c r="L60" s="52"/>
      <c r="M60" s="45"/>
      <c r="N60" s="52"/>
    </row>
    <row r="61" spans="1:14" x14ac:dyDescent="0.3">
      <c r="A61" s="43"/>
      <c r="B61" s="43"/>
      <c r="C61" s="43"/>
      <c r="D61" s="43"/>
      <c r="E61" s="43"/>
      <c r="F61" s="43" t="s">
        <v>874</v>
      </c>
      <c r="G61" s="43"/>
      <c r="H61" s="52">
        <v>0</v>
      </c>
      <c r="I61" s="45"/>
      <c r="J61" s="52">
        <v>0</v>
      </c>
      <c r="K61" s="45"/>
      <c r="L61" s="52">
        <v>695</v>
      </c>
      <c r="M61" s="45"/>
      <c r="N61" s="52">
        <f t="shared" ref="N61:N75" si="3">ROUND(SUM(H61:L61),5)</f>
        <v>695</v>
      </c>
    </row>
    <row r="62" spans="1:14" x14ac:dyDescent="0.3">
      <c r="A62" s="43"/>
      <c r="B62" s="43"/>
      <c r="C62" s="43"/>
      <c r="D62" s="43"/>
      <c r="E62" s="43"/>
      <c r="F62" s="43" t="s">
        <v>875</v>
      </c>
      <c r="G62" s="43"/>
      <c r="H62" s="52">
        <v>0</v>
      </c>
      <c r="I62" s="45"/>
      <c r="J62" s="52">
        <v>0</v>
      </c>
      <c r="K62" s="45"/>
      <c r="L62" s="52">
        <v>1362.4</v>
      </c>
      <c r="M62" s="45"/>
      <c r="N62" s="52">
        <f t="shared" si="3"/>
        <v>1362.4</v>
      </c>
    </row>
    <row r="63" spans="1:14" x14ac:dyDescent="0.3">
      <c r="A63" s="43"/>
      <c r="B63" s="43"/>
      <c r="C63" s="43"/>
      <c r="D63" s="43"/>
      <c r="E63" s="43"/>
      <c r="F63" s="43" t="s">
        <v>876</v>
      </c>
      <c r="G63" s="43"/>
      <c r="H63" s="52">
        <v>0</v>
      </c>
      <c r="I63" s="45"/>
      <c r="J63" s="52">
        <v>0</v>
      </c>
      <c r="K63" s="45"/>
      <c r="L63" s="52">
        <v>6154.76</v>
      </c>
      <c r="M63" s="45"/>
      <c r="N63" s="52">
        <f t="shared" si="3"/>
        <v>6154.76</v>
      </c>
    </row>
    <row r="64" spans="1:14" x14ac:dyDescent="0.3">
      <c r="A64" s="43"/>
      <c r="B64" s="43"/>
      <c r="C64" s="43"/>
      <c r="D64" s="43"/>
      <c r="E64" s="43"/>
      <c r="F64" s="43" t="s">
        <v>877</v>
      </c>
      <c r="G64" s="43"/>
      <c r="H64" s="52">
        <v>0</v>
      </c>
      <c r="I64" s="45"/>
      <c r="J64" s="52">
        <v>0</v>
      </c>
      <c r="K64" s="45"/>
      <c r="L64" s="52">
        <v>3365.3</v>
      </c>
      <c r="M64" s="45"/>
      <c r="N64" s="52">
        <f t="shared" si="3"/>
        <v>3365.3</v>
      </c>
    </row>
    <row r="65" spans="1:14" x14ac:dyDescent="0.3">
      <c r="A65" s="43"/>
      <c r="B65" s="43"/>
      <c r="C65" s="43"/>
      <c r="D65" s="43"/>
      <c r="E65" s="43"/>
      <c r="F65" s="43" t="s">
        <v>878</v>
      </c>
      <c r="G65" s="43"/>
      <c r="H65" s="52">
        <v>0</v>
      </c>
      <c r="I65" s="45"/>
      <c r="J65" s="52">
        <v>0</v>
      </c>
      <c r="K65" s="45"/>
      <c r="L65" s="52">
        <v>1403.71</v>
      </c>
      <c r="M65" s="45"/>
      <c r="N65" s="52">
        <f t="shared" si="3"/>
        <v>1403.71</v>
      </c>
    </row>
    <row r="66" spans="1:14" ht="15" thickBot="1" x14ac:dyDescent="0.35">
      <c r="A66" s="43"/>
      <c r="B66" s="43"/>
      <c r="C66" s="43"/>
      <c r="D66" s="43"/>
      <c r="E66" s="43"/>
      <c r="F66" s="43" t="s">
        <v>879</v>
      </c>
      <c r="G66" s="43"/>
      <c r="H66" s="54">
        <v>0</v>
      </c>
      <c r="I66" s="45"/>
      <c r="J66" s="54">
        <v>0</v>
      </c>
      <c r="K66" s="45"/>
      <c r="L66" s="54">
        <v>260.58</v>
      </c>
      <c r="M66" s="45"/>
      <c r="N66" s="54">
        <f t="shared" si="3"/>
        <v>260.58</v>
      </c>
    </row>
    <row r="67" spans="1:14" x14ac:dyDescent="0.3">
      <c r="A67" s="43"/>
      <c r="B67" s="43"/>
      <c r="C67" s="43"/>
      <c r="D67" s="43"/>
      <c r="E67" s="43" t="s">
        <v>880</v>
      </c>
      <c r="F67" s="43"/>
      <c r="G67" s="43"/>
      <c r="H67" s="52">
        <f>ROUND(SUM(H60:H66),5)</f>
        <v>0</v>
      </c>
      <c r="I67" s="45"/>
      <c r="J67" s="52">
        <f>ROUND(SUM(J60:J66),5)</f>
        <v>0</v>
      </c>
      <c r="K67" s="45"/>
      <c r="L67" s="52">
        <f>ROUND(SUM(L60:L66),5)</f>
        <v>13241.75</v>
      </c>
      <c r="M67" s="45"/>
      <c r="N67" s="52">
        <f t="shared" si="3"/>
        <v>13241.75</v>
      </c>
    </row>
    <row r="68" spans="1:14" ht="30" customHeight="1" x14ac:dyDescent="0.3">
      <c r="A68" s="43"/>
      <c r="B68" s="43"/>
      <c r="C68" s="43"/>
      <c r="D68" s="43"/>
      <c r="E68" s="43" t="s">
        <v>192</v>
      </c>
      <c r="F68" s="43"/>
      <c r="G68" s="43"/>
      <c r="H68" s="52">
        <v>0</v>
      </c>
      <c r="I68" s="45"/>
      <c r="J68" s="52">
        <v>0</v>
      </c>
      <c r="K68" s="45"/>
      <c r="L68" s="52">
        <v>28.52</v>
      </c>
      <c r="M68" s="45"/>
      <c r="N68" s="52">
        <f t="shared" si="3"/>
        <v>28.52</v>
      </c>
    </row>
    <row r="69" spans="1:14" x14ac:dyDescent="0.3">
      <c r="A69" s="43"/>
      <c r="B69" s="43"/>
      <c r="C69" s="43"/>
      <c r="D69" s="43"/>
      <c r="E69" s="43" t="s">
        <v>543</v>
      </c>
      <c r="F69" s="43"/>
      <c r="G69" s="43"/>
      <c r="H69" s="52">
        <v>0</v>
      </c>
      <c r="I69" s="45"/>
      <c r="J69" s="52">
        <v>0</v>
      </c>
      <c r="K69" s="45"/>
      <c r="L69" s="52">
        <v>62.74</v>
      </c>
      <c r="M69" s="45"/>
      <c r="N69" s="52">
        <f t="shared" si="3"/>
        <v>62.74</v>
      </c>
    </row>
    <row r="70" spans="1:14" x14ac:dyDescent="0.3">
      <c r="A70" s="43"/>
      <c r="B70" s="43"/>
      <c r="C70" s="43"/>
      <c r="D70" s="43"/>
      <c r="E70" s="43" t="s">
        <v>195</v>
      </c>
      <c r="F70" s="43"/>
      <c r="G70" s="43"/>
      <c r="H70" s="52">
        <v>0</v>
      </c>
      <c r="I70" s="45"/>
      <c r="J70" s="52">
        <v>0</v>
      </c>
      <c r="K70" s="45"/>
      <c r="L70" s="52">
        <v>633.4</v>
      </c>
      <c r="M70" s="45"/>
      <c r="N70" s="52">
        <f t="shared" si="3"/>
        <v>633.4</v>
      </c>
    </row>
    <row r="71" spans="1:14" x14ac:dyDescent="0.3">
      <c r="A71" s="43"/>
      <c r="B71" s="43"/>
      <c r="C71" s="43"/>
      <c r="D71" s="43"/>
      <c r="E71" s="43" t="s">
        <v>881</v>
      </c>
      <c r="F71" s="43"/>
      <c r="G71" s="43"/>
      <c r="H71" s="52">
        <v>0</v>
      </c>
      <c r="I71" s="45"/>
      <c r="J71" s="52">
        <v>0</v>
      </c>
      <c r="K71" s="45"/>
      <c r="L71" s="52">
        <v>10.75</v>
      </c>
      <c r="M71" s="45"/>
      <c r="N71" s="52">
        <f t="shared" si="3"/>
        <v>10.75</v>
      </c>
    </row>
    <row r="72" spans="1:14" x14ac:dyDescent="0.3">
      <c r="A72" s="43"/>
      <c r="B72" s="43"/>
      <c r="C72" s="43"/>
      <c r="D72" s="43"/>
      <c r="E72" s="43" t="s">
        <v>222</v>
      </c>
      <c r="F72" s="43"/>
      <c r="G72" s="43"/>
      <c r="H72" s="52">
        <v>0</v>
      </c>
      <c r="I72" s="45"/>
      <c r="J72" s="52">
        <v>0</v>
      </c>
      <c r="K72" s="45"/>
      <c r="L72" s="52">
        <v>1117.49</v>
      </c>
      <c r="M72" s="45"/>
      <c r="N72" s="52">
        <f t="shared" si="3"/>
        <v>1117.49</v>
      </c>
    </row>
    <row r="73" spans="1:14" x14ac:dyDescent="0.3">
      <c r="A73" s="43"/>
      <c r="B73" s="43"/>
      <c r="C73" s="43"/>
      <c r="D73" s="43"/>
      <c r="E73" s="43" t="s">
        <v>436</v>
      </c>
      <c r="F73" s="43"/>
      <c r="G73" s="43"/>
      <c r="H73" s="52">
        <v>0</v>
      </c>
      <c r="I73" s="45"/>
      <c r="J73" s="52">
        <v>0</v>
      </c>
      <c r="K73" s="45"/>
      <c r="L73" s="52">
        <v>90136.39</v>
      </c>
      <c r="M73" s="45"/>
      <c r="N73" s="52">
        <f t="shared" si="3"/>
        <v>90136.39</v>
      </c>
    </row>
    <row r="74" spans="1:14" x14ac:dyDescent="0.3">
      <c r="A74" s="43"/>
      <c r="B74" s="43"/>
      <c r="C74" s="43"/>
      <c r="D74" s="43"/>
      <c r="E74" s="43" t="s">
        <v>370</v>
      </c>
      <c r="F74" s="43"/>
      <c r="G74" s="43"/>
      <c r="H74" s="52">
        <v>0</v>
      </c>
      <c r="I74" s="45"/>
      <c r="J74" s="52">
        <v>0</v>
      </c>
      <c r="K74" s="45"/>
      <c r="L74" s="52">
        <v>756.72</v>
      </c>
      <c r="M74" s="45"/>
      <c r="N74" s="52">
        <f t="shared" si="3"/>
        <v>756.72</v>
      </c>
    </row>
    <row r="75" spans="1:14" x14ac:dyDescent="0.3">
      <c r="A75" s="43"/>
      <c r="B75" s="43"/>
      <c r="C75" s="43"/>
      <c r="D75" s="43"/>
      <c r="E75" s="43" t="s">
        <v>882</v>
      </c>
      <c r="F75" s="43"/>
      <c r="G75" s="43"/>
      <c r="H75" s="52">
        <v>0</v>
      </c>
      <c r="I75" s="45"/>
      <c r="J75" s="52">
        <v>0</v>
      </c>
      <c r="K75" s="45"/>
      <c r="L75" s="52">
        <v>252</v>
      </c>
      <c r="M75" s="45"/>
      <c r="N75" s="52">
        <f t="shared" si="3"/>
        <v>252</v>
      </c>
    </row>
    <row r="76" spans="1:14" x14ac:dyDescent="0.3">
      <c r="A76" s="43"/>
      <c r="B76" s="43"/>
      <c r="C76" s="43"/>
      <c r="D76" s="43"/>
      <c r="E76" s="43" t="s">
        <v>203</v>
      </c>
      <c r="F76" s="43"/>
      <c r="G76" s="43"/>
      <c r="H76" s="52"/>
      <c r="I76" s="45"/>
      <c r="J76" s="52"/>
      <c r="K76" s="45"/>
      <c r="L76" s="52"/>
      <c r="M76" s="45"/>
      <c r="N76" s="52"/>
    </row>
    <row r="77" spans="1:14" x14ac:dyDescent="0.3">
      <c r="A77" s="43"/>
      <c r="B77" s="43"/>
      <c r="C77" s="43"/>
      <c r="D77" s="43"/>
      <c r="E77" s="43"/>
      <c r="F77" s="43" t="s">
        <v>205</v>
      </c>
      <c r="G77" s="43"/>
      <c r="H77" s="52"/>
      <c r="I77" s="45"/>
      <c r="J77" s="52"/>
      <c r="K77" s="45"/>
      <c r="L77" s="52"/>
      <c r="M77" s="45"/>
      <c r="N77" s="52"/>
    </row>
    <row r="78" spans="1:14" x14ac:dyDescent="0.3">
      <c r="A78" s="43"/>
      <c r="B78" s="43"/>
      <c r="C78" s="43"/>
      <c r="D78" s="43"/>
      <c r="E78" s="43"/>
      <c r="F78" s="43"/>
      <c r="G78" s="43" t="s">
        <v>883</v>
      </c>
      <c r="H78" s="52">
        <v>0</v>
      </c>
      <c r="I78" s="45"/>
      <c r="J78" s="52">
        <v>0</v>
      </c>
      <c r="K78" s="45"/>
      <c r="L78" s="52">
        <v>4291.67</v>
      </c>
      <c r="M78" s="45"/>
      <c r="N78" s="52">
        <f>ROUND(SUM(H78:L78),5)</f>
        <v>4291.67</v>
      </c>
    </row>
    <row r="79" spans="1:14" x14ac:dyDescent="0.3">
      <c r="A79" s="43"/>
      <c r="B79" s="43"/>
      <c r="C79" s="43"/>
      <c r="D79" s="43"/>
      <c r="E79" s="43"/>
      <c r="F79" s="43"/>
      <c r="G79" s="43" t="s">
        <v>884</v>
      </c>
      <c r="H79" s="52">
        <v>0</v>
      </c>
      <c r="I79" s="45"/>
      <c r="J79" s="52">
        <v>0</v>
      </c>
      <c r="K79" s="45"/>
      <c r="L79" s="52">
        <v>13047.06</v>
      </c>
      <c r="M79" s="45"/>
      <c r="N79" s="52">
        <f>ROUND(SUM(H79:L79),5)</f>
        <v>13047.06</v>
      </c>
    </row>
    <row r="80" spans="1:14" x14ac:dyDescent="0.3">
      <c r="A80" s="43"/>
      <c r="B80" s="43"/>
      <c r="C80" s="43"/>
      <c r="D80" s="43"/>
      <c r="E80" s="43"/>
      <c r="F80" s="43"/>
      <c r="G80" s="43" t="s">
        <v>885</v>
      </c>
      <c r="H80" s="52">
        <v>0</v>
      </c>
      <c r="I80" s="45"/>
      <c r="J80" s="52">
        <v>0</v>
      </c>
      <c r="K80" s="45"/>
      <c r="L80" s="52">
        <v>583.96</v>
      </c>
      <c r="M80" s="45"/>
      <c r="N80" s="52">
        <f>ROUND(SUM(H80:L80),5)</f>
        <v>583.96</v>
      </c>
    </row>
    <row r="81" spans="1:14" ht="15" thickBot="1" x14ac:dyDescent="0.35">
      <c r="A81" s="43"/>
      <c r="B81" s="43"/>
      <c r="C81" s="43"/>
      <c r="D81" s="43"/>
      <c r="E81" s="43"/>
      <c r="F81" s="43"/>
      <c r="G81" s="43" t="s">
        <v>886</v>
      </c>
      <c r="H81" s="54">
        <v>0</v>
      </c>
      <c r="I81" s="45"/>
      <c r="J81" s="54">
        <v>0</v>
      </c>
      <c r="K81" s="45"/>
      <c r="L81" s="54">
        <v>5613.22</v>
      </c>
      <c r="M81" s="45"/>
      <c r="N81" s="54">
        <f>ROUND(SUM(H81:L81),5)</f>
        <v>5613.22</v>
      </c>
    </row>
    <row r="82" spans="1:14" x14ac:dyDescent="0.3">
      <c r="A82" s="43"/>
      <c r="B82" s="43"/>
      <c r="C82" s="43"/>
      <c r="D82" s="43"/>
      <c r="E82" s="43"/>
      <c r="F82" s="43" t="s">
        <v>210</v>
      </c>
      <c r="G82" s="43"/>
      <c r="H82" s="52">
        <f>ROUND(SUM(H77:H81),5)</f>
        <v>0</v>
      </c>
      <c r="I82" s="45"/>
      <c r="J82" s="52">
        <f>ROUND(SUM(J77:J81),5)</f>
        <v>0</v>
      </c>
      <c r="K82" s="45"/>
      <c r="L82" s="52">
        <f>ROUND(SUM(L77:L81),5)</f>
        <v>23535.91</v>
      </c>
      <c r="M82" s="45"/>
      <c r="N82" s="52">
        <f>ROUND(SUM(H82:L82),5)</f>
        <v>23535.91</v>
      </c>
    </row>
    <row r="83" spans="1:14" ht="30" customHeight="1" x14ac:dyDescent="0.3">
      <c r="A83" s="43"/>
      <c r="B83" s="43"/>
      <c r="C83" s="43"/>
      <c r="D83" s="43"/>
      <c r="E83" s="43"/>
      <c r="F83" s="43" t="s">
        <v>323</v>
      </c>
      <c r="G83" s="43"/>
      <c r="H83" s="52"/>
      <c r="I83" s="45"/>
      <c r="J83" s="52"/>
      <c r="K83" s="45"/>
      <c r="L83" s="52"/>
      <c r="M83" s="45"/>
      <c r="N83" s="52"/>
    </row>
    <row r="84" spans="1:14" x14ac:dyDescent="0.3">
      <c r="A84" s="43"/>
      <c r="B84" s="43"/>
      <c r="C84" s="43"/>
      <c r="D84" s="43"/>
      <c r="E84" s="43"/>
      <c r="F84" s="43"/>
      <c r="G84" s="43" t="s">
        <v>887</v>
      </c>
      <c r="H84" s="52">
        <v>0</v>
      </c>
      <c r="I84" s="45"/>
      <c r="J84" s="52">
        <v>0</v>
      </c>
      <c r="K84" s="45"/>
      <c r="L84" s="52">
        <v>1993.89</v>
      </c>
      <c r="M84" s="45"/>
      <c r="N84" s="52">
        <f>ROUND(SUM(H84:L84),5)</f>
        <v>1993.89</v>
      </c>
    </row>
    <row r="85" spans="1:14" x14ac:dyDescent="0.3">
      <c r="A85" s="43"/>
      <c r="B85" s="43"/>
      <c r="C85" s="43"/>
      <c r="D85" s="43"/>
      <c r="E85" s="43"/>
      <c r="F85" s="43"/>
      <c r="G85" s="43" t="s">
        <v>888</v>
      </c>
      <c r="H85" s="52">
        <v>0</v>
      </c>
      <c r="I85" s="45"/>
      <c r="J85" s="52">
        <v>0</v>
      </c>
      <c r="K85" s="45"/>
      <c r="L85" s="52">
        <v>801.86</v>
      </c>
      <c r="M85" s="45"/>
      <c r="N85" s="52">
        <f>ROUND(SUM(H85:L85),5)</f>
        <v>801.86</v>
      </c>
    </row>
    <row r="86" spans="1:14" x14ac:dyDescent="0.3">
      <c r="A86" s="43"/>
      <c r="B86" s="43"/>
      <c r="C86" s="43"/>
      <c r="D86" s="43"/>
      <c r="E86" s="43"/>
      <c r="F86" s="43"/>
      <c r="G86" s="43" t="s">
        <v>889</v>
      </c>
      <c r="H86" s="52">
        <v>0</v>
      </c>
      <c r="I86" s="45"/>
      <c r="J86" s="52">
        <v>0</v>
      </c>
      <c r="K86" s="45"/>
      <c r="L86" s="52">
        <v>1164.49</v>
      </c>
      <c r="M86" s="45"/>
      <c r="N86" s="52">
        <f>ROUND(SUM(H86:L86),5)</f>
        <v>1164.49</v>
      </c>
    </row>
    <row r="87" spans="1:14" ht="15" thickBot="1" x14ac:dyDescent="0.35">
      <c r="A87" s="43"/>
      <c r="B87" s="43"/>
      <c r="C87" s="43"/>
      <c r="D87" s="43"/>
      <c r="E87" s="43"/>
      <c r="F87" s="43"/>
      <c r="G87" s="43" t="s">
        <v>890</v>
      </c>
      <c r="H87" s="54">
        <v>0</v>
      </c>
      <c r="I87" s="45"/>
      <c r="J87" s="54">
        <v>0</v>
      </c>
      <c r="K87" s="45"/>
      <c r="L87" s="54">
        <v>1540.92</v>
      </c>
      <c r="M87" s="45"/>
      <c r="N87" s="54">
        <f>ROUND(SUM(H87:L87),5)</f>
        <v>1540.92</v>
      </c>
    </row>
    <row r="88" spans="1:14" x14ac:dyDescent="0.3">
      <c r="A88" s="43"/>
      <c r="B88" s="43"/>
      <c r="C88" s="43"/>
      <c r="D88" s="43"/>
      <c r="E88" s="43"/>
      <c r="F88" s="43" t="s">
        <v>325</v>
      </c>
      <c r="G88" s="43"/>
      <c r="H88" s="52">
        <f>ROUND(SUM(H83:H87),5)</f>
        <v>0</v>
      </c>
      <c r="I88" s="45"/>
      <c r="J88" s="52">
        <f>ROUND(SUM(J83:J87),5)</f>
        <v>0</v>
      </c>
      <c r="K88" s="45"/>
      <c r="L88" s="52">
        <f>ROUND(SUM(L83:L87),5)</f>
        <v>5501.16</v>
      </c>
      <c r="M88" s="45"/>
      <c r="N88" s="52">
        <f>ROUND(SUM(H88:L88),5)</f>
        <v>5501.16</v>
      </c>
    </row>
    <row r="89" spans="1:14" ht="30" customHeight="1" x14ac:dyDescent="0.3">
      <c r="A89" s="43"/>
      <c r="B89" s="43"/>
      <c r="C89" s="43"/>
      <c r="D89" s="43"/>
      <c r="E89" s="43"/>
      <c r="F89" s="43" t="s">
        <v>211</v>
      </c>
      <c r="G89" s="43"/>
      <c r="H89" s="52"/>
      <c r="I89" s="45"/>
      <c r="J89" s="52"/>
      <c r="K89" s="45"/>
      <c r="L89" s="52"/>
      <c r="M89" s="45"/>
      <c r="N89" s="52"/>
    </row>
    <row r="90" spans="1:14" x14ac:dyDescent="0.3">
      <c r="A90" s="43"/>
      <c r="B90" s="43"/>
      <c r="C90" s="43"/>
      <c r="D90" s="43"/>
      <c r="E90" s="43"/>
      <c r="F90" s="43"/>
      <c r="G90" s="43" t="s">
        <v>891</v>
      </c>
      <c r="H90" s="52">
        <v>0</v>
      </c>
      <c r="I90" s="45"/>
      <c r="J90" s="52">
        <v>0</v>
      </c>
      <c r="K90" s="45"/>
      <c r="L90" s="52">
        <v>738.51</v>
      </c>
      <c r="M90" s="45"/>
      <c r="N90" s="52">
        <f t="shared" ref="N90:N95" si="4">ROUND(SUM(H90:L90),5)</f>
        <v>738.51</v>
      </c>
    </row>
    <row r="91" spans="1:14" ht="15" thickBot="1" x14ac:dyDescent="0.35">
      <c r="A91" s="43"/>
      <c r="B91" s="43"/>
      <c r="C91" s="43"/>
      <c r="D91" s="43"/>
      <c r="E91" s="43"/>
      <c r="F91" s="43"/>
      <c r="G91" s="43" t="s">
        <v>892</v>
      </c>
      <c r="H91" s="52">
        <v>0</v>
      </c>
      <c r="I91" s="45"/>
      <c r="J91" s="52">
        <v>0</v>
      </c>
      <c r="K91" s="45"/>
      <c r="L91" s="52">
        <v>1413.03</v>
      </c>
      <c r="M91" s="45"/>
      <c r="N91" s="52">
        <f t="shared" si="4"/>
        <v>1413.03</v>
      </c>
    </row>
    <row r="92" spans="1:14" ht="15" thickBot="1" x14ac:dyDescent="0.35">
      <c r="A92" s="43"/>
      <c r="B92" s="43"/>
      <c r="C92" s="43"/>
      <c r="D92" s="43"/>
      <c r="E92" s="43"/>
      <c r="F92" s="43" t="s">
        <v>329</v>
      </c>
      <c r="G92" s="43"/>
      <c r="H92" s="55">
        <f>ROUND(SUM(H89:H91),5)</f>
        <v>0</v>
      </c>
      <c r="I92" s="45"/>
      <c r="J92" s="55">
        <f>ROUND(SUM(J89:J91),5)</f>
        <v>0</v>
      </c>
      <c r="K92" s="45"/>
      <c r="L92" s="55">
        <f>ROUND(SUM(L89:L91),5)</f>
        <v>2151.54</v>
      </c>
      <c r="M92" s="45"/>
      <c r="N92" s="55">
        <f t="shared" si="4"/>
        <v>2151.54</v>
      </c>
    </row>
    <row r="93" spans="1:14" ht="30" customHeight="1" thickBot="1" x14ac:dyDescent="0.35">
      <c r="A93" s="43"/>
      <c r="B93" s="43"/>
      <c r="C93" s="43"/>
      <c r="D93" s="43"/>
      <c r="E93" s="43" t="s">
        <v>213</v>
      </c>
      <c r="F93" s="43"/>
      <c r="G93" s="43"/>
      <c r="H93" s="55">
        <f>ROUND(H76+H82+H88+H92,5)</f>
        <v>0</v>
      </c>
      <c r="I93" s="45"/>
      <c r="J93" s="55">
        <f>ROUND(J76+J82+J88+J92,5)</f>
        <v>0</v>
      </c>
      <c r="K93" s="45"/>
      <c r="L93" s="55">
        <f>ROUND(L76+L82+L88+L92,5)</f>
        <v>31188.61</v>
      </c>
      <c r="M93" s="45"/>
      <c r="N93" s="55">
        <f t="shared" si="4"/>
        <v>31188.61</v>
      </c>
    </row>
    <row r="94" spans="1:14" ht="30" customHeight="1" thickBot="1" x14ac:dyDescent="0.35">
      <c r="A94" s="43"/>
      <c r="B94" s="43"/>
      <c r="C94" s="43"/>
      <c r="D94" s="43" t="s">
        <v>287</v>
      </c>
      <c r="E94" s="43"/>
      <c r="F94" s="43"/>
      <c r="G94" s="43"/>
      <c r="H94" s="53">
        <f>ROUND(SUM(H12:H17)+SUM(H20:H21)+H26+SUM(H55:H59)+SUM(H67:H75)+H93,5)</f>
        <v>0</v>
      </c>
      <c r="I94" s="45"/>
      <c r="J94" s="53">
        <f>ROUND(SUM(J12:J17)+SUM(J20:J21)+J26+SUM(J55:J59)+SUM(J67:J75)+J93,5)</f>
        <v>0</v>
      </c>
      <c r="K94" s="45"/>
      <c r="L94" s="53">
        <f>ROUND(SUM(L12:L17)+SUM(L20:L21)+L26+SUM(L55:L59)+SUM(L67:L75)+L93,5)</f>
        <v>261672.32000000001</v>
      </c>
      <c r="M94" s="45"/>
      <c r="N94" s="53">
        <f t="shared" si="4"/>
        <v>261672.32000000001</v>
      </c>
    </row>
    <row r="95" spans="1:14" ht="30" customHeight="1" x14ac:dyDescent="0.3">
      <c r="A95" s="43"/>
      <c r="B95" s="43" t="s">
        <v>288</v>
      </c>
      <c r="C95" s="43"/>
      <c r="D95" s="43"/>
      <c r="E95" s="43"/>
      <c r="F95" s="43"/>
      <c r="G95" s="43"/>
      <c r="H95" s="52">
        <f>ROUND(H2+H11-H94,5)</f>
        <v>0</v>
      </c>
      <c r="I95" s="45"/>
      <c r="J95" s="52">
        <f>ROUND(J2+J11-J94,5)</f>
        <v>0</v>
      </c>
      <c r="K95" s="45"/>
      <c r="L95" s="52">
        <f>ROUND(L2+L11-L94,5)</f>
        <v>-195061.13</v>
      </c>
      <c r="M95" s="45"/>
      <c r="N95" s="52">
        <f t="shared" si="4"/>
        <v>-195061.13</v>
      </c>
    </row>
    <row r="96" spans="1:14" ht="30" customHeight="1" x14ac:dyDescent="0.3">
      <c r="A96" s="43"/>
      <c r="B96" s="43" t="s">
        <v>289</v>
      </c>
      <c r="C96" s="43"/>
      <c r="D96" s="43"/>
      <c r="E96" s="43"/>
      <c r="F96" s="43"/>
      <c r="G96" s="43"/>
      <c r="H96" s="52"/>
      <c r="I96" s="45"/>
      <c r="J96" s="52"/>
      <c r="K96" s="45"/>
      <c r="L96" s="52"/>
      <c r="M96" s="45"/>
      <c r="N96" s="52"/>
    </row>
    <row r="97" spans="1:14" x14ac:dyDescent="0.3">
      <c r="A97" s="43"/>
      <c r="B97" s="43"/>
      <c r="C97" s="43" t="s">
        <v>290</v>
      </c>
      <c r="D97" s="43"/>
      <c r="E97" s="43"/>
      <c r="F97" s="43"/>
      <c r="G97" s="43"/>
      <c r="H97" s="52"/>
      <c r="I97" s="45"/>
      <c r="J97" s="52"/>
      <c r="K97" s="45"/>
      <c r="L97" s="52"/>
      <c r="M97" s="45"/>
      <c r="N97" s="52"/>
    </row>
    <row r="98" spans="1:14" ht="15" thickBot="1" x14ac:dyDescent="0.35">
      <c r="A98" s="43"/>
      <c r="B98" s="43"/>
      <c r="C98" s="43"/>
      <c r="D98" s="43" t="s">
        <v>291</v>
      </c>
      <c r="E98" s="43"/>
      <c r="F98" s="43"/>
      <c r="G98" s="43"/>
      <c r="H98" s="52">
        <v>0</v>
      </c>
      <c r="I98" s="45"/>
      <c r="J98" s="52">
        <v>0</v>
      </c>
      <c r="K98" s="45"/>
      <c r="L98" s="52">
        <v>11.52</v>
      </c>
      <c r="M98" s="45"/>
      <c r="N98" s="52">
        <f>ROUND(SUM(H98:L98),5)</f>
        <v>11.52</v>
      </c>
    </row>
    <row r="99" spans="1:14" ht="15" thickBot="1" x14ac:dyDescent="0.35">
      <c r="A99" s="43"/>
      <c r="B99" s="43"/>
      <c r="C99" s="43" t="s">
        <v>292</v>
      </c>
      <c r="D99" s="43"/>
      <c r="E99" s="43"/>
      <c r="F99" s="43"/>
      <c r="G99" s="43"/>
      <c r="H99" s="55">
        <f>ROUND(SUM(H97:H98),5)</f>
        <v>0</v>
      </c>
      <c r="I99" s="45"/>
      <c r="J99" s="55">
        <f>ROUND(SUM(J97:J98),5)</f>
        <v>0</v>
      </c>
      <c r="K99" s="45"/>
      <c r="L99" s="55">
        <f>ROUND(SUM(L97:L98),5)</f>
        <v>11.52</v>
      </c>
      <c r="M99" s="45"/>
      <c r="N99" s="55">
        <f>ROUND(SUM(H99:L99),5)</f>
        <v>11.52</v>
      </c>
    </row>
    <row r="100" spans="1:14" ht="30" customHeight="1" thickBot="1" x14ac:dyDescent="0.35">
      <c r="A100" s="43"/>
      <c r="B100" s="43" t="s">
        <v>296</v>
      </c>
      <c r="C100" s="43"/>
      <c r="D100" s="43"/>
      <c r="E100" s="43"/>
      <c r="F100" s="43"/>
      <c r="G100" s="43"/>
      <c r="H100" s="55">
        <f>ROUND(H96+H99,5)</f>
        <v>0</v>
      </c>
      <c r="I100" s="45"/>
      <c r="J100" s="55">
        <f>ROUND(J96+J99,5)</f>
        <v>0</v>
      </c>
      <c r="K100" s="45"/>
      <c r="L100" s="55">
        <f>ROUND(L96+L99,5)</f>
        <v>11.52</v>
      </c>
      <c r="M100" s="45"/>
      <c r="N100" s="55">
        <f>ROUND(SUM(H100:L100),5)</f>
        <v>11.52</v>
      </c>
    </row>
    <row r="101" spans="1:14" s="50" customFormat="1" ht="30" customHeight="1" thickBot="1" x14ac:dyDescent="0.25">
      <c r="A101" s="43" t="s">
        <v>165</v>
      </c>
      <c r="B101" s="43"/>
      <c r="C101" s="43"/>
      <c r="D101" s="43"/>
      <c r="E101" s="43"/>
      <c r="F101" s="43"/>
      <c r="G101" s="43"/>
      <c r="H101" s="56">
        <f>ROUND(H95+H100,5)</f>
        <v>0</v>
      </c>
      <c r="I101" s="43"/>
      <c r="J101" s="56">
        <f>ROUND(J95+J100,5)</f>
        <v>0</v>
      </c>
      <c r="K101" s="43"/>
      <c r="L101" s="56">
        <f>ROUND(L95+L100,5)</f>
        <v>-195049.61</v>
      </c>
      <c r="M101" s="43"/>
      <c r="N101" s="56">
        <f>ROUND(SUM(H101:L101),5)</f>
        <v>-195049.61</v>
      </c>
    </row>
    <row r="102" spans="1:14" ht="15" thickTop="1" x14ac:dyDescent="0.3"/>
  </sheetData>
  <pageMargins left="0.7" right="0.7" top="0.75" bottom="0.75" header="0.25" footer="0.3"/>
  <pageSetup orientation="portrait" r:id="rId1"/>
  <headerFooter>
    <oddHeader>&amp;L&amp;"Arial,Bold"&amp;8 9:37 AM
&amp;"Arial,Bold"&amp;8 02/18/14
&amp;"Arial,Bold"&amp;8 Accrual Basis&amp;C&amp;"Arial,Bold"&amp;12 Union Station, LLC
&amp;"Arial,Bold"&amp;14 Comparative State of Income
&amp;"Arial,Bold"&amp;10 For The Month of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4034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4034" r:id="rId4" name="HEADER"/>
      </mc:Fallback>
    </mc:AlternateContent>
    <mc:AlternateContent xmlns:mc="http://schemas.openxmlformats.org/markup-compatibility/2006">
      <mc:Choice Requires="x14">
        <control shapeId="44033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4033" r:id="rId6" name="FILTER"/>
      </mc:Fallback>
    </mc:AlternateContent>
  </controls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1"/>
  <dimension ref="A1:J65"/>
  <sheetViews>
    <sheetView workbookViewId="0">
      <pane xSplit="5" ySplit="1" topLeftCell="F13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5.10937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120</v>
      </c>
      <c r="D4" s="43"/>
      <c r="E4" s="43"/>
      <c r="F4" s="44"/>
      <c r="G4" s="45"/>
      <c r="H4" s="44"/>
      <c r="I4" s="45"/>
      <c r="J4" s="44"/>
    </row>
    <row r="5" spans="1:10" x14ac:dyDescent="0.3">
      <c r="A5" s="43"/>
      <c r="B5" s="43"/>
      <c r="C5" s="43"/>
      <c r="D5" s="43" t="s">
        <v>122</v>
      </c>
      <c r="E5" s="43"/>
      <c r="F5" s="44">
        <v>20</v>
      </c>
      <c r="G5" s="45"/>
      <c r="H5" s="44">
        <v>3123</v>
      </c>
      <c r="I5" s="45"/>
      <c r="J5" s="44">
        <v>-3644</v>
      </c>
    </row>
    <row r="6" spans="1:10" x14ac:dyDescent="0.3">
      <c r="A6" s="43"/>
      <c r="B6" s="43"/>
      <c r="C6" s="43"/>
      <c r="D6" s="43" t="s">
        <v>513</v>
      </c>
      <c r="E6" s="43"/>
      <c r="F6" s="44">
        <v>0</v>
      </c>
      <c r="G6" s="45"/>
      <c r="H6" s="44">
        <v>0</v>
      </c>
      <c r="I6" s="45"/>
      <c r="J6" s="44">
        <v>-150</v>
      </c>
    </row>
    <row r="7" spans="1:10" x14ac:dyDescent="0.3">
      <c r="A7" s="43"/>
      <c r="B7" s="43"/>
      <c r="C7" s="43"/>
      <c r="D7" s="43" t="s">
        <v>893</v>
      </c>
      <c r="E7" s="43"/>
      <c r="F7" s="44">
        <v>0</v>
      </c>
      <c r="G7" s="45"/>
      <c r="H7" s="44">
        <v>-36720</v>
      </c>
      <c r="I7" s="45"/>
      <c r="J7" s="44">
        <v>0</v>
      </c>
    </row>
    <row r="8" spans="1:10" ht="15" thickBot="1" x14ac:dyDescent="0.35">
      <c r="A8" s="43"/>
      <c r="B8" s="43"/>
      <c r="C8" s="43"/>
      <c r="D8" s="43" t="s">
        <v>512</v>
      </c>
      <c r="E8" s="43"/>
      <c r="F8" s="46">
        <v>0</v>
      </c>
      <c r="G8" s="45"/>
      <c r="H8" s="46">
        <v>108588</v>
      </c>
      <c r="I8" s="45"/>
      <c r="J8" s="46">
        <v>60776</v>
      </c>
    </row>
    <row r="9" spans="1:10" x14ac:dyDescent="0.3">
      <c r="A9" s="43"/>
      <c r="B9" s="43"/>
      <c r="C9" s="43" t="s">
        <v>124</v>
      </c>
      <c r="D9" s="43"/>
      <c r="E9" s="43"/>
      <c r="F9" s="44">
        <f>ROUND(F4+F6+F8+F7+F5,5)</f>
        <v>20</v>
      </c>
      <c r="G9" s="45"/>
      <c r="H9" s="44">
        <f>ROUND(H4+H6+H8+H7+H5,5)</f>
        <v>74991</v>
      </c>
      <c r="I9" s="45"/>
      <c r="J9" s="44">
        <f>ROUND(J4+J6+J8+J7+J5,5)</f>
        <v>56982</v>
      </c>
    </row>
    <row r="10" spans="1:10" ht="30" customHeight="1" x14ac:dyDescent="0.3">
      <c r="A10" s="43"/>
      <c r="B10" s="43"/>
      <c r="C10" s="43" t="s">
        <v>114</v>
      </c>
      <c r="D10" s="43"/>
      <c r="E10" s="43"/>
      <c r="F10" s="44"/>
      <c r="G10" s="45"/>
      <c r="H10" s="44"/>
      <c r="I10" s="45"/>
      <c r="J10" s="44"/>
    </row>
    <row r="11" spans="1:10" x14ac:dyDescent="0.3">
      <c r="A11" s="43"/>
      <c r="B11" s="43"/>
      <c r="C11" s="43"/>
      <c r="D11" s="43" t="s">
        <v>79</v>
      </c>
      <c r="E11" s="43"/>
      <c r="F11" s="44">
        <v>35114</v>
      </c>
      <c r="G11" s="45"/>
      <c r="H11" s="44">
        <v>0</v>
      </c>
      <c r="I11" s="45"/>
      <c r="J11" s="44">
        <v>0</v>
      </c>
    </row>
    <row r="12" spans="1:10" ht="15" thickBot="1" x14ac:dyDescent="0.35">
      <c r="A12" s="43"/>
      <c r="B12" s="43"/>
      <c r="C12" s="43"/>
      <c r="D12" s="43" t="s">
        <v>84</v>
      </c>
      <c r="E12" s="43"/>
      <c r="F12" s="46">
        <v>0</v>
      </c>
      <c r="G12" s="45"/>
      <c r="H12" s="46">
        <v>46610</v>
      </c>
      <c r="I12" s="45"/>
      <c r="J12" s="46">
        <v>151864</v>
      </c>
    </row>
    <row r="13" spans="1:10" x14ac:dyDescent="0.3">
      <c r="A13" s="43"/>
      <c r="B13" s="43"/>
      <c r="C13" s="43" t="s">
        <v>117</v>
      </c>
      <c r="D13" s="43"/>
      <c r="E13" s="43"/>
      <c r="F13" s="44">
        <f>ROUND(F10+F12+F11,5)</f>
        <v>35114</v>
      </c>
      <c r="G13" s="45"/>
      <c r="H13" s="44">
        <f>ROUND(H10+H12+H11,5)</f>
        <v>46610</v>
      </c>
      <c r="I13" s="45"/>
      <c r="J13" s="44">
        <f>ROUND(J10+J12+J11,5)</f>
        <v>151864</v>
      </c>
    </row>
    <row r="14" spans="1:10" ht="30" customHeight="1" x14ac:dyDescent="0.3">
      <c r="A14" s="43"/>
      <c r="B14" s="43"/>
      <c r="C14" s="43" t="s">
        <v>118</v>
      </c>
      <c r="D14" s="43"/>
      <c r="E14" s="43"/>
      <c r="F14" s="44"/>
      <c r="G14" s="45"/>
      <c r="H14" s="44"/>
      <c r="I14" s="45"/>
      <c r="J14" s="44"/>
    </row>
    <row r="15" spans="1:10" x14ac:dyDescent="0.3">
      <c r="A15" s="43"/>
      <c r="B15" s="43"/>
      <c r="C15" s="43"/>
      <c r="D15" s="43" t="s">
        <v>894</v>
      </c>
      <c r="E15" s="43"/>
      <c r="F15" s="44">
        <v>0</v>
      </c>
      <c r="G15" s="45"/>
      <c r="H15" s="44">
        <v>9458</v>
      </c>
      <c r="I15" s="45"/>
      <c r="J15" s="44">
        <v>2</v>
      </c>
    </row>
    <row r="16" spans="1:10" ht="15" thickBot="1" x14ac:dyDescent="0.35">
      <c r="A16" s="43"/>
      <c r="B16" s="43"/>
      <c r="C16" s="43"/>
      <c r="D16" s="43" t="s">
        <v>118</v>
      </c>
      <c r="E16" s="43"/>
      <c r="F16" s="44">
        <v>0</v>
      </c>
      <c r="G16" s="45"/>
      <c r="H16" s="44">
        <v>0</v>
      </c>
      <c r="I16" s="45"/>
      <c r="J16" s="44">
        <v>307177</v>
      </c>
    </row>
    <row r="17" spans="1:10" ht="15" thickBot="1" x14ac:dyDescent="0.35">
      <c r="A17" s="43"/>
      <c r="B17" s="43"/>
      <c r="C17" s="43" t="s">
        <v>119</v>
      </c>
      <c r="D17" s="43"/>
      <c r="E17" s="43"/>
      <c r="F17" s="47">
        <f>ROUND(SUM(F14:F16),5)</f>
        <v>0</v>
      </c>
      <c r="G17" s="45"/>
      <c r="H17" s="47">
        <f>ROUND(SUM(H14:H16),5)</f>
        <v>9458</v>
      </c>
      <c r="I17" s="45"/>
      <c r="J17" s="47">
        <f>ROUND(SUM(J14:J16),5)</f>
        <v>307179</v>
      </c>
    </row>
    <row r="18" spans="1:10" ht="30" customHeight="1" x14ac:dyDescent="0.3">
      <c r="A18" s="43"/>
      <c r="B18" s="43" t="s">
        <v>125</v>
      </c>
      <c r="C18" s="43"/>
      <c r="D18" s="43"/>
      <c r="E18" s="43"/>
      <c r="F18" s="44">
        <f>ROUND(F3+F13+F17+F9,5)</f>
        <v>35134</v>
      </c>
      <c r="G18" s="45"/>
      <c r="H18" s="44">
        <f>ROUND(H3+H13+H17+H9,5)</f>
        <v>131059</v>
      </c>
      <c r="I18" s="45"/>
      <c r="J18" s="44">
        <f>ROUND(J3+J13+J17+J9,5)</f>
        <v>516025</v>
      </c>
    </row>
    <row r="19" spans="1:10" ht="30" customHeight="1" x14ac:dyDescent="0.3">
      <c r="A19" s="43"/>
      <c r="B19" s="43" t="s">
        <v>126</v>
      </c>
      <c r="C19" s="43"/>
      <c r="D19" s="43"/>
      <c r="E19" s="43"/>
      <c r="F19" s="44"/>
      <c r="G19" s="45"/>
      <c r="H19" s="44"/>
      <c r="I19" s="45"/>
      <c r="J19" s="44"/>
    </row>
    <row r="20" spans="1:10" x14ac:dyDescent="0.3">
      <c r="A20" s="43"/>
      <c r="B20" s="43"/>
      <c r="C20" s="43" t="s">
        <v>135</v>
      </c>
      <c r="D20" s="43"/>
      <c r="E20" s="43"/>
      <c r="F20" s="44">
        <v>0</v>
      </c>
      <c r="G20" s="45"/>
      <c r="H20" s="44">
        <v>0</v>
      </c>
      <c r="I20" s="45"/>
      <c r="J20" s="44">
        <v>-15339</v>
      </c>
    </row>
    <row r="21" spans="1:10" x14ac:dyDescent="0.3">
      <c r="A21" s="43"/>
      <c r="B21" s="43"/>
      <c r="C21" s="43" t="s">
        <v>895</v>
      </c>
      <c r="D21" s="43"/>
      <c r="E21" s="43"/>
      <c r="F21" s="44"/>
      <c r="G21" s="45"/>
      <c r="H21" s="44"/>
      <c r="I21" s="45"/>
      <c r="J21" s="44"/>
    </row>
    <row r="22" spans="1:10" x14ac:dyDescent="0.3">
      <c r="A22" s="43"/>
      <c r="B22" s="43"/>
      <c r="C22" s="43"/>
      <c r="D22" s="43" t="s">
        <v>896</v>
      </c>
      <c r="E22" s="43"/>
      <c r="F22" s="44">
        <v>0</v>
      </c>
      <c r="G22" s="45"/>
      <c r="H22" s="44">
        <v>18410</v>
      </c>
      <c r="I22" s="45"/>
      <c r="J22" s="44">
        <v>0</v>
      </c>
    </row>
    <row r="23" spans="1:10" ht="15" thickBot="1" x14ac:dyDescent="0.35">
      <c r="A23" s="43"/>
      <c r="B23" s="43"/>
      <c r="C23" s="43"/>
      <c r="D23" s="43" t="s">
        <v>897</v>
      </c>
      <c r="E23" s="43"/>
      <c r="F23" s="46">
        <v>0</v>
      </c>
      <c r="G23" s="45"/>
      <c r="H23" s="46">
        <v>0</v>
      </c>
      <c r="I23" s="45"/>
      <c r="J23" s="46">
        <v>12066</v>
      </c>
    </row>
    <row r="24" spans="1:10" x14ac:dyDescent="0.3">
      <c r="A24" s="43"/>
      <c r="B24" s="43"/>
      <c r="C24" s="43" t="s">
        <v>898</v>
      </c>
      <c r="D24" s="43"/>
      <c r="E24" s="43"/>
      <c r="F24" s="44">
        <f>ROUND(SUM(F21:F23),5)</f>
        <v>0</v>
      </c>
      <c r="G24" s="45"/>
      <c r="H24" s="44">
        <f>ROUND(SUM(H21:H23),5)</f>
        <v>18410</v>
      </c>
      <c r="I24" s="45"/>
      <c r="J24" s="44">
        <f>ROUND(SUM(J21:J23),5)</f>
        <v>12066</v>
      </c>
    </row>
    <row r="25" spans="1:10" ht="30" customHeight="1" x14ac:dyDescent="0.3">
      <c r="A25" s="43"/>
      <c r="B25" s="43"/>
      <c r="C25" s="43" t="s">
        <v>127</v>
      </c>
      <c r="D25" s="43"/>
      <c r="E25" s="43"/>
      <c r="F25" s="44">
        <v>515469</v>
      </c>
      <c r="G25" s="45"/>
      <c r="H25" s="44">
        <v>776944</v>
      </c>
      <c r="I25" s="45"/>
      <c r="J25" s="44">
        <v>792401</v>
      </c>
    </row>
    <row r="26" spans="1:10" x14ac:dyDescent="0.3">
      <c r="A26" s="43"/>
      <c r="B26" s="43"/>
      <c r="C26" s="43" t="s">
        <v>899</v>
      </c>
      <c r="D26" s="43"/>
      <c r="E26" s="43"/>
      <c r="F26" s="44"/>
      <c r="G26" s="45"/>
      <c r="H26" s="44"/>
      <c r="I26" s="45"/>
      <c r="J26" s="44"/>
    </row>
    <row r="27" spans="1:10" x14ac:dyDescent="0.3">
      <c r="A27" s="43"/>
      <c r="B27" s="43"/>
      <c r="C27" s="43"/>
      <c r="D27" s="43" t="s">
        <v>134</v>
      </c>
      <c r="E27" s="43"/>
      <c r="F27" s="44">
        <v>0</v>
      </c>
      <c r="G27" s="45"/>
      <c r="H27" s="44">
        <v>0</v>
      </c>
      <c r="I27" s="45"/>
      <c r="J27" s="44">
        <v>511070</v>
      </c>
    </row>
    <row r="28" spans="1:10" ht="15" thickBot="1" x14ac:dyDescent="0.35">
      <c r="A28" s="43"/>
      <c r="B28" s="43"/>
      <c r="C28" s="43"/>
      <c r="D28" s="43" t="s">
        <v>900</v>
      </c>
      <c r="E28" s="43"/>
      <c r="F28" s="44">
        <v>0</v>
      </c>
      <c r="G28" s="45"/>
      <c r="H28" s="44">
        <v>1347433</v>
      </c>
      <c r="I28" s="45"/>
      <c r="J28" s="44">
        <v>3113946</v>
      </c>
    </row>
    <row r="29" spans="1:10" ht="15" thickBot="1" x14ac:dyDescent="0.35">
      <c r="A29" s="43"/>
      <c r="B29" s="43"/>
      <c r="C29" s="43" t="s">
        <v>901</v>
      </c>
      <c r="D29" s="43"/>
      <c r="E29" s="43"/>
      <c r="F29" s="47">
        <f>ROUND(SUM(F26:F28),5)</f>
        <v>0</v>
      </c>
      <c r="G29" s="45"/>
      <c r="H29" s="47">
        <f>ROUND(SUM(H26:H28),5)</f>
        <v>1347433</v>
      </c>
      <c r="I29" s="45"/>
      <c r="J29" s="47">
        <f>ROUND(SUM(J26:J28),5)</f>
        <v>3625016</v>
      </c>
    </row>
    <row r="30" spans="1:10" ht="30" customHeight="1" x14ac:dyDescent="0.3">
      <c r="A30" s="43"/>
      <c r="B30" s="43" t="s">
        <v>136</v>
      </c>
      <c r="C30" s="43"/>
      <c r="D30" s="43"/>
      <c r="E30" s="43"/>
      <c r="F30" s="44">
        <f>ROUND(F19+F29+F24+F20+F25,5)</f>
        <v>515469</v>
      </c>
      <c r="G30" s="45"/>
      <c r="H30" s="44">
        <f>ROUND(H19+H29+H24+H20+H25,5)</f>
        <v>2142787</v>
      </c>
      <c r="I30" s="45"/>
      <c r="J30" s="44">
        <f>ROUND(J19+J29+J24+J20+J25,5)</f>
        <v>4414144</v>
      </c>
    </row>
    <row r="31" spans="1:10" ht="30" customHeight="1" x14ac:dyDescent="0.3">
      <c r="A31" s="43"/>
      <c r="B31" s="43" t="s">
        <v>137</v>
      </c>
      <c r="C31" s="43"/>
      <c r="D31" s="43"/>
      <c r="E31" s="43"/>
      <c r="F31" s="44"/>
      <c r="G31" s="45"/>
      <c r="H31" s="44"/>
      <c r="I31" s="45"/>
      <c r="J31" s="44"/>
    </row>
    <row r="32" spans="1:10" x14ac:dyDescent="0.3">
      <c r="A32" s="43"/>
      <c r="B32" s="43"/>
      <c r="C32" s="43" t="s">
        <v>902</v>
      </c>
      <c r="D32" s="43"/>
      <c r="E32" s="43"/>
      <c r="F32" s="44">
        <v>-13</v>
      </c>
      <c r="G32" s="45"/>
      <c r="H32" s="44">
        <v>-1291</v>
      </c>
      <c r="I32" s="45"/>
      <c r="J32" s="44">
        <v>-1396</v>
      </c>
    </row>
    <row r="33" spans="1:10" x14ac:dyDescent="0.3">
      <c r="A33" s="43"/>
      <c r="B33" s="43"/>
      <c r="C33" s="43" t="s">
        <v>903</v>
      </c>
      <c r="D33" s="43"/>
      <c r="E33" s="43"/>
      <c r="F33" s="44">
        <v>364</v>
      </c>
      <c r="G33" s="45"/>
      <c r="H33" s="44">
        <v>364</v>
      </c>
      <c r="I33" s="45"/>
      <c r="J33" s="44">
        <v>364</v>
      </c>
    </row>
    <row r="34" spans="1:10" x14ac:dyDescent="0.3">
      <c r="A34" s="43"/>
      <c r="B34" s="43"/>
      <c r="C34" s="43" t="s">
        <v>904</v>
      </c>
      <c r="D34" s="43"/>
      <c r="E34" s="43"/>
      <c r="F34" s="44">
        <v>1202</v>
      </c>
      <c r="G34" s="45"/>
      <c r="H34" s="44">
        <v>1202</v>
      </c>
      <c r="I34" s="45"/>
      <c r="J34" s="44">
        <v>1202</v>
      </c>
    </row>
    <row r="35" spans="1:10" ht="15" thickBot="1" x14ac:dyDescent="0.35">
      <c r="A35" s="43"/>
      <c r="B35" s="43"/>
      <c r="C35" s="43" t="s">
        <v>905</v>
      </c>
      <c r="D35" s="43"/>
      <c r="E35" s="43"/>
      <c r="F35" s="44">
        <v>0</v>
      </c>
      <c r="G35" s="45"/>
      <c r="H35" s="44">
        <v>4695</v>
      </c>
      <c r="I35" s="45"/>
      <c r="J35" s="44">
        <v>4695</v>
      </c>
    </row>
    <row r="36" spans="1:10" ht="15" thickBot="1" x14ac:dyDescent="0.35">
      <c r="A36" s="43"/>
      <c r="B36" s="43" t="s">
        <v>141</v>
      </c>
      <c r="C36" s="43"/>
      <c r="D36" s="43"/>
      <c r="E36" s="43"/>
      <c r="F36" s="48">
        <f>ROUND(F31+F35+F34+F33+F32,5)</f>
        <v>1553</v>
      </c>
      <c r="G36" s="45"/>
      <c r="H36" s="48">
        <f>ROUND(H31+H35+H34+H33+H32,5)</f>
        <v>4970</v>
      </c>
      <c r="I36" s="45"/>
      <c r="J36" s="48">
        <f>ROUND(J31+J35+J34+J33+J32,5)</f>
        <v>4865</v>
      </c>
    </row>
    <row r="37" spans="1:10" s="50" customFormat="1" ht="30" customHeight="1" thickBot="1" x14ac:dyDescent="0.25">
      <c r="A37" s="43" t="s">
        <v>142</v>
      </c>
      <c r="B37" s="43"/>
      <c r="C37" s="43"/>
      <c r="D37" s="43"/>
      <c r="E37" s="43"/>
      <c r="F37" s="49">
        <f>ROUND(F2+F18+F30+F36,5)</f>
        <v>552156</v>
      </c>
      <c r="G37" s="43"/>
      <c r="H37" s="49">
        <f>ROUND(H2+H18+H30+H36,5)</f>
        <v>2278816</v>
      </c>
      <c r="I37" s="43"/>
      <c r="J37" s="49">
        <f>ROUND(J2+J18+J30+J36,5)</f>
        <v>4935034</v>
      </c>
    </row>
    <row r="38" spans="1:10" ht="31.5" customHeight="1" thickTop="1" x14ac:dyDescent="0.3">
      <c r="A38" s="43" t="s">
        <v>143</v>
      </c>
      <c r="B38" s="43"/>
      <c r="C38" s="43"/>
      <c r="D38" s="43"/>
      <c r="E38" s="43"/>
      <c r="F38" s="44"/>
      <c r="G38" s="45"/>
      <c r="H38" s="44"/>
      <c r="I38" s="45"/>
      <c r="J38" s="44"/>
    </row>
    <row r="39" spans="1:10" x14ac:dyDescent="0.3">
      <c r="A39" s="43"/>
      <c r="B39" s="43" t="s">
        <v>144</v>
      </c>
      <c r="C39" s="43"/>
      <c r="D39" s="43"/>
      <c r="E39" s="43"/>
      <c r="F39" s="44"/>
      <c r="G39" s="45"/>
      <c r="H39" s="44"/>
      <c r="I39" s="45"/>
      <c r="J39" s="44"/>
    </row>
    <row r="40" spans="1:10" x14ac:dyDescent="0.3">
      <c r="A40" s="43"/>
      <c r="B40" s="43"/>
      <c r="C40" s="43" t="s">
        <v>145</v>
      </c>
      <c r="D40" s="43"/>
      <c r="E40" s="43"/>
      <c r="F40" s="44"/>
      <c r="G40" s="45"/>
      <c r="H40" s="44"/>
      <c r="I40" s="45"/>
      <c r="J40" s="44"/>
    </row>
    <row r="41" spans="1:10" x14ac:dyDescent="0.3">
      <c r="A41" s="43"/>
      <c r="B41" s="43"/>
      <c r="C41" s="43"/>
      <c r="D41" s="43" t="s">
        <v>148</v>
      </c>
      <c r="E41" s="43"/>
      <c r="F41" s="44"/>
      <c r="G41" s="45"/>
      <c r="H41" s="44"/>
      <c r="I41" s="45"/>
      <c r="J41" s="44"/>
    </row>
    <row r="42" spans="1:10" x14ac:dyDescent="0.3">
      <c r="A42" s="43"/>
      <c r="B42" s="43"/>
      <c r="C42" s="43"/>
      <c r="D42" s="43"/>
      <c r="E42" s="43" t="s">
        <v>454</v>
      </c>
      <c r="F42" s="44">
        <v>6074</v>
      </c>
      <c r="G42" s="45"/>
      <c r="H42" s="44">
        <v>5519</v>
      </c>
      <c r="I42" s="45"/>
      <c r="J42" s="44">
        <v>-5592</v>
      </c>
    </row>
    <row r="43" spans="1:10" ht="15" thickBot="1" x14ac:dyDescent="0.35">
      <c r="A43" s="43"/>
      <c r="B43" s="43"/>
      <c r="C43" s="43"/>
      <c r="D43" s="43"/>
      <c r="E43" s="43" t="s">
        <v>906</v>
      </c>
      <c r="F43" s="46">
        <v>0</v>
      </c>
      <c r="G43" s="45"/>
      <c r="H43" s="46">
        <v>24781</v>
      </c>
      <c r="I43" s="45"/>
      <c r="J43" s="46">
        <v>30903</v>
      </c>
    </row>
    <row r="44" spans="1:10" x14ac:dyDescent="0.3">
      <c r="A44" s="43"/>
      <c r="B44" s="43"/>
      <c r="C44" s="43"/>
      <c r="D44" s="43" t="s">
        <v>152</v>
      </c>
      <c r="E44" s="43"/>
      <c r="F44" s="44">
        <f>ROUND(SUM(F41:F43),5)</f>
        <v>6074</v>
      </c>
      <c r="G44" s="45"/>
      <c r="H44" s="44">
        <f>ROUND(SUM(H41:H43),5)</f>
        <v>30300</v>
      </c>
      <c r="I44" s="45"/>
      <c r="J44" s="44">
        <f>ROUND(SUM(J41:J43),5)</f>
        <v>25311</v>
      </c>
    </row>
    <row r="45" spans="1:10" ht="30" customHeight="1" x14ac:dyDescent="0.3">
      <c r="A45" s="43"/>
      <c r="B45" s="43"/>
      <c r="C45" s="43"/>
      <c r="D45" s="43" t="s">
        <v>146</v>
      </c>
      <c r="E45" s="43"/>
      <c r="F45" s="44"/>
      <c r="G45" s="45"/>
      <c r="H45" s="44"/>
      <c r="I45" s="45"/>
      <c r="J45" s="44"/>
    </row>
    <row r="46" spans="1:10" ht="15" thickBot="1" x14ac:dyDescent="0.35">
      <c r="A46" s="43"/>
      <c r="B46" s="43"/>
      <c r="C46" s="43"/>
      <c r="D46" s="43"/>
      <c r="E46" s="43" t="s">
        <v>146</v>
      </c>
      <c r="F46" s="44">
        <v>2270</v>
      </c>
      <c r="G46" s="45"/>
      <c r="H46" s="44">
        <v>180260</v>
      </c>
      <c r="I46" s="45"/>
      <c r="J46" s="44">
        <v>160697</v>
      </c>
    </row>
    <row r="47" spans="1:10" ht="15" thickBot="1" x14ac:dyDescent="0.35">
      <c r="A47" s="43"/>
      <c r="B47" s="43"/>
      <c r="C47" s="43"/>
      <c r="D47" s="43" t="s">
        <v>147</v>
      </c>
      <c r="E47" s="43"/>
      <c r="F47" s="47">
        <f>ROUND(SUM(F45:F46),5)</f>
        <v>2270</v>
      </c>
      <c r="G47" s="45"/>
      <c r="H47" s="47">
        <f>ROUND(SUM(H45:H46),5)</f>
        <v>180260</v>
      </c>
      <c r="I47" s="45"/>
      <c r="J47" s="47">
        <f>ROUND(SUM(J45:J46),5)</f>
        <v>160697</v>
      </c>
    </row>
    <row r="48" spans="1:10" ht="30" customHeight="1" x14ac:dyDescent="0.3">
      <c r="A48" s="43"/>
      <c r="B48" s="43"/>
      <c r="C48" s="43" t="s">
        <v>153</v>
      </c>
      <c r="D48" s="43"/>
      <c r="E48" s="43"/>
      <c r="F48" s="44">
        <f>ROUND(F40+F47+F44,5)</f>
        <v>8344</v>
      </c>
      <c r="G48" s="45"/>
      <c r="H48" s="44">
        <f>ROUND(H40+H47+H44,5)</f>
        <v>210560</v>
      </c>
      <c r="I48" s="45"/>
      <c r="J48" s="44">
        <f>ROUND(J40+J47+J44,5)</f>
        <v>186008</v>
      </c>
    </row>
    <row r="49" spans="1:10" ht="30" customHeight="1" x14ac:dyDescent="0.3">
      <c r="A49" s="43"/>
      <c r="B49" s="43"/>
      <c r="C49" s="43" t="s">
        <v>154</v>
      </c>
      <c r="D49" s="43"/>
      <c r="E49" s="43"/>
      <c r="F49" s="44"/>
      <c r="G49" s="45"/>
      <c r="H49" s="44"/>
      <c r="I49" s="45"/>
      <c r="J49" s="44"/>
    </row>
    <row r="50" spans="1:10" ht="15" thickBot="1" x14ac:dyDescent="0.35">
      <c r="A50" s="43"/>
      <c r="B50" s="43"/>
      <c r="C50" s="43"/>
      <c r="D50" s="43" t="s">
        <v>907</v>
      </c>
      <c r="E50" s="43"/>
      <c r="F50" s="44">
        <v>0</v>
      </c>
      <c r="G50" s="45"/>
      <c r="H50" s="44">
        <v>1285336</v>
      </c>
      <c r="I50" s="45"/>
      <c r="J50" s="51">
        <v>3874197</v>
      </c>
    </row>
    <row r="51" spans="1:10" ht="15" thickBot="1" x14ac:dyDescent="0.35">
      <c r="A51" s="43"/>
      <c r="B51" s="43"/>
      <c r="C51" s="43" t="s">
        <v>157</v>
      </c>
      <c r="D51" s="43"/>
      <c r="E51" s="43"/>
      <c r="F51" s="47">
        <f>ROUND(SUM(F49:F50),5)</f>
        <v>0</v>
      </c>
      <c r="G51" s="45"/>
      <c r="H51" s="47">
        <f>ROUND(SUM(H49:H50),5)</f>
        <v>1285336</v>
      </c>
      <c r="I51" s="45"/>
      <c r="J51" s="47">
        <f>ROUND(SUM(J49:J50),5)</f>
        <v>3874197</v>
      </c>
    </row>
    <row r="52" spans="1:10" ht="30" customHeight="1" x14ac:dyDescent="0.3">
      <c r="A52" s="43"/>
      <c r="B52" s="43" t="s">
        <v>158</v>
      </c>
      <c r="C52" s="43"/>
      <c r="D52" s="43"/>
      <c r="E52" s="43"/>
      <c r="F52" s="44">
        <f>ROUND(F39+F48+F51,5)</f>
        <v>8344</v>
      </c>
      <c r="G52" s="45"/>
      <c r="H52" s="44">
        <f>ROUND(H39+H48+H51,5)</f>
        <v>1495896</v>
      </c>
      <c r="I52" s="45"/>
      <c r="J52" s="44">
        <f>ROUND(J39+J48+J51,5)</f>
        <v>4060205</v>
      </c>
    </row>
    <row r="53" spans="1:10" ht="30" customHeight="1" x14ac:dyDescent="0.3">
      <c r="A53" s="43"/>
      <c r="B53" s="43" t="s">
        <v>159</v>
      </c>
      <c r="C53" s="43"/>
      <c r="D53" s="43"/>
      <c r="E53" s="43"/>
      <c r="F53" s="44"/>
      <c r="G53" s="45"/>
      <c r="H53" s="44"/>
      <c r="I53" s="45"/>
      <c r="J53" s="44"/>
    </row>
    <row r="54" spans="1:10" x14ac:dyDescent="0.3">
      <c r="A54" s="43"/>
      <c r="B54" s="43"/>
      <c r="C54" s="43" t="s">
        <v>457</v>
      </c>
      <c r="D54" s="43"/>
      <c r="E54" s="43"/>
      <c r="F54" s="44">
        <v>4573</v>
      </c>
      <c r="G54" s="45"/>
      <c r="H54" s="44">
        <v>-11904</v>
      </c>
      <c r="I54" s="45"/>
      <c r="J54" s="44">
        <v>-11904</v>
      </c>
    </row>
    <row r="55" spans="1:10" x14ac:dyDescent="0.3">
      <c r="A55" s="43"/>
      <c r="B55" s="43"/>
      <c r="C55" s="43" t="s">
        <v>908</v>
      </c>
      <c r="D55" s="43"/>
      <c r="E55" s="43"/>
      <c r="F55" s="44">
        <v>508</v>
      </c>
      <c r="G55" s="45"/>
      <c r="H55" s="44">
        <v>-1317</v>
      </c>
      <c r="I55" s="45"/>
      <c r="J55" s="44">
        <v>-1317</v>
      </c>
    </row>
    <row r="56" spans="1:10" x14ac:dyDescent="0.3">
      <c r="A56" s="43"/>
      <c r="B56" s="43"/>
      <c r="C56" s="43" t="s">
        <v>164</v>
      </c>
      <c r="D56" s="43"/>
      <c r="E56" s="43"/>
      <c r="F56" s="44">
        <v>-6351</v>
      </c>
      <c r="G56" s="45"/>
      <c r="H56" s="44">
        <v>10729</v>
      </c>
      <c r="I56" s="45"/>
      <c r="J56" s="44">
        <v>0</v>
      </c>
    </row>
    <row r="57" spans="1:10" x14ac:dyDescent="0.3">
      <c r="A57" s="43"/>
      <c r="B57" s="43"/>
      <c r="C57" s="43" t="s">
        <v>165</v>
      </c>
      <c r="D57" s="43"/>
      <c r="E57" s="43"/>
      <c r="F57" s="44">
        <v>-6351</v>
      </c>
      <c r="G57" s="45"/>
      <c r="H57" s="44">
        <v>-10729</v>
      </c>
      <c r="I57" s="45"/>
      <c r="J57" s="44">
        <v>91910</v>
      </c>
    </row>
    <row r="58" spans="1:10" x14ac:dyDescent="0.3">
      <c r="A58" s="43"/>
      <c r="B58" s="43"/>
      <c r="C58" s="43" t="s">
        <v>909</v>
      </c>
      <c r="D58" s="43"/>
      <c r="E58" s="43"/>
      <c r="F58" s="44">
        <v>0</v>
      </c>
      <c r="G58" s="45"/>
      <c r="H58" s="44">
        <v>99999</v>
      </c>
      <c r="I58" s="45"/>
      <c r="J58" s="44">
        <v>99999</v>
      </c>
    </row>
    <row r="59" spans="1:10" x14ac:dyDescent="0.3">
      <c r="A59" s="43"/>
      <c r="B59" s="43"/>
      <c r="C59" s="43" t="s">
        <v>910</v>
      </c>
      <c r="D59" s="43"/>
      <c r="E59" s="43"/>
      <c r="F59" s="44">
        <v>250734</v>
      </c>
      <c r="G59" s="45"/>
      <c r="H59" s="44">
        <v>148020</v>
      </c>
      <c r="I59" s="45"/>
      <c r="J59" s="44">
        <v>148020</v>
      </c>
    </row>
    <row r="60" spans="1:10" x14ac:dyDescent="0.3">
      <c r="A60" s="43"/>
      <c r="B60" s="43"/>
      <c r="C60" s="43" t="s">
        <v>911</v>
      </c>
      <c r="D60" s="43"/>
      <c r="E60" s="43"/>
      <c r="F60" s="44">
        <v>150349</v>
      </c>
      <c r="G60" s="45"/>
      <c r="H60" s="44">
        <v>149060</v>
      </c>
      <c r="I60" s="45"/>
      <c r="J60" s="44">
        <v>149060</v>
      </c>
    </row>
    <row r="61" spans="1:10" x14ac:dyDescent="0.3">
      <c r="A61" s="43"/>
      <c r="B61" s="43"/>
      <c r="C61" s="43" t="s">
        <v>912</v>
      </c>
      <c r="D61" s="43"/>
      <c r="E61" s="43"/>
      <c r="F61" s="44">
        <v>150349</v>
      </c>
      <c r="G61" s="45"/>
      <c r="H61" s="44">
        <v>149060</v>
      </c>
      <c r="I61" s="45"/>
      <c r="J61" s="44">
        <v>149060</v>
      </c>
    </row>
    <row r="62" spans="1:10" ht="15" thickBot="1" x14ac:dyDescent="0.35">
      <c r="A62" s="43"/>
      <c r="B62" s="43"/>
      <c r="C62" s="43" t="s">
        <v>913</v>
      </c>
      <c r="D62" s="43"/>
      <c r="E62" s="43"/>
      <c r="F62" s="44">
        <v>0</v>
      </c>
      <c r="G62" s="45"/>
      <c r="H62" s="44">
        <v>250000</v>
      </c>
      <c r="I62" s="45"/>
      <c r="J62" s="44">
        <v>250000</v>
      </c>
    </row>
    <row r="63" spans="1:10" ht="15" thickBot="1" x14ac:dyDescent="0.35">
      <c r="A63" s="43"/>
      <c r="B63" s="43" t="s">
        <v>166</v>
      </c>
      <c r="C63" s="43"/>
      <c r="D63" s="43"/>
      <c r="E63" s="43"/>
      <c r="F63" s="48">
        <f>ROUND(F53+F58+F62+F61+F54+F60+F55+F59+SUM(F56:F57),5)</f>
        <v>543811</v>
      </c>
      <c r="G63" s="45"/>
      <c r="H63" s="48">
        <f>ROUND(H53+H58+H62+H61+H54+H60+H55+H59+SUM(H56:H57),5)</f>
        <v>782918</v>
      </c>
      <c r="I63" s="45"/>
      <c r="J63" s="48">
        <f>ROUND(J53+J58+J62+J61+J54+J60+J55+J59+SUM(J56:J57),5)</f>
        <v>874828</v>
      </c>
    </row>
    <row r="64" spans="1:10" s="50" customFormat="1" ht="30" customHeight="1" thickBot="1" x14ac:dyDescent="0.25">
      <c r="A64" s="43" t="s">
        <v>167</v>
      </c>
      <c r="B64" s="43"/>
      <c r="C64" s="43"/>
      <c r="D64" s="43"/>
      <c r="E64" s="43"/>
      <c r="F64" s="49">
        <f>ROUND(F38+F52+F63,5)</f>
        <v>552155</v>
      </c>
      <c r="G64" s="43"/>
      <c r="H64" s="49">
        <f>ROUND(H38+H52+H63,5)</f>
        <v>2278814</v>
      </c>
      <c r="I64" s="43"/>
      <c r="J64" s="49">
        <f>ROUND(J38+J52+J63,5)</f>
        <v>4935033</v>
      </c>
    </row>
    <row r="65" ht="15" thickTop="1" x14ac:dyDescent="0.3"/>
  </sheetData>
  <pageMargins left="0.7" right="0.7" top="0.75" bottom="0.75" header="0.25" footer="0.3"/>
  <pageSetup orientation="portrait" r:id="rId1"/>
  <headerFooter>
    <oddHeader>&amp;L&amp;"Arial,Bold"&amp;8 11:38 AM
&amp;"Arial,Bold"&amp;8 02/17/14
&amp;"Arial,Bold"&amp;8 Accrual Basis&amp;C&amp;"Arial,Bold"&amp;12 21Webb LLC
&amp;"Arial,Bold"&amp;14 Balance Sheet
&amp;"Arial,Bold"&amp;10 As of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505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5058" r:id="rId4" name="HEADER"/>
      </mc:Fallback>
    </mc:AlternateContent>
    <mc:AlternateContent xmlns:mc="http://schemas.openxmlformats.org/markup-compatibility/2006">
      <mc:Choice Requires="x14">
        <control shapeId="4505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5057" r:id="rId6" name="FILTER"/>
      </mc:Fallback>
    </mc:AlternateContent>
  </controls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9"/>
  <dimension ref="A1:N99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0.88671875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8.664062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52"/>
      <c r="I2" s="45"/>
      <c r="J2" s="52"/>
      <c r="K2" s="45"/>
      <c r="L2" s="52"/>
      <c r="M2" s="45"/>
      <c r="N2" s="52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52"/>
      <c r="I3" s="45"/>
      <c r="J3" s="52"/>
      <c r="K3" s="45"/>
      <c r="L3" s="52"/>
      <c r="M3" s="45"/>
      <c r="N3" s="52"/>
    </row>
    <row r="4" spans="1:14" x14ac:dyDescent="0.3">
      <c r="A4" s="43"/>
      <c r="B4" s="43"/>
      <c r="C4" s="43"/>
      <c r="D4" s="43"/>
      <c r="E4" s="43" t="s">
        <v>914</v>
      </c>
      <c r="F4" s="43"/>
      <c r="G4" s="43"/>
      <c r="H4" s="52">
        <v>0</v>
      </c>
      <c r="I4" s="45"/>
      <c r="J4" s="52">
        <v>0</v>
      </c>
      <c r="K4" s="45"/>
      <c r="L4" s="52">
        <v>0</v>
      </c>
      <c r="M4" s="45"/>
      <c r="N4" s="52">
        <f t="shared" ref="N4:N11" si="0">ROUND(SUM(H4:L4),5)</f>
        <v>0</v>
      </c>
    </row>
    <row r="5" spans="1:14" x14ac:dyDescent="0.3">
      <c r="A5" s="43"/>
      <c r="B5" s="43"/>
      <c r="C5" s="43"/>
      <c r="D5" s="43"/>
      <c r="E5" s="43" t="s">
        <v>915</v>
      </c>
      <c r="F5" s="43"/>
      <c r="G5" s="43"/>
      <c r="H5" s="52">
        <v>0</v>
      </c>
      <c r="I5" s="45"/>
      <c r="J5" s="52">
        <v>0</v>
      </c>
      <c r="K5" s="45"/>
      <c r="L5" s="52">
        <v>2176.6799999999998</v>
      </c>
      <c r="M5" s="45"/>
      <c r="N5" s="52">
        <f t="shared" si="0"/>
        <v>2176.6799999999998</v>
      </c>
    </row>
    <row r="6" spans="1:14" x14ac:dyDescent="0.3">
      <c r="A6" s="43"/>
      <c r="B6" s="43"/>
      <c r="C6" s="43"/>
      <c r="D6" s="43"/>
      <c r="E6" s="43" t="s">
        <v>916</v>
      </c>
      <c r="F6" s="43"/>
      <c r="G6" s="43"/>
      <c r="H6" s="52">
        <v>0</v>
      </c>
      <c r="I6" s="45"/>
      <c r="J6" s="52">
        <v>0</v>
      </c>
      <c r="K6" s="45"/>
      <c r="L6" s="52">
        <v>6530.39</v>
      </c>
      <c r="M6" s="45"/>
      <c r="N6" s="52">
        <f t="shared" si="0"/>
        <v>6530.39</v>
      </c>
    </row>
    <row r="7" spans="1:14" x14ac:dyDescent="0.3">
      <c r="A7" s="43"/>
      <c r="B7" s="43"/>
      <c r="C7" s="43"/>
      <c r="D7" s="43"/>
      <c r="E7" s="43" t="s">
        <v>354</v>
      </c>
      <c r="F7" s="43"/>
      <c r="G7" s="43"/>
      <c r="H7" s="52">
        <v>0</v>
      </c>
      <c r="I7" s="45"/>
      <c r="J7" s="52">
        <v>0</v>
      </c>
      <c r="K7" s="45"/>
      <c r="L7" s="52">
        <v>10520</v>
      </c>
      <c r="M7" s="45"/>
      <c r="N7" s="52">
        <f t="shared" si="0"/>
        <v>10520</v>
      </c>
    </row>
    <row r="8" spans="1:14" x14ac:dyDescent="0.3">
      <c r="A8" s="43"/>
      <c r="B8" s="43"/>
      <c r="C8" s="43"/>
      <c r="D8" s="43"/>
      <c r="E8" s="43" t="s">
        <v>175</v>
      </c>
      <c r="F8" s="43"/>
      <c r="G8" s="43"/>
      <c r="H8" s="52">
        <v>0</v>
      </c>
      <c r="I8" s="45"/>
      <c r="J8" s="52">
        <v>0</v>
      </c>
      <c r="K8" s="45"/>
      <c r="L8" s="52">
        <v>21767.13</v>
      </c>
      <c r="M8" s="45"/>
      <c r="N8" s="52">
        <f t="shared" si="0"/>
        <v>21767.13</v>
      </c>
    </row>
    <row r="9" spans="1:14" ht="15" thickBot="1" x14ac:dyDescent="0.35">
      <c r="A9" s="43"/>
      <c r="B9" s="43"/>
      <c r="C9" s="43"/>
      <c r="D9" s="43"/>
      <c r="E9" s="43" t="s">
        <v>917</v>
      </c>
      <c r="F9" s="43"/>
      <c r="G9" s="43"/>
      <c r="H9" s="52">
        <v>0</v>
      </c>
      <c r="I9" s="45"/>
      <c r="J9" s="52">
        <v>100</v>
      </c>
      <c r="K9" s="45"/>
      <c r="L9" s="52">
        <v>163857.5</v>
      </c>
      <c r="M9" s="45"/>
      <c r="N9" s="52">
        <f t="shared" si="0"/>
        <v>163957.5</v>
      </c>
    </row>
    <row r="10" spans="1:14" ht="15" thickBot="1" x14ac:dyDescent="0.35">
      <c r="A10" s="43"/>
      <c r="B10" s="43"/>
      <c r="C10" s="43"/>
      <c r="D10" s="43" t="s">
        <v>180</v>
      </c>
      <c r="E10" s="43"/>
      <c r="F10" s="43"/>
      <c r="G10" s="43"/>
      <c r="H10" s="53">
        <f>ROUND(H3+H7+SUM(H5:H6)+SUM(H8:H9)+H4,5)</f>
        <v>0</v>
      </c>
      <c r="I10" s="45"/>
      <c r="J10" s="53">
        <f>ROUND(J3+J7+SUM(J5:J6)+SUM(J8:J9)+J4,5)</f>
        <v>100</v>
      </c>
      <c r="K10" s="45"/>
      <c r="L10" s="53">
        <f>ROUND(L3+L7+SUM(L5:L6)+SUM(L8:L9)+L4,5)</f>
        <v>204851.7</v>
      </c>
      <c r="M10" s="45"/>
      <c r="N10" s="53">
        <f t="shared" si="0"/>
        <v>204951.7</v>
      </c>
    </row>
    <row r="11" spans="1:14" ht="30" customHeight="1" x14ac:dyDescent="0.3">
      <c r="A11" s="43"/>
      <c r="B11" s="43"/>
      <c r="C11" s="43" t="s">
        <v>181</v>
      </c>
      <c r="D11" s="43"/>
      <c r="E11" s="43"/>
      <c r="F11" s="43"/>
      <c r="G11" s="43"/>
      <c r="H11" s="52">
        <f>H10</f>
        <v>0</v>
      </c>
      <c r="I11" s="45"/>
      <c r="J11" s="52">
        <f>J10</f>
        <v>100</v>
      </c>
      <c r="K11" s="45"/>
      <c r="L11" s="52">
        <f>L10</f>
        <v>204851.7</v>
      </c>
      <c r="M11" s="45"/>
      <c r="N11" s="52">
        <f t="shared" si="0"/>
        <v>204951.7</v>
      </c>
    </row>
    <row r="12" spans="1:14" ht="30" customHeight="1" x14ac:dyDescent="0.3">
      <c r="A12" s="43"/>
      <c r="B12" s="43"/>
      <c r="C12" s="43"/>
      <c r="D12" s="43" t="s">
        <v>182</v>
      </c>
      <c r="E12" s="43"/>
      <c r="F12" s="43"/>
      <c r="G12" s="43"/>
      <c r="H12" s="52"/>
      <c r="I12" s="45"/>
      <c r="J12" s="52"/>
      <c r="K12" s="45"/>
      <c r="L12" s="52"/>
      <c r="M12" s="45"/>
      <c r="N12" s="52"/>
    </row>
    <row r="13" spans="1:14" x14ac:dyDescent="0.3">
      <c r="A13" s="43"/>
      <c r="B13" s="43"/>
      <c r="C13" s="43"/>
      <c r="D13" s="43"/>
      <c r="E13" s="43" t="s">
        <v>272</v>
      </c>
      <c r="F13" s="43"/>
      <c r="G13" s="43"/>
      <c r="H13" s="52"/>
      <c r="I13" s="45"/>
      <c r="J13" s="52"/>
      <c r="K13" s="45"/>
      <c r="L13" s="52"/>
      <c r="M13" s="45"/>
      <c r="N13" s="52"/>
    </row>
    <row r="14" spans="1:14" x14ac:dyDescent="0.3">
      <c r="A14" s="43"/>
      <c r="B14" s="43"/>
      <c r="C14" s="43"/>
      <c r="D14" s="43"/>
      <c r="E14" s="43"/>
      <c r="F14" s="43" t="s">
        <v>273</v>
      </c>
      <c r="G14" s="43"/>
      <c r="H14" s="52">
        <v>0</v>
      </c>
      <c r="I14" s="45"/>
      <c r="J14" s="52">
        <v>0</v>
      </c>
      <c r="K14" s="45"/>
      <c r="L14" s="52">
        <v>-22066.04</v>
      </c>
      <c r="M14" s="45"/>
      <c r="N14" s="52">
        <f>ROUND(SUM(H14:L14),5)</f>
        <v>-22066.04</v>
      </c>
    </row>
    <row r="15" spans="1:14" x14ac:dyDescent="0.3">
      <c r="A15" s="43"/>
      <c r="B15" s="43"/>
      <c r="C15" s="43"/>
      <c r="D15" s="43"/>
      <c r="E15" s="43"/>
      <c r="F15" s="43" t="s">
        <v>551</v>
      </c>
      <c r="G15" s="43"/>
      <c r="H15" s="52">
        <v>0</v>
      </c>
      <c r="I15" s="45"/>
      <c r="J15" s="52">
        <v>0</v>
      </c>
      <c r="K15" s="45"/>
      <c r="L15" s="52">
        <v>50</v>
      </c>
      <c r="M15" s="45"/>
      <c r="N15" s="52">
        <f>ROUND(SUM(H15:L15),5)</f>
        <v>50</v>
      </c>
    </row>
    <row r="16" spans="1:14" ht="15" thickBot="1" x14ac:dyDescent="0.35">
      <c r="A16" s="43"/>
      <c r="B16" s="43"/>
      <c r="C16" s="43"/>
      <c r="D16" s="43"/>
      <c r="E16" s="43"/>
      <c r="F16" s="43" t="s">
        <v>275</v>
      </c>
      <c r="G16" s="43"/>
      <c r="H16" s="54">
        <v>1356.9</v>
      </c>
      <c r="I16" s="45"/>
      <c r="J16" s="54">
        <v>3452.75</v>
      </c>
      <c r="K16" s="45"/>
      <c r="L16" s="54">
        <v>11040</v>
      </c>
      <c r="M16" s="45"/>
      <c r="N16" s="54">
        <f>ROUND(SUM(H16:L16),5)</f>
        <v>15849.65</v>
      </c>
    </row>
    <row r="17" spans="1:14" x14ac:dyDescent="0.3">
      <c r="A17" s="43"/>
      <c r="B17" s="43"/>
      <c r="C17" s="43"/>
      <c r="D17" s="43"/>
      <c r="E17" s="43" t="s">
        <v>277</v>
      </c>
      <c r="F17" s="43"/>
      <c r="G17" s="43"/>
      <c r="H17" s="52">
        <f>ROUND(SUM(H13:H16),5)</f>
        <v>1356.9</v>
      </c>
      <c r="I17" s="45"/>
      <c r="J17" s="52">
        <f>ROUND(SUM(J13:J16),5)</f>
        <v>3452.75</v>
      </c>
      <c r="K17" s="45"/>
      <c r="L17" s="52">
        <f>ROUND(SUM(L13:L16),5)</f>
        <v>-10976.04</v>
      </c>
      <c r="M17" s="45"/>
      <c r="N17" s="52">
        <f>ROUND(SUM(H17:L17),5)</f>
        <v>-6166.39</v>
      </c>
    </row>
    <row r="18" spans="1:14" ht="30" customHeight="1" x14ac:dyDescent="0.3">
      <c r="A18" s="43"/>
      <c r="B18" s="43"/>
      <c r="C18" s="43"/>
      <c r="D18" s="43"/>
      <c r="E18" s="43" t="s">
        <v>222</v>
      </c>
      <c r="F18" s="43"/>
      <c r="G18" s="43"/>
      <c r="H18" s="52">
        <v>0</v>
      </c>
      <c r="I18" s="45"/>
      <c r="J18" s="52">
        <v>42.38</v>
      </c>
      <c r="K18" s="45"/>
      <c r="L18" s="52">
        <v>17.63</v>
      </c>
      <c r="M18" s="45"/>
      <c r="N18" s="52">
        <f>ROUND(SUM(H18:L18),5)</f>
        <v>60.01</v>
      </c>
    </row>
    <row r="19" spans="1:14" x14ac:dyDescent="0.3">
      <c r="A19" s="43"/>
      <c r="B19" s="43"/>
      <c r="C19" s="43"/>
      <c r="D19" s="43"/>
      <c r="E19" s="43" t="s">
        <v>918</v>
      </c>
      <c r="F19" s="43"/>
      <c r="G19" s="43"/>
      <c r="H19" s="52"/>
      <c r="I19" s="45"/>
      <c r="J19" s="52"/>
      <c r="K19" s="45"/>
      <c r="L19" s="52"/>
      <c r="M19" s="45"/>
      <c r="N19" s="52"/>
    </row>
    <row r="20" spans="1:14" ht="15" thickBot="1" x14ac:dyDescent="0.35">
      <c r="A20" s="43"/>
      <c r="B20" s="43"/>
      <c r="C20" s="43"/>
      <c r="D20" s="43"/>
      <c r="E20" s="43"/>
      <c r="F20" s="43" t="s">
        <v>258</v>
      </c>
      <c r="G20" s="43"/>
      <c r="H20" s="54">
        <v>0</v>
      </c>
      <c r="I20" s="45"/>
      <c r="J20" s="54">
        <v>158.94999999999999</v>
      </c>
      <c r="K20" s="45"/>
      <c r="L20" s="54">
        <v>797.39</v>
      </c>
      <c r="M20" s="45"/>
      <c r="N20" s="54">
        <f>ROUND(SUM(H20:L20),5)</f>
        <v>956.34</v>
      </c>
    </row>
    <row r="21" spans="1:14" x14ac:dyDescent="0.3">
      <c r="A21" s="43"/>
      <c r="B21" s="43"/>
      <c r="C21" s="43"/>
      <c r="D21" s="43"/>
      <c r="E21" s="43" t="s">
        <v>919</v>
      </c>
      <c r="F21" s="43"/>
      <c r="G21" s="43"/>
      <c r="H21" s="52">
        <f>ROUND(SUM(H19:H20),5)</f>
        <v>0</v>
      </c>
      <c r="I21" s="45"/>
      <c r="J21" s="52">
        <f>ROUND(SUM(J19:J20),5)</f>
        <v>158.94999999999999</v>
      </c>
      <c r="K21" s="45"/>
      <c r="L21" s="52">
        <f>ROUND(SUM(L19:L20),5)</f>
        <v>797.39</v>
      </c>
      <c r="M21" s="45"/>
      <c r="N21" s="52">
        <f>ROUND(SUM(H21:L21),5)</f>
        <v>956.34</v>
      </c>
    </row>
    <row r="22" spans="1:14" ht="30" customHeight="1" x14ac:dyDescent="0.3">
      <c r="A22" s="43"/>
      <c r="B22" s="43"/>
      <c r="C22" s="43"/>
      <c r="D22" s="43"/>
      <c r="E22" s="43" t="s">
        <v>350</v>
      </c>
      <c r="F22" s="43"/>
      <c r="G22" s="43"/>
      <c r="H22" s="52">
        <v>12.75</v>
      </c>
      <c r="I22" s="45"/>
      <c r="J22" s="52">
        <v>1278.3900000000001</v>
      </c>
      <c r="K22" s="45"/>
      <c r="L22" s="52">
        <v>104.4</v>
      </c>
      <c r="M22" s="45"/>
      <c r="N22" s="52">
        <f>ROUND(SUM(H22:L22),5)</f>
        <v>1395.54</v>
      </c>
    </row>
    <row r="23" spans="1:14" x14ac:dyDescent="0.3">
      <c r="A23" s="43"/>
      <c r="B23" s="43"/>
      <c r="C23" s="43"/>
      <c r="D23" s="43"/>
      <c r="E23" s="43" t="s">
        <v>920</v>
      </c>
      <c r="F23" s="43"/>
      <c r="G23" s="43"/>
      <c r="H23" s="52">
        <v>5000</v>
      </c>
      <c r="I23" s="45"/>
      <c r="J23" s="52">
        <v>50</v>
      </c>
      <c r="K23" s="45"/>
      <c r="L23" s="52">
        <v>0</v>
      </c>
      <c r="M23" s="45"/>
      <c r="N23" s="52">
        <f>ROUND(SUM(H23:L23),5)</f>
        <v>5050</v>
      </c>
    </row>
    <row r="24" spans="1:14" x14ac:dyDescent="0.3">
      <c r="A24" s="43"/>
      <c r="B24" s="43"/>
      <c r="C24" s="43"/>
      <c r="D24" s="43"/>
      <c r="E24" s="43" t="s">
        <v>278</v>
      </c>
      <c r="F24" s="43"/>
      <c r="G24" s="43"/>
      <c r="H24" s="52"/>
      <c r="I24" s="45"/>
      <c r="J24" s="52"/>
      <c r="K24" s="45"/>
      <c r="L24" s="52"/>
      <c r="M24" s="45"/>
      <c r="N24" s="52"/>
    </row>
    <row r="25" spans="1:14" x14ac:dyDescent="0.3">
      <c r="A25" s="43"/>
      <c r="B25" s="43"/>
      <c r="C25" s="43"/>
      <c r="D25" s="43"/>
      <c r="E25" s="43"/>
      <c r="F25" s="43" t="s">
        <v>282</v>
      </c>
      <c r="G25" s="43"/>
      <c r="H25" s="52">
        <v>0</v>
      </c>
      <c r="I25" s="45"/>
      <c r="J25" s="52">
        <v>23</v>
      </c>
      <c r="K25" s="45"/>
      <c r="L25" s="52">
        <v>0</v>
      </c>
      <c r="M25" s="45"/>
      <c r="N25" s="52">
        <f>ROUND(SUM(H25:L25),5)</f>
        <v>23</v>
      </c>
    </row>
    <row r="26" spans="1:14" ht="15" thickBot="1" x14ac:dyDescent="0.35">
      <c r="A26" s="43"/>
      <c r="B26" s="43"/>
      <c r="C26" s="43"/>
      <c r="D26" s="43"/>
      <c r="E26" s="43"/>
      <c r="F26" s="43" t="s">
        <v>279</v>
      </c>
      <c r="G26" s="43"/>
      <c r="H26" s="54">
        <v>0</v>
      </c>
      <c r="I26" s="45"/>
      <c r="J26" s="54">
        <v>0</v>
      </c>
      <c r="K26" s="45"/>
      <c r="L26" s="54">
        <v>6608.27</v>
      </c>
      <c r="M26" s="45"/>
      <c r="N26" s="54">
        <f>ROUND(SUM(H26:L26),5)</f>
        <v>6608.27</v>
      </c>
    </row>
    <row r="27" spans="1:14" x14ac:dyDescent="0.3">
      <c r="A27" s="43"/>
      <c r="B27" s="43"/>
      <c r="C27" s="43"/>
      <c r="D27" s="43"/>
      <c r="E27" s="43" t="s">
        <v>283</v>
      </c>
      <c r="F27" s="43"/>
      <c r="G27" s="43"/>
      <c r="H27" s="52">
        <f>ROUND(H24+H26+H25,5)</f>
        <v>0</v>
      </c>
      <c r="I27" s="45"/>
      <c r="J27" s="52">
        <f>ROUND(J24+J26+J25,5)</f>
        <v>23</v>
      </c>
      <c r="K27" s="45"/>
      <c r="L27" s="52">
        <f>ROUND(L24+L26+L25,5)</f>
        <v>6608.27</v>
      </c>
      <c r="M27" s="45"/>
      <c r="N27" s="52">
        <f>ROUND(SUM(H27:L27),5)</f>
        <v>6631.27</v>
      </c>
    </row>
    <row r="28" spans="1:14" ht="30" customHeight="1" x14ac:dyDescent="0.3">
      <c r="A28" s="43"/>
      <c r="B28" s="43"/>
      <c r="C28" s="43"/>
      <c r="D28" s="43"/>
      <c r="E28" s="43" t="s">
        <v>203</v>
      </c>
      <c r="F28" s="43"/>
      <c r="G28" s="43"/>
      <c r="H28" s="52"/>
      <c r="I28" s="45"/>
      <c r="J28" s="52"/>
      <c r="K28" s="45"/>
      <c r="L28" s="52"/>
      <c r="M28" s="45"/>
      <c r="N28" s="52"/>
    </row>
    <row r="29" spans="1:14" x14ac:dyDescent="0.3">
      <c r="A29" s="43"/>
      <c r="B29" s="43"/>
      <c r="C29" s="43"/>
      <c r="D29" s="43"/>
      <c r="E29" s="43"/>
      <c r="F29" s="43" t="s">
        <v>211</v>
      </c>
      <c r="G29" s="43"/>
      <c r="H29" s="52"/>
      <c r="I29" s="45"/>
      <c r="J29" s="52"/>
      <c r="K29" s="45"/>
      <c r="L29" s="52"/>
      <c r="M29" s="45"/>
      <c r="N29" s="52"/>
    </row>
    <row r="30" spans="1:14" ht="15" thickBot="1" x14ac:dyDescent="0.35">
      <c r="A30" s="43"/>
      <c r="B30" s="43"/>
      <c r="C30" s="43"/>
      <c r="D30" s="43"/>
      <c r="E30" s="43"/>
      <c r="F30" s="43"/>
      <c r="G30" s="43" t="s">
        <v>921</v>
      </c>
      <c r="H30" s="54">
        <v>0</v>
      </c>
      <c r="I30" s="45"/>
      <c r="J30" s="54">
        <v>0</v>
      </c>
      <c r="K30" s="45"/>
      <c r="L30" s="54">
        <v>1489.05</v>
      </c>
      <c r="M30" s="45"/>
      <c r="N30" s="54">
        <f>ROUND(SUM(H30:L30),5)</f>
        <v>1489.05</v>
      </c>
    </row>
    <row r="31" spans="1:14" x14ac:dyDescent="0.3">
      <c r="A31" s="43"/>
      <c r="B31" s="43"/>
      <c r="C31" s="43"/>
      <c r="D31" s="43"/>
      <c r="E31" s="43"/>
      <c r="F31" s="43" t="s">
        <v>329</v>
      </c>
      <c r="G31" s="43"/>
      <c r="H31" s="52">
        <f>ROUND(SUM(H29:H30),5)</f>
        <v>0</v>
      </c>
      <c r="I31" s="45"/>
      <c r="J31" s="52">
        <f>ROUND(SUM(J29:J30),5)</f>
        <v>0</v>
      </c>
      <c r="K31" s="45"/>
      <c r="L31" s="52">
        <f>ROUND(SUM(L29:L30),5)</f>
        <v>1489.05</v>
      </c>
      <c r="M31" s="45"/>
      <c r="N31" s="52">
        <f>ROUND(SUM(H31:L31),5)</f>
        <v>1489.05</v>
      </c>
    </row>
    <row r="32" spans="1:14" ht="30" customHeight="1" x14ac:dyDescent="0.3">
      <c r="A32" s="43"/>
      <c r="B32" s="43"/>
      <c r="C32" s="43"/>
      <c r="D32" s="43"/>
      <c r="E32" s="43"/>
      <c r="F32" s="43" t="s">
        <v>370</v>
      </c>
      <c r="G32" s="43"/>
      <c r="H32" s="52">
        <v>12.58</v>
      </c>
      <c r="I32" s="45"/>
      <c r="J32" s="52">
        <v>153.38999999999999</v>
      </c>
      <c r="K32" s="45"/>
      <c r="L32" s="52">
        <v>1723.82</v>
      </c>
      <c r="M32" s="45"/>
      <c r="N32" s="52">
        <f>ROUND(SUM(H32:L32),5)</f>
        <v>1889.79</v>
      </c>
    </row>
    <row r="33" spans="1:14" x14ac:dyDescent="0.3">
      <c r="A33" s="43"/>
      <c r="B33" s="43"/>
      <c r="C33" s="43"/>
      <c r="D33" s="43"/>
      <c r="E33" s="43"/>
      <c r="F33" s="43" t="s">
        <v>205</v>
      </c>
      <c r="G33" s="43"/>
      <c r="H33" s="52"/>
      <c r="I33" s="45"/>
      <c r="J33" s="52"/>
      <c r="K33" s="45"/>
      <c r="L33" s="52"/>
      <c r="M33" s="45"/>
      <c r="N33" s="52"/>
    </row>
    <row r="34" spans="1:14" x14ac:dyDescent="0.3">
      <c r="A34" s="43"/>
      <c r="B34" s="43"/>
      <c r="C34" s="43"/>
      <c r="D34" s="43"/>
      <c r="E34" s="43"/>
      <c r="F34" s="43"/>
      <c r="G34" s="43" t="s">
        <v>922</v>
      </c>
      <c r="H34" s="52">
        <v>0</v>
      </c>
      <c r="I34" s="45"/>
      <c r="J34" s="52">
        <v>0</v>
      </c>
      <c r="K34" s="45"/>
      <c r="L34" s="52">
        <v>120.04</v>
      </c>
      <c r="M34" s="45"/>
      <c r="N34" s="52">
        <f>ROUND(SUM(H34:L34),5)</f>
        <v>120.04</v>
      </c>
    </row>
    <row r="35" spans="1:14" x14ac:dyDescent="0.3">
      <c r="A35" s="43"/>
      <c r="B35" s="43"/>
      <c r="C35" s="43"/>
      <c r="D35" s="43"/>
      <c r="E35" s="43"/>
      <c r="F35" s="43"/>
      <c r="G35" s="43" t="s">
        <v>923</v>
      </c>
      <c r="H35" s="52">
        <v>0</v>
      </c>
      <c r="I35" s="45"/>
      <c r="J35" s="52">
        <v>0</v>
      </c>
      <c r="K35" s="45"/>
      <c r="L35" s="52">
        <v>153.49</v>
      </c>
      <c r="M35" s="45"/>
      <c r="N35" s="52">
        <f>ROUND(SUM(H35:L35),5)</f>
        <v>153.49</v>
      </c>
    </row>
    <row r="36" spans="1:14" ht="15" thickBot="1" x14ac:dyDescent="0.35">
      <c r="A36" s="43"/>
      <c r="B36" s="43"/>
      <c r="C36" s="43"/>
      <c r="D36" s="43"/>
      <c r="E36" s="43"/>
      <c r="F36" s="43"/>
      <c r="G36" s="43" t="s">
        <v>924</v>
      </c>
      <c r="H36" s="52">
        <v>0</v>
      </c>
      <c r="I36" s="45"/>
      <c r="J36" s="52">
        <v>0</v>
      </c>
      <c r="K36" s="45"/>
      <c r="L36" s="52">
        <v>3072.92</v>
      </c>
      <c r="M36" s="45"/>
      <c r="N36" s="52">
        <f>ROUND(SUM(H36:L36),5)</f>
        <v>3072.92</v>
      </c>
    </row>
    <row r="37" spans="1:14" ht="15" thickBot="1" x14ac:dyDescent="0.35">
      <c r="A37" s="43"/>
      <c r="B37" s="43"/>
      <c r="C37" s="43"/>
      <c r="D37" s="43"/>
      <c r="E37" s="43"/>
      <c r="F37" s="43" t="s">
        <v>210</v>
      </c>
      <c r="G37" s="43"/>
      <c r="H37" s="53">
        <f>ROUND(H33+SUM(H35:H36)+H34,5)</f>
        <v>0</v>
      </c>
      <c r="I37" s="45"/>
      <c r="J37" s="53">
        <f>ROUND(J33+SUM(J35:J36)+J34,5)</f>
        <v>0</v>
      </c>
      <c r="K37" s="45"/>
      <c r="L37" s="53">
        <f>ROUND(L33+SUM(L35:L36)+L34,5)</f>
        <v>3346.45</v>
      </c>
      <c r="M37" s="45"/>
      <c r="N37" s="53">
        <f>ROUND(SUM(H37:L37),5)</f>
        <v>3346.45</v>
      </c>
    </row>
    <row r="38" spans="1:14" ht="30" customHeight="1" x14ac:dyDescent="0.3">
      <c r="A38" s="43"/>
      <c r="B38" s="43"/>
      <c r="C38" s="43"/>
      <c r="D38" s="43"/>
      <c r="E38" s="43" t="s">
        <v>213</v>
      </c>
      <c r="F38" s="43"/>
      <c r="G38" s="43"/>
      <c r="H38" s="52">
        <f>ROUND(H28+H37+SUM(H31:H32),5)</f>
        <v>12.58</v>
      </c>
      <c r="I38" s="45"/>
      <c r="J38" s="52">
        <f>ROUND(J28+J37+SUM(J31:J32),5)</f>
        <v>153.38999999999999</v>
      </c>
      <c r="K38" s="45"/>
      <c r="L38" s="52">
        <f>ROUND(L28+L37+SUM(L31:L32),5)</f>
        <v>6559.32</v>
      </c>
      <c r="M38" s="45"/>
      <c r="N38" s="52">
        <f>ROUND(SUM(H38:L38),5)</f>
        <v>6725.29</v>
      </c>
    </row>
    <row r="39" spans="1:14" ht="30" customHeight="1" x14ac:dyDescent="0.3">
      <c r="A39" s="43"/>
      <c r="B39" s="43"/>
      <c r="C39" s="43"/>
      <c r="D39" s="43"/>
      <c r="E39" s="43" t="s">
        <v>214</v>
      </c>
      <c r="F39" s="43"/>
      <c r="G39" s="43"/>
      <c r="H39" s="52"/>
      <c r="I39" s="45"/>
      <c r="J39" s="52"/>
      <c r="K39" s="45"/>
      <c r="L39" s="52"/>
      <c r="M39" s="45"/>
      <c r="N39" s="52"/>
    </row>
    <row r="40" spans="1:14" x14ac:dyDescent="0.3">
      <c r="A40" s="43"/>
      <c r="B40" s="43"/>
      <c r="C40" s="43"/>
      <c r="D40" s="43"/>
      <c r="E40" s="43"/>
      <c r="F40" s="43" t="s">
        <v>925</v>
      </c>
      <c r="G40" s="43"/>
      <c r="H40" s="52">
        <v>0</v>
      </c>
      <c r="I40" s="45"/>
      <c r="J40" s="52">
        <v>0</v>
      </c>
      <c r="K40" s="45"/>
      <c r="L40" s="52">
        <v>6.65</v>
      </c>
      <c r="M40" s="45"/>
      <c r="N40" s="52">
        <f>ROUND(SUM(H40:L40),5)</f>
        <v>6.65</v>
      </c>
    </row>
    <row r="41" spans="1:14" x14ac:dyDescent="0.3">
      <c r="A41" s="43"/>
      <c r="B41" s="43"/>
      <c r="C41" s="43"/>
      <c r="D41" s="43"/>
      <c r="E41" s="43"/>
      <c r="F41" s="43" t="s">
        <v>415</v>
      </c>
      <c r="G41" s="43"/>
      <c r="H41" s="52">
        <v>0</v>
      </c>
      <c r="I41" s="45"/>
      <c r="J41" s="52">
        <v>0</v>
      </c>
      <c r="K41" s="45"/>
      <c r="L41" s="52">
        <v>292.7</v>
      </c>
      <c r="M41" s="45"/>
      <c r="N41" s="52">
        <f>ROUND(SUM(H41:L41),5)</f>
        <v>292.7</v>
      </c>
    </row>
    <row r="42" spans="1:14" x14ac:dyDescent="0.3">
      <c r="A42" s="43"/>
      <c r="B42" s="43"/>
      <c r="C42" s="43"/>
      <c r="D42" s="43"/>
      <c r="E42" s="43"/>
      <c r="F42" s="43" t="s">
        <v>242</v>
      </c>
      <c r="G42" s="43"/>
      <c r="H42" s="52">
        <v>0</v>
      </c>
      <c r="I42" s="45"/>
      <c r="J42" s="52">
        <v>0</v>
      </c>
      <c r="K42" s="45"/>
      <c r="L42" s="52">
        <v>385</v>
      </c>
      <c r="M42" s="45"/>
      <c r="N42" s="52">
        <f>ROUND(SUM(H42:L42),5)</f>
        <v>385</v>
      </c>
    </row>
    <row r="43" spans="1:14" x14ac:dyDescent="0.3">
      <c r="A43" s="43"/>
      <c r="B43" s="43"/>
      <c r="C43" s="43"/>
      <c r="D43" s="43"/>
      <c r="E43" s="43"/>
      <c r="F43" s="43" t="s">
        <v>926</v>
      </c>
      <c r="G43" s="43"/>
      <c r="H43" s="52"/>
      <c r="I43" s="45"/>
      <c r="J43" s="52"/>
      <c r="K43" s="45"/>
      <c r="L43" s="52"/>
      <c r="M43" s="45"/>
      <c r="N43" s="52"/>
    </row>
    <row r="44" spans="1:14" x14ac:dyDescent="0.3">
      <c r="A44" s="43"/>
      <c r="B44" s="43"/>
      <c r="C44" s="43"/>
      <c r="D44" s="43"/>
      <c r="E44" s="43"/>
      <c r="F44" s="43"/>
      <c r="G44" s="43" t="s">
        <v>530</v>
      </c>
      <c r="H44" s="52">
        <v>0</v>
      </c>
      <c r="I44" s="45"/>
      <c r="J44" s="52">
        <v>0</v>
      </c>
      <c r="K44" s="45"/>
      <c r="L44" s="52">
        <v>56.7</v>
      </c>
      <c r="M44" s="45"/>
      <c r="N44" s="52">
        <f>ROUND(SUM(H44:L44),5)</f>
        <v>56.7</v>
      </c>
    </row>
    <row r="45" spans="1:14" ht="15" thickBot="1" x14ac:dyDescent="0.35">
      <c r="A45" s="43"/>
      <c r="B45" s="43"/>
      <c r="C45" s="43"/>
      <c r="D45" s="43"/>
      <c r="E45" s="43"/>
      <c r="F45" s="43"/>
      <c r="G45" s="43" t="s">
        <v>927</v>
      </c>
      <c r="H45" s="54">
        <v>0</v>
      </c>
      <c r="I45" s="45"/>
      <c r="J45" s="54">
        <v>0</v>
      </c>
      <c r="K45" s="45"/>
      <c r="L45" s="54">
        <v>691.25</v>
      </c>
      <c r="M45" s="45"/>
      <c r="N45" s="54">
        <f>ROUND(SUM(H45:L45),5)</f>
        <v>691.25</v>
      </c>
    </row>
    <row r="46" spans="1:14" x14ac:dyDescent="0.3">
      <c r="A46" s="43"/>
      <c r="B46" s="43"/>
      <c r="C46" s="43"/>
      <c r="D46" s="43"/>
      <c r="E46" s="43"/>
      <c r="F46" s="43" t="s">
        <v>928</v>
      </c>
      <c r="G46" s="43"/>
      <c r="H46" s="52">
        <f>ROUND(SUM(H43:H45),5)</f>
        <v>0</v>
      </c>
      <c r="I46" s="45"/>
      <c r="J46" s="52">
        <f>ROUND(SUM(J43:J45),5)</f>
        <v>0</v>
      </c>
      <c r="K46" s="45"/>
      <c r="L46" s="52">
        <f>ROUND(SUM(L43:L45),5)</f>
        <v>747.95</v>
      </c>
      <c r="M46" s="45"/>
      <c r="N46" s="52">
        <f>ROUND(SUM(H46:L46),5)</f>
        <v>747.95</v>
      </c>
    </row>
    <row r="47" spans="1:14" ht="30" customHeight="1" x14ac:dyDescent="0.3">
      <c r="A47" s="43"/>
      <c r="B47" s="43"/>
      <c r="C47" s="43"/>
      <c r="D47" s="43"/>
      <c r="E47" s="43"/>
      <c r="F47" s="43" t="s">
        <v>534</v>
      </c>
      <c r="G47" s="43"/>
      <c r="H47" s="52"/>
      <c r="I47" s="45"/>
      <c r="J47" s="52"/>
      <c r="K47" s="45"/>
      <c r="L47" s="52"/>
      <c r="M47" s="45"/>
      <c r="N47" s="52"/>
    </row>
    <row r="48" spans="1:14" x14ac:dyDescent="0.3">
      <c r="A48" s="43"/>
      <c r="B48" s="43"/>
      <c r="C48" s="43"/>
      <c r="D48" s="43"/>
      <c r="E48" s="43"/>
      <c r="F48" s="43"/>
      <c r="G48" s="43" t="s">
        <v>855</v>
      </c>
      <c r="H48" s="52">
        <v>0</v>
      </c>
      <c r="I48" s="45"/>
      <c r="J48" s="52">
        <v>0</v>
      </c>
      <c r="K48" s="45"/>
      <c r="L48" s="52">
        <v>55.18</v>
      </c>
      <c r="M48" s="45"/>
      <c r="N48" s="52">
        <f t="shared" ref="N48:N53" si="1">ROUND(SUM(H48:L48),5)</f>
        <v>55.18</v>
      </c>
    </row>
    <row r="49" spans="1:14" x14ac:dyDescent="0.3">
      <c r="A49" s="43"/>
      <c r="B49" s="43"/>
      <c r="C49" s="43"/>
      <c r="D49" s="43"/>
      <c r="E49" s="43"/>
      <c r="F49" s="43"/>
      <c r="G49" s="43" t="s">
        <v>929</v>
      </c>
      <c r="H49" s="52">
        <v>0</v>
      </c>
      <c r="I49" s="45"/>
      <c r="J49" s="52">
        <v>0</v>
      </c>
      <c r="K49" s="45"/>
      <c r="L49" s="52">
        <v>247.8</v>
      </c>
      <c r="M49" s="45"/>
      <c r="N49" s="52">
        <f t="shared" si="1"/>
        <v>247.8</v>
      </c>
    </row>
    <row r="50" spans="1:14" ht="15" thickBot="1" x14ac:dyDescent="0.35">
      <c r="A50" s="43"/>
      <c r="B50" s="43"/>
      <c r="C50" s="43"/>
      <c r="D50" s="43"/>
      <c r="E50" s="43"/>
      <c r="F50" s="43"/>
      <c r="G50" s="43" t="s">
        <v>536</v>
      </c>
      <c r="H50" s="54">
        <v>0</v>
      </c>
      <c r="I50" s="45"/>
      <c r="J50" s="54">
        <v>0</v>
      </c>
      <c r="K50" s="45"/>
      <c r="L50" s="54">
        <v>471.24</v>
      </c>
      <c r="M50" s="45"/>
      <c r="N50" s="54">
        <f t="shared" si="1"/>
        <v>471.24</v>
      </c>
    </row>
    <row r="51" spans="1:14" x14ac:dyDescent="0.3">
      <c r="A51" s="43"/>
      <c r="B51" s="43"/>
      <c r="C51" s="43"/>
      <c r="D51" s="43"/>
      <c r="E51" s="43"/>
      <c r="F51" s="43" t="s">
        <v>537</v>
      </c>
      <c r="G51" s="43"/>
      <c r="H51" s="52">
        <f>ROUND(SUM(H47:H50),5)</f>
        <v>0</v>
      </c>
      <c r="I51" s="45"/>
      <c r="J51" s="52">
        <f>ROUND(SUM(J47:J50),5)</f>
        <v>0</v>
      </c>
      <c r="K51" s="45"/>
      <c r="L51" s="52">
        <f>ROUND(SUM(L47:L50),5)</f>
        <v>774.22</v>
      </c>
      <c r="M51" s="45"/>
      <c r="N51" s="52">
        <f t="shared" si="1"/>
        <v>774.22</v>
      </c>
    </row>
    <row r="52" spans="1:14" ht="30" customHeight="1" x14ac:dyDescent="0.3">
      <c r="A52" s="43"/>
      <c r="B52" s="43"/>
      <c r="C52" s="43"/>
      <c r="D52" s="43"/>
      <c r="E52" s="43"/>
      <c r="F52" s="43" t="s">
        <v>930</v>
      </c>
      <c r="G52" s="43"/>
      <c r="H52" s="52">
        <v>0</v>
      </c>
      <c r="I52" s="45"/>
      <c r="J52" s="52">
        <v>0</v>
      </c>
      <c r="K52" s="45"/>
      <c r="L52" s="52">
        <v>792.72</v>
      </c>
      <c r="M52" s="45"/>
      <c r="N52" s="52">
        <f t="shared" si="1"/>
        <v>792.72</v>
      </c>
    </row>
    <row r="53" spans="1:14" x14ac:dyDescent="0.3">
      <c r="A53" s="43"/>
      <c r="B53" s="43"/>
      <c r="C53" s="43"/>
      <c r="D53" s="43"/>
      <c r="E53" s="43"/>
      <c r="F53" s="43" t="s">
        <v>844</v>
      </c>
      <c r="G53" s="43"/>
      <c r="H53" s="52">
        <v>0</v>
      </c>
      <c r="I53" s="45"/>
      <c r="J53" s="52">
        <v>0</v>
      </c>
      <c r="K53" s="45"/>
      <c r="L53" s="52">
        <v>801.46</v>
      </c>
      <c r="M53" s="45"/>
      <c r="N53" s="52">
        <f t="shared" si="1"/>
        <v>801.46</v>
      </c>
    </row>
    <row r="54" spans="1:14" x14ac:dyDescent="0.3">
      <c r="A54" s="43"/>
      <c r="B54" s="43"/>
      <c r="C54" s="43"/>
      <c r="D54" s="43"/>
      <c r="E54" s="43"/>
      <c r="F54" s="43" t="s">
        <v>694</v>
      </c>
      <c r="G54" s="43"/>
      <c r="H54" s="52"/>
      <c r="I54" s="45"/>
      <c r="J54" s="52"/>
      <c r="K54" s="45"/>
      <c r="L54" s="52"/>
      <c r="M54" s="45"/>
      <c r="N54" s="52"/>
    </row>
    <row r="55" spans="1:14" ht="15" thickBot="1" x14ac:dyDescent="0.35">
      <c r="A55" s="43"/>
      <c r="B55" s="43"/>
      <c r="C55" s="43"/>
      <c r="D55" s="43"/>
      <c r="E55" s="43"/>
      <c r="F55" s="43"/>
      <c r="G55" s="43" t="s">
        <v>230</v>
      </c>
      <c r="H55" s="54">
        <v>0</v>
      </c>
      <c r="I55" s="45"/>
      <c r="J55" s="54">
        <v>0</v>
      </c>
      <c r="K55" s="45"/>
      <c r="L55" s="54">
        <v>1067.5</v>
      </c>
      <c r="M55" s="45"/>
      <c r="N55" s="54">
        <f>ROUND(SUM(H55:L55),5)</f>
        <v>1067.5</v>
      </c>
    </row>
    <row r="56" spans="1:14" x14ac:dyDescent="0.3">
      <c r="A56" s="43"/>
      <c r="B56" s="43"/>
      <c r="C56" s="43"/>
      <c r="D56" s="43"/>
      <c r="E56" s="43"/>
      <c r="F56" s="43" t="s">
        <v>697</v>
      </c>
      <c r="G56" s="43"/>
      <c r="H56" s="52">
        <f>ROUND(SUM(H54:H55),5)</f>
        <v>0</v>
      </c>
      <c r="I56" s="45"/>
      <c r="J56" s="52">
        <f>ROUND(SUM(J54:J55),5)</f>
        <v>0</v>
      </c>
      <c r="K56" s="45"/>
      <c r="L56" s="52">
        <f>ROUND(SUM(L54:L55),5)</f>
        <v>1067.5</v>
      </c>
      <c r="M56" s="45"/>
      <c r="N56" s="52">
        <f>ROUND(SUM(H56:L56),5)</f>
        <v>1067.5</v>
      </c>
    </row>
    <row r="57" spans="1:14" ht="30" customHeight="1" x14ac:dyDescent="0.3">
      <c r="A57" s="43"/>
      <c r="B57" s="43"/>
      <c r="C57" s="43"/>
      <c r="D57" s="43"/>
      <c r="E57" s="43"/>
      <c r="F57" s="43" t="s">
        <v>931</v>
      </c>
      <c r="G57" s="43"/>
      <c r="H57" s="52"/>
      <c r="I57" s="45"/>
      <c r="J57" s="52"/>
      <c r="K57" s="45"/>
      <c r="L57" s="52"/>
      <c r="M57" s="45"/>
      <c r="N57" s="52"/>
    </row>
    <row r="58" spans="1:14" x14ac:dyDescent="0.3">
      <c r="A58" s="43"/>
      <c r="B58" s="43"/>
      <c r="C58" s="43"/>
      <c r="D58" s="43"/>
      <c r="E58" s="43"/>
      <c r="F58" s="43"/>
      <c r="G58" s="43" t="s">
        <v>932</v>
      </c>
      <c r="H58" s="52">
        <v>0</v>
      </c>
      <c r="I58" s="45"/>
      <c r="J58" s="52">
        <v>0</v>
      </c>
      <c r="K58" s="45"/>
      <c r="L58" s="52">
        <v>578.94000000000005</v>
      </c>
      <c r="M58" s="45"/>
      <c r="N58" s="52">
        <f t="shared" ref="N58:N64" si="2">ROUND(SUM(H58:L58),5)</f>
        <v>578.94000000000005</v>
      </c>
    </row>
    <row r="59" spans="1:14" ht="15" thickBot="1" x14ac:dyDescent="0.35">
      <c r="A59" s="43"/>
      <c r="B59" s="43"/>
      <c r="C59" s="43"/>
      <c r="D59" s="43"/>
      <c r="E59" s="43"/>
      <c r="F59" s="43"/>
      <c r="G59" s="43" t="s">
        <v>219</v>
      </c>
      <c r="H59" s="52">
        <v>0</v>
      </c>
      <c r="I59" s="45"/>
      <c r="J59" s="52">
        <v>600</v>
      </c>
      <c r="K59" s="45"/>
      <c r="L59" s="52">
        <v>1200</v>
      </c>
      <c r="M59" s="45"/>
      <c r="N59" s="52">
        <f t="shared" si="2"/>
        <v>1800</v>
      </c>
    </row>
    <row r="60" spans="1:14" ht="15" thickBot="1" x14ac:dyDescent="0.35">
      <c r="A60" s="43"/>
      <c r="B60" s="43"/>
      <c r="C60" s="43"/>
      <c r="D60" s="43"/>
      <c r="E60" s="43"/>
      <c r="F60" s="43" t="s">
        <v>933</v>
      </c>
      <c r="G60" s="43"/>
      <c r="H60" s="53">
        <f>ROUND(H57+H59+H58,5)</f>
        <v>0</v>
      </c>
      <c r="I60" s="45"/>
      <c r="J60" s="53">
        <f>ROUND(J57+J59+J58,5)</f>
        <v>600</v>
      </c>
      <c r="K60" s="45"/>
      <c r="L60" s="53">
        <f>ROUND(L57+L59+L58,5)</f>
        <v>1778.94</v>
      </c>
      <c r="M60" s="45"/>
      <c r="N60" s="53">
        <f t="shared" si="2"/>
        <v>2378.94</v>
      </c>
    </row>
    <row r="61" spans="1:14" ht="30" customHeight="1" x14ac:dyDescent="0.3">
      <c r="A61" s="43"/>
      <c r="B61" s="43"/>
      <c r="C61" s="43"/>
      <c r="D61" s="43"/>
      <c r="E61" s="43" t="s">
        <v>270</v>
      </c>
      <c r="F61" s="43"/>
      <c r="G61" s="43"/>
      <c r="H61" s="52">
        <f>ROUND(H39+H41+H46+H60+H42+H56+H52+H51+H53+H40,5)</f>
        <v>0</v>
      </c>
      <c r="I61" s="45"/>
      <c r="J61" s="52">
        <f>ROUND(J39+J41+J46+J60+J42+J56+J52+J51+J53+J40,5)</f>
        <v>600</v>
      </c>
      <c r="K61" s="45"/>
      <c r="L61" s="52">
        <f>ROUND(L39+L41+L46+L60+L42+L56+L52+L51+L53+L40,5)</f>
        <v>6647.14</v>
      </c>
      <c r="M61" s="45"/>
      <c r="N61" s="52">
        <f t="shared" si="2"/>
        <v>7247.14</v>
      </c>
    </row>
    <row r="62" spans="1:14" ht="30" customHeight="1" x14ac:dyDescent="0.3">
      <c r="A62" s="43"/>
      <c r="B62" s="43"/>
      <c r="C62" s="43"/>
      <c r="D62" s="43"/>
      <c r="E62" s="43" t="s">
        <v>934</v>
      </c>
      <c r="F62" s="43"/>
      <c r="G62" s="43"/>
      <c r="H62" s="52">
        <v>0</v>
      </c>
      <c r="I62" s="45"/>
      <c r="J62" s="52">
        <v>1000</v>
      </c>
      <c r="K62" s="45"/>
      <c r="L62" s="52">
        <v>9722.7199999999993</v>
      </c>
      <c r="M62" s="45"/>
      <c r="N62" s="52">
        <f t="shared" si="2"/>
        <v>10722.72</v>
      </c>
    </row>
    <row r="63" spans="1:14" x14ac:dyDescent="0.3">
      <c r="A63" s="43"/>
      <c r="B63" s="43"/>
      <c r="C63" s="43"/>
      <c r="D63" s="43"/>
      <c r="E63" s="43" t="s">
        <v>284</v>
      </c>
      <c r="F63" s="43"/>
      <c r="G63" s="43"/>
      <c r="H63" s="52">
        <v>0</v>
      </c>
      <c r="I63" s="45"/>
      <c r="J63" s="52">
        <v>0</v>
      </c>
      <c r="K63" s="45"/>
      <c r="L63" s="52">
        <v>15338.88</v>
      </c>
      <c r="M63" s="45"/>
      <c r="N63" s="52">
        <f t="shared" si="2"/>
        <v>15338.88</v>
      </c>
    </row>
    <row r="64" spans="1:14" x14ac:dyDescent="0.3">
      <c r="A64" s="43"/>
      <c r="B64" s="43"/>
      <c r="C64" s="43"/>
      <c r="D64" s="43"/>
      <c r="E64" s="43" t="s">
        <v>434</v>
      </c>
      <c r="F64" s="43"/>
      <c r="G64" s="43"/>
      <c r="H64" s="52">
        <v>6.75</v>
      </c>
      <c r="I64" s="45"/>
      <c r="J64" s="52">
        <v>2240.7199999999998</v>
      </c>
      <c r="K64" s="45"/>
      <c r="L64" s="52">
        <v>17709.84</v>
      </c>
      <c r="M64" s="45"/>
      <c r="N64" s="52">
        <f t="shared" si="2"/>
        <v>19957.310000000001</v>
      </c>
    </row>
    <row r="65" spans="1:14" x14ac:dyDescent="0.3">
      <c r="A65" s="43"/>
      <c r="B65" s="43"/>
      <c r="C65" s="43"/>
      <c r="D65" s="43"/>
      <c r="E65" s="43" t="s">
        <v>539</v>
      </c>
      <c r="F65" s="43"/>
      <c r="G65" s="43"/>
      <c r="H65" s="52"/>
      <c r="I65" s="45"/>
      <c r="J65" s="52"/>
      <c r="K65" s="45"/>
      <c r="L65" s="52"/>
      <c r="M65" s="45"/>
      <c r="N65" s="52"/>
    </row>
    <row r="66" spans="1:14" x14ac:dyDescent="0.3">
      <c r="A66" s="43"/>
      <c r="B66" s="43"/>
      <c r="C66" s="43"/>
      <c r="D66" s="43"/>
      <c r="E66" s="43"/>
      <c r="F66" s="43" t="s">
        <v>320</v>
      </c>
      <c r="G66" s="43"/>
      <c r="H66" s="52">
        <v>0</v>
      </c>
      <c r="I66" s="45"/>
      <c r="J66" s="52">
        <v>0</v>
      </c>
      <c r="K66" s="45"/>
      <c r="L66" s="52">
        <v>10.75</v>
      </c>
      <c r="M66" s="45"/>
      <c r="N66" s="52">
        <f t="shared" ref="N66:N71" si="3">ROUND(SUM(H66:L66),5)</f>
        <v>10.75</v>
      </c>
    </row>
    <row r="67" spans="1:14" x14ac:dyDescent="0.3">
      <c r="A67" s="43"/>
      <c r="B67" s="43"/>
      <c r="C67" s="43"/>
      <c r="D67" s="43"/>
      <c r="E67" s="43"/>
      <c r="F67" s="43" t="s">
        <v>935</v>
      </c>
      <c r="G67" s="43"/>
      <c r="H67" s="52">
        <v>0</v>
      </c>
      <c r="I67" s="45"/>
      <c r="J67" s="52">
        <v>0</v>
      </c>
      <c r="K67" s="45"/>
      <c r="L67" s="52">
        <v>25</v>
      </c>
      <c r="M67" s="45"/>
      <c r="N67" s="52">
        <f t="shared" si="3"/>
        <v>25</v>
      </c>
    </row>
    <row r="68" spans="1:14" x14ac:dyDescent="0.3">
      <c r="A68" s="43"/>
      <c r="B68" s="43"/>
      <c r="C68" s="43"/>
      <c r="D68" s="43"/>
      <c r="E68" s="43"/>
      <c r="F68" s="43" t="s">
        <v>431</v>
      </c>
      <c r="G68" s="43"/>
      <c r="H68" s="52">
        <v>92</v>
      </c>
      <c r="I68" s="45"/>
      <c r="J68" s="52">
        <v>31</v>
      </c>
      <c r="K68" s="45"/>
      <c r="L68" s="52">
        <v>0</v>
      </c>
      <c r="M68" s="45"/>
      <c r="N68" s="52">
        <f t="shared" si="3"/>
        <v>123</v>
      </c>
    </row>
    <row r="69" spans="1:14" x14ac:dyDescent="0.3">
      <c r="A69" s="43"/>
      <c r="B69" s="43"/>
      <c r="C69" s="43"/>
      <c r="D69" s="43"/>
      <c r="E69" s="43"/>
      <c r="F69" s="43" t="s">
        <v>192</v>
      </c>
      <c r="G69" s="43"/>
      <c r="H69" s="52">
        <v>3.52</v>
      </c>
      <c r="I69" s="45"/>
      <c r="J69" s="52">
        <v>104.19</v>
      </c>
      <c r="K69" s="45"/>
      <c r="L69" s="52">
        <v>74.61</v>
      </c>
      <c r="M69" s="45"/>
      <c r="N69" s="52">
        <f t="shared" si="3"/>
        <v>182.32</v>
      </c>
    </row>
    <row r="70" spans="1:14" x14ac:dyDescent="0.3">
      <c r="A70" s="43"/>
      <c r="B70" s="43"/>
      <c r="C70" s="43"/>
      <c r="D70" s="43"/>
      <c r="E70" s="43"/>
      <c r="F70" s="43" t="s">
        <v>543</v>
      </c>
      <c r="G70" s="43"/>
      <c r="H70" s="52">
        <v>2.15</v>
      </c>
      <c r="I70" s="45"/>
      <c r="J70" s="52">
        <v>241.75</v>
      </c>
      <c r="K70" s="45"/>
      <c r="L70" s="52">
        <v>116.74</v>
      </c>
      <c r="M70" s="45"/>
      <c r="N70" s="52">
        <f t="shared" si="3"/>
        <v>360.64</v>
      </c>
    </row>
    <row r="71" spans="1:14" x14ac:dyDescent="0.3">
      <c r="A71" s="43"/>
      <c r="B71" s="43"/>
      <c r="C71" s="43"/>
      <c r="D71" s="43"/>
      <c r="E71" s="43"/>
      <c r="F71" s="43" t="s">
        <v>544</v>
      </c>
      <c r="G71" s="43"/>
      <c r="H71" s="52">
        <v>0</v>
      </c>
      <c r="I71" s="45"/>
      <c r="J71" s="52">
        <v>2311.7199999999998</v>
      </c>
      <c r="K71" s="45"/>
      <c r="L71" s="52">
        <v>162.46</v>
      </c>
      <c r="M71" s="45"/>
      <c r="N71" s="52">
        <f t="shared" si="3"/>
        <v>2474.1799999999998</v>
      </c>
    </row>
    <row r="72" spans="1:14" x14ac:dyDescent="0.3">
      <c r="A72" s="43"/>
      <c r="B72" s="43"/>
      <c r="C72" s="43"/>
      <c r="D72" s="43"/>
      <c r="E72" s="43"/>
      <c r="F72" s="43" t="s">
        <v>195</v>
      </c>
      <c r="G72" s="43"/>
      <c r="H72" s="52"/>
      <c r="I72" s="45"/>
      <c r="J72" s="52"/>
      <c r="K72" s="45"/>
      <c r="L72" s="52"/>
      <c r="M72" s="45"/>
      <c r="N72" s="52"/>
    </row>
    <row r="73" spans="1:14" x14ac:dyDescent="0.3">
      <c r="A73" s="43"/>
      <c r="B73" s="43"/>
      <c r="C73" s="43"/>
      <c r="D73" s="43"/>
      <c r="E73" s="43"/>
      <c r="F73" s="43"/>
      <c r="G73" s="43" t="s">
        <v>369</v>
      </c>
      <c r="H73" s="52">
        <v>0</v>
      </c>
      <c r="I73" s="45"/>
      <c r="J73" s="52">
        <v>-1344.91</v>
      </c>
      <c r="K73" s="45"/>
      <c r="L73" s="52">
        <v>748</v>
      </c>
      <c r="M73" s="45"/>
      <c r="N73" s="52">
        <f>ROUND(SUM(H73:L73),5)</f>
        <v>-596.91</v>
      </c>
    </row>
    <row r="74" spans="1:14" x14ac:dyDescent="0.3">
      <c r="A74" s="43"/>
      <c r="B74" s="43"/>
      <c r="C74" s="43"/>
      <c r="D74" s="43"/>
      <c r="E74" s="43"/>
      <c r="F74" s="43"/>
      <c r="G74" s="43" t="s">
        <v>199</v>
      </c>
      <c r="H74" s="52">
        <v>0</v>
      </c>
      <c r="I74" s="45"/>
      <c r="J74" s="52">
        <v>184.99</v>
      </c>
      <c r="K74" s="45"/>
      <c r="L74" s="52">
        <v>169</v>
      </c>
      <c r="M74" s="45"/>
      <c r="N74" s="52">
        <f>ROUND(SUM(H74:L74),5)</f>
        <v>353.99</v>
      </c>
    </row>
    <row r="75" spans="1:14" x14ac:dyDescent="0.3">
      <c r="A75" s="43"/>
      <c r="B75" s="43"/>
      <c r="C75" s="43"/>
      <c r="D75" s="43"/>
      <c r="E75" s="43"/>
      <c r="F75" s="43"/>
      <c r="G75" s="43" t="s">
        <v>936</v>
      </c>
      <c r="H75" s="52">
        <v>0</v>
      </c>
      <c r="I75" s="45"/>
      <c r="J75" s="52">
        <v>310</v>
      </c>
      <c r="K75" s="45"/>
      <c r="L75" s="52">
        <v>320</v>
      </c>
      <c r="M75" s="45"/>
      <c r="N75" s="52">
        <f>ROUND(SUM(H75:L75),5)</f>
        <v>630</v>
      </c>
    </row>
    <row r="76" spans="1:14" ht="15" thickBot="1" x14ac:dyDescent="0.35">
      <c r="A76" s="43"/>
      <c r="B76" s="43"/>
      <c r="C76" s="43"/>
      <c r="D76" s="43"/>
      <c r="E76" s="43"/>
      <c r="F76" s="43"/>
      <c r="G76" s="43" t="s">
        <v>937</v>
      </c>
      <c r="H76" s="54">
        <v>0</v>
      </c>
      <c r="I76" s="45"/>
      <c r="J76" s="54">
        <v>0</v>
      </c>
      <c r="K76" s="45"/>
      <c r="L76" s="54">
        <v>3500</v>
      </c>
      <c r="M76" s="45"/>
      <c r="N76" s="54">
        <f>ROUND(SUM(H76:L76),5)</f>
        <v>3500</v>
      </c>
    </row>
    <row r="77" spans="1:14" x14ac:dyDescent="0.3">
      <c r="A77" s="43"/>
      <c r="B77" s="43"/>
      <c r="C77" s="43"/>
      <c r="D77" s="43"/>
      <c r="E77" s="43"/>
      <c r="F77" s="43" t="s">
        <v>200</v>
      </c>
      <c r="G77" s="43"/>
      <c r="H77" s="52">
        <f>ROUND(H72+H76+H73+H75+H74,5)</f>
        <v>0</v>
      </c>
      <c r="I77" s="45"/>
      <c r="J77" s="52">
        <f>ROUND(J72+J76+J73+J75+J74,5)</f>
        <v>-849.92</v>
      </c>
      <c r="K77" s="45"/>
      <c r="L77" s="52">
        <f>ROUND(L72+L76+L73+L75+L74,5)</f>
        <v>4737</v>
      </c>
      <c r="M77" s="45"/>
      <c r="N77" s="52">
        <f>ROUND(SUM(H77:L77),5)</f>
        <v>3887.08</v>
      </c>
    </row>
    <row r="78" spans="1:14" ht="30" customHeight="1" x14ac:dyDescent="0.3">
      <c r="A78" s="43"/>
      <c r="B78" s="43"/>
      <c r="C78" s="43"/>
      <c r="D78" s="43"/>
      <c r="E78" s="43"/>
      <c r="F78" s="43" t="s">
        <v>186</v>
      </c>
      <c r="G78" s="43"/>
      <c r="H78" s="52"/>
      <c r="I78" s="45"/>
      <c r="J78" s="52"/>
      <c r="K78" s="45"/>
      <c r="L78" s="52"/>
      <c r="M78" s="45"/>
      <c r="N78" s="52"/>
    </row>
    <row r="79" spans="1:14" ht="15" thickBot="1" x14ac:dyDescent="0.35">
      <c r="A79" s="43"/>
      <c r="B79" s="43"/>
      <c r="C79" s="43"/>
      <c r="D79" s="43"/>
      <c r="E79" s="43"/>
      <c r="F79" s="43"/>
      <c r="G79" s="43" t="s">
        <v>938</v>
      </c>
      <c r="H79" s="52">
        <v>0</v>
      </c>
      <c r="I79" s="45"/>
      <c r="J79" s="52">
        <v>0</v>
      </c>
      <c r="K79" s="45"/>
      <c r="L79" s="52">
        <v>55290.39</v>
      </c>
      <c r="M79" s="45"/>
      <c r="N79" s="52">
        <f>ROUND(SUM(H79:L79),5)</f>
        <v>55290.39</v>
      </c>
    </row>
    <row r="80" spans="1:14" ht="15" thickBot="1" x14ac:dyDescent="0.35">
      <c r="A80" s="43"/>
      <c r="B80" s="43"/>
      <c r="C80" s="43"/>
      <c r="D80" s="43"/>
      <c r="E80" s="43"/>
      <c r="F80" s="43" t="s">
        <v>189</v>
      </c>
      <c r="G80" s="43"/>
      <c r="H80" s="55">
        <f>ROUND(SUM(H78:H79),5)</f>
        <v>0</v>
      </c>
      <c r="I80" s="45"/>
      <c r="J80" s="55">
        <f>ROUND(SUM(J78:J79),5)</f>
        <v>0</v>
      </c>
      <c r="K80" s="45"/>
      <c r="L80" s="55">
        <f>ROUND(SUM(L78:L79),5)</f>
        <v>55290.39</v>
      </c>
      <c r="M80" s="45"/>
      <c r="N80" s="55">
        <f>ROUND(SUM(H80:L80),5)</f>
        <v>55290.39</v>
      </c>
    </row>
    <row r="81" spans="1:14" ht="30" customHeight="1" thickBot="1" x14ac:dyDescent="0.35">
      <c r="A81" s="43"/>
      <c r="B81" s="43"/>
      <c r="C81" s="43"/>
      <c r="D81" s="43"/>
      <c r="E81" s="43" t="s">
        <v>546</v>
      </c>
      <c r="F81" s="43"/>
      <c r="G81" s="43"/>
      <c r="H81" s="55">
        <f>ROUND(SUM(H65:H67)+SUM(H69:H70)+H68+H77+H71+H80,5)</f>
        <v>97.67</v>
      </c>
      <c r="I81" s="45"/>
      <c r="J81" s="55">
        <f>ROUND(SUM(J65:J67)+SUM(J69:J70)+J68+J77+J71+J80,5)</f>
        <v>1838.74</v>
      </c>
      <c r="K81" s="45"/>
      <c r="L81" s="55">
        <f>ROUND(SUM(L65:L67)+SUM(L69:L70)+L68+L77+L71+L80,5)</f>
        <v>60416.95</v>
      </c>
      <c r="M81" s="45"/>
      <c r="N81" s="55">
        <f>ROUND(SUM(H81:L81),5)</f>
        <v>62353.36</v>
      </c>
    </row>
    <row r="82" spans="1:14" ht="30" customHeight="1" thickBot="1" x14ac:dyDescent="0.35">
      <c r="A82" s="43"/>
      <c r="B82" s="43"/>
      <c r="C82" s="43"/>
      <c r="D82" s="43" t="s">
        <v>287</v>
      </c>
      <c r="E82" s="43"/>
      <c r="F82" s="43"/>
      <c r="G82" s="43"/>
      <c r="H82" s="53">
        <f>ROUND(H12+SUM(H61:H62)+H18+SUM(H21:H23)+H81+H38+H64+H17+H27+H63,5)</f>
        <v>6486.65</v>
      </c>
      <c r="I82" s="45"/>
      <c r="J82" s="53">
        <f>ROUND(J12+SUM(J61:J62)+J18+SUM(J21:J23)+J81+J38+J64+J17+J27+J63,5)</f>
        <v>10838.32</v>
      </c>
      <c r="K82" s="45"/>
      <c r="L82" s="53">
        <f>ROUND(L12+SUM(L61:L62)+L18+SUM(L21:L23)+L81+L38+L64+L17+L27+L63,5)</f>
        <v>112946.5</v>
      </c>
      <c r="M82" s="45"/>
      <c r="N82" s="53">
        <f>ROUND(SUM(H82:L82),5)</f>
        <v>130271.47</v>
      </c>
    </row>
    <row r="83" spans="1:14" ht="30" customHeight="1" x14ac:dyDescent="0.3">
      <c r="A83" s="43"/>
      <c r="B83" s="43" t="s">
        <v>288</v>
      </c>
      <c r="C83" s="43"/>
      <c r="D83" s="43"/>
      <c r="E83" s="43"/>
      <c r="F83" s="43"/>
      <c r="G83" s="43"/>
      <c r="H83" s="52">
        <f>ROUND(H2+H11-H82,5)</f>
        <v>-6486.65</v>
      </c>
      <c r="I83" s="45"/>
      <c r="J83" s="52">
        <f>ROUND(J2+J11-J82,5)</f>
        <v>-10738.32</v>
      </c>
      <c r="K83" s="45"/>
      <c r="L83" s="52">
        <f>ROUND(L2+L11-L82,5)</f>
        <v>91905.2</v>
      </c>
      <c r="M83" s="45"/>
      <c r="N83" s="52">
        <f>ROUND(SUM(H83:L83),5)</f>
        <v>74680.23</v>
      </c>
    </row>
    <row r="84" spans="1:14" ht="30" customHeight="1" x14ac:dyDescent="0.3">
      <c r="A84" s="43"/>
      <c r="B84" s="43" t="s">
        <v>289</v>
      </c>
      <c r="C84" s="43"/>
      <c r="D84" s="43"/>
      <c r="E84" s="43"/>
      <c r="F84" s="43"/>
      <c r="G84" s="43"/>
      <c r="H84" s="52"/>
      <c r="I84" s="45"/>
      <c r="J84" s="52"/>
      <c r="K84" s="45"/>
      <c r="L84" s="52"/>
      <c r="M84" s="45"/>
      <c r="N84" s="52"/>
    </row>
    <row r="85" spans="1:14" x14ac:dyDescent="0.3">
      <c r="A85" s="43"/>
      <c r="B85" s="43"/>
      <c r="C85" s="43" t="s">
        <v>290</v>
      </c>
      <c r="D85" s="43"/>
      <c r="E85" s="43"/>
      <c r="F85" s="43"/>
      <c r="G85" s="43"/>
      <c r="H85" s="52"/>
      <c r="I85" s="45"/>
      <c r="J85" s="52"/>
      <c r="K85" s="45"/>
      <c r="L85" s="52"/>
      <c r="M85" s="45"/>
      <c r="N85" s="52"/>
    </row>
    <row r="86" spans="1:14" x14ac:dyDescent="0.3">
      <c r="A86" s="43"/>
      <c r="B86" s="43"/>
      <c r="C86" s="43"/>
      <c r="D86" s="43" t="s">
        <v>291</v>
      </c>
      <c r="E86" s="43"/>
      <c r="F86" s="43"/>
      <c r="G86" s="43"/>
      <c r="H86" s="52"/>
      <c r="I86" s="45"/>
      <c r="J86" s="52"/>
      <c r="K86" s="45"/>
      <c r="L86" s="52"/>
      <c r="M86" s="45"/>
      <c r="N86" s="52"/>
    </row>
    <row r="87" spans="1:14" ht="15" thickBot="1" x14ac:dyDescent="0.35">
      <c r="A87" s="43"/>
      <c r="B87" s="43"/>
      <c r="C87" s="43"/>
      <c r="D87" s="43"/>
      <c r="E87" s="43" t="s">
        <v>939</v>
      </c>
      <c r="F87" s="43"/>
      <c r="G87" s="43"/>
      <c r="H87" s="54">
        <v>0</v>
      </c>
      <c r="I87" s="45"/>
      <c r="J87" s="54">
        <v>0</v>
      </c>
      <c r="K87" s="45"/>
      <c r="L87" s="54">
        <v>5.0199999999999996</v>
      </c>
      <c r="M87" s="45"/>
      <c r="N87" s="54">
        <f>ROUND(SUM(H87:L87),5)</f>
        <v>5.0199999999999996</v>
      </c>
    </row>
    <row r="88" spans="1:14" x14ac:dyDescent="0.3">
      <c r="A88" s="43"/>
      <c r="B88" s="43"/>
      <c r="C88" s="43"/>
      <c r="D88" s="43" t="s">
        <v>509</v>
      </c>
      <c r="E88" s="43"/>
      <c r="F88" s="43"/>
      <c r="G88" s="43"/>
      <c r="H88" s="52">
        <f>ROUND(SUM(H86:H87),5)</f>
        <v>0</v>
      </c>
      <c r="I88" s="45"/>
      <c r="J88" s="52">
        <f>ROUND(SUM(J86:J87),5)</f>
        <v>0</v>
      </c>
      <c r="K88" s="45"/>
      <c r="L88" s="52">
        <f>ROUND(SUM(L86:L87),5)</f>
        <v>5.0199999999999996</v>
      </c>
      <c r="M88" s="45"/>
      <c r="N88" s="52">
        <f>ROUND(SUM(H88:L88),5)</f>
        <v>5.0199999999999996</v>
      </c>
    </row>
    <row r="89" spans="1:14" ht="30" customHeight="1" x14ac:dyDescent="0.3">
      <c r="A89" s="43"/>
      <c r="B89" s="43"/>
      <c r="C89" s="43"/>
      <c r="D89" s="43" t="s">
        <v>940</v>
      </c>
      <c r="E89" s="43"/>
      <c r="F89" s="43"/>
      <c r="G89" s="43"/>
      <c r="H89" s="52">
        <v>35.61</v>
      </c>
      <c r="I89" s="45"/>
      <c r="J89" s="52">
        <v>21.36</v>
      </c>
      <c r="K89" s="45"/>
      <c r="L89" s="52">
        <v>0</v>
      </c>
      <c r="M89" s="45"/>
      <c r="N89" s="52">
        <f>ROUND(SUM(H89:L89),5)</f>
        <v>56.97</v>
      </c>
    </row>
    <row r="90" spans="1:14" x14ac:dyDescent="0.3">
      <c r="A90" s="43"/>
      <c r="B90" s="43"/>
      <c r="C90" s="43"/>
      <c r="D90" s="43" t="s">
        <v>290</v>
      </c>
      <c r="E90" s="43"/>
      <c r="F90" s="43"/>
      <c r="G90" s="43"/>
      <c r="H90" s="52"/>
      <c r="I90" s="45"/>
      <c r="J90" s="52"/>
      <c r="K90" s="45"/>
      <c r="L90" s="52"/>
      <c r="M90" s="45"/>
      <c r="N90" s="52"/>
    </row>
    <row r="91" spans="1:14" ht="15" thickBot="1" x14ac:dyDescent="0.35">
      <c r="A91" s="43"/>
      <c r="B91" s="43"/>
      <c r="C91" s="43"/>
      <c r="D91" s="43"/>
      <c r="E91" s="43" t="s">
        <v>941</v>
      </c>
      <c r="F91" s="43"/>
      <c r="G91" s="43"/>
      <c r="H91" s="52">
        <v>100</v>
      </c>
      <c r="I91" s="45"/>
      <c r="J91" s="52">
        <v>0</v>
      </c>
      <c r="K91" s="45"/>
      <c r="L91" s="52">
        <v>0</v>
      </c>
      <c r="M91" s="45"/>
      <c r="N91" s="52">
        <f>ROUND(SUM(H91:L91),5)</f>
        <v>100</v>
      </c>
    </row>
    <row r="92" spans="1:14" ht="15" thickBot="1" x14ac:dyDescent="0.35">
      <c r="A92" s="43"/>
      <c r="B92" s="43"/>
      <c r="C92" s="43"/>
      <c r="D92" s="43" t="s">
        <v>292</v>
      </c>
      <c r="E92" s="43"/>
      <c r="F92" s="43"/>
      <c r="G92" s="43"/>
      <c r="H92" s="53">
        <f>ROUND(SUM(H90:H91),5)</f>
        <v>100</v>
      </c>
      <c r="I92" s="45"/>
      <c r="J92" s="53">
        <f>ROUND(SUM(J90:J91),5)</f>
        <v>0</v>
      </c>
      <c r="K92" s="45"/>
      <c r="L92" s="53">
        <f>ROUND(SUM(L90:L91),5)</f>
        <v>0</v>
      </c>
      <c r="M92" s="45"/>
      <c r="N92" s="53">
        <f>ROUND(SUM(H92:L92),5)</f>
        <v>100</v>
      </c>
    </row>
    <row r="93" spans="1:14" ht="30" customHeight="1" x14ac:dyDescent="0.3">
      <c r="A93" s="43"/>
      <c r="B93" s="43"/>
      <c r="C93" s="43" t="s">
        <v>292</v>
      </c>
      <c r="D93" s="43"/>
      <c r="E93" s="43"/>
      <c r="F93" s="43"/>
      <c r="G93" s="43"/>
      <c r="H93" s="52">
        <f>ROUND(H85+SUM(H88:H89)+H92,5)</f>
        <v>135.61000000000001</v>
      </c>
      <c r="I93" s="45"/>
      <c r="J93" s="52">
        <f>ROUND(J85+SUM(J88:J89)+J92,5)</f>
        <v>21.36</v>
      </c>
      <c r="K93" s="45"/>
      <c r="L93" s="52">
        <f>ROUND(L85+SUM(L88:L89)+L92,5)</f>
        <v>5.0199999999999996</v>
      </c>
      <c r="M93" s="45"/>
      <c r="N93" s="52">
        <f>ROUND(SUM(H93:L93),5)</f>
        <v>161.99</v>
      </c>
    </row>
    <row r="94" spans="1:14" ht="30" customHeight="1" x14ac:dyDescent="0.3">
      <c r="A94" s="43"/>
      <c r="B94" s="43"/>
      <c r="C94" s="43" t="s">
        <v>293</v>
      </c>
      <c r="D94" s="43"/>
      <c r="E94" s="43"/>
      <c r="F94" s="43"/>
      <c r="G94" s="43"/>
      <c r="H94" s="52"/>
      <c r="I94" s="45"/>
      <c r="J94" s="52"/>
      <c r="K94" s="45"/>
      <c r="L94" s="52"/>
      <c r="M94" s="45"/>
      <c r="N94" s="52"/>
    </row>
    <row r="95" spans="1:14" ht="15" thickBot="1" x14ac:dyDescent="0.35">
      <c r="A95" s="43"/>
      <c r="B95" s="43"/>
      <c r="C95" s="43"/>
      <c r="D95" s="43" t="s">
        <v>663</v>
      </c>
      <c r="E95" s="43"/>
      <c r="F95" s="43"/>
      <c r="G95" s="43"/>
      <c r="H95" s="52">
        <v>0</v>
      </c>
      <c r="I95" s="45"/>
      <c r="J95" s="52">
        <v>12.12</v>
      </c>
      <c r="K95" s="45"/>
      <c r="L95" s="52">
        <v>0</v>
      </c>
      <c r="M95" s="45"/>
      <c r="N95" s="52">
        <f>ROUND(SUM(H95:L95),5)</f>
        <v>12.12</v>
      </c>
    </row>
    <row r="96" spans="1:14" ht="15" thickBot="1" x14ac:dyDescent="0.35">
      <c r="A96" s="43"/>
      <c r="B96" s="43"/>
      <c r="C96" s="43" t="s">
        <v>295</v>
      </c>
      <c r="D96" s="43"/>
      <c r="E96" s="43"/>
      <c r="F96" s="43"/>
      <c r="G96" s="43"/>
      <c r="H96" s="55">
        <f>ROUND(SUM(H94:H95),5)</f>
        <v>0</v>
      </c>
      <c r="I96" s="45"/>
      <c r="J96" s="55">
        <f>ROUND(SUM(J94:J95),5)</f>
        <v>12.12</v>
      </c>
      <c r="K96" s="45"/>
      <c r="L96" s="55">
        <f>ROUND(SUM(L94:L95),5)</f>
        <v>0</v>
      </c>
      <c r="M96" s="45"/>
      <c r="N96" s="55">
        <f>ROUND(SUM(H96:L96),5)</f>
        <v>12.12</v>
      </c>
    </row>
    <row r="97" spans="1:14" ht="30" customHeight="1" thickBot="1" x14ac:dyDescent="0.35">
      <c r="A97" s="43"/>
      <c r="B97" s="43" t="s">
        <v>296</v>
      </c>
      <c r="C97" s="43"/>
      <c r="D97" s="43"/>
      <c r="E97" s="43"/>
      <c r="F97" s="43"/>
      <c r="G97" s="43"/>
      <c r="H97" s="55">
        <f>ROUND(H84+H93-H96,5)</f>
        <v>135.61000000000001</v>
      </c>
      <c r="I97" s="45"/>
      <c r="J97" s="55">
        <f>ROUND(J84+J93-J96,5)</f>
        <v>9.24</v>
      </c>
      <c r="K97" s="45"/>
      <c r="L97" s="55">
        <f>ROUND(L84+L93-L96,5)</f>
        <v>5.0199999999999996</v>
      </c>
      <c r="M97" s="45"/>
      <c r="N97" s="55">
        <f>ROUND(SUM(H97:L97),5)</f>
        <v>149.87</v>
      </c>
    </row>
    <row r="98" spans="1:14" s="50" customFormat="1" ht="30" customHeight="1" thickBot="1" x14ac:dyDescent="0.25">
      <c r="A98" s="43" t="s">
        <v>165</v>
      </c>
      <c r="B98" s="43"/>
      <c r="C98" s="43"/>
      <c r="D98" s="43"/>
      <c r="E98" s="43"/>
      <c r="F98" s="43"/>
      <c r="G98" s="43"/>
      <c r="H98" s="56">
        <f>ROUND(H83+H97,5)</f>
        <v>-6351.04</v>
      </c>
      <c r="I98" s="43"/>
      <c r="J98" s="56">
        <f>ROUND(J83+J97,5)</f>
        <v>-10729.08</v>
      </c>
      <c r="K98" s="43"/>
      <c r="L98" s="56">
        <f>ROUND(L83+L97,5)</f>
        <v>91910.22</v>
      </c>
      <c r="M98" s="43"/>
      <c r="N98" s="56">
        <f>ROUND(SUM(H98:L98),5)</f>
        <v>74830.100000000006</v>
      </c>
    </row>
    <row r="99" spans="1:14" ht="15" thickTop="1" x14ac:dyDescent="0.3"/>
  </sheetData>
  <pageMargins left="0.7" right="0.7" top="0.75" bottom="0.75" header="0.25" footer="0.3"/>
  <pageSetup orientation="portrait" r:id="rId1"/>
  <headerFooter>
    <oddHeader>&amp;L&amp;"Arial,Bold"&amp;8 9:29 AM
&amp;"Arial,Bold"&amp;8 02/18/14
&amp;"Arial,Bold"&amp;8 Accrual Basis&amp;C&amp;"Arial,Bold"&amp;12 21Webb LLC
&amp;"Arial,Bold"&amp;14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6082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6082" r:id="rId4" name="HEADER"/>
      </mc:Fallback>
    </mc:AlternateContent>
    <mc:AlternateContent xmlns:mc="http://schemas.openxmlformats.org/markup-compatibility/2006">
      <mc:Choice Requires="x14">
        <control shapeId="46081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6081" r:id="rId6" name="FILTER"/>
      </mc:Fallback>
    </mc:AlternateContent>
  </control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0"/>
  <dimension ref="A1:J32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18.332031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114</v>
      </c>
      <c r="D4" s="43"/>
      <c r="E4" s="43"/>
      <c r="F4" s="44"/>
      <c r="G4" s="45"/>
      <c r="H4" s="44"/>
      <c r="I4" s="45"/>
      <c r="J4" s="44"/>
    </row>
    <row r="5" spans="1:10" ht="15" thickBot="1" x14ac:dyDescent="0.35">
      <c r="A5" s="43"/>
      <c r="B5" s="43"/>
      <c r="C5" s="43"/>
      <c r="D5" s="43" t="s">
        <v>79</v>
      </c>
      <c r="E5" s="43"/>
      <c r="F5" s="46">
        <v>92762</v>
      </c>
      <c r="G5" s="45"/>
      <c r="H5" s="46">
        <v>72239</v>
      </c>
      <c r="I5" s="45"/>
      <c r="J5" s="46">
        <v>72356</v>
      </c>
    </row>
    <row r="6" spans="1:10" x14ac:dyDescent="0.3">
      <c r="A6" s="43"/>
      <c r="B6" s="43"/>
      <c r="C6" s="43" t="s">
        <v>117</v>
      </c>
      <c r="D6" s="43"/>
      <c r="E6" s="43"/>
      <c r="F6" s="44">
        <f>ROUND(SUM(F4:F5),5)</f>
        <v>92762</v>
      </c>
      <c r="G6" s="45"/>
      <c r="H6" s="44">
        <f>ROUND(SUM(H4:H5),5)</f>
        <v>72239</v>
      </c>
      <c r="I6" s="45"/>
      <c r="J6" s="44">
        <f>ROUND(SUM(J4:J5),5)</f>
        <v>72356</v>
      </c>
    </row>
    <row r="7" spans="1:10" ht="30" customHeight="1" x14ac:dyDescent="0.3">
      <c r="A7" s="43"/>
      <c r="B7" s="43"/>
      <c r="C7" s="43" t="s">
        <v>120</v>
      </c>
      <c r="D7" s="43"/>
      <c r="E7" s="43"/>
      <c r="F7" s="44"/>
      <c r="G7" s="45"/>
      <c r="H7" s="44"/>
      <c r="I7" s="45"/>
      <c r="J7" s="44"/>
    </row>
    <row r="8" spans="1:10" ht="15" thickBot="1" x14ac:dyDescent="0.35">
      <c r="A8" s="43"/>
      <c r="B8" s="43"/>
      <c r="C8" s="43"/>
      <c r="D8" s="43" t="s">
        <v>122</v>
      </c>
      <c r="E8" s="43"/>
      <c r="F8" s="44">
        <v>67</v>
      </c>
      <c r="G8" s="45"/>
      <c r="H8" s="44">
        <v>79</v>
      </c>
      <c r="I8" s="45"/>
      <c r="J8" s="44">
        <v>66</v>
      </c>
    </row>
    <row r="9" spans="1:10" ht="15" thickBot="1" x14ac:dyDescent="0.35">
      <c r="A9" s="43"/>
      <c r="B9" s="43"/>
      <c r="C9" s="43" t="s">
        <v>124</v>
      </c>
      <c r="D9" s="43"/>
      <c r="E9" s="43"/>
      <c r="F9" s="47">
        <f>ROUND(SUM(F7:F8),5)</f>
        <v>67</v>
      </c>
      <c r="G9" s="45"/>
      <c r="H9" s="47">
        <f>ROUND(SUM(H7:H8),5)</f>
        <v>79</v>
      </c>
      <c r="I9" s="45"/>
      <c r="J9" s="47">
        <f>ROUND(SUM(J7:J8),5)</f>
        <v>66</v>
      </c>
    </row>
    <row r="10" spans="1:10" ht="30" customHeight="1" x14ac:dyDescent="0.3">
      <c r="A10" s="43"/>
      <c r="B10" s="43" t="s">
        <v>125</v>
      </c>
      <c r="C10" s="43"/>
      <c r="D10" s="43"/>
      <c r="E10" s="43"/>
      <c r="F10" s="44">
        <f>ROUND(F3+F6+F9,5)</f>
        <v>92829</v>
      </c>
      <c r="G10" s="45"/>
      <c r="H10" s="44">
        <f>ROUND(H3+H6+H9,5)</f>
        <v>72318</v>
      </c>
      <c r="I10" s="45"/>
      <c r="J10" s="44">
        <f>ROUND(J3+J6+J9,5)</f>
        <v>72422</v>
      </c>
    </row>
    <row r="11" spans="1:10" ht="30" customHeight="1" x14ac:dyDescent="0.3">
      <c r="A11" s="43"/>
      <c r="B11" s="43" t="s">
        <v>126</v>
      </c>
      <c r="C11" s="43"/>
      <c r="D11" s="43"/>
      <c r="E11" s="43"/>
      <c r="F11" s="44"/>
      <c r="G11" s="45"/>
      <c r="H11" s="44"/>
      <c r="I11" s="45"/>
      <c r="J11" s="44"/>
    </row>
    <row r="12" spans="1:10" x14ac:dyDescent="0.3">
      <c r="A12" s="43"/>
      <c r="B12" s="43"/>
      <c r="C12" s="43" t="s">
        <v>127</v>
      </c>
      <c r="D12" s="43"/>
      <c r="E12" s="43"/>
      <c r="F12" s="44">
        <v>424855</v>
      </c>
      <c r="G12" s="45"/>
      <c r="H12" s="44">
        <v>424855</v>
      </c>
      <c r="I12" s="45"/>
      <c r="J12" s="44">
        <v>424855</v>
      </c>
    </row>
    <row r="13" spans="1:10" ht="15" thickBot="1" x14ac:dyDescent="0.35">
      <c r="A13" s="43"/>
      <c r="B13" s="43"/>
      <c r="C13" s="43" t="s">
        <v>129</v>
      </c>
      <c r="D13" s="43"/>
      <c r="E13" s="43"/>
      <c r="F13" s="44">
        <v>27958</v>
      </c>
      <c r="G13" s="45"/>
      <c r="H13" s="44">
        <v>47958</v>
      </c>
      <c r="I13" s="45"/>
      <c r="J13" s="44">
        <v>47958</v>
      </c>
    </row>
    <row r="14" spans="1:10" ht="15" thickBot="1" x14ac:dyDescent="0.35">
      <c r="A14" s="43"/>
      <c r="B14" s="43" t="s">
        <v>136</v>
      </c>
      <c r="C14" s="43"/>
      <c r="D14" s="43"/>
      <c r="E14" s="43"/>
      <c r="F14" s="48">
        <f>ROUND(SUM(F11:F13),5)</f>
        <v>452813</v>
      </c>
      <c r="G14" s="45"/>
      <c r="H14" s="48">
        <f>ROUND(SUM(H11:H13),5)</f>
        <v>472813</v>
      </c>
      <c r="I14" s="45"/>
      <c r="J14" s="48">
        <f>ROUND(SUM(J11:J13),5)</f>
        <v>472813</v>
      </c>
    </row>
    <row r="15" spans="1:10" s="50" customFormat="1" ht="30" customHeight="1" thickBot="1" x14ac:dyDescent="0.25">
      <c r="A15" s="43" t="s">
        <v>142</v>
      </c>
      <c r="B15" s="43"/>
      <c r="C15" s="43"/>
      <c r="D15" s="43"/>
      <c r="E15" s="43"/>
      <c r="F15" s="49">
        <f>ROUND(F2+F10+F14,5)</f>
        <v>545642</v>
      </c>
      <c r="G15" s="43"/>
      <c r="H15" s="49">
        <f>ROUND(H2+H10+H14,5)</f>
        <v>545131</v>
      </c>
      <c r="I15" s="43"/>
      <c r="J15" s="49">
        <f>ROUND(J2+J10+J14,5)</f>
        <v>545235</v>
      </c>
    </row>
    <row r="16" spans="1:10" ht="31.5" customHeight="1" thickTop="1" x14ac:dyDescent="0.3">
      <c r="A16" s="43" t="s">
        <v>143</v>
      </c>
      <c r="B16" s="43"/>
      <c r="C16" s="43"/>
      <c r="D16" s="43"/>
      <c r="E16" s="43"/>
      <c r="F16" s="44"/>
      <c r="G16" s="45"/>
      <c r="H16" s="44"/>
      <c r="I16" s="45"/>
      <c r="J16" s="44"/>
    </row>
    <row r="17" spans="1:10" x14ac:dyDescent="0.3">
      <c r="A17" s="43"/>
      <c r="B17" s="43" t="s">
        <v>144</v>
      </c>
      <c r="C17" s="43"/>
      <c r="D17" s="43"/>
      <c r="E17" s="43"/>
      <c r="F17" s="44"/>
      <c r="G17" s="45"/>
      <c r="H17" s="44"/>
      <c r="I17" s="45"/>
      <c r="J17" s="44"/>
    </row>
    <row r="18" spans="1:10" x14ac:dyDescent="0.3">
      <c r="A18" s="43"/>
      <c r="B18" s="43"/>
      <c r="C18" s="43" t="s">
        <v>145</v>
      </c>
      <c r="D18" s="43"/>
      <c r="E18" s="43"/>
      <c r="F18" s="44"/>
      <c r="G18" s="45"/>
      <c r="H18" s="44"/>
      <c r="I18" s="45"/>
      <c r="J18" s="44"/>
    </row>
    <row r="19" spans="1:10" x14ac:dyDescent="0.3">
      <c r="A19" s="43"/>
      <c r="B19" s="43"/>
      <c r="C19" s="43"/>
      <c r="D19" s="43" t="s">
        <v>146</v>
      </c>
      <c r="E19" s="43"/>
      <c r="F19" s="44"/>
      <c r="G19" s="45"/>
      <c r="H19" s="44"/>
      <c r="I19" s="45"/>
      <c r="J19" s="44"/>
    </row>
    <row r="20" spans="1:10" ht="15" thickBot="1" x14ac:dyDescent="0.35">
      <c r="A20" s="43"/>
      <c r="B20" s="43"/>
      <c r="C20" s="43"/>
      <c r="D20" s="43"/>
      <c r="E20" s="43" t="s">
        <v>146</v>
      </c>
      <c r="F20" s="44">
        <v>1022</v>
      </c>
      <c r="G20" s="45"/>
      <c r="H20" s="44">
        <v>22</v>
      </c>
      <c r="I20" s="45"/>
      <c r="J20" s="44">
        <v>1514</v>
      </c>
    </row>
    <row r="21" spans="1:10" ht="15" thickBot="1" x14ac:dyDescent="0.35">
      <c r="A21" s="43"/>
      <c r="B21" s="43"/>
      <c r="C21" s="43"/>
      <c r="D21" s="43" t="s">
        <v>147</v>
      </c>
      <c r="E21" s="43"/>
      <c r="F21" s="48">
        <f>ROUND(SUM(F19:F20),5)</f>
        <v>1022</v>
      </c>
      <c r="G21" s="45"/>
      <c r="H21" s="48">
        <f>ROUND(SUM(H19:H20),5)</f>
        <v>22</v>
      </c>
      <c r="I21" s="45"/>
      <c r="J21" s="48">
        <f>ROUND(SUM(J19:J20),5)</f>
        <v>1514</v>
      </c>
    </row>
    <row r="22" spans="1:10" ht="30" customHeight="1" thickBot="1" x14ac:dyDescent="0.35">
      <c r="A22" s="43"/>
      <c r="B22" s="43"/>
      <c r="C22" s="43" t="s">
        <v>153</v>
      </c>
      <c r="D22" s="43"/>
      <c r="E22" s="43"/>
      <c r="F22" s="47">
        <f>ROUND(F18+F21,5)</f>
        <v>1022</v>
      </c>
      <c r="G22" s="45"/>
      <c r="H22" s="47">
        <f>ROUND(H18+H21,5)</f>
        <v>22</v>
      </c>
      <c r="I22" s="45"/>
      <c r="J22" s="47">
        <f>ROUND(J18+J21,5)</f>
        <v>1514</v>
      </c>
    </row>
    <row r="23" spans="1:10" ht="30" customHeight="1" x14ac:dyDescent="0.3">
      <c r="A23" s="43"/>
      <c r="B23" s="43" t="s">
        <v>158</v>
      </c>
      <c r="C23" s="43"/>
      <c r="D23" s="43"/>
      <c r="E23" s="43"/>
      <c r="F23" s="44">
        <f>ROUND(F17+F22,5)</f>
        <v>1022</v>
      </c>
      <c r="G23" s="45"/>
      <c r="H23" s="44">
        <f>ROUND(H17+H22,5)</f>
        <v>22</v>
      </c>
      <c r="I23" s="45"/>
      <c r="J23" s="44">
        <f>ROUND(J17+J22,5)</f>
        <v>1514</v>
      </c>
    </row>
    <row r="24" spans="1:10" ht="30" customHeight="1" x14ac:dyDescent="0.3">
      <c r="A24" s="43"/>
      <c r="B24" s="43" t="s">
        <v>159</v>
      </c>
      <c r="C24" s="43"/>
      <c r="D24" s="43"/>
      <c r="E24" s="43"/>
      <c r="F24" s="44"/>
      <c r="G24" s="45"/>
      <c r="H24" s="44"/>
      <c r="I24" s="45"/>
      <c r="J24" s="44"/>
    </row>
    <row r="25" spans="1:10" x14ac:dyDescent="0.3">
      <c r="A25" s="43"/>
      <c r="B25" s="43"/>
      <c r="C25" s="43" t="s">
        <v>942</v>
      </c>
      <c r="D25" s="43"/>
      <c r="E25" s="43"/>
      <c r="F25" s="44">
        <v>-2798</v>
      </c>
      <c r="G25" s="45"/>
      <c r="H25" s="44">
        <v>-2543</v>
      </c>
      <c r="I25" s="45"/>
      <c r="J25" s="44">
        <v>-2543</v>
      </c>
    </row>
    <row r="26" spans="1:10" x14ac:dyDescent="0.3">
      <c r="A26" s="43"/>
      <c r="B26" s="43"/>
      <c r="C26" s="43" t="s">
        <v>943</v>
      </c>
      <c r="D26" s="43"/>
      <c r="E26" s="43"/>
      <c r="F26" s="44">
        <v>-699</v>
      </c>
      <c r="G26" s="45"/>
      <c r="H26" s="44">
        <v>-636</v>
      </c>
      <c r="I26" s="45"/>
      <c r="J26" s="44">
        <v>-636</v>
      </c>
    </row>
    <row r="27" spans="1:10" x14ac:dyDescent="0.3">
      <c r="A27" s="43"/>
      <c r="B27" s="43"/>
      <c r="C27" s="43" t="s">
        <v>944</v>
      </c>
      <c r="D27" s="43"/>
      <c r="E27" s="43"/>
      <c r="F27" s="44">
        <v>548117</v>
      </c>
      <c r="G27" s="45"/>
      <c r="H27" s="44">
        <v>548288</v>
      </c>
      <c r="I27" s="45"/>
      <c r="J27" s="44">
        <v>548288</v>
      </c>
    </row>
    <row r="28" spans="1:10" x14ac:dyDescent="0.3">
      <c r="A28" s="43"/>
      <c r="B28" s="43"/>
      <c r="C28" s="43" t="s">
        <v>164</v>
      </c>
      <c r="D28" s="43"/>
      <c r="E28" s="43"/>
      <c r="F28" s="44">
        <v>909</v>
      </c>
      <c r="G28" s="45"/>
      <c r="H28" s="44">
        <v>-489</v>
      </c>
      <c r="I28" s="45"/>
      <c r="J28" s="44">
        <v>0</v>
      </c>
    </row>
    <row r="29" spans="1:10" ht="15" thickBot="1" x14ac:dyDescent="0.35">
      <c r="A29" s="43"/>
      <c r="B29" s="43"/>
      <c r="C29" s="43" t="s">
        <v>165</v>
      </c>
      <c r="D29" s="43"/>
      <c r="E29" s="43"/>
      <c r="F29" s="44">
        <v>-909</v>
      </c>
      <c r="G29" s="45"/>
      <c r="H29" s="44">
        <v>489</v>
      </c>
      <c r="I29" s="45"/>
      <c r="J29" s="44">
        <v>-1388</v>
      </c>
    </row>
    <row r="30" spans="1:10" ht="15" thickBot="1" x14ac:dyDescent="0.35">
      <c r="A30" s="43"/>
      <c r="B30" s="43" t="s">
        <v>166</v>
      </c>
      <c r="C30" s="43"/>
      <c r="D30" s="43"/>
      <c r="E30" s="43"/>
      <c r="F30" s="48">
        <f>ROUND(SUM(F24:F29),5)</f>
        <v>544620</v>
      </c>
      <c r="G30" s="45"/>
      <c r="H30" s="48">
        <f>ROUND(SUM(H24:H29),5)</f>
        <v>545109</v>
      </c>
      <c r="I30" s="45"/>
      <c r="J30" s="48">
        <f>ROUND(SUM(J24:J29),5)</f>
        <v>543721</v>
      </c>
    </row>
    <row r="31" spans="1:10" s="50" customFormat="1" ht="30" customHeight="1" thickBot="1" x14ac:dyDescent="0.25">
      <c r="A31" s="43" t="s">
        <v>167</v>
      </c>
      <c r="B31" s="43"/>
      <c r="C31" s="43"/>
      <c r="D31" s="43"/>
      <c r="E31" s="43"/>
      <c r="F31" s="49">
        <f>ROUND(F16+F23+F30,5)</f>
        <v>545642</v>
      </c>
      <c r="G31" s="43"/>
      <c r="H31" s="49">
        <f>ROUND(H16+H23+H30,5)</f>
        <v>545131</v>
      </c>
      <c r="I31" s="43"/>
      <c r="J31" s="49">
        <f>ROUND(J16+J23+J30,5)</f>
        <v>545235</v>
      </c>
    </row>
    <row r="32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11:36 AM
&amp;"Arial,Bold"&amp;8 02/17/14
&amp;"Arial,Bold"&amp;8 Accrual Basis&amp;C&amp;"Arial,Bold"&amp;12 127 PAW, LLC
&amp;"Arial,Bold"&amp;14 Balance Sheet
&amp;"Arial,Bold"&amp;10 As of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710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7106" r:id="rId4" name="HEADER"/>
      </mc:Fallback>
    </mc:AlternateContent>
    <mc:AlternateContent xmlns:mc="http://schemas.openxmlformats.org/markup-compatibility/2006">
      <mc:Choice Requires="x14">
        <control shapeId="4710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7105" r:id="rId6" name="FILTER"/>
      </mc:Fallback>
    </mc:AlternateContent>
  </controls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60"/>
  <dimension ref="A1:N40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27.109375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7.554687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52"/>
      <c r="I2" s="45"/>
      <c r="J2" s="52"/>
      <c r="K2" s="45"/>
      <c r="L2" s="52"/>
      <c r="M2" s="45"/>
      <c r="N2" s="52"/>
    </row>
    <row r="3" spans="1:14" x14ac:dyDescent="0.3">
      <c r="A3" s="43"/>
      <c r="B3" s="43"/>
      <c r="C3" s="43"/>
      <c r="D3" s="43" t="s">
        <v>182</v>
      </c>
      <c r="E3" s="43"/>
      <c r="F3" s="43"/>
      <c r="G3" s="43"/>
      <c r="H3" s="52"/>
      <c r="I3" s="45"/>
      <c r="J3" s="52"/>
      <c r="K3" s="45"/>
      <c r="L3" s="52"/>
      <c r="M3" s="45"/>
      <c r="N3" s="52"/>
    </row>
    <row r="4" spans="1:14" x14ac:dyDescent="0.3">
      <c r="A4" s="43"/>
      <c r="B4" s="43"/>
      <c r="C4" s="43"/>
      <c r="D4" s="43"/>
      <c r="E4" s="43" t="s">
        <v>945</v>
      </c>
      <c r="F4" s="43"/>
      <c r="G4" s="43"/>
      <c r="H4" s="52"/>
      <c r="I4" s="45"/>
      <c r="J4" s="52"/>
      <c r="K4" s="45"/>
      <c r="L4" s="52"/>
      <c r="M4" s="45"/>
      <c r="N4" s="52"/>
    </row>
    <row r="5" spans="1:14" ht="15" thickBot="1" x14ac:dyDescent="0.35">
      <c r="A5" s="43"/>
      <c r="B5" s="43"/>
      <c r="C5" s="43"/>
      <c r="D5" s="43"/>
      <c r="E5" s="43"/>
      <c r="F5" s="43" t="s">
        <v>219</v>
      </c>
      <c r="G5" s="43"/>
      <c r="H5" s="54">
        <v>0</v>
      </c>
      <c r="I5" s="45"/>
      <c r="J5" s="54">
        <v>0</v>
      </c>
      <c r="K5" s="45"/>
      <c r="L5" s="54">
        <v>460</v>
      </c>
      <c r="M5" s="45"/>
      <c r="N5" s="54">
        <f>ROUND(SUM(H5:L5),5)</f>
        <v>460</v>
      </c>
    </row>
    <row r="6" spans="1:14" x14ac:dyDescent="0.3">
      <c r="A6" s="43"/>
      <c r="B6" s="43"/>
      <c r="C6" s="43"/>
      <c r="D6" s="43"/>
      <c r="E6" s="43" t="s">
        <v>946</v>
      </c>
      <c r="F6" s="43"/>
      <c r="G6" s="43"/>
      <c r="H6" s="52">
        <f>ROUND(SUM(H4:H5),5)</f>
        <v>0</v>
      </c>
      <c r="I6" s="45"/>
      <c r="J6" s="52">
        <f>ROUND(SUM(J4:J5),5)</f>
        <v>0</v>
      </c>
      <c r="K6" s="45"/>
      <c r="L6" s="52">
        <f>ROUND(SUM(L4:L5),5)</f>
        <v>460</v>
      </c>
      <c r="M6" s="45"/>
      <c r="N6" s="52">
        <f>ROUND(SUM(H6:L6),5)</f>
        <v>460</v>
      </c>
    </row>
    <row r="7" spans="1:14" ht="30" customHeight="1" x14ac:dyDescent="0.3">
      <c r="A7" s="43"/>
      <c r="B7" s="43"/>
      <c r="C7" s="43"/>
      <c r="D7" s="43"/>
      <c r="E7" s="43" t="s">
        <v>947</v>
      </c>
      <c r="F7" s="43"/>
      <c r="G7" s="43"/>
      <c r="H7" s="52">
        <v>0</v>
      </c>
      <c r="I7" s="45"/>
      <c r="J7" s="52">
        <v>0</v>
      </c>
      <c r="K7" s="45"/>
      <c r="L7" s="52">
        <v>110</v>
      </c>
      <c r="M7" s="45"/>
      <c r="N7" s="52">
        <f>ROUND(SUM(H7:L7),5)</f>
        <v>110</v>
      </c>
    </row>
    <row r="8" spans="1:14" x14ac:dyDescent="0.3">
      <c r="A8" s="43"/>
      <c r="B8" s="43"/>
      <c r="C8" s="43"/>
      <c r="D8" s="43"/>
      <c r="E8" s="43" t="s">
        <v>183</v>
      </c>
      <c r="F8" s="43"/>
      <c r="G8" s="43"/>
      <c r="H8" s="52"/>
      <c r="I8" s="45"/>
      <c r="J8" s="52"/>
      <c r="K8" s="45"/>
      <c r="L8" s="52"/>
      <c r="M8" s="45"/>
      <c r="N8" s="52"/>
    </row>
    <row r="9" spans="1:14" x14ac:dyDescent="0.3">
      <c r="A9" s="43"/>
      <c r="B9" s="43"/>
      <c r="C9" s="43"/>
      <c r="D9" s="43"/>
      <c r="E9" s="43"/>
      <c r="F9" s="43" t="s">
        <v>744</v>
      </c>
      <c r="G9" s="43"/>
      <c r="H9" s="52">
        <v>1000</v>
      </c>
      <c r="I9" s="45"/>
      <c r="J9" s="52">
        <v>1000</v>
      </c>
      <c r="K9" s="45"/>
      <c r="L9" s="52">
        <v>1000</v>
      </c>
      <c r="M9" s="45"/>
      <c r="N9" s="52">
        <f>ROUND(SUM(H9:L9),5)</f>
        <v>3000</v>
      </c>
    </row>
    <row r="10" spans="1:14" x14ac:dyDescent="0.3">
      <c r="A10" s="43"/>
      <c r="B10" s="43"/>
      <c r="C10" s="43"/>
      <c r="D10" s="43"/>
      <c r="E10" s="43"/>
      <c r="F10" s="43" t="s">
        <v>191</v>
      </c>
      <c r="G10" s="43"/>
      <c r="H10" s="52">
        <v>14.45</v>
      </c>
      <c r="I10" s="45"/>
      <c r="J10" s="52">
        <v>19.399999999999999</v>
      </c>
      <c r="K10" s="45"/>
      <c r="L10" s="52">
        <v>32.450000000000003</v>
      </c>
      <c r="M10" s="45"/>
      <c r="N10" s="52">
        <f>ROUND(SUM(H10:L10),5)</f>
        <v>66.3</v>
      </c>
    </row>
    <row r="11" spans="1:14" x14ac:dyDescent="0.3">
      <c r="A11" s="43"/>
      <c r="B11" s="43"/>
      <c r="C11" s="43"/>
      <c r="D11" s="43"/>
      <c r="E11" s="43"/>
      <c r="F11" s="43" t="s">
        <v>192</v>
      </c>
      <c r="G11" s="43"/>
      <c r="H11" s="52">
        <v>18.64</v>
      </c>
      <c r="I11" s="45"/>
      <c r="J11" s="52">
        <v>24.1</v>
      </c>
      <c r="K11" s="45"/>
      <c r="L11" s="52">
        <v>27.3</v>
      </c>
      <c r="M11" s="45"/>
      <c r="N11" s="52">
        <f>ROUND(SUM(H11:L11),5)</f>
        <v>70.040000000000006</v>
      </c>
    </row>
    <row r="12" spans="1:14" x14ac:dyDescent="0.3">
      <c r="A12" s="43"/>
      <c r="B12" s="43"/>
      <c r="C12" s="43"/>
      <c r="D12" s="43"/>
      <c r="E12" s="43"/>
      <c r="F12" s="43" t="s">
        <v>195</v>
      </c>
      <c r="G12" s="43"/>
      <c r="H12" s="52"/>
      <c r="I12" s="45"/>
      <c r="J12" s="52"/>
      <c r="K12" s="45"/>
      <c r="L12" s="52"/>
      <c r="M12" s="45"/>
      <c r="N12" s="52"/>
    </row>
    <row r="13" spans="1:14" x14ac:dyDescent="0.3">
      <c r="A13" s="43"/>
      <c r="B13" s="43"/>
      <c r="C13" s="43"/>
      <c r="D13" s="43"/>
      <c r="E13" s="43"/>
      <c r="F13" s="43"/>
      <c r="G13" s="43" t="s">
        <v>197</v>
      </c>
      <c r="H13" s="52">
        <v>300</v>
      </c>
      <c r="I13" s="45"/>
      <c r="J13" s="52">
        <v>310</v>
      </c>
      <c r="K13" s="45"/>
      <c r="L13" s="52">
        <v>320</v>
      </c>
      <c r="M13" s="45"/>
      <c r="N13" s="52">
        <f>ROUND(SUM(H13:L13),5)</f>
        <v>930</v>
      </c>
    </row>
    <row r="14" spans="1:14" ht="15" thickBot="1" x14ac:dyDescent="0.35">
      <c r="A14" s="43"/>
      <c r="B14" s="43"/>
      <c r="C14" s="43"/>
      <c r="D14" s="43"/>
      <c r="E14" s="43"/>
      <c r="F14" s="43"/>
      <c r="G14" s="43" t="s">
        <v>199</v>
      </c>
      <c r="H14" s="52">
        <v>220.82</v>
      </c>
      <c r="I14" s="45"/>
      <c r="J14" s="52">
        <v>184.99</v>
      </c>
      <c r="K14" s="45"/>
      <c r="L14" s="52">
        <v>168.8</v>
      </c>
      <c r="M14" s="45"/>
      <c r="N14" s="52">
        <f>ROUND(SUM(H14:L14),5)</f>
        <v>574.61</v>
      </c>
    </row>
    <row r="15" spans="1:14" ht="15" thickBot="1" x14ac:dyDescent="0.35">
      <c r="A15" s="43"/>
      <c r="B15" s="43"/>
      <c r="C15" s="43"/>
      <c r="D15" s="43"/>
      <c r="E15" s="43"/>
      <c r="F15" s="43" t="s">
        <v>200</v>
      </c>
      <c r="G15" s="43"/>
      <c r="H15" s="53">
        <f>ROUND(SUM(H12:H14),5)</f>
        <v>520.82000000000005</v>
      </c>
      <c r="I15" s="45"/>
      <c r="J15" s="53">
        <f>ROUND(SUM(J12:J14),5)</f>
        <v>494.99</v>
      </c>
      <c r="K15" s="45"/>
      <c r="L15" s="53">
        <f>ROUND(SUM(L12:L14),5)</f>
        <v>488.8</v>
      </c>
      <c r="M15" s="45"/>
      <c r="N15" s="53">
        <f>ROUND(SUM(H15:L15),5)</f>
        <v>1504.61</v>
      </c>
    </row>
    <row r="16" spans="1:14" ht="30" customHeight="1" x14ac:dyDescent="0.3">
      <c r="A16" s="43"/>
      <c r="B16" s="43"/>
      <c r="C16" s="43"/>
      <c r="D16" s="43"/>
      <c r="E16" s="43" t="s">
        <v>202</v>
      </c>
      <c r="F16" s="43"/>
      <c r="G16" s="43"/>
      <c r="H16" s="52">
        <f>ROUND(SUM(H8:H11)+H15,5)</f>
        <v>1553.91</v>
      </c>
      <c r="I16" s="45"/>
      <c r="J16" s="52">
        <f>ROUND(SUM(J8:J11)+J15,5)</f>
        <v>1538.49</v>
      </c>
      <c r="K16" s="45"/>
      <c r="L16" s="52">
        <f>ROUND(SUM(L8:L11)+L15,5)</f>
        <v>1548.55</v>
      </c>
      <c r="M16" s="45"/>
      <c r="N16" s="52">
        <f>ROUND(SUM(H16:L16),5)</f>
        <v>4640.95</v>
      </c>
    </row>
    <row r="17" spans="1:14" ht="30" customHeight="1" x14ac:dyDescent="0.3">
      <c r="A17" s="43"/>
      <c r="B17" s="43"/>
      <c r="C17" s="43"/>
      <c r="D17" s="43"/>
      <c r="E17" s="43" t="s">
        <v>948</v>
      </c>
      <c r="F17" s="43"/>
      <c r="G17" s="43"/>
      <c r="H17" s="52"/>
      <c r="I17" s="45"/>
      <c r="J17" s="52"/>
      <c r="K17" s="45"/>
      <c r="L17" s="52"/>
      <c r="M17" s="45"/>
      <c r="N17" s="52"/>
    </row>
    <row r="18" spans="1:14" x14ac:dyDescent="0.3">
      <c r="A18" s="43"/>
      <c r="B18" s="43"/>
      <c r="C18" s="43"/>
      <c r="D18" s="43"/>
      <c r="E18" s="43"/>
      <c r="F18" s="43" t="s">
        <v>949</v>
      </c>
      <c r="G18" s="43"/>
      <c r="H18" s="52"/>
      <c r="I18" s="45"/>
      <c r="J18" s="52"/>
      <c r="K18" s="45"/>
      <c r="L18" s="52"/>
      <c r="M18" s="45"/>
      <c r="N18" s="52"/>
    </row>
    <row r="19" spans="1:14" ht="15" thickBot="1" x14ac:dyDescent="0.35">
      <c r="A19" s="43"/>
      <c r="B19" s="43"/>
      <c r="C19" s="43"/>
      <c r="D19" s="43"/>
      <c r="E19" s="43"/>
      <c r="F19" s="43"/>
      <c r="G19" s="43" t="s">
        <v>258</v>
      </c>
      <c r="H19" s="52">
        <v>0</v>
      </c>
      <c r="I19" s="45"/>
      <c r="J19" s="52">
        <v>68.75</v>
      </c>
      <c r="K19" s="45"/>
      <c r="L19" s="52">
        <v>13.44</v>
      </c>
      <c r="M19" s="45"/>
      <c r="N19" s="52">
        <f>ROUND(SUM(H19:L19),5)</f>
        <v>82.19</v>
      </c>
    </row>
    <row r="20" spans="1:14" ht="15" thickBot="1" x14ac:dyDescent="0.35">
      <c r="A20" s="43"/>
      <c r="B20" s="43"/>
      <c r="C20" s="43"/>
      <c r="D20" s="43"/>
      <c r="E20" s="43"/>
      <c r="F20" s="43" t="s">
        <v>950</v>
      </c>
      <c r="G20" s="43"/>
      <c r="H20" s="53">
        <f>ROUND(SUM(H18:H19),5)</f>
        <v>0</v>
      </c>
      <c r="I20" s="45"/>
      <c r="J20" s="53">
        <f>ROUND(SUM(J18:J19),5)</f>
        <v>68.75</v>
      </c>
      <c r="K20" s="45"/>
      <c r="L20" s="53">
        <f>ROUND(SUM(L18:L19),5)</f>
        <v>13.44</v>
      </c>
      <c r="M20" s="45"/>
      <c r="N20" s="53">
        <f>ROUND(SUM(H20:L20),5)</f>
        <v>82.19</v>
      </c>
    </row>
    <row r="21" spans="1:14" ht="30" customHeight="1" x14ac:dyDescent="0.3">
      <c r="A21" s="43"/>
      <c r="B21" s="43"/>
      <c r="C21" s="43"/>
      <c r="D21" s="43"/>
      <c r="E21" s="43" t="s">
        <v>951</v>
      </c>
      <c r="F21" s="43"/>
      <c r="G21" s="43"/>
      <c r="H21" s="52">
        <f>ROUND(H17+H20,5)</f>
        <v>0</v>
      </c>
      <c r="I21" s="45"/>
      <c r="J21" s="52">
        <f>ROUND(J17+J20,5)</f>
        <v>68.75</v>
      </c>
      <c r="K21" s="45"/>
      <c r="L21" s="52">
        <f>ROUND(L17+L20,5)</f>
        <v>13.44</v>
      </c>
      <c r="M21" s="45"/>
      <c r="N21" s="52">
        <f>ROUND(SUM(H21:L21),5)</f>
        <v>82.19</v>
      </c>
    </row>
    <row r="22" spans="1:14" ht="30" customHeight="1" x14ac:dyDescent="0.3">
      <c r="A22" s="43"/>
      <c r="B22" s="43"/>
      <c r="C22" s="43"/>
      <c r="D22" s="43"/>
      <c r="E22" s="43" t="s">
        <v>434</v>
      </c>
      <c r="F22" s="43"/>
      <c r="G22" s="43"/>
      <c r="H22" s="52">
        <v>209.69</v>
      </c>
      <c r="I22" s="45"/>
      <c r="J22" s="52">
        <v>93.27</v>
      </c>
      <c r="K22" s="45"/>
      <c r="L22" s="52">
        <v>101.48</v>
      </c>
      <c r="M22" s="45"/>
      <c r="N22" s="52">
        <f>ROUND(SUM(H22:L22),5)</f>
        <v>404.44</v>
      </c>
    </row>
    <row r="23" spans="1:14" x14ac:dyDescent="0.3">
      <c r="A23" s="43"/>
      <c r="B23" s="43"/>
      <c r="C23" s="43"/>
      <c r="D23" s="43"/>
      <c r="E23" s="43" t="s">
        <v>272</v>
      </c>
      <c r="F23" s="43"/>
      <c r="G23" s="43"/>
      <c r="H23" s="52"/>
      <c r="I23" s="45"/>
      <c r="J23" s="52"/>
      <c r="K23" s="45"/>
      <c r="L23" s="52"/>
      <c r="M23" s="45"/>
      <c r="N23" s="52"/>
    </row>
    <row r="24" spans="1:14" x14ac:dyDescent="0.3">
      <c r="A24" s="43"/>
      <c r="B24" s="43"/>
      <c r="C24" s="43"/>
      <c r="D24" s="43"/>
      <c r="E24" s="43"/>
      <c r="F24" s="43" t="s">
        <v>552</v>
      </c>
      <c r="G24" s="43"/>
      <c r="H24" s="52">
        <v>0</v>
      </c>
      <c r="I24" s="45"/>
      <c r="J24" s="52">
        <v>125</v>
      </c>
      <c r="K24" s="45"/>
      <c r="L24" s="52">
        <v>0</v>
      </c>
      <c r="M24" s="45"/>
      <c r="N24" s="52">
        <f t="shared" ref="N24:N29" si="0">ROUND(SUM(H24:L24),5)</f>
        <v>125</v>
      </c>
    </row>
    <row r="25" spans="1:14" x14ac:dyDescent="0.3">
      <c r="A25" s="43"/>
      <c r="B25" s="43"/>
      <c r="C25" s="43"/>
      <c r="D25" s="43"/>
      <c r="E25" s="43"/>
      <c r="F25" s="43" t="s">
        <v>385</v>
      </c>
      <c r="G25" s="43"/>
      <c r="H25" s="52">
        <v>50</v>
      </c>
      <c r="I25" s="45"/>
      <c r="J25" s="52">
        <v>50</v>
      </c>
      <c r="K25" s="45"/>
      <c r="L25" s="52">
        <v>50</v>
      </c>
      <c r="M25" s="45"/>
      <c r="N25" s="52">
        <f t="shared" si="0"/>
        <v>150</v>
      </c>
    </row>
    <row r="26" spans="1:14" ht="15" thickBot="1" x14ac:dyDescent="0.35">
      <c r="A26" s="43"/>
      <c r="B26" s="43"/>
      <c r="C26" s="43"/>
      <c r="D26" s="43"/>
      <c r="E26" s="43"/>
      <c r="F26" s="43" t="s">
        <v>275</v>
      </c>
      <c r="G26" s="43"/>
      <c r="H26" s="52">
        <v>337.48</v>
      </c>
      <c r="I26" s="45"/>
      <c r="J26" s="52">
        <v>151.16</v>
      </c>
      <c r="K26" s="45"/>
      <c r="L26" s="52">
        <v>162.03</v>
      </c>
      <c r="M26" s="45"/>
      <c r="N26" s="52">
        <f t="shared" si="0"/>
        <v>650.66999999999996</v>
      </c>
    </row>
    <row r="27" spans="1:14" ht="15" thickBot="1" x14ac:dyDescent="0.35">
      <c r="A27" s="43"/>
      <c r="B27" s="43"/>
      <c r="C27" s="43"/>
      <c r="D27" s="43"/>
      <c r="E27" s="43" t="s">
        <v>277</v>
      </c>
      <c r="F27" s="43"/>
      <c r="G27" s="43"/>
      <c r="H27" s="55">
        <f>ROUND(SUM(H23:H26),5)</f>
        <v>387.48</v>
      </c>
      <c r="I27" s="45"/>
      <c r="J27" s="55">
        <f>ROUND(SUM(J23:J26),5)</f>
        <v>326.16000000000003</v>
      </c>
      <c r="K27" s="45"/>
      <c r="L27" s="55">
        <f>ROUND(SUM(L23:L26),5)</f>
        <v>212.03</v>
      </c>
      <c r="M27" s="45"/>
      <c r="N27" s="55">
        <f t="shared" si="0"/>
        <v>925.67</v>
      </c>
    </row>
    <row r="28" spans="1:14" ht="30" customHeight="1" thickBot="1" x14ac:dyDescent="0.35">
      <c r="A28" s="43"/>
      <c r="B28" s="43"/>
      <c r="C28" s="43"/>
      <c r="D28" s="43" t="s">
        <v>287</v>
      </c>
      <c r="E28" s="43"/>
      <c r="F28" s="43"/>
      <c r="G28" s="43"/>
      <c r="H28" s="53">
        <f>ROUND(H3+SUM(H6:H7)+H16+SUM(H21:H22)+H27,5)</f>
        <v>2151.08</v>
      </c>
      <c r="I28" s="45"/>
      <c r="J28" s="53">
        <f>ROUND(J3+SUM(J6:J7)+J16+SUM(J21:J22)+J27,5)</f>
        <v>2026.67</v>
      </c>
      <c r="K28" s="45"/>
      <c r="L28" s="53">
        <f>ROUND(L3+SUM(L6:L7)+L16+SUM(L21:L22)+L27,5)</f>
        <v>2445.5</v>
      </c>
      <c r="M28" s="45"/>
      <c r="N28" s="53">
        <f t="shared" si="0"/>
        <v>6623.25</v>
      </c>
    </row>
    <row r="29" spans="1:14" ht="30" customHeight="1" x14ac:dyDescent="0.3">
      <c r="A29" s="43"/>
      <c r="B29" s="43" t="s">
        <v>288</v>
      </c>
      <c r="C29" s="43"/>
      <c r="D29" s="43"/>
      <c r="E29" s="43"/>
      <c r="F29" s="43"/>
      <c r="G29" s="43"/>
      <c r="H29" s="52">
        <f>ROUND(H2-H28,5)</f>
        <v>-2151.08</v>
      </c>
      <c r="I29" s="45"/>
      <c r="J29" s="52">
        <f>ROUND(J2-J28,5)</f>
        <v>-2026.67</v>
      </c>
      <c r="K29" s="45"/>
      <c r="L29" s="52">
        <f>ROUND(L2-L28,5)</f>
        <v>-2445.5</v>
      </c>
      <c r="M29" s="45"/>
      <c r="N29" s="52">
        <f t="shared" si="0"/>
        <v>-6623.25</v>
      </c>
    </row>
    <row r="30" spans="1:14" ht="30" customHeight="1" x14ac:dyDescent="0.3">
      <c r="A30" s="43"/>
      <c r="B30" s="43" t="s">
        <v>289</v>
      </c>
      <c r="C30" s="43"/>
      <c r="D30" s="43"/>
      <c r="E30" s="43"/>
      <c r="F30" s="43"/>
      <c r="G30" s="43"/>
      <c r="H30" s="52"/>
      <c r="I30" s="45"/>
      <c r="J30" s="52"/>
      <c r="K30" s="45"/>
      <c r="L30" s="52"/>
      <c r="M30" s="45"/>
      <c r="N30" s="52"/>
    </row>
    <row r="31" spans="1:14" x14ac:dyDescent="0.3">
      <c r="A31" s="43"/>
      <c r="B31" s="43"/>
      <c r="C31" s="43" t="s">
        <v>290</v>
      </c>
      <c r="D31" s="43"/>
      <c r="E31" s="43"/>
      <c r="F31" s="43"/>
      <c r="G31" s="43"/>
      <c r="H31" s="52"/>
      <c r="I31" s="45"/>
      <c r="J31" s="52"/>
      <c r="K31" s="45"/>
      <c r="L31" s="52"/>
      <c r="M31" s="45"/>
      <c r="N31" s="52"/>
    </row>
    <row r="32" spans="1:14" x14ac:dyDescent="0.3">
      <c r="A32" s="43"/>
      <c r="B32" s="43"/>
      <c r="C32" s="43"/>
      <c r="D32" s="43" t="s">
        <v>290</v>
      </c>
      <c r="E32" s="43"/>
      <c r="F32" s="43"/>
      <c r="G32" s="43"/>
      <c r="H32" s="52"/>
      <c r="I32" s="45"/>
      <c r="J32" s="52"/>
      <c r="K32" s="45"/>
      <c r="L32" s="52"/>
      <c r="M32" s="45"/>
      <c r="N32" s="52"/>
    </row>
    <row r="33" spans="1:14" x14ac:dyDescent="0.3">
      <c r="A33" s="43"/>
      <c r="B33" s="43"/>
      <c r="C33" s="43"/>
      <c r="D33" s="43"/>
      <c r="E33" s="43" t="s">
        <v>952</v>
      </c>
      <c r="F33" s="43"/>
      <c r="G33" s="43"/>
      <c r="H33" s="52">
        <v>0</v>
      </c>
      <c r="I33" s="45"/>
      <c r="J33" s="52">
        <v>1437.69</v>
      </c>
      <c r="K33" s="45"/>
      <c r="L33" s="52">
        <v>0</v>
      </c>
      <c r="M33" s="45"/>
      <c r="N33" s="52">
        <f t="shared" ref="N33:N39" si="1">ROUND(SUM(H33:L33),5)</f>
        <v>1437.69</v>
      </c>
    </row>
    <row r="34" spans="1:14" x14ac:dyDescent="0.3">
      <c r="A34" s="43"/>
      <c r="B34" s="43"/>
      <c r="C34" s="43"/>
      <c r="D34" s="43"/>
      <c r="E34" s="43" t="s">
        <v>940</v>
      </c>
      <c r="F34" s="43"/>
      <c r="G34" s="43"/>
      <c r="H34" s="52">
        <v>242.13</v>
      </c>
      <c r="I34" s="45"/>
      <c r="J34" s="52">
        <v>78.39</v>
      </c>
      <c r="K34" s="45"/>
      <c r="L34" s="52">
        <v>57.91</v>
      </c>
      <c r="M34" s="45"/>
      <c r="N34" s="52">
        <f t="shared" si="1"/>
        <v>378.43</v>
      </c>
    </row>
    <row r="35" spans="1:14" ht="15" thickBot="1" x14ac:dyDescent="0.35">
      <c r="A35" s="43"/>
      <c r="B35" s="43"/>
      <c r="C35" s="43"/>
      <c r="D35" s="43"/>
      <c r="E35" s="43" t="s">
        <v>953</v>
      </c>
      <c r="F35" s="43"/>
      <c r="G35" s="43"/>
      <c r="H35" s="52">
        <v>1000</v>
      </c>
      <c r="I35" s="45"/>
      <c r="J35" s="52">
        <v>1000</v>
      </c>
      <c r="K35" s="45"/>
      <c r="L35" s="52">
        <v>1000</v>
      </c>
      <c r="M35" s="45"/>
      <c r="N35" s="52">
        <f t="shared" si="1"/>
        <v>3000</v>
      </c>
    </row>
    <row r="36" spans="1:14" ht="15" thickBot="1" x14ac:dyDescent="0.35">
      <c r="A36" s="43"/>
      <c r="B36" s="43"/>
      <c r="C36" s="43"/>
      <c r="D36" s="43" t="s">
        <v>292</v>
      </c>
      <c r="E36" s="43"/>
      <c r="F36" s="43"/>
      <c r="G36" s="43"/>
      <c r="H36" s="55">
        <f>ROUND(SUM(H32:H35),5)</f>
        <v>1242.1300000000001</v>
      </c>
      <c r="I36" s="45"/>
      <c r="J36" s="55">
        <f>ROUND(SUM(J32:J35),5)</f>
        <v>2516.08</v>
      </c>
      <c r="K36" s="45"/>
      <c r="L36" s="55">
        <f>ROUND(SUM(L32:L35),5)</f>
        <v>1057.9100000000001</v>
      </c>
      <c r="M36" s="45"/>
      <c r="N36" s="55">
        <f t="shared" si="1"/>
        <v>4816.12</v>
      </c>
    </row>
    <row r="37" spans="1:14" ht="30" customHeight="1" thickBot="1" x14ac:dyDescent="0.35">
      <c r="A37" s="43"/>
      <c r="B37" s="43"/>
      <c r="C37" s="43" t="s">
        <v>292</v>
      </c>
      <c r="D37" s="43"/>
      <c r="E37" s="43"/>
      <c r="F37" s="43"/>
      <c r="G37" s="43"/>
      <c r="H37" s="55">
        <f>ROUND(H31+H36,5)</f>
        <v>1242.1300000000001</v>
      </c>
      <c r="I37" s="45"/>
      <c r="J37" s="55">
        <f>ROUND(J31+J36,5)</f>
        <v>2516.08</v>
      </c>
      <c r="K37" s="45"/>
      <c r="L37" s="55">
        <f>ROUND(L31+L36,5)</f>
        <v>1057.9100000000001</v>
      </c>
      <c r="M37" s="45"/>
      <c r="N37" s="55">
        <f t="shared" si="1"/>
        <v>4816.12</v>
      </c>
    </row>
    <row r="38" spans="1:14" ht="30" customHeight="1" thickBot="1" x14ac:dyDescent="0.35">
      <c r="A38" s="43"/>
      <c r="B38" s="43" t="s">
        <v>296</v>
      </c>
      <c r="C38" s="43"/>
      <c r="D38" s="43"/>
      <c r="E38" s="43"/>
      <c r="F38" s="43"/>
      <c r="G38" s="43"/>
      <c r="H38" s="55">
        <f>ROUND(H30+H37,5)</f>
        <v>1242.1300000000001</v>
      </c>
      <c r="I38" s="45"/>
      <c r="J38" s="55">
        <f>ROUND(J30+J37,5)</f>
        <v>2516.08</v>
      </c>
      <c r="K38" s="45"/>
      <c r="L38" s="55">
        <f>ROUND(L30+L37,5)</f>
        <v>1057.9100000000001</v>
      </c>
      <c r="M38" s="45"/>
      <c r="N38" s="55">
        <f t="shared" si="1"/>
        <v>4816.12</v>
      </c>
    </row>
    <row r="39" spans="1:14" s="50" customFormat="1" ht="30" customHeight="1" thickBot="1" x14ac:dyDescent="0.25">
      <c r="A39" s="43" t="s">
        <v>165</v>
      </c>
      <c r="B39" s="43"/>
      <c r="C39" s="43"/>
      <c r="D39" s="43"/>
      <c r="E39" s="43"/>
      <c r="F39" s="43"/>
      <c r="G39" s="43"/>
      <c r="H39" s="56">
        <f>ROUND(H29+H38,5)</f>
        <v>-908.95</v>
      </c>
      <c r="I39" s="43"/>
      <c r="J39" s="56">
        <f>ROUND(J29+J38,5)</f>
        <v>489.41</v>
      </c>
      <c r="K39" s="43"/>
      <c r="L39" s="56">
        <f>ROUND(L29+L38,5)</f>
        <v>-1387.59</v>
      </c>
      <c r="M39" s="43"/>
      <c r="N39" s="56">
        <f t="shared" si="1"/>
        <v>-1807.13</v>
      </c>
    </row>
    <row r="40" spans="1:14" ht="15" thickTop="1" x14ac:dyDescent="0.3"/>
  </sheetData>
  <pageMargins left="0.7" right="0.7" top="0.75" bottom="0.75" header="0.25" footer="0.3"/>
  <pageSetup orientation="portrait" r:id="rId1"/>
  <headerFooter>
    <oddHeader>&amp;L&amp;"Arial,Bold"&amp;8 9:34 AM
&amp;"Arial,Bold"&amp;8 02/18/14
&amp;"Arial,Bold"&amp;8 Accrual Basis&amp;C&amp;"Arial,Bold"&amp;12 127 PAW, LLC
&amp;"Arial,Bold"&amp;14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813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8130" r:id="rId4" name="HEADER"/>
      </mc:Fallback>
    </mc:AlternateContent>
    <mc:AlternateContent xmlns:mc="http://schemas.openxmlformats.org/markup-compatibility/2006">
      <mc:Choice Requires="x14">
        <control shapeId="4812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8129" r:id="rId6" name="FILTER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N34"/>
  <sheetViews>
    <sheetView topLeftCell="A31" workbookViewId="0"/>
  </sheetViews>
  <sheetFormatPr defaultColWidth="9.109375" defaultRowHeight="13.8" x14ac:dyDescent="0.25"/>
  <cols>
    <col min="1" max="1" width="3.6640625" style="67" customWidth="1"/>
    <col min="2" max="3" width="12.6640625" style="67" customWidth="1"/>
    <col min="4" max="5" width="12.6640625" style="68" customWidth="1"/>
    <col min="6" max="6" width="12.6640625" style="67" customWidth="1"/>
    <col min="7" max="7" width="12.88671875" style="67" customWidth="1"/>
    <col min="8" max="8" width="12.6640625" style="67" customWidth="1"/>
    <col min="9" max="9" width="13.33203125" style="67" customWidth="1"/>
    <col min="10" max="18" width="12.6640625" style="67" customWidth="1"/>
    <col min="19" max="16384" width="9.109375" style="67"/>
  </cols>
  <sheetData>
    <row r="1" spans="2:14" ht="22.8" x14ac:dyDescent="0.4">
      <c r="B1" s="163" t="s">
        <v>996</v>
      </c>
      <c r="C1" s="163"/>
      <c r="D1" s="163"/>
      <c r="E1" s="163"/>
      <c r="F1" s="163"/>
      <c r="G1" s="163"/>
      <c r="H1" s="163"/>
      <c r="I1" s="163"/>
      <c r="J1" s="163"/>
      <c r="K1" s="163"/>
      <c r="L1" s="118"/>
      <c r="M1" s="118"/>
      <c r="N1" s="118"/>
    </row>
    <row r="4" spans="2:14" ht="14.4" thickBot="1" x14ac:dyDescent="0.3"/>
    <row r="5" spans="2:14" ht="14.4" thickBot="1" x14ac:dyDescent="0.3">
      <c r="B5" s="67" t="s">
        <v>993</v>
      </c>
      <c r="D5" s="166" t="str">
        <f>Analysis!C5</f>
        <v>21 Webb</v>
      </c>
      <c r="E5" s="167"/>
      <c r="F5" s="168"/>
    </row>
    <row r="6" spans="2:14" ht="14.4" thickBot="1" x14ac:dyDescent="0.3"/>
    <row r="7" spans="2:14" ht="14.4" thickBot="1" x14ac:dyDescent="0.3">
      <c r="B7" s="67" t="s">
        <v>2</v>
      </c>
      <c r="D7" s="166" t="str">
        <f>Analysis!C7</f>
        <v>afsdj</v>
      </c>
      <c r="E7" s="167"/>
      <c r="F7" s="168"/>
    </row>
    <row r="8" spans="2:14" ht="14.4" thickBot="1" x14ac:dyDescent="0.3"/>
    <row r="9" spans="2:14" ht="14.4" thickBot="1" x14ac:dyDescent="0.3">
      <c r="B9" s="67" t="s">
        <v>1</v>
      </c>
      <c r="D9" s="98">
        <f>Analysis!C9</f>
        <v>79290</v>
      </c>
    </row>
    <row r="10" spans="2:14" ht="14.4" thickBot="1" x14ac:dyDescent="0.3"/>
    <row r="11" spans="2:14" ht="14.4" thickBot="1" x14ac:dyDescent="0.3">
      <c r="B11" s="67" t="s">
        <v>21</v>
      </c>
      <c r="D11" s="166" t="str">
        <f>Proposal!D13</f>
        <v>None</v>
      </c>
      <c r="E11" s="167"/>
      <c r="F11" s="168"/>
    </row>
    <row r="12" spans="2:14" ht="14.4" thickBot="1" x14ac:dyDescent="0.3"/>
    <row r="13" spans="2:14" x14ac:dyDescent="0.25">
      <c r="B13" s="101" t="s">
        <v>13</v>
      </c>
      <c r="C13" s="102"/>
      <c r="D13" s="102"/>
      <c r="E13" s="102"/>
      <c r="F13" s="103"/>
      <c r="H13" s="169" t="s">
        <v>10</v>
      </c>
      <c r="I13" s="170"/>
      <c r="J13" s="170"/>
      <c r="K13" s="170"/>
      <c r="L13" s="171"/>
    </row>
    <row r="14" spans="2:14" ht="55.2" x14ac:dyDescent="0.25">
      <c r="B14" s="104" t="s">
        <v>0</v>
      </c>
      <c r="C14" s="77" t="s">
        <v>11</v>
      </c>
      <c r="D14" s="78" t="s">
        <v>1015</v>
      </c>
      <c r="E14" s="78" t="s">
        <v>5</v>
      </c>
      <c r="F14" s="105" t="s">
        <v>12</v>
      </c>
      <c r="H14" s="106" t="s">
        <v>4</v>
      </c>
      <c r="I14" s="77" t="s">
        <v>6</v>
      </c>
      <c r="J14" s="77" t="s">
        <v>8</v>
      </c>
      <c r="K14" s="77" t="s">
        <v>7</v>
      </c>
      <c r="L14" s="107" t="s">
        <v>9</v>
      </c>
    </row>
    <row r="15" spans="2:14" x14ac:dyDescent="0.25">
      <c r="B15" s="89"/>
      <c r="F15" s="90"/>
      <c r="H15" s="89"/>
      <c r="L15" s="108"/>
    </row>
    <row r="16" spans="2:14" x14ac:dyDescent="0.25">
      <c r="B16" s="104">
        <v>1</v>
      </c>
      <c r="C16" s="109">
        <f>Proposal!C18</f>
        <v>11.72</v>
      </c>
      <c r="D16" s="109">
        <f>IF(Analysis!$C$12=0,0,Analysis!D20)</f>
        <v>0</v>
      </c>
      <c r="E16" s="109">
        <f>Proposal!D18+Proposal!E18</f>
        <v>77439.900000000009</v>
      </c>
      <c r="F16" s="110">
        <f>E16*12</f>
        <v>929278.8</v>
      </c>
      <c r="H16" s="119">
        <f>Proposal!K18</f>
        <v>12.72</v>
      </c>
      <c r="I16" s="109">
        <f>Proposal!L18</f>
        <v>84047.4</v>
      </c>
      <c r="J16" s="109">
        <f>Proposal!M18</f>
        <v>3.9</v>
      </c>
      <c r="K16" s="109">
        <f>Proposal!N18</f>
        <v>25769.25</v>
      </c>
      <c r="L16" s="110">
        <f>Proposal!O18</f>
        <v>109816.65</v>
      </c>
    </row>
    <row r="17" spans="2:12" ht="14.4" thickBot="1" x14ac:dyDescent="0.3">
      <c r="B17" s="104">
        <v>2</v>
      </c>
      <c r="C17" s="112">
        <f>Proposal!C19</f>
        <v>11.97</v>
      </c>
      <c r="D17" s="112">
        <f>IF(Analysis!$C$12=0,0,Analysis!D21)</f>
        <v>0</v>
      </c>
      <c r="E17" s="112">
        <f>Proposal!D19+Proposal!E19</f>
        <v>79091.775000000009</v>
      </c>
      <c r="F17" s="113">
        <f t="shared" ref="F17:F26" si="0">E17*12</f>
        <v>949101.3</v>
      </c>
      <c r="H17" s="93"/>
      <c r="I17" s="94"/>
      <c r="J17" s="94"/>
      <c r="K17" s="94"/>
      <c r="L17" s="114"/>
    </row>
    <row r="18" spans="2:12" x14ac:dyDescent="0.25">
      <c r="B18" s="104">
        <v>3</v>
      </c>
      <c r="C18" s="112">
        <f>Proposal!C20</f>
        <v>12.22</v>
      </c>
      <c r="D18" s="112">
        <f>IF(Analysis!$C$12=0,0,Analysis!D22)</f>
        <v>0</v>
      </c>
      <c r="E18" s="112">
        <f>Proposal!D20+Proposal!E20</f>
        <v>80743.650000000009</v>
      </c>
      <c r="F18" s="113">
        <f t="shared" si="0"/>
        <v>968923.8</v>
      </c>
    </row>
    <row r="19" spans="2:12" x14ac:dyDescent="0.25">
      <c r="B19" s="104">
        <v>4</v>
      </c>
      <c r="C19" s="112">
        <f>Proposal!C21</f>
        <v>12.47</v>
      </c>
      <c r="D19" s="112">
        <f>IF(Analysis!$C$12=0,0,Analysis!D23)</f>
        <v>0</v>
      </c>
      <c r="E19" s="112">
        <f>Proposal!D21+Proposal!E21</f>
        <v>82395.525000000009</v>
      </c>
      <c r="F19" s="113">
        <f t="shared" si="0"/>
        <v>988746.3</v>
      </c>
    </row>
    <row r="20" spans="2:12" x14ac:dyDescent="0.25">
      <c r="B20" s="104">
        <v>5</v>
      </c>
      <c r="C20" s="112">
        <f>Proposal!C22</f>
        <v>12.72</v>
      </c>
      <c r="D20" s="112">
        <f>IF(Analysis!$C$12=0,0,Analysis!D24)</f>
        <v>0</v>
      </c>
      <c r="E20" s="112">
        <f>Proposal!D22+Proposal!E22</f>
        <v>84047.400000000009</v>
      </c>
      <c r="F20" s="113">
        <f t="shared" si="0"/>
        <v>1008568.8</v>
      </c>
      <c r="H20" s="115" t="s">
        <v>24</v>
      </c>
    </row>
    <row r="21" spans="2:12" x14ac:dyDescent="0.25">
      <c r="B21" s="104">
        <v>6</v>
      </c>
      <c r="C21" s="112">
        <f>Proposal!C23</f>
        <v>0</v>
      </c>
      <c r="D21" s="112">
        <f>IF(Analysis!$C$12=0,0,Analysis!D25)</f>
        <v>0</v>
      </c>
      <c r="E21" s="112">
        <f>Proposal!D23+Proposal!E23</f>
        <v>0</v>
      </c>
      <c r="F21" s="113">
        <f t="shared" si="0"/>
        <v>0</v>
      </c>
    </row>
    <row r="22" spans="2:12" x14ac:dyDescent="0.25">
      <c r="B22" s="104">
        <v>7</v>
      </c>
      <c r="C22" s="112">
        <f>Proposal!C24</f>
        <v>0</v>
      </c>
      <c r="D22" s="112">
        <f>IF(Analysis!$C$12=0,0,Analysis!D26)</f>
        <v>0</v>
      </c>
      <c r="E22" s="112">
        <f>Proposal!D24+Proposal!E24</f>
        <v>0</v>
      </c>
      <c r="F22" s="113">
        <f t="shared" si="0"/>
        <v>0</v>
      </c>
      <c r="H22" s="116"/>
      <c r="I22" s="116"/>
      <c r="J22" s="116"/>
      <c r="K22" s="116"/>
      <c r="L22" s="116"/>
    </row>
    <row r="23" spans="2:12" x14ac:dyDescent="0.25">
      <c r="B23" s="104">
        <v>8</v>
      </c>
      <c r="C23" s="112">
        <f>Proposal!C25</f>
        <v>0</v>
      </c>
      <c r="D23" s="112">
        <f>IF(Analysis!$C$12=0,0,Analysis!D27)</f>
        <v>0</v>
      </c>
      <c r="E23" s="112">
        <f>Proposal!D25+Proposal!E25</f>
        <v>0</v>
      </c>
      <c r="F23" s="113">
        <f t="shared" si="0"/>
        <v>0</v>
      </c>
    </row>
    <row r="24" spans="2:12" x14ac:dyDescent="0.25">
      <c r="B24" s="104">
        <v>9</v>
      </c>
      <c r="C24" s="112">
        <f>Proposal!C26</f>
        <v>0</v>
      </c>
      <c r="D24" s="112">
        <f>IF(Analysis!$C$12=0,0,Analysis!D28)</f>
        <v>0</v>
      </c>
      <c r="E24" s="112">
        <f>Proposal!D26+Proposal!E26</f>
        <v>0</v>
      </c>
      <c r="F24" s="113">
        <f t="shared" si="0"/>
        <v>0</v>
      </c>
      <c r="H24" s="116"/>
      <c r="I24" s="116"/>
      <c r="J24" s="116"/>
      <c r="K24" s="116"/>
      <c r="L24" s="116"/>
    </row>
    <row r="25" spans="2:12" x14ac:dyDescent="0.25">
      <c r="B25" s="104">
        <v>10</v>
      </c>
      <c r="C25" s="112">
        <f>Proposal!C27</f>
        <v>0</v>
      </c>
      <c r="D25" s="112">
        <f>IF(Analysis!$C$12=0,0,Analysis!D29)</f>
        <v>0</v>
      </c>
      <c r="E25" s="112">
        <f>Proposal!D27+Proposal!E27</f>
        <v>0</v>
      </c>
      <c r="F25" s="113">
        <f t="shared" si="0"/>
        <v>0</v>
      </c>
    </row>
    <row r="26" spans="2:12" x14ac:dyDescent="0.25">
      <c r="B26" s="104">
        <v>11</v>
      </c>
      <c r="C26" s="112">
        <f>Proposal!C28</f>
        <v>0</v>
      </c>
      <c r="D26" s="112">
        <f>IF(Analysis!$C$12=0,0,Analysis!D30)</f>
        <v>0</v>
      </c>
      <c r="E26" s="112">
        <f>Proposal!D28+Proposal!E28</f>
        <v>0</v>
      </c>
      <c r="F26" s="113">
        <f t="shared" si="0"/>
        <v>0</v>
      </c>
      <c r="H26" s="116"/>
      <c r="I26" s="116"/>
      <c r="J26" s="116"/>
      <c r="K26" s="116"/>
      <c r="L26" s="116"/>
    </row>
    <row r="27" spans="2:12" x14ac:dyDescent="0.25">
      <c r="B27" s="89"/>
      <c r="F27" s="110">
        <f>SUM(F16:F26)</f>
        <v>4844619</v>
      </c>
    </row>
    <row r="28" spans="2:12" ht="14.4" thickBot="1" x14ac:dyDescent="0.3">
      <c r="B28" s="93"/>
      <c r="C28" s="94"/>
      <c r="D28" s="95"/>
      <c r="E28" s="95"/>
      <c r="F28" s="96"/>
      <c r="H28" s="116"/>
      <c r="I28" s="116"/>
      <c r="J28" s="116"/>
      <c r="K28" s="116"/>
      <c r="L28" s="116"/>
    </row>
    <row r="29" spans="2:12" ht="14.4" thickBot="1" x14ac:dyDescent="0.3"/>
    <row r="30" spans="2:12" x14ac:dyDescent="0.25">
      <c r="B30" s="169" t="s">
        <v>17</v>
      </c>
      <c r="C30" s="170"/>
      <c r="D30" s="170"/>
      <c r="E30" s="170"/>
      <c r="F30" s="170"/>
      <c r="G30" s="171"/>
    </row>
    <row r="31" spans="2:12" ht="41.4" x14ac:dyDescent="0.25">
      <c r="B31" s="106" t="s">
        <v>14</v>
      </c>
      <c r="C31" s="77" t="s">
        <v>15</v>
      </c>
      <c r="D31" s="77" t="s">
        <v>16</v>
      </c>
      <c r="E31" s="77" t="s">
        <v>18</v>
      </c>
      <c r="F31" s="77" t="s">
        <v>19</v>
      </c>
      <c r="G31" s="107" t="s">
        <v>20</v>
      </c>
    </row>
    <row r="32" spans="2:12" x14ac:dyDescent="0.25">
      <c r="B32" s="89"/>
      <c r="D32" s="67"/>
      <c r="E32" s="67"/>
      <c r="G32" s="108"/>
    </row>
    <row r="33" spans="2:7" x14ac:dyDescent="0.25">
      <c r="B33" s="119">
        <f>Proposal!B35</f>
        <v>4844619</v>
      </c>
      <c r="C33" s="120">
        <f>Proposal!C35</f>
        <v>0.06</v>
      </c>
      <c r="D33" s="109">
        <f>Proposal!D35</f>
        <v>290677.14</v>
      </c>
      <c r="E33" s="109">
        <f>Proposal!E35</f>
        <v>290677.14</v>
      </c>
      <c r="F33" s="109">
        <f>Proposal!F35</f>
        <v>145338.57</v>
      </c>
      <c r="G33" s="110">
        <f>Proposal!G35</f>
        <v>0</v>
      </c>
    </row>
    <row r="34" spans="2:7" ht="14.4" thickBot="1" x14ac:dyDescent="0.3">
      <c r="B34" s="93"/>
      <c r="C34" s="94"/>
      <c r="D34" s="94"/>
      <c r="E34" s="94"/>
      <c r="F34" s="94"/>
      <c r="G34" s="114"/>
    </row>
  </sheetData>
  <sheetProtection selectLockedCells="1"/>
  <protectedRanges>
    <protectedRange sqref="J16 D33" name="Range5"/>
    <protectedRange sqref="C16:C26" name="Range3"/>
    <protectedRange sqref="H16 B33" name="Range4"/>
    <protectedRange sqref="D7:F7 D5:F5" name="Range1_2"/>
    <protectedRange sqref="D9" name="Range2_1"/>
    <protectedRange sqref="D11:F11" name="Range1_1_1"/>
  </protectedRanges>
  <mergeCells count="6">
    <mergeCell ref="D5:F5"/>
    <mergeCell ref="B1:K1"/>
    <mergeCell ref="B30:G30"/>
    <mergeCell ref="D11:F11"/>
    <mergeCell ref="D7:F7"/>
    <mergeCell ref="H13:L13"/>
  </mergeCells>
  <printOptions horizontalCentered="1"/>
  <pageMargins left="0.25" right="0.25" top="0.5" bottom="0.5" header="0.3" footer="0.3"/>
  <pageSetup scale="88" orientation="landscape" r:id="rId1"/>
  <headerFooter>
    <oddFooter>&amp;L&amp;8&amp;F - &amp;A&amp;C&amp;8Page &amp;P of &amp;N&amp;R&amp;8&amp;D - &amp;T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9"/>
  <dimension ref="A1:J42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114</v>
      </c>
      <c r="D4" s="43"/>
      <c r="E4" s="43"/>
      <c r="F4" s="44"/>
      <c r="G4" s="45"/>
      <c r="H4" s="44"/>
      <c r="I4" s="45"/>
      <c r="J4" s="44"/>
    </row>
    <row r="5" spans="1:10" ht="15" thickBot="1" x14ac:dyDescent="0.35">
      <c r="A5" s="43"/>
      <c r="B5" s="43"/>
      <c r="C5" s="43"/>
      <c r="D5" s="43" t="s">
        <v>351</v>
      </c>
      <c r="E5" s="43"/>
      <c r="F5" s="46">
        <v>2533</v>
      </c>
      <c r="G5" s="45"/>
      <c r="H5" s="46">
        <v>698</v>
      </c>
      <c r="I5" s="45"/>
      <c r="J5" s="46">
        <v>4979</v>
      </c>
    </row>
    <row r="6" spans="1:10" x14ac:dyDescent="0.3">
      <c r="A6" s="43"/>
      <c r="B6" s="43"/>
      <c r="C6" s="43" t="s">
        <v>117</v>
      </c>
      <c r="D6" s="43"/>
      <c r="E6" s="43"/>
      <c r="F6" s="44">
        <f>ROUND(SUM(F4:F5),5)</f>
        <v>2533</v>
      </c>
      <c r="G6" s="45"/>
      <c r="H6" s="44">
        <f>ROUND(SUM(H4:H5),5)</f>
        <v>698</v>
      </c>
      <c r="I6" s="45"/>
      <c r="J6" s="44">
        <f>ROUND(SUM(J4:J5),5)</f>
        <v>4979</v>
      </c>
    </row>
    <row r="7" spans="1:10" ht="30" customHeight="1" x14ac:dyDescent="0.3">
      <c r="A7" s="43"/>
      <c r="B7" s="43"/>
      <c r="C7" s="43" t="s">
        <v>120</v>
      </c>
      <c r="D7" s="43"/>
      <c r="E7" s="43"/>
      <c r="F7" s="44"/>
      <c r="G7" s="45"/>
      <c r="H7" s="44"/>
      <c r="I7" s="45"/>
      <c r="J7" s="44"/>
    </row>
    <row r="8" spans="1:10" ht="15" thickBot="1" x14ac:dyDescent="0.35">
      <c r="A8" s="43"/>
      <c r="B8" s="43"/>
      <c r="C8" s="43"/>
      <c r="D8" s="43" t="s">
        <v>122</v>
      </c>
      <c r="E8" s="43"/>
      <c r="F8" s="44">
        <v>67</v>
      </c>
      <c r="G8" s="45"/>
      <c r="H8" s="44">
        <v>67</v>
      </c>
      <c r="I8" s="45"/>
      <c r="J8" s="44">
        <v>55</v>
      </c>
    </row>
    <row r="9" spans="1:10" ht="15" thickBot="1" x14ac:dyDescent="0.35">
      <c r="A9" s="43"/>
      <c r="B9" s="43"/>
      <c r="C9" s="43" t="s">
        <v>124</v>
      </c>
      <c r="D9" s="43"/>
      <c r="E9" s="43"/>
      <c r="F9" s="47">
        <f>ROUND(SUM(F7:F8),5)</f>
        <v>67</v>
      </c>
      <c r="G9" s="45"/>
      <c r="H9" s="47">
        <f>ROUND(SUM(H7:H8),5)</f>
        <v>67</v>
      </c>
      <c r="I9" s="45"/>
      <c r="J9" s="47">
        <f>ROUND(SUM(J7:J8),5)</f>
        <v>55</v>
      </c>
    </row>
    <row r="10" spans="1:10" ht="30" customHeight="1" x14ac:dyDescent="0.3">
      <c r="A10" s="43"/>
      <c r="B10" s="43" t="s">
        <v>125</v>
      </c>
      <c r="C10" s="43"/>
      <c r="D10" s="43"/>
      <c r="E10" s="43"/>
      <c r="F10" s="44">
        <f>ROUND(F3+F6+F9,5)</f>
        <v>2600</v>
      </c>
      <c r="G10" s="45"/>
      <c r="H10" s="44">
        <f>ROUND(H3+H6+H9,5)</f>
        <v>765</v>
      </c>
      <c r="I10" s="45"/>
      <c r="J10" s="44">
        <f>ROUND(J3+J6+J9,5)</f>
        <v>5034</v>
      </c>
    </row>
    <row r="11" spans="1:10" ht="30" customHeight="1" x14ac:dyDescent="0.3">
      <c r="A11" s="43"/>
      <c r="B11" s="43" t="s">
        <v>126</v>
      </c>
      <c r="C11" s="43"/>
      <c r="D11" s="43"/>
      <c r="E11" s="43"/>
      <c r="F11" s="44"/>
      <c r="G11" s="45"/>
      <c r="H11" s="44"/>
      <c r="I11" s="45"/>
      <c r="J11" s="44"/>
    </row>
    <row r="12" spans="1:10" x14ac:dyDescent="0.3">
      <c r="A12" s="43"/>
      <c r="B12" s="43"/>
      <c r="C12" s="43" t="s">
        <v>954</v>
      </c>
      <c r="D12" s="43"/>
      <c r="E12" s="43"/>
      <c r="F12" s="44">
        <v>2441279</v>
      </c>
      <c r="G12" s="45"/>
      <c r="H12" s="44">
        <v>2441279</v>
      </c>
      <c r="I12" s="45"/>
      <c r="J12" s="44">
        <v>2487527</v>
      </c>
    </row>
    <row r="13" spans="1:10" ht="15" thickBot="1" x14ac:dyDescent="0.35">
      <c r="A13" s="43"/>
      <c r="B13" s="43"/>
      <c r="C13" s="43" t="s">
        <v>129</v>
      </c>
      <c r="D13" s="43"/>
      <c r="E13" s="43"/>
      <c r="F13" s="46">
        <v>45190</v>
      </c>
      <c r="G13" s="45"/>
      <c r="H13" s="46">
        <v>70539</v>
      </c>
      <c r="I13" s="45"/>
      <c r="J13" s="46">
        <v>70607</v>
      </c>
    </row>
    <row r="14" spans="1:10" x14ac:dyDescent="0.3">
      <c r="A14" s="43"/>
      <c r="B14" s="43" t="s">
        <v>136</v>
      </c>
      <c r="C14" s="43"/>
      <c r="D14" s="43"/>
      <c r="E14" s="43"/>
      <c r="F14" s="44">
        <f>ROUND(SUM(F11:F13),5)</f>
        <v>2486469</v>
      </c>
      <c r="G14" s="45"/>
      <c r="H14" s="44">
        <f>ROUND(SUM(H11:H13),5)</f>
        <v>2511818</v>
      </c>
      <c r="I14" s="45"/>
      <c r="J14" s="44">
        <f>ROUND(SUM(J11:J13),5)</f>
        <v>2558134</v>
      </c>
    </row>
    <row r="15" spans="1:10" ht="30" customHeight="1" x14ac:dyDescent="0.3">
      <c r="A15" s="43"/>
      <c r="B15" s="43" t="s">
        <v>137</v>
      </c>
      <c r="C15" s="43"/>
      <c r="D15" s="43"/>
      <c r="E15" s="43"/>
      <c r="F15" s="44"/>
      <c r="G15" s="45"/>
      <c r="H15" s="44"/>
      <c r="I15" s="45"/>
      <c r="J15" s="44"/>
    </row>
    <row r="16" spans="1:10" x14ac:dyDescent="0.3">
      <c r="A16" s="43"/>
      <c r="B16" s="43"/>
      <c r="C16" s="43" t="s">
        <v>512</v>
      </c>
      <c r="D16" s="43"/>
      <c r="E16" s="43"/>
      <c r="F16" s="44">
        <v>8392</v>
      </c>
      <c r="G16" s="45"/>
      <c r="H16" s="44">
        <v>0</v>
      </c>
      <c r="I16" s="45"/>
      <c r="J16" s="44">
        <v>0</v>
      </c>
    </row>
    <row r="17" spans="1:10" ht="15" thickBot="1" x14ac:dyDescent="0.35">
      <c r="A17" s="43"/>
      <c r="B17" s="43"/>
      <c r="C17" s="43" t="s">
        <v>955</v>
      </c>
      <c r="D17" s="43"/>
      <c r="E17" s="43"/>
      <c r="F17" s="44">
        <v>395026</v>
      </c>
      <c r="G17" s="45"/>
      <c r="H17" s="44">
        <v>501738</v>
      </c>
      <c r="I17" s="45"/>
      <c r="J17" s="44">
        <v>504608</v>
      </c>
    </row>
    <row r="18" spans="1:10" ht="15" thickBot="1" x14ac:dyDescent="0.35">
      <c r="A18" s="43"/>
      <c r="B18" s="43" t="s">
        <v>141</v>
      </c>
      <c r="C18" s="43"/>
      <c r="D18" s="43"/>
      <c r="E18" s="43"/>
      <c r="F18" s="48">
        <f>ROUND(SUM(F15:F17),5)</f>
        <v>403418</v>
      </c>
      <c r="G18" s="45"/>
      <c r="H18" s="48">
        <f>ROUND(SUM(H15:H17),5)</f>
        <v>501738</v>
      </c>
      <c r="I18" s="45"/>
      <c r="J18" s="48">
        <f>ROUND(SUM(J15:J17),5)</f>
        <v>504608</v>
      </c>
    </row>
    <row r="19" spans="1:10" s="50" customFormat="1" ht="30" customHeight="1" thickBot="1" x14ac:dyDescent="0.25">
      <c r="A19" s="43" t="s">
        <v>142</v>
      </c>
      <c r="B19" s="43"/>
      <c r="C19" s="43"/>
      <c r="D19" s="43"/>
      <c r="E19" s="43"/>
      <c r="F19" s="49">
        <f>ROUND(F2+F10+F14+F18,5)</f>
        <v>2892487</v>
      </c>
      <c r="G19" s="43"/>
      <c r="H19" s="49">
        <f>ROUND(H2+H10+H14+H18,5)</f>
        <v>3014321</v>
      </c>
      <c r="I19" s="43"/>
      <c r="J19" s="49">
        <f>ROUND(J2+J10+J14+J18,5)</f>
        <v>3067776</v>
      </c>
    </row>
    <row r="20" spans="1:10" ht="31.5" customHeight="1" thickTop="1" x14ac:dyDescent="0.3">
      <c r="A20" s="43" t="s">
        <v>143</v>
      </c>
      <c r="B20" s="43"/>
      <c r="C20" s="43"/>
      <c r="D20" s="43"/>
      <c r="E20" s="43"/>
      <c r="F20" s="44"/>
      <c r="G20" s="45"/>
      <c r="H20" s="44"/>
      <c r="I20" s="45"/>
      <c r="J20" s="44"/>
    </row>
    <row r="21" spans="1:10" x14ac:dyDescent="0.3">
      <c r="A21" s="43"/>
      <c r="B21" s="43" t="s">
        <v>144</v>
      </c>
      <c r="C21" s="43"/>
      <c r="D21" s="43"/>
      <c r="E21" s="43"/>
      <c r="F21" s="44"/>
      <c r="G21" s="45"/>
      <c r="H21" s="44"/>
      <c r="I21" s="45"/>
      <c r="J21" s="44"/>
    </row>
    <row r="22" spans="1:10" x14ac:dyDescent="0.3">
      <c r="A22" s="43"/>
      <c r="B22" s="43"/>
      <c r="C22" s="43" t="s">
        <v>145</v>
      </c>
      <c r="D22" s="43"/>
      <c r="E22" s="43"/>
      <c r="F22" s="44"/>
      <c r="G22" s="45"/>
      <c r="H22" s="44"/>
      <c r="I22" s="45"/>
      <c r="J22" s="44"/>
    </row>
    <row r="23" spans="1:10" x14ac:dyDescent="0.3">
      <c r="A23" s="43"/>
      <c r="B23" s="43"/>
      <c r="C23" s="43"/>
      <c r="D23" s="43" t="s">
        <v>146</v>
      </c>
      <c r="E23" s="43"/>
      <c r="F23" s="44"/>
      <c r="G23" s="45"/>
      <c r="H23" s="44"/>
      <c r="I23" s="45"/>
      <c r="J23" s="44"/>
    </row>
    <row r="24" spans="1:10" ht="15" thickBot="1" x14ac:dyDescent="0.35">
      <c r="A24" s="43"/>
      <c r="B24" s="43"/>
      <c r="C24" s="43"/>
      <c r="D24" s="43"/>
      <c r="E24" s="43" t="s">
        <v>146</v>
      </c>
      <c r="F24" s="46">
        <v>9419</v>
      </c>
      <c r="G24" s="45"/>
      <c r="H24" s="46">
        <v>154</v>
      </c>
      <c r="I24" s="45"/>
      <c r="J24" s="46">
        <v>8485</v>
      </c>
    </row>
    <row r="25" spans="1:10" x14ac:dyDescent="0.3">
      <c r="A25" s="43"/>
      <c r="B25" s="43"/>
      <c r="C25" s="43"/>
      <c r="D25" s="43" t="s">
        <v>147</v>
      </c>
      <c r="E25" s="43"/>
      <c r="F25" s="44">
        <f>ROUND(SUM(F23:F24),5)</f>
        <v>9419</v>
      </c>
      <c r="G25" s="45"/>
      <c r="H25" s="44">
        <f>ROUND(SUM(H23:H24),5)</f>
        <v>154</v>
      </c>
      <c r="I25" s="45"/>
      <c r="J25" s="44">
        <f>ROUND(SUM(J23:J24),5)</f>
        <v>8485</v>
      </c>
    </row>
    <row r="26" spans="1:10" ht="30" customHeight="1" x14ac:dyDescent="0.3">
      <c r="A26" s="43"/>
      <c r="B26" s="43"/>
      <c r="C26" s="43"/>
      <c r="D26" s="43" t="s">
        <v>148</v>
      </c>
      <c r="E26" s="43"/>
      <c r="F26" s="44"/>
      <c r="G26" s="45"/>
      <c r="H26" s="44"/>
      <c r="I26" s="45"/>
      <c r="J26" s="44"/>
    </row>
    <row r="27" spans="1:10" x14ac:dyDescent="0.3">
      <c r="A27" s="43"/>
      <c r="B27" s="43"/>
      <c r="C27" s="43"/>
      <c r="D27" s="43"/>
      <c r="E27" s="43" t="s">
        <v>956</v>
      </c>
      <c r="F27" s="44">
        <v>0</v>
      </c>
      <c r="G27" s="45"/>
      <c r="H27" s="44">
        <v>22000</v>
      </c>
      <c r="I27" s="45"/>
      <c r="J27" s="44">
        <v>60000</v>
      </c>
    </row>
    <row r="28" spans="1:10" x14ac:dyDescent="0.3">
      <c r="A28" s="43"/>
      <c r="B28" s="43"/>
      <c r="C28" s="43"/>
      <c r="D28" s="43"/>
      <c r="E28" s="43" t="s">
        <v>149</v>
      </c>
      <c r="F28" s="44">
        <v>0</v>
      </c>
      <c r="G28" s="45"/>
      <c r="H28" s="44">
        <v>69300</v>
      </c>
      <c r="I28" s="45"/>
      <c r="J28" s="44">
        <v>0</v>
      </c>
    </row>
    <row r="29" spans="1:10" x14ac:dyDescent="0.3">
      <c r="A29" s="43"/>
      <c r="B29" s="43"/>
      <c r="C29" s="43"/>
      <c r="D29" s="43"/>
      <c r="E29" s="43" t="s">
        <v>669</v>
      </c>
      <c r="F29" s="44">
        <v>0</v>
      </c>
      <c r="G29" s="45"/>
      <c r="H29" s="44">
        <v>17354</v>
      </c>
      <c r="I29" s="45"/>
      <c r="J29" s="44">
        <v>17387</v>
      </c>
    </row>
    <row r="30" spans="1:10" x14ac:dyDescent="0.3">
      <c r="A30" s="43"/>
      <c r="B30" s="43"/>
      <c r="C30" s="43"/>
      <c r="D30" s="43"/>
      <c r="E30" s="43" t="s">
        <v>957</v>
      </c>
      <c r="F30" s="44">
        <v>436024</v>
      </c>
      <c r="G30" s="45"/>
      <c r="H30" s="44">
        <v>542080</v>
      </c>
      <c r="I30" s="45"/>
      <c r="J30" s="44">
        <v>769732</v>
      </c>
    </row>
    <row r="31" spans="1:10" x14ac:dyDescent="0.3">
      <c r="A31" s="43"/>
      <c r="B31" s="43"/>
      <c r="C31" s="43"/>
      <c r="D31" s="43"/>
      <c r="E31" s="43" t="s">
        <v>958</v>
      </c>
      <c r="F31" s="44">
        <v>1621558</v>
      </c>
      <c r="G31" s="45"/>
      <c r="H31" s="44">
        <v>1540481</v>
      </c>
      <c r="I31" s="45"/>
      <c r="J31" s="51">
        <v>1458362</v>
      </c>
    </row>
    <row r="32" spans="1:10" ht="15" thickBot="1" x14ac:dyDescent="0.35">
      <c r="A32" s="43"/>
      <c r="B32" s="43"/>
      <c r="C32" s="43"/>
      <c r="D32" s="43"/>
      <c r="E32" s="43" t="s">
        <v>356</v>
      </c>
      <c r="F32" s="44">
        <v>2533</v>
      </c>
      <c r="G32" s="45"/>
      <c r="H32" s="44">
        <v>0</v>
      </c>
      <c r="I32" s="45"/>
      <c r="J32" s="44">
        <v>2500</v>
      </c>
    </row>
    <row r="33" spans="1:10" ht="15" thickBot="1" x14ac:dyDescent="0.35">
      <c r="A33" s="43"/>
      <c r="B33" s="43"/>
      <c r="C33" s="43"/>
      <c r="D33" s="43" t="s">
        <v>152</v>
      </c>
      <c r="E33" s="43"/>
      <c r="F33" s="48">
        <f>ROUND(SUM(F26:F32),5)</f>
        <v>2060115</v>
      </c>
      <c r="G33" s="45"/>
      <c r="H33" s="48">
        <f>ROUND(SUM(H26:H32),5)</f>
        <v>2191215</v>
      </c>
      <c r="I33" s="45"/>
      <c r="J33" s="48">
        <f>ROUND(SUM(J26:J32),5)</f>
        <v>2307981</v>
      </c>
    </row>
    <row r="34" spans="1:10" ht="30" customHeight="1" thickBot="1" x14ac:dyDescent="0.35">
      <c r="A34" s="43"/>
      <c r="B34" s="43"/>
      <c r="C34" s="43" t="s">
        <v>153</v>
      </c>
      <c r="D34" s="43"/>
      <c r="E34" s="43"/>
      <c r="F34" s="47">
        <f>ROUND(F22+F25+F33,5)</f>
        <v>2069534</v>
      </c>
      <c r="G34" s="45"/>
      <c r="H34" s="47">
        <f>ROUND(H22+H25+H33,5)</f>
        <v>2191369</v>
      </c>
      <c r="I34" s="45"/>
      <c r="J34" s="47">
        <f>ROUND(J22+J25+J33,5)</f>
        <v>2316466</v>
      </c>
    </row>
    <row r="35" spans="1:10" ht="30" customHeight="1" x14ac:dyDescent="0.3">
      <c r="A35" s="43"/>
      <c r="B35" s="43" t="s">
        <v>158</v>
      </c>
      <c r="C35" s="43"/>
      <c r="D35" s="43"/>
      <c r="E35" s="43"/>
      <c r="F35" s="44">
        <f>ROUND(F21+F34,5)</f>
        <v>2069534</v>
      </c>
      <c r="G35" s="45"/>
      <c r="H35" s="44">
        <f>ROUND(H21+H34,5)</f>
        <v>2191369</v>
      </c>
      <c r="I35" s="45"/>
      <c r="J35" s="44">
        <f>ROUND(J21+J34,5)</f>
        <v>2316466</v>
      </c>
    </row>
    <row r="36" spans="1:10" ht="30" customHeight="1" x14ac:dyDescent="0.3">
      <c r="A36" s="43"/>
      <c r="B36" s="43" t="s">
        <v>159</v>
      </c>
      <c r="C36" s="43"/>
      <c r="D36" s="43"/>
      <c r="E36" s="43"/>
      <c r="F36" s="44"/>
      <c r="G36" s="45"/>
      <c r="H36" s="44"/>
      <c r="I36" s="45"/>
      <c r="J36" s="44"/>
    </row>
    <row r="37" spans="1:10" x14ac:dyDescent="0.3">
      <c r="A37" s="43"/>
      <c r="B37" s="43"/>
      <c r="C37" s="43" t="s">
        <v>959</v>
      </c>
      <c r="D37" s="43"/>
      <c r="E37" s="43"/>
      <c r="F37" s="44">
        <v>322953</v>
      </c>
      <c r="G37" s="45"/>
      <c r="H37" s="44">
        <v>322953</v>
      </c>
      <c r="I37" s="45"/>
      <c r="J37" s="44">
        <v>322953</v>
      </c>
    </row>
    <row r="38" spans="1:10" x14ac:dyDescent="0.3">
      <c r="A38" s="43"/>
      <c r="B38" s="43"/>
      <c r="C38" s="43" t="s">
        <v>960</v>
      </c>
      <c r="D38" s="43"/>
      <c r="E38" s="43"/>
      <c r="F38" s="44">
        <v>500000</v>
      </c>
      <c r="G38" s="45"/>
      <c r="H38" s="44">
        <v>500000</v>
      </c>
      <c r="I38" s="45"/>
      <c r="J38" s="44">
        <v>500000</v>
      </c>
    </row>
    <row r="39" spans="1:10" ht="15" thickBot="1" x14ac:dyDescent="0.35">
      <c r="A39" s="43"/>
      <c r="B39" s="43"/>
      <c r="C39" s="43" t="s">
        <v>165</v>
      </c>
      <c r="D39" s="43"/>
      <c r="E39" s="43"/>
      <c r="F39" s="44">
        <v>0</v>
      </c>
      <c r="G39" s="45"/>
      <c r="H39" s="44">
        <v>0</v>
      </c>
      <c r="I39" s="45"/>
      <c r="J39" s="44">
        <v>-71643</v>
      </c>
    </row>
    <row r="40" spans="1:10" ht="15" thickBot="1" x14ac:dyDescent="0.35">
      <c r="A40" s="43"/>
      <c r="B40" s="43" t="s">
        <v>166</v>
      </c>
      <c r="C40" s="43"/>
      <c r="D40" s="43"/>
      <c r="E40" s="43"/>
      <c r="F40" s="48">
        <f>ROUND(SUM(F36:F39),5)</f>
        <v>822953</v>
      </c>
      <c r="G40" s="45"/>
      <c r="H40" s="48">
        <f>ROUND(SUM(H36:H39),5)</f>
        <v>822953</v>
      </c>
      <c r="I40" s="45"/>
      <c r="J40" s="48">
        <f>ROUND(SUM(J36:J39),5)</f>
        <v>751310</v>
      </c>
    </row>
    <row r="41" spans="1:10" s="50" customFormat="1" ht="30" customHeight="1" thickBot="1" x14ac:dyDescent="0.25">
      <c r="A41" s="43" t="s">
        <v>167</v>
      </c>
      <c r="B41" s="43"/>
      <c r="C41" s="43"/>
      <c r="D41" s="43"/>
      <c r="E41" s="43"/>
      <c r="F41" s="49">
        <f>ROUND(F20+F35+F40,5)</f>
        <v>2892487</v>
      </c>
      <c r="G41" s="43"/>
      <c r="H41" s="49">
        <f>ROUND(H20+H35+H40,5)</f>
        <v>3014322</v>
      </c>
      <c r="I41" s="43"/>
      <c r="J41" s="49">
        <f>ROUND(J20+J35+J40,5)</f>
        <v>3067776</v>
      </c>
    </row>
    <row r="42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11:35 AM
&amp;"Arial,Bold"&amp;8 02/17/14
&amp;"Arial,Bold"&amp;8 Accrual Basis&amp;C&amp;"Arial,Bold"&amp;12 RP 21st, LLC
&amp;"Arial,Bold"&amp;14 Balance Sheet
&amp;"Arial,Bold"&amp;10 As of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9154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9154" r:id="rId4" name="HEADER"/>
      </mc:Fallback>
    </mc:AlternateContent>
    <mc:AlternateContent xmlns:mc="http://schemas.openxmlformats.org/markup-compatibility/2006">
      <mc:Choice Requires="x14">
        <control shapeId="49153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9153" r:id="rId6" name="FILTER"/>
      </mc:Fallback>
    </mc:AlternateContent>
  </controls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64"/>
  <dimension ref="A1:M39"/>
  <sheetViews>
    <sheetView workbookViewId="0">
      <pane xSplit="6" ySplit="1" topLeftCell="G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5" width="3" style="50" customWidth="1"/>
    <col min="6" max="6" width="28.33203125" style="50" customWidth="1"/>
    <col min="7" max="7" width="10.109375" bestFit="1" customWidth="1"/>
    <col min="8" max="8" width="2.33203125" customWidth="1"/>
    <col min="9" max="9" width="10.109375" bestFit="1" customWidth="1"/>
    <col min="10" max="10" width="2.33203125" customWidth="1"/>
    <col min="11" max="11" width="10.109375" bestFit="1" customWidth="1"/>
    <col min="12" max="12" width="2.33203125" customWidth="1"/>
    <col min="13" max="13" width="6.5546875" bestFit="1" customWidth="1"/>
  </cols>
  <sheetData>
    <row r="1" spans="1:13" s="39" customFormat="1" ht="15" thickBot="1" x14ac:dyDescent="0.35">
      <c r="A1" s="40"/>
      <c r="B1" s="40"/>
      <c r="C1" s="40"/>
      <c r="D1" s="40"/>
      <c r="E1" s="40"/>
      <c r="F1" s="40"/>
      <c r="G1" s="41" t="s">
        <v>168</v>
      </c>
      <c r="H1" s="42"/>
      <c r="I1" s="41" t="s">
        <v>169</v>
      </c>
      <c r="J1" s="42"/>
      <c r="K1" s="41" t="s">
        <v>170</v>
      </c>
      <c r="L1" s="42"/>
      <c r="M1" s="41" t="s">
        <v>171</v>
      </c>
    </row>
    <row r="2" spans="1:13" ht="15" thickTop="1" x14ac:dyDescent="0.3">
      <c r="A2" s="43"/>
      <c r="B2" s="43" t="s">
        <v>172</v>
      </c>
      <c r="C2" s="43"/>
      <c r="D2" s="43"/>
      <c r="E2" s="43"/>
      <c r="F2" s="43"/>
      <c r="G2" s="44"/>
      <c r="H2" s="45"/>
      <c r="I2" s="44"/>
      <c r="J2" s="45"/>
      <c r="K2" s="44"/>
      <c r="L2" s="45"/>
      <c r="M2" s="44"/>
    </row>
    <row r="3" spans="1:13" x14ac:dyDescent="0.3">
      <c r="A3" s="43"/>
      <c r="B3" s="43"/>
      <c r="C3" s="43" t="s">
        <v>182</v>
      </c>
      <c r="D3" s="43"/>
      <c r="E3" s="43"/>
      <c r="F3" s="43"/>
      <c r="G3" s="44"/>
      <c r="H3" s="45"/>
      <c r="I3" s="44"/>
      <c r="J3" s="45"/>
      <c r="K3" s="44"/>
      <c r="L3" s="45"/>
      <c r="M3" s="44"/>
    </row>
    <row r="4" spans="1:13" x14ac:dyDescent="0.3">
      <c r="A4" s="43"/>
      <c r="B4" s="43"/>
      <c r="C4" s="43"/>
      <c r="D4" s="43" t="s">
        <v>258</v>
      </c>
      <c r="E4" s="43"/>
      <c r="F4" s="43"/>
      <c r="G4" s="44">
        <v>0</v>
      </c>
      <c r="H4" s="45"/>
      <c r="I4" s="44">
        <v>0</v>
      </c>
      <c r="J4" s="45"/>
      <c r="K4" s="44">
        <v>28</v>
      </c>
      <c r="L4" s="45"/>
      <c r="M4" s="44">
        <f>ROUND(SUM(G4:K4),5)</f>
        <v>28</v>
      </c>
    </row>
    <row r="5" spans="1:13" x14ac:dyDescent="0.3">
      <c r="A5" s="43"/>
      <c r="B5" s="43"/>
      <c r="C5" s="43"/>
      <c r="D5" s="43" t="s">
        <v>317</v>
      </c>
      <c r="E5" s="43"/>
      <c r="F5" s="43"/>
      <c r="G5" s="44">
        <v>0</v>
      </c>
      <c r="H5" s="45"/>
      <c r="I5" s="44">
        <v>0</v>
      </c>
      <c r="J5" s="45"/>
      <c r="K5" s="44">
        <v>7351</v>
      </c>
      <c r="L5" s="45"/>
      <c r="M5" s="44">
        <f>ROUND(SUM(G5:K5),5)</f>
        <v>7351</v>
      </c>
    </row>
    <row r="6" spans="1:13" x14ac:dyDescent="0.3">
      <c r="A6" s="43"/>
      <c r="B6" s="43"/>
      <c r="C6" s="43"/>
      <c r="D6" s="43" t="s">
        <v>577</v>
      </c>
      <c r="E6" s="43"/>
      <c r="F6" s="43"/>
      <c r="G6" s="44"/>
      <c r="H6" s="45"/>
      <c r="I6" s="44"/>
      <c r="J6" s="45"/>
      <c r="K6" s="44"/>
      <c r="L6" s="45"/>
      <c r="M6" s="44"/>
    </row>
    <row r="7" spans="1:13" x14ac:dyDescent="0.3">
      <c r="A7" s="43"/>
      <c r="B7" s="43"/>
      <c r="C7" s="43"/>
      <c r="D7" s="43"/>
      <c r="E7" s="43" t="s">
        <v>961</v>
      </c>
      <c r="F7" s="43"/>
      <c r="G7" s="44">
        <v>0</v>
      </c>
      <c r="H7" s="45"/>
      <c r="I7" s="44">
        <v>0</v>
      </c>
      <c r="J7" s="45"/>
      <c r="K7" s="44">
        <v>1000</v>
      </c>
      <c r="L7" s="45"/>
      <c r="M7" s="44">
        <f>ROUND(SUM(G7:K7),5)</f>
        <v>1000</v>
      </c>
    </row>
    <row r="8" spans="1:13" x14ac:dyDescent="0.3">
      <c r="A8" s="43"/>
      <c r="B8" s="43"/>
      <c r="C8" s="43"/>
      <c r="D8" s="43"/>
      <c r="E8" s="43" t="s">
        <v>431</v>
      </c>
      <c r="F8" s="43"/>
      <c r="G8" s="44">
        <v>0</v>
      </c>
      <c r="H8" s="45"/>
      <c r="I8" s="44">
        <v>0</v>
      </c>
      <c r="J8" s="45"/>
      <c r="K8" s="44">
        <v>125</v>
      </c>
      <c r="L8" s="45"/>
      <c r="M8" s="44">
        <f>ROUND(SUM(G8:K8),5)</f>
        <v>125</v>
      </c>
    </row>
    <row r="9" spans="1:13" x14ac:dyDescent="0.3">
      <c r="A9" s="43"/>
      <c r="B9" s="43"/>
      <c r="C9" s="43"/>
      <c r="D9" s="43"/>
      <c r="E9" s="43" t="s">
        <v>192</v>
      </c>
      <c r="F9" s="43"/>
      <c r="G9" s="44">
        <v>0</v>
      </c>
      <c r="H9" s="45"/>
      <c r="I9" s="44">
        <v>0</v>
      </c>
      <c r="J9" s="45"/>
      <c r="K9" s="44">
        <v>37</v>
      </c>
      <c r="L9" s="45"/>
      <c r="M9" s="44">
        <f>ROUND(SUM(G9:K9),5)</f>
        <v>37</v>
      </c>
    </row>
    <row r="10" spans="1:13" x14ac:dyDescent="0.3">
      <c r="A10" s="43"/>
      <c r="B10" s="43"/>
      <c r="C10" s="43"/>
      <c r="D10" s="43"/>
      <c r="E10" s="43" t="s">
        <v>191</v>
      </c>
      <c r="F10" s="43"/>
      <c r="G10" s="44">
        <v>0</v>
      </c>
      <c r="H10" s="45"/>
      <c r="I10" s="44">
        <v>0</v>
      </c>
      <c r="J10" s="45"/>
      <c r="K10" s="44">
        <v>38</v>
      </c>
      <c r="L10" s="45"/>
      <c r="M10" s="44">
        <f>ROUND(SUM(G10:K10),5)</f>
        <v>38</v>
      </c>
    </row>
    <row r="11" spans="1:13" x14ac:dyDescent="0.3">
      <c r="A11" s="43"/>
      <c r="B11" s="43"/>
      <c r="C11" s="43"/>
      <c r="D11" s="43"/>
      <c r="E11" s="43" t="s">
        <v>195</v>
      </c>
      <c r="F11" s="43"/>
      <c r="G11" s="44"/>
      <c r="H11" s="45"/>
      <c r="I11" s="44"/>
      <c r="J11" s="45"/>
      <c r="K11" s="44"/>
      <c r="L11" s="45"/>
      <c r="M11" s="44"/>
    </row>
    <row r="12" spans="1:13" x14ac:dyDescent="0.3">
      <c r="A12" s="43"/>
      <c r="B12" s="43"/>
      <c r="C12" s="43"/>
      <c r="D12" s="43"/>
      <c r="E12" s="43"/>
      <c r="F12" s="43" t="s">
        <v>197</v>
      </c>
      <c r="G12" s="44">
        <v>0</v>
      </c>
      <c r="H12" s="45"/>
      <c r="I12" s="44">
        <v>0</v>
      </c>
      <c r="J12" s="45"/>
      <c r="K12" s="44">
        <v>320</v>
      </c>
      <c r="L12" s="45"/>
      <c r="M12" s="44">
        <f>ROUND(SUM(G12:K12),5)</f>
        <v>320</v>
      </c>
    </row>
    <row r="13" spans="1:13" ht="15" thickBot="1" x14ac:dyDescent="0.35">
      <c r="A13" s="43"/>
      <c r="B13" s="43"/>
      <c r="C13" s="43"/>
      <c r="D13" s="43"/>
      <c r="E13" s="43"/>
      <c r="F13" s="43" t="s">
        <v>199</v>
      </c>
      <c r="G13" s="46">
        <v>0</v>
      </c>
      <c r="H13" s="45"/>
      <c r="I13" s="46">
        <v>0</v>
      </c>
      <c r="J13" s="45"/>
      <c r="K13" s="46">
        <v>184</v>
      </c>
      <c r="L13" s="45"/>
      <c r="M13" s="46">
        <f>ROUND(SUM(G13:K13),5)</f>
        <v>184</v>
      </c>
    </row>
    <row r="14" spans="1:13" x14ac:dyDescent="0.3">
      <c r="A14" s="43"/>
      <c r="B14" s="43"/>
      <c r="C14" s="43"/>
      <c r="D14" s="43"/>
      <c r="E14" s="43" t="s">
        <v>200</v>
      </c>
      <c r="F14" s="43"/>
      <c r="G14" s="44">
        <f>ROUND(SUM(G11:G13),5)</f>
        <v>0</v>
      </c>
      <c r="H14" s="45"/>
      <c r="I14" s="44">
        <f>ROUND(SUM(I11:I13),5)</f>
        <v>0</v>
      </c>
      <c r="J14" s="45"/>
      <c r="K14" s="44">
        <f>ROUND(SUM(K11:K13),5)</f>
        <v>504</v>
      </c>
      <c r="L14" s="45"/>
      <c r="M14" s="44">
        <f>ROUND(SUM(G14:K14),5)</f>
        <v>504</v>
      </c>
    </row>
    <row r="15" spans="1:13" ht="30" customHeight="1" thickBot="1" x14ac:dyDescent="0.35">
      <c r="A15" s="43"/>
      <c r="B15" s="43"/>
      <c r="C15" s="43"/>
      <c r="D15" s="43"/>
      <c r="E15" s="43" t="s">
        <v>962</v>
      </c>
      <c r="F15" s="43"/>
      <c r="G15" s="46">
        <v>0</v>
      </c>
      <c r="H15" s="45"/>
      <c r="I15" s="46">
        <v>0</v>
      </c>
      <c r="J15" s="45"/>
      <c r="K15" s="46">
        <v>0</v>
      </c>
      <c r="L15" s="45"/>
      <c r="M15" s="46">
        <f>ROUND(SUM(G15:K15),5)</f>
        <v>0</v>
      </c>
    </row>
    <row r="16" spans="1:13" x14ac:dyDescent="0.3">
      <c r="A16" s="43"/>
      <c r="B16" s="43"/>
      <c r="C16" s="43"/>
      <c r="D16" s="43" t="s">
        <v>582</v>
      </c>
      <c r="E16" s="43"/>
      <c r="F16" s="43"/>
      <c r="G16" s="44">
        <f>ROUND(SUM(G6:G10)+SUM(G14:G15),5)</f>
        <v>0</v>
      </c>
      <c r="H16" s="45"/>
      <c r="I16" s="44">
        <f>ROUND(SUM(I6:I10)+SUM(I14:I15),5)</f>
        <v>0</v>
      </c>
      <c r="J16" s="45"/>
      <c r="K16" s="44">
        <f>ROUND(SUM(K6:K10)+SUM(K14:K15),5)</f>
        <v>1704</v>
      </c>
      <c r="L16" s="45"/>
      <c r="M16" s="44">
        <f>ROUND(SUM(G16:K16),5)</f>
        <v>1704</v>
      </c>
    </row>
    <row r="17" spans="1:13" ht="30" customHeight="1" x14ac:dyDescent="0.3">
      <c r="A17" s="43"/>
      <c r="B17" s="43"/>
      <c r="C17" s="43"/>
      <c r="D17" s="43" t="s">
        <v>214</v>
      </c>
      <c r="E17" s="43"/>
      <c r="F17" s="43"/>
      <c r="G17" s="44"/>
      <c r="H17" s="45"/>
      <c r="I17" s="44"/>
      <c r="J17" s="45"/>
      <c r="K17" s="44"/>
      <c r="L17" s="45"/>
      <c r="M17" s="44"/>
    </row>
    <row r="18" spans="1:13" x14ac:dyDescent="0.3">
      <c r="A18" s="43"/>
      <c r="B18" s="43"/>
      <c r="C18" s="43"/>
      <c r="D18" s="43"/>
      <c r="E18" s="43" t="s">
        <v>215</v>
      </c>
      <c r="F18" s="43"/>
      <c r="G18" s="44"/>
      <c r="H18" s="45"/>
      <c r="I18" s="44"/>
      <c r="J18" s="45"/>
      <c r="K18" s="44"/>
      <c r="L18" s="45"/>
      <c r="M18" s="44"/>
    </row>
    <row r="19" spans="1:13" ht="15" thickBot="1" x14ac:dyDescent="0.35">
      <c r="A19" s="43"/>
      <c r="B19" s="43"/>
      <c r="C19" s="43"/>
      <c r="D19" s="43"/>
      <c r="E19" s="43"/>
      <c r="F19" s="43" t="s">
        <v>219</v>
      </c>
      <c r="G19" s="44">
        <v>0</v>
      </c>
      <c r="H19" s="45"/>
      <c r="I19" s="44">
        <v>0</v>
      </c>
      <c r="J19" s="45"/>
      <c r="K19" s="44">
        <v>565</v>
      </c>
      <c r="L19" s="45"/>
      <c r="M19" s="44">
        <f>ROUND(SUM(G19:K19),5)</f>
        <v>565</v>
      </c>
    </row>
    <row r="20" spans="1:13" ht="15" thickBot="1" x14ac:dyDescent="0.35">
      <c r="A20" s="43"/>
      <c r="B20" s="43"/>
      <c r="C20" s="43"/>
      <c r="D20" s="43"/>
      <c r="E20" s="43" t="s">
        <v>223</v>
      </c>
      <c r="F20" s="43"/>
      <c r="G20" s="47">
        <f>ROUND(SUM(G18:G19),5)</f>
        <v>0</v>
      </c>
      <c r="H20" s="45"/>
      <c r="I20" s="47">
        <f>ROUND(SUM(I18:I19),5)</f>
        <v>0</v>
      </c>
      <c r="J20" s="45"/>
      <c r="K20" s="47">
        <f>ROUND(SUM(K18:K19),5)</f>
        <v>565</v>
      </c>
      <c r="L20" s="45"/>
      <c r="M20" s="47">
        <f>ROUND(SUM(G20:K20),5)</f>
        <v>565</v>
      </c>
    </row>
    <row r="21" spans="1:13" ht="30" customHeight="1" x14ac:dyDescent="0.3">
      <c r="A21" s="43"/>
      <c r="B21" s="43"/>
      <c r="C21" s="43"/>
      <c r="D21" s="43" t="s">
        <v>270</v>
      </c>
      <c r="E21" s="43"/>
      <c r="F21" s="43"/>
      <c r="G21" s="44">
        <f>ROUND(G17+G20,5)</f>
        <v>0</v>
      </c>
      <c r="H21" s="45"/>
      <c r="I21" s="44">
        <f>ROUND(I17+I20,5)</f>
        <v>0</v>
      </c>
      <c r="J21" s="45"/>
      <c r="K21" s="44">
        <f>ROUND(K17+K20,5)</f>
        <v>565</v>
      </c>
      <c r="L21" s="45"/>
      <c r="M21" s="44">
        <f>ROUND(SUM(G21:K21),5)</f>
        <v>565</v>
      </c>
    </row>
    <row r="22" spans="1:13" ht="30" customHeight="1" x14ac:dyDescent="0.3">
      <c r="A22" s="43"/>
      <c r="B22" s="43"/>
      <c r="C22" s="43"/>
      <c r="D22" s="43" t="s">
        <v>203</v>
      </c>
      <c r="E22" s="43"/>
      <c r="F22" s="43"/>
      <c r="G22" s="44"/>
      <c r="H22" s="45"/>
      <c r="I22" s="44"/>
      <c r="J22" s="45"/>
      <c r="K22" s="44"/>
      <c r="L22" s="45"/>
      <c r="M22" s="44"/>
    </row>
    <row r="23" spans="1:13" ht="15" thickBot="1" x14ac:dyDescent="0.35">
      <c r="A23" s="43"/>
      <c r="B23" s="43"/>
      <c r="C23" s="43"/>
      <c r="D23" s="43"/>
      <c r="E23" s="43" t="s">
        <v>204</v>
      </c>
      <c r="F23" s="43"/>
      <c r="G23" s="46">
        <v>0</v>
      </c>
      <c r="H23" s="45"/>
      <c r="I23" s="46">
        <v>0</v>
      </c>
      <c r="J23" s="45"/>
      <c r="K23" s="46">
        <v>128</v>
      </c>
      <c r="L23" s="45"/>
      <c r="M23" s="46">
        <f>ROUND(SUM(G23:K23),5)</f>
        <v>128</v>
      </c>
    </row>
    <row r="24" spans="1:13" x14ac:dyDescent="0.3">
      <c r="A24" s="43"/>
      <c r="B24" s="43"/>
      <c r="C24" s="43"/>
      <c r="D24" s="43" t="s">
        <v>213</v>
      </c>
      <c r="E24" s="43"/>
      <c r="F24" s="43"/>
      <c r="G24" s="44">
        <f>ROUND(SUM(G22:G23),5)</f>
        <v>0</v>
      </c>
      <c r="H24" s="45"/>
      <c r="I24" s="44">
        <f>ROUND(SUM(I22:I23),5)</f>
        <v>0</v>
      </c>
      <c r="J24" s="45"/>
      <c r="K24" s="44">
        <f>ROUND(SUM(K22:K23),5)</f>
        <v>128</v>
      </c>
      <c r="L24" s="45"/>
      <c r="M24" s="44">
        <f>ROUND(SUM(G24:K24),5)</f>
        <v>128</v>
      </c>
    </row>
    <row r="25" spans="1:13" ht="30" customHeight="1" x14ac:dyDescent="0.3">
      <c r="A25" s="43"/>
      <c r="B25" s="43"/>
      <c r="C25" s="43"/>
      <c r="D25" s="43" t="s">
        <v>278</v>
      </c>
      <c r="E25" s="43"/>
      <c r="F25" s="43"/>
      <c r="G25" s="44"/>
      <c r="H25" s="45"/>
      <c r="I25" s="44"/>
      <c r="J25" s="45"/>
      <c r="K25" s="44"/>
      <c r="L25" s="45"/>
      <c r="M25" s="44"/>
    </row>
    <row r="26" spans="1:13" x14ac:dyDescent="0.3">
      <c r="A26" s="43"/>
      <c r="B26" s="43"/>
      <c r="C26" s="43"/>
      <c r="D26" s="43"/>
      <c r="E26" s="43" t="s">
        <v>279</v>
      </c>
      <c r="F26" s="43"/>
      <c r="G26" s="44">
        <v>0</v>
      </c>
      <c r="H26" s="45"/>
      <c r="I26" s="44">
        <v>0</v>
      </c>
      <c r="J26" s="45"/>
      <c r="K26" s="44">
        <v>23126</v>
      </c>
      <c r="L26" s="45"/>
      <c r="M26" s="44">
        <f>ROUND(SUM(G26:K26),5)</f>
        <v>23126</v>
      </c>
    </row>
    <row r="27" spans="1:13" x14ac:dyDescent="0.3">
      <c r="A27" s="43"/>
      <c r="B27" s="43"/>
      <c r="C27" s="43"/>
      <c r="D27" s="43"/>
      <c r="E27" s="43" t="s">
        <v>963</v>
      </c>
      <c r="F27" s="43"/>
      <c r="G27" s="44">
        <v>0</v>
      </c>
      <c r="H27" s="45"/>
      <c r="I27" s="44">
        <v>0</v>
      </c>
      <c r="J27" s="45"/>
      <c r="K27" s="44">
        <v>73239</v>
      </c>
      <c r="L27" s="45"/>
      <c r="M27" s="44">
        <f>ROUND(SUM(G27:K27),5)</f>
        <v>73239</v>
      </c>
    </row>
    <row r="28" spans="1:13" ht="15" thickBot="1" x14ac:dyDescent="0.35">
      <c r="A28" s="43"/>
      <c r="B28" s="43"/>
      <c r="C28" s="43"/>
      <c r="D28" s="43"/>
      <c r="E28" s="43" t="s">
        <v>282</v>
      </c>
      <c r="F28" s="43"/>
      <c r="G28" s="46">
        <v>0</v>
      </c>
      <c r="H28" s="45"/>
      <c r="I28" s="46">
        <v>0</v>
      </c>
      <c r="J28" s="45"/>
      <c r="K28" s="46">
        <v>0</v>
      </c>
      <c r="L28" s="45"/>
      <c r="M28" s="46">
        <f>ROUND(SUM(G28:K28),5)</f>
        <v>0</v>
      </c>
    </row>
    <row r="29" spans="1:13" x14ac:dyDescent="0.3">
      <c r="A29" s="43"/>
      <c r="B29" s="43"/>
      <c r="C29" s="43"/>
      <c r="D29" s="43" t="s">
        <v>283</v>
      </c>
      <c r="E29" s="43"/>
      <c r="F29" s="43"/>
      <c r="G29" s="44">
        <f>ROUND(SUM(G25:G28),5)</f>
        <v>0</v>
      </c>
      <c r="H29" s="45"/>
      <c r="I29" s="44">
        <f>ROUND(SUM(I25:I28),5)</f>
        <v>0</v>
      </c>
      <c r="J29" s="45"/>
      <c r="K29" s="44">
        <f>ROUND(SUM(K25:K28),5)</f>
        <v>96365</v>
      </c>
      <c r="L29" s="45"/>
      <c r="M29" s="44">
        <f>ROUND(SUM(G29:K29),5)</f>
        <v>96365</v>
      </c>
    </row>
    <row r="30" spans="1:13" ht="30" customHeight="1" x14ac:dyDescent="0.3">
      <c r="A30" s="43"/>
      <c r="B30" s="43"/>
      <c r="C30" s="43"/>
      <c r="D30" s="43" t="s">
        <v>434</v>
      </c>
      <c r="E30" s="43"/>
      <c r="F30" s="43"/>
      <c r="G30" s="44">
        <v>0</v>
      </c>
      <c r="H30" s="45"/>
      <c r="I30" s="44">
        <v>0</v>
      </c>
      <c r="J30" s="45"/>
      <c r="K30" s="44">
        <v>85</v>
      </c>
      <c r="L30" s="45"/>
      <c r="M30" s="44">
        <f>ROUND(SUM(G30:K30),5)</f>
        <v>85</v>
      </c>
    </row>
    <row r="31" spans="1:13" x14ac:dyDescent="0.3">
      <c r="A31" s="43"/>
      <c r="B31" s="43"/>
      <c r="C31" s="43"/>
      <c r="D31" s="43" t="s">
        <v>272</v>
      </c>
      <c r="E31" s="43"/>
      <c r="F31" s="43"/>
      <c r="G31" s="44"/>
      <c r="H31" s="45"/>
      <c r="I31" s="44"/>
      <c r="J31" s="45"/>
      <c r="K31" s="44"/>
      <c r="L31" s="45"/>
      <c r="M31" s="44"/>
    </row>
    <row r="32" spans="1:13" x14ac:dyDescent="0.3">
      <c r="A32" s="43"/>
      <c r="B32" s="43"/>
      <c r="C32" s="43"/>
      <c r="D32" s="43"/>
      <c r="E32" s="43" t="s">
        <v>418</v>
      </c>
      <c r="F32" s="43"/>
      <c r="G32" s="44">
        <v>0</v>
      </c>
      <c r="H32" s="45"/>
      <c r="I32" s="44">
        <v>0</v>
      </c>
      <c r="J32" s="45"/>
      <c r="K32" s="44">
        <v>-69374</v>
      </c>
      <c r="L32" s="45"/>
      <c r="M32" s="44">
        <f t="shared" ref="M32:M38" si="0">ROUND(SUM(G32:K32),5)</f>
        <v>-69374</v>
      </c>
    </row>
    <row r="33" spans="1:13" x14ac:dyDescent="0.3">
      <c r="A33" s="43"/>
      <c r="B33" s="43"/>
      <c r="C33" s="43"/>
      <c r="D33" s="43"/>
      <c r="E33" s="43" t="s">
        <v>385</v>
      </c>
      <c r="F33" s="43"/>
      <c r="G33" s="44">
        <v>0</v>
      </c>
      <c r="H33" s="45"/>
      <c r="I33" s="44">
        <v>0</v>
      </c>
      <c r="J33" s="45"/>
      <c r="K33" s="44">
        <v>50</v>
      </c>
      <c r="L33" s="45"/>
      <c r="M33" s="44">
        <f t="shared" si="0"/>
        <v>50</v>
      </c>
    </row>
    <row r="34" spans="1:13" ht="15" thickBot="1" x14ac:dyDescent="0.35">
      <c r="A34" s="43"/>
      <c r="B34" s="43"/>
      <c r="C34" s="43"/>
      <c r="D34" s="43"/>
      <c r="E34" s="43" t="s">
        <v>275</v>
      </c>
      <c r="F34" s="43"/>
      <c r="G34" s="44">
        <v>0</v>
      </c>
      <c r="H34" s="45"/>
      <c r="I34" s="44">
        <v>0</v>
      </c>
      <c r="J34" s="45"/>
      <c r="K34" s="44">
        <v>34740</v>
      </c>
      <c r="L34" s="45"/>
      <c r="M34" s="44">
        <f t="shared" si="0"/>
        <v>34740</v>
      </c>
    </row>
    <row r="35" spans="1:13" ht="15" thickBot="1" x14ac:dyDescent="0.35">
      <c r="A35" s="43"/>
      <c r="B35" s="43"/>
      <c r="C35" s="43"/>
      <c r="D35" s="43" t="s">
        <v>277</v>
      </c>
      <c r="E35" s="43"/>
      <c r="F35" s="43"/>
      <c r="G35" s="48">
        <f>ROUND(SUM(G31:G34),5)</f>
        <v>0</v>
      </c>
      <c r="H35" s="45"/>
      <c r="I35" s="48">
        <f>ROUND(SUM(I31:I34),5)</f>
        <v>0</v>
      </c>
      <c r="J35" s="45"/>
      <c r="K35" s="48">
        <f>ROUND(SUM(K31:K34),5)</f>
        <v>-34584</v>
      </c>
      <c r="L35" s="45"/>
      <c r="M35" s="48">
        <f t="shared" si="0"/>
        <v>-34584</v>
      </c>
    </row>
    <row r="36" spans="1:13" ht="30" customHeight="1" thickBot="1" x14ac:dyDescent="0.35">
      <c r="A36" s="43"/>
      <c r="B36" s="43"/>
      <c r="C36" s="43" t="s">
        <v>287</v>
      </c>
      <c r="D36" s="43"/>
      <c r="E36" s="43"/>
      <c r="F36" s="43"/>
      <c r="G36" s="48">
        <f>ROUND(SUM(G3:G5)+G16+G21+G24+SUM(G29:G30)+G35,5)</f>
        <v>0</v>
      </c>
      <c r="H36" s="45"/>
      <c r="I36" s="48">
        <f>ROUND(SUM(I3:I5)+I16+I21+I24+SUM(I29:I30)+I35,5)</f>
        <v>0</v>
      </c>
      <c r="J36" s="45"/>
      <c r="K36" s="48">
        <f>ROUND(SUM(K3:K5)+K16+K21+K24+SUM(K29:K30)+K35,5)</f>
        <v>71642</v>
      </c>
      <c r="L36" s="45"/>
      <c r="M36" s="48">
        <f t="shared" si="0"/>
        <v>71642</v>
      </c>
    </row>
    <row r="37" spans="1:13" ht="30" customHeight="1" thickBot="1" x14ac:dyDescent="0.35">
      <c r="A37" s="43"/>
      <c r="B37" s="43" t="s">
        <v>288</v>
      </c>
      <c r="C37" s="43"/>
      <c r="D37" s="43"/>
      <c r="E37" s="43"/>
      <c r="F37" s="43"/>
      <c r="G37" s="48">
        <f>ROUND(G2-G36,5)</f>
        <v>0</v>
      </c>
      <c r="H37" s="45"/>
      <c r="I37" s="48">
        <f>ROUND(I2-I36,5)</f>
        <v>0</v>
      </c>
      <c r="J37" s="45"/>
      <c r="K37" s="48">
        <f>ROUND(K2-K36,5)</f>
        <v>-71642</v>
      </c>
      <c r="L37" s="45"/>
      <c r="M37" s="48">
        <f t="shared" si="0"/>
        <v>-71642</v>
      </c>
    </row>
    <row r="38" spans="1:13" s="50" customFormat="1" ht="30" customHeight="1" thickBot="1" x14ac:dyDescent="0.25">
      <c r="A38" s="43" t="s">
        <v>165</v>
      </c>
      <c r="B38" s="43"/>
      <c r="C38" s="43"/>
      <c r="D38" s="43"/>
      <c r="E38" s="43"/>
      <c r="F38" s="43"/>
      <c r="G38" s="49">
        <f>G37</f>
        <v>0</v>
      </c>
      <c r="H38" s="43"/>
      <c r="I38" s="49">
        <f>I37</f>
        <v>0</v>
      </c>
      <c r="J38" s="43"/>
      <c r="K38" s="49">
        <f>K37</f>
        <v>-71642</v>
      </c>
      <c r="L38" s="43"/>
      <c r="M38" s="49">
        <f t="shared" si="0"/>
        <v>-71642</v>
      </c>
    </row>
    <row r="39" spans="1:13" ht="15" thickTop="1" x14ac:dyDescent="0.3"/>
  </sheetData>
  <pageMargins left="0.7" right="0.7" top="0.75" bottom="0.75" header="0.25" footer="0.3"/>
  <pageSetup orientation="portrait" r:id="rId1"/>
  <headerFooter>
    <oddHeader>&amp;L&amp;"Arial,Bold"&amp;8 9:41 AM
&amp;"Arial,Bold"&amp;8 02/18/14
&amp;"Arial,Bold"&amp;8 Accrual Basis&amp;C&amp;"Arial,Bold"&amp;12 RP 21st, LLC
&amp;"Arial,Bold"&amp;14 Statement of Income
&amp;"Arial,Bold"&amp;10 For The One Month Ended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5017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50178" r:id="rId4" name="HEADER"/>
      </mc:Fallback>
    </mc:AlternateContent>
    <mc:AlternateContent xmlns:mc="http://schemas.openxmlformats.org/markup-compatibility/2006">
      <mc:Choice Requires="x14">
        <control shapeId="5017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50177" r:id="rId6" name="FILTER"/>
      </mc:Fallback>
    </mc:AlternateContent>
  </controls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2"/>
  <dimension ref="A1:J47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7.5546875" style="50" customWidth="1"/>
    <col min="6" max="6" width="9" bestFit="1" customWidth="1"/>
    <col min="7" max="7" width="2.33203125" customWidth="1"/>
    <col min="8" max="8" width="9" bestFit="1" customWidth="1"/>
    <col min="9" max="9" width="2.33203125" customWidth="1"/>
    <col min="10" max="10" width="9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7"/>
      <c r="G2" s="45"/>
      <c r="H2" s="57"/>
      <c r="I2" s="45"/>
      <c r="J2" s="57"/>
    </row>
    <row r="3" spans="1:10" x14ac:dyDescent="0.3">
      <c r="A3" s="43"/>
      <c r="B3" s="43" t="s">
        <v>113</v>
      </c>
      <c r="C3" s="43"/>
      <c r="D3" s="43"/>
      <c r="E3" s="43"/>
      <c r="F3" s="57"/>
      <c r="G3" s="45"/>
      <c r="H3" s="57"/>
      <c r="I3" s="45"/>
      <c r="J3" s="57"/>
    </row>
    <row r="4" spans="1:10" x14ac:dyDescent="0.3">
      <c r="A4" s="43"/>
      <c r="B4" s="43"/>
      <c r="C4" s="43" t="s">
        <v>114</v>
      </c>
      <c r="D4" s="43"/>
      <c r="E4" s="43"/>
      <c r="F4" s="57"/>
      <c r="G4" s="45"/>
      <c r="H4" s="57"/>
      <c r="I4" s="45"/>
      <c r="J4" s="57"/>
    </row>
    <row r="5" spans="1:10" x14ac:dyDescent="0.3">
      <c r="A5" s="43"/>
      <c r="B5" s="43"/>
      <c r="C5" s="43"/>
      <c r="D5" s="43" t="s">
        <v>79</v>
      </c>
      <c r="E5" s="43"/>
      <c r="F5" s="57">
        <v>-17835</v>
      </c>
      <c r="G5" s="45"/>
      <c r="H5" s="57">
        <v>2766</v>
      </c>
      <c r="I5" s="45"/>
      <c r="J5" s="57">
        <v>5317</v>
      </c>
    </row>
    <row r="6" spans="1:10" ht="15" thickBot="1" x14ac:dyDescent="0.35">
      <c r="A6" s="43"/>
      <c r="B6" s="43"/>
      <c r="C6" s="43"/>
      <c r="D6" s="43" t="s">
        <v>964</v>
      </c>
      <c r="E6" s="43"/>
      <c r="F6" s="58">
        <v>20950</v>
      </c>
      <c r="G6" s="45"/>
      <c r="H6" s="58">
        <v>0</v>
      </c>
      <c r="I6" s="45"/>
      <c r="J6" s="58">
        <v>1833</v>
      </c>
    </row>
    <row r="7" spans="1:10" x14ac:dyDescent="0.3">
      <c r="A7" s="43"/>
      <c r="B7" s="43"/>
      <c r="C7" s="43" t="s">
        <v>117</v>
      </c>
      <c r="D7" s="43"/>
      <c r="E7" s="43"/>
      <c r="F7" s="57">
        <f>ROUND(SUM(F4:F6),5)</f>
        <v>3115</v>
      </c>
      <c r="G7" s="45"/>
      <c r="H7" s="57">
        <f>ROUND(SUM(H4:H6),5)</f>
        <v>2766</v>
      </c>
      <c r="I7" s="45"/>
      <c r="J7" s="57">
        <f>ROUND(SUM(J4:J6),5)</f>
        <v>7150</v>
      </c>
    </row>
    <row r="8" spans="1:10" ht="30" customHeight="1" x14ac:dyDescent="0.3">
      <c r="A8" s="43"/>
      <c r="B8" s="43"/>
      <c r="C8" s="43" t="s">
        <v>120</v>
      </c>
      <c r="D8" s="43"/>
      <c r="E8" s="43"/>
      <c r="F8" s="57"/>
      <c r="G8" s="45"/>
      <c r="H8" s="57"/>
      <c r="I8" s="45"/>
      <c r="J8" s="57"/>
    </row>
    <row r="9" spans="1:10" ht="15" thickBot="1" x14ac:dyDescent="0.35">
      <c r="A9" s="43"/>
      <c r="B9" s="43"/>
      <c r="C9" s="43"/>
      <c r="D9" s="43" t="s">
        <v>122</v>
      </c>
      <c r="E9" s="43"/>
      <c r="F9" s="57">
        <v>265</v>
      </c>
      <c r="G9" s="45"/>
      <c r="H9" s="57">
        <v>267</v>
      </c>
      <c r="I9" s="45"/>
      <c r="J9" s="57">
        <v>221</v>
      </c>
    </row>
    <row r="10" spans="1:10" ht="15" thickBot="1" x14ac:dyDescent="0.35">
      <c r="A10" s="43"/>
      <c r="B10" s="43"/>
      <c r="C10" s="43" t="s">
        <v>124</v>
      </c>
      <c r="D10" s="43"/>
      <c r="E10" s="43"/>
      <c r="F10" s="59">
        <f>ROUND(SUM(F8:F9),5)</f>
        <v>265</v>
      </c>
      <c r="G10" s="45"/>
      <c r="H10" s="59">
        <f>ROUND(SUM(H8:H9),5)</f>
        <v>267</v>
      </c>
      <c r="I10" s="45"/>
      <c r="J10" s="59">
        <f>ROUND(SUM(J8:J9),5)</f>
        <v>221</v>
      </c>
    </row>
    <row r="11" spans="1:10" ht="30" customHeight="1" x14ac:dyDescent="0.3">
      <c r="A11" s="43"/>
      <c r="B11" s="43" t="s">
        <v>125</v>
      </c>
      <c r="C11" s="43"/>
      <c r="D11" s="43"/>
      <c r="E11" s="43"/>
      <c r="F11" s="57">
        <f>ROUND(F3+F7+F10,5)</f>
        <v>3380</v>
      </c>
      <c r="G11" s="45"/>
      <c r="H11" s="57">
        <f>ROUND(H3+H7+H10,5)</f>
        <v>3033</v>
      </c>
      <c r="I11" s="45"/>
      <c r="J11" s="57">
        <f>ROUND(J3+J7+J10,5)</f>
        <v>7371</v>
      </c>
    </row>
    <row r="12" spans="1:10" ht="30" customHeight="1" x14ac:dyDescent="0.3">
      <c r="A12" s="43"/>
      <c r="B12" s="43" t="s">
        <v>126</v>
      </c>
      <c r="C12" s="43"/>
      <c r="D12" s="43"/>
      <c r="E12" s="43"/>
      <c r="F12" s="57"/>
      <c r="G12" s="45"/>
      <c r="H12" s="57"/>
      <c r="I12" s="45"/>
      <c r="J12" s="57"/>
    </row>
    <row r="13" spans="1:10" x14ac:dyDescent="0.3">
      <c r="A13" s="43"/>
      <c r="B13" s="43"/>
      <c r="C13" s="43" t="s">
        <v>965</v>
      </c>
      <c r="D13" s="43"/>
      <c r="E13" s="43"/>
      <c r="F13" s="57"/>
      <c r="G13" s="45"/>
      <c r="H13" s="57"/>
      <c r="I13" s="45"/>
      <c r="J13" s="57"/>
    </row>
    <row r="14" spans="1:10" x14ac:dyDescent="0.3">
      <c r="A14" s="43"/>
      <c r="B14" s="43"/>
      <c r="C14" s="43"/>
      <c r="D14" s="43" t="s">
        <v>966</v>
      </c>
      <c r="E14" s="43"/>
      <c r="F14" s="57"/>
      <c r="G14" s="45"/>
      <c r="H14" s="57"/>
      <c r="I14" s="45"/>
      <c r="J14" s="57"/>
    </row>
    <row r="15" spans="1:10" x14ac:dyDescent="0.3">
      <c r="A15" s="43"/>
      <c r="B15" s="43"/>
      <c r="C15" s="43"/>
      <c r="D15" s="43"/>
      <c r="E15" s="43" t="s">
        <v>967</v>
      </c>
      <c r="F15" s="57">
        <v>283215</v>
      </c>
      <c r="G15" s="45"/>
      <c r="H15" s="57">
        <v>283215</v>
      </c>
      <c r="I15" s="45"/>
      <c r="J15" s="57">
        <v>283215</v>
      </c>
    </row>
    <row r="16" spans="1:10" ht="15" thickBot="1" x14ac:dyDescent="0.35">
      <c r="A16" s="43"/>
      <c r="B16" s="43"/>
      <c r="C16" s="43"/>
      <c r="D16" s="43"/>
      <c r="E16" s="43" t="s">
        <v>968</v>
      </c>
      <c r="F16" s="57">
        <v>-264810</v>
      </c>
      <c r="G16" s="45"/>
      <c r="H16" s="57">
        <v>-264810</v>
      </c>
      <c r="I16" s="45"/>
      <c r="J16" s="57">
        <v>-264810</v>
      </c>
    </row>
    <row r="17" spans="1:10" ht="15" thickBot="1" x14ac:dyDescent="0.35">
      <c r="A17" s="43"/>
      <c r="B17" s="43"/>
      <c r="C17" s="43"/>
      <c r="D17" s="43" t="s">
        <v>969</v>
      </c>
      <c r="E17" s="43"/>
      <c r="F17" s="60">
        <f>ROUND(SUM(F14:F16),5)</f>
        <v>18405</v>
      </c>
      <c r="G17" s="45"/>
      <c r="H17" s="60">
        <f>ROUND(SUM(H14:H16),5)</f>
        <v>18405</v>
      </c>
      <c r="I17" s="45"/>
      <c r="J17" s="60">
        <f>ROUND(SUM(J14:J16),5)</f>
        <v>18405</v>
      </c>
    </row>
    <row r="18" spans="1:10" ht="30" customHeight="1" thickBot="1" x14ac:dyDescent="0.35">
      <c r="A18" s="43"/>
      <c r="B18" s="43"/>
      <c r="C18" s="43" t="s">
        <v>970</v>
      </c>
      <c r="D18" s="43"/>
      <c r="E18" s="43"/>
      <c r="F18" s="59">
        <f>ROUND(F13+F17,5)</f>
        <v>18405</v>
      </c>
      <c r="G18" s="45"/>
      <c r="H18" s="59">
        <f>ROUND(H13+H17,5)</f>
        <v>18405</v>
      </c>
      <c r="I18" s="45"/>
      <c r="J18" s="59">
        <f>ROUND(J13+J17,5)</f>
        <v>18405</v>
      </c>
    </row>
    <row r="19" spans="1:10" ht="30" customHeight="1" x14ac:dyDescent="0.3">
      <c r="A19" s="43"/>
      <c r="B19" s="43" t="s">
        <v>136</v>
      </c>
      <c r="C19" s="43"/>
      <c r="D19" s="43"/>
      <c r="E19" s="43"/>
      <c r="F19" s="57">
        <f>ROUND(F12+F18,5)</f>
        <v>18405</v>
      </c>
      <c r="G19" s="45"/>
      <c r="H19" s="57">
        <f>ROUND(H12+H18,5)</f>
        <v>18405</v>
      </c>
      <c r="I19" s="45"/>
      <c r="J19" s="57">
        <f>ROUND(J12+J18,5)</f>
        <v>18405</v>
      </c>
    </row>
    <row r="20" spans="1:10" ht="30" customHeight="1" x14ac:dyDescent="0.3">
      <c r="A20" s="43"/>
      <c r="B20" s="43" t="s">
        <v>137</v>
      </c>
      <c r="C20" s="43"/>
      <c r="D20" s="43"/>
      <c r="E20" s="43"/>
      <c r="F20" s="57"/>
      <c r="G20" s="45"/>
      <c r="H20" s="57"/>
      <c r="I20" s="45"/>
      <c r="J20" s="57"/>
    </row>
    <row r="21" spans="1:10" x14ac:dyDescent="0.3">
      <c r="A21" s="43"/>
      <c r="B21" s="43"/>
      <c r="C21" s="43" t="s">
        <v>971</v>
      </c>
      <c r="D21" s="43"/>
      <c r="E21" s="43"/>
      <c r="F21" s="57">
        <v>711</v>
      </c>
      <c r="G21" s="45"/>
      <c r="H21" s="57">
        <v>634</v>
      </c>
      <c r="I21" s="45"/>
      <c r="J21" s="57">
        <v>634</v>
      </c>
    </row>
    <row r="22" spans="1:10" x14ac:dyDescent="0.3">
      <c r="A22" s="43"/>
      <c r="B22" s="43"/>
      <c r="C22" s="43" t="s">
        <v>972</v>
      </c>
      <c r="D22" s="43"/>
      <c r="E22" s="43"/>
      <c r="F22" s="57">
        <v>436024</v>
      </c>
      <c r="G22" s="45"/>
      <c r="H22" s="57">
        <v>613320</v>
      </c>
      <c r="I22" s="45"/>
      <c r="J22" s="57">
        <v>769732</v>
      </c>
    </row>
    <row r="23" spans="1:10" ht="15" thickBot="1" x14ac:dyDescent="0.35">
      <c r="A23" s="43"/>
      <c r="B23" s="43"/>
      <c r="C23" s="43" t="s">
        <v>973</v>
      </c>
      <c r="D23" s="43"/>
      <c r="E23" s="43"/>
      <c r="F23" s="57">
        <v>0</v>
      </c>
      <c r="G23" s="45"/>
      <c r="H23" s="57">
        <v>0</v>
      </c>
      <c r="I23" s="45"/>
      <c r="J23" s="57">
        <v>-123000</v>
      </c>
    </row>
    <row r="24" spans="1:10" ht="15" thickBot="1" x14ac:dyDescent="0.35">
      <c r="A24" s="43"/>
      <c r="B24" s="43" t="s">
        <v>141</v>
      </c>
      <c r="C24" s="43"/>
      <c r="D24" s="43"/>
      <c r="E24" s="43"/>
      <c r="F24" s="60">
        <f>ROUND(SUM(F20:F23),5)</f>
        <v>436735</v>
      </c>
      <c r="G24" s="45"/>
      <c r="H24" s="60">
        <f>ROUND(SUM(H20:H23),5)</f>
        <v>613954</v>
      </c>
      <c r="I24" s="45"/>
      <c r="J24" s="60">
        <f>ROUND(SUM(J20:J23),5)</f>
        <v>647366</v>
      </c>
    </row>
    <row r="25" spans="1:10" s="50" customFormat="1" ht="30" customHeight="1" thickBot="1" x14ac:dyDescent="0.25">
      <c r="A25" s="43" t="s">
        <v>142</v>
      </c>
      <c r="B25" s="43"/>
      <c r="C25" s="43"/>
      <c r="D25" s="43"/>
      <c r="E25" s="43"/>
      <c r="F25" s="61">
        <f>ROUND(F2+F11+F19+F24,5)</f>
        <v>458520</v>
      </c>
      <c r="G25" s="43"/>
      <c r="H25" s="61">
        <f>ROUND(H2+H11+H19+H24,5)</f>
        <v>635392</v>
      </c>
      <c r="I25" s="43"/>
      <c r="J25" s="61">
        <f>ROUND(J2+J11+J19+J24,5)</f>
        <v>673142</v>
      </c>
    </row>
    <row r="26" spans="1:10" ht="31.5" customHeight="1" thickTop="1" x14ac:dyDescent="0.3">
      <c r="A26" s="43" t="s">
        <v>143</v>
      </c>
      <c r="B26" s="43"/>
      <c r="C26" s="43"/>
      <c r="D26" s="43"/>
      <c r="E26" s="43"/>
      <c r="F26" s="57"/>
      <c r="G26" s="45"/>
      <c r="H26" s="57"/>
      <c r="I26" s="45"/>
      <c r="J26" s="57"/>
    </row>
    <row r="27" spans="1:10" x14ac:dyDescent="0.3">
      <c r="A27" s="43"/>
      <c r="B27" s="43" t="s">
        <v>144</v>
      </c>
      <c r="C27" s="43"/>
      <c r="D27" s="43"/>
      <c r="E27" s="43"/>
      <c r="F27" s="57"/>
      <c r="G27" s="45"/>
      <c r="H27" s="57"/>
      <c r="I27" s="45"/>
      <c r="J27" s="57"/>
    </row>
    <row r="28" spans="1:10" x14ac:dyDescent="0.3">
      <c r="A28" s="43"/>
      <c r="B28" s="43"/>
      <c r="C28" s="43" t="s">
        <v>145</v>
      </c>
      <c r="D28" s="43"/>
      <c r="E28" s="43"/>
      <c r="F28" s="57"/>
      <c r="G28" s="45"/>
      <c r="H28" s="57"/>
      <c r="I28" s="45"/>
      <c r="J28" s="57"/>
    </row>
    <row r="29" spans="1:10" x14ac:dyDescent="0.3">
      <c r="A29" s="43"/>
      <c r="B29" s="43"/>
      <c r="C29" s="43"/>
      <c r="D29" s="43" t="s">
        <v>146</v>
      </c>
      <c r="E29" s="43"/>
      <c r="F29" s="57"/>
      <c r="G29" s="45"/>
      <c r="H29" s="57"/>
      <c r="I29" s="45"/>
      <c r="J29" s="57"/>
    </row>
    <row r="30" spans="1:10" ht="15" thickBot="1" x14ac:dyDescent="0.35">
      <c r="A30" s="43"/>
      <c r="B30" s="43"/>
      <c r="C30" s="43"/>
      <c r="D30" s="43"/>
      <c r="E30" s="43" t="s">
        <v>146</v>
      </c>
      <c r="F30" s="58">
        <v>4</v>
      </c>
      <c r="G30" s="45"/>
      <c r="H30" s="58">
        <v>428</v>
      </c>
      <c r="I30" s="45"/>
      <c r="J30" s="58">
        <v>101</v>
      </c>
    </row>
    <row r="31" spans="1:10" x14ac:dyDescent="0.3">
      <c r="A31" s="43"/>
      <c r="B31" s="43"/>
      <c r="C31" s="43"/>
      <c r="D31" s="43" t="s">
        <v>147</v>
      </c>
      <c r="E31" s="43"/>
      <c r="F31" s="57">
        <f>ROUND(SUM(F29:F30),5)</f>
        <v>4</v>
      </c>
      <c r="G31" s="45"/>
      <c r="H31" s="57">
        <f>ROUND(SUM(H29:H30),5)</f>
        <v>428</v>
      </c>
      <c r="I31" s="45"/>
      <c r="J31" s="57">
        <f>ROUND(SUM(J29:J30),5)</f>
        <v>101</v>
      </c>
    </row>
    <row r="32" spans="1:10" ht="30" customHeight="1" x14ac:dyDescent="0.3">
      <c r="A32" s="43"/>
      <c r="B32" s="43"/>
      <c r="C32" s="43"/>
      <c r="D32" s="43" t="s">
        <v>148</v>
      </c>
      <c r="E32" s="43"/>
      <c r="F32" s="57"/>
      <c r="G32" s="45"/>
      <c r="H32" s="57"/>
      <c r="I32" s="45"/>
      <c r="J32" s="57"/>
    </row>
    <row r="33" spans="1:10" x14ac:dyDescent="0.3">
      <c r="A33" s="43"/>
      <c r="B33" s="43"/>
      <c r="C33" s="43"/>
      <c r="D33" s="43"/>
      <c r="E33" s="43" t="s">
        <v>974</v>
      </c>
      <c r="F33" s="57">
        <v>1991990</v>
      </c>
      <c r="G33" s="45"/>
      <c r="H33" s="57">
        <v>1991990</v>
      </c>
      <c r="I33" s="45"/>
      <c r="J33" s="57">
        <v>1991990</v>
      </c>
    </row>
    <row r="34" spans="1:10" x14ac:dyDescent="0.3">
      <c r="A34" s="43"/>
      <c r="B34" s="43"/>
      <c r="C34" s="43"/>
      <c r="D34" s="43"/>
      <c r="E34" s="43" t="s">
        <v>837</v>
      </c>
      <c r="F34" s="57">
        <v>0</v>
      </c>
      <c r="G34" s="45"/>
      <c r="H34" s="57">
        <v>143000</v>
      </c>
      <c r="I34" s="45"/>
      <c r="J34" s="57">
        <v>153000</v>
      </c>
    </row>
    <row r="35" spans="1:10" x14ac:dyDescent="0.3">
      <c r="A35" s="43"/>
      <c r="B35" s="43"/>
      <c r="C35" s="43"/>
      <c r="D35" s="43"/>
      <c r="E35" s="43" t="s">
        <v>975</v>
      </c>
      <c r="F35" s="57">
        <v>0</v>
      </c>
      <c r="G35" s="45"/>
      <c r="H35" s="57">
        <v>25000</v>
      </c>
      <c r="I35" s="45"/>
      <c r="J35" s="57">
        <v>50000</v>
      </c>
    </row>
    <row r="36" spans="1:10" x14ac:dyDescent="0.3">
      <c r="A36" s="43"/>
      <c r="B36" s="43"/>
      <c r="C36" s="43"/>
      <c r="D36" s="43"/>
      <c r="E36" s="43" t="s">
        <v>976</v>
      </c>
      <c r="F36" s="57">
        <v>100000</v>
      </c>
      <c r="G36" s="45"/>
      <c r="H36" s="57">
        <v>0</v>
      </c>
      <c r="I36" s="45"/>
      <c r="J36" s="57">
        <v>0</v>
      </c>
    </row>
    <row r="37" spans="1:10" ht="15" thickBot="1" x14ac:dyDescent="0.35">
      <c r="A37" s="43"/>
      <c r="B37" s="43"/>
      <c r="C37" s="43"/>
      <c r="D37" s="43"/>
      <c r="E37" s="43" t="s">
        <v>454</v>
      </c>
      <c r="F37" s="57">
        <v>17358</v>
      </c>
      <c r="G37" s="45"/>
      <c r="H37" s="57">
        <v>0</v>
      </c>
      <c r="I37" s="45"/>
      <c r="J37" s="57">
        <v>0</v>
      </c>
    </row>
    <row r="38" spans="1:10" ht="15" thickBot="1" x14ac:dyDescent="0.35">
      <c r="A38" s="43"/>
      <c r="B38" s="43"/>
      <c r="C38" s="43"/>
      <c r="D38" s="43" t="s">
        <v>152</v>
      </c>
      <c r="E38" s="43"/>
      <c r="F38" s="60">
        <f>ROUND(SUM(F32:F37),5)</f>
        <v>2109348</v>
      </c>
      <c r="G38" s="45"/>
      <c r="H38" s="60">
        <f>ROUND(SUM(H32:H37),5)</f>
        <v>2159990</v>
      </c>
      <c r="I38" s="45"/>
      <c r="J38" s="60">
        <f>ROUND(SUM(J32:J37),5)</f>
        <v>2194990</v>
      </c>
    </row>
    <row r="39" spans="1:10" ht="30" customHeight="1" thickBot="1" x14ac:dyDescent="0.35">
      <c r="A39" s="43"/>
      <c r="B39" s="43"/>
      <c r="C39" s="43" t="s">
        <v>153</v>
      </c>
      <c r="D39" s="43"/>
      <c r="E39" s="43"/>
      <c r="F39" s="59">
        <f>ROUND(F28+F31+F38,5)</f>
        <v>2109352</v>
      </c>
      <c r="G39" s="45"/>
      <c r="H39" s="59">
        <f>ROUND(H28+H31+H38,5)</f>
        <v>2160418</v>
      </c>
      <c r="I39" s="45"/>
      <c r="J39" s="59">
        <f>ROUND(J28+J31+J38,5)</f>
        <v>2195091</v>
      </c>
    </row>
    <row r="40" spans="1:10" ht="30" customHeight="1" x14ac:dyDescent="0.3">
      <c r="A40" s="43"/>
      <c r="B40" s="43" t="s">
        <v>158</v>
      </c>
      <c r="C40" s="43"/>
      <c r="D40" s="43"/>
      <c r="E40" s="43"/>
      <c r="F40" s="57">
        <f>ROUND(F27+F39,5)</f>
        <v>2109352</v>
      </c>
      <c r="G40" s="45"/>
      <c r="H40" s="57">
        <f>ROUND(H27+H39,5)</f>
        <v>2160418</v>
      </c>
      <c r="I40" s="45"/>
      <c r="J40" s="57">
        <f>ROUND(J27+J39,5)</f>
        <v>2195091</v>
      </c>
    </row>
    <row r="41" spans="1:10" ht="30" customHeight="1" x14ac:dyDescent="0.3">
      <c r="A41" s="43"/>
      <c r="B41" s="43" t="s">
        <v>159</v>
      </c>
      <c r="C41" s="43"/>
      <c r="D41" s="43"/>
      <c r="E41" s="43"/>
      <c r="F41" s="57"/>
      <c r="G41" s="45"/>
      <c r="H41" s="57"/>
      <c r="I41" s="45"/>
      <c r="J41" s="57"/>
    </row>
    <row r="42" spans="1:10" x14ac:dyDescent="0.3">
      <c r="A42" s="43"/>
      <c r="B42" s="43"/>
      <c r="C42" s="43" t="s">
        <v>395</v>
      </c>
      <c r="D42" s="43"/>
      <c r="E42" s="43"/>
      <c r="F42" s="57">
        <v>-1645549</v>
      </c>
      <c r="G42" s="45"/>
      <c r="H42" s="57">
        <v>-1518549</v>
      </c>
      <c r="I42" s="45"/>
      <c r="J42" s="57">
        <v>-1518549</v>
      </c>
    </row>
    <row r="43" spans="1:10" x14ac:dyDescent="0.3">
      <c r="A43" s="43"/>
      <c r="B43" s="43"/>
      <c r="C43" s="43" t="s">
        <v>164</v>
      </c>
      <c r="D43" s="43"/>
      <c r="E43" s="43"/>
      <c r="F43" s="57">
        <v>0</v>
      </c>
      <c r="G43" s="45"/>
      <c r="H43" s="57">
        <v>-5284</v>
      </c>
      <c r="I43" s="45"/>
      <c r="J43" s="57">
        <v>-6479</v>
      </c>
    </row>
    <row r="44" spans="1:10" ht="15" thickBot="1" x14ac:dyDescent="0.35">
      <c r="A44" s="43"/>
      <c r="B44" s="43"/>
      <c r="C44" s="43" t="s">
        <v>165</v>
      </c>
      <c r="D44" s="43"/>
      <c r="E44" s="43"/>
      <c r="F44" s="57">
        <v>-5284</v>
      </c>
      <c r="G44" s="45"/>
      <c r="H44" s="57">
        <v>-1195</v>
      </c>
      <c r="I44" s="45"/>
      <c r="J44" s="57">
        <v>3078</v>
      </c>
    </row>
    <row r="45" spans="1:10" ht="15" thickBot="1" x14ac:dyDescent="0.35">
      <c r="A45" s="43"/>
      <c r="B45" s="43" t="s">
        <v>166</v>
      </c>
      <c r="C45" s="43"/>
      <c r="D45" s="43"/>
      <c r="E45" s="43"/>
      <c r="F45" s="60">
        <f>ROUND(SUM(F41:F44),5)</f>
        <v>-1650833</v>
      </c>
      <c r="G45" s="45"/>
      <c r="H45" s="60">
        <f>ROUND(SUM(H41:H44),5)</f>
        <v>-1525028</v>
      </c>
      <c r="I45" s="45"/>
      <c r="J45" s="60">
        <f>ROUND(SUM(J41:J44),5)</f>
        <v>-1521950</v>
      </c>
    </row>
    <row r="46" spans="1:10" s="50" customFormat="1" ht="30" customHeight="1" thickBot="1" x14ac:dyDescent="0.25">
      <c r="A46" s="43" t="s">
        <v>167</v>
      </c>
      <c r="B46" s="43"/>
      <c r="C46" s="43"/>
      <c r="D46" s="43"/>
      <c r="E46" s="43"/>
      <c r="F46" s="61">
        <f>ROUND(F26+F40+F45,5)</f>
        <v>458519</v>
      </c>
      <c r="G46" s="43"/>
      <c r="H46" s="61">
        <f>ROUND(H26+H40+H45,5)</f>
        <v>635390</v>
      </c>
      <c r="I46" s="43"/>
      <c r="J46" s="61">
        <f>ROUND(J26+J40+J45,5)</f>
        <v>673141</v>
      </c>
    </row>
    <row r="47" spans="1:10" ht="15" thickTop="1" x14ac:dyDescent="0.3"/>
  </sheetData>
  <pageMargins left="0.7" right="0.7" top="0.75" bottom="0.75" header="0.25" footer="0.3"/>
  <pageSetup orientation="portrait" r:id="rId1"/>
  <headerFooter>
    <oddHeader>&amp;L&amp;"Arial,Bold"&amp;8 02/17/14
&amp;"Arial,Bold"&amp;8 Accrual Basis&amp;C&amp;"Arial,Bold"&amp;12 Bristol Square, LLC
&amp;"Arial,Bold"&amp;14 Comparative Balance Sheet
&amp;"Arial,Bold"&amp;10 As of Jan 31, 2014 and 2013</oddHeader>
    <oddFooter>&amp;L&amp;"Arial,Bold"&amp;8 For Management Use Only</oddFooter>
  </headerFooter>
  <drawing r:id="rId2"/>
  <legacyDrawing r:id="rId3"/>
  <controls>
    <mc:AlternateContent xmlns:mc="http://schemas.openxmlformats.org/markup-compatibility/2006">
      <mc:Choice Requires="x14">
        <control shapeId="51202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51202" r:id="rId4" name="HEADER"/>
      </mc:Fallback>
    </mc:AlternateContent>
    <mc:AlternateContent xmlns:mc="http://schemas.openxmlformats.org/markup-compatibility/2006">
      <mc:Choice Requires="x14">
        <control shapeId="51201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51201" r:id="rId6" name="FILTER"/>
      </mc:Fallback>
    </mc:AlternateContent>
  </controls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65"/>
  <dimension ref="A1:K22"/>
  <sheetViews>
    <sheetView workbookViewId="0">
      <pane xSplit="4" ySplit="1" topLeftCell="E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3" width="3" style="50" customWidth="1"/>
    <col min="4" max="4" width="23.88671875" style="50" customWidth="1"/>
    <col min="5" max="5" width="10.109375" bestFit="1" customWidth="1"/>
    <col min="6" max="6" width="2.33203125" customWidth="1"/>
    <col min="7" max="7" width="10.109375" bestFit="1" customWidth="1"/>
    <col min="8" max="8" width="2.33203125" customWidth="1"/>
    <col min="9" max="9" width="10.109375" bestFit="1" customWidth="1"/>
    <col min="10" max="10" width="2.33203125" customWidth="1"/>
    <col min="11" max="11" width="6.33203125" bestFit="1" customWidth="1"/>
  </cols>
  <sheetData>
    <row r="1" spans="1:11" s="39" customFormat="1" ht="15" thickBot="1" x14ac:dyDescent="0.35">
      <c r="A1" s="40"/>
      <c r="B1" s="40"/>
      <c r="C1" s="40"/>
      <c r="D1" s="40"/>
      <c r="E1" s="41" t="s">
        <v>168</v>
      </c>
      <c r="F1" s="42"/>
      <c r="G1" s="41" t="s">
        <v>169</v>
      </c>
      <c r="H1" s="42"/>
      <c r="I1" s="41" t="s">
        <v>170</v>
      </c>
      <c r="J1" s="42"/>
      <c r="K1" s="41" t="s">
        <v>171</v>
      </c>
    </row>
    <row r="2" spans="1:11" ht="15" thickTop="1" x14ac:dyDescent="0.3">
      <c r="A2" s="43"/>
      <c r="B2" s="43" t="s">
        <v>172</v>
      </c>
      <c r="C2" s="43"/>
      <c r="D2" s="43"/>
      <c r="E2" s="44"/>
      <c r="F2" s="45"/>
      <c r="G2" s="44"/>
      <c r="H2" s="45"/>
      <c r="I2" s="44"/>
      <c r="J2" s="45"/>
      <c r="K2" s="44"/>
    </row>
    <row r="3" spans="1:11" x14ac:dyDescent="0.3">
      <c r="A3" s="43"/>
      <c r="B3" s="43"/>
      <c r="C3" s="43" t="s">
        <v>182</v>
      </c>
      <c r="D3" s="43"/>
      <c r="E3" s="44"/>
      <c r="F3" s="45"/>
      <c r="G3" s="44"/>
      <c r="H3" s="45"/>
      <c r="I3" s="44"/>
      <c r="J3" s="45"/>
      <c r="K3" s="44"/>
    </row>
    <row r="4" spans="1:11" x14ac:dyDescent="0.3">
      <c r="A4" s="43"/>
      <c r="B4" s="43"/>
      <c r="C4" s="43"/>
      <c r="D4" s="43" t="s">
        <v>977</v>
      </c>
      <c r="E4" s="44">
        <v>0</v>
      </c>
      <c r="F4" s="45"/>
      <c r="G4" s="44">
        <v>358</v>
      </c>
      <c r="H4" s="45"/>
      <c r="I4" s="44">
        <v>863</v>
      </c>
      <c r="J4" s="45"/>
      <c r="K4" s="44">
        <f t="shared" ref="K4:K13" si="0">ROUND(SUM(E4:I4),5)</f>
        <v>1221</v>
      </c>
    </row>
    <row r="5" spans="1:11" x14ac:dyDescent="0.3">
      <c r="A5" s="43"/>
      <c r="B5" s="43"/>
      <c r="C5" s="43"/>
      <c r="D5" s="43" t="s">
        <v>184</v>
      </c>
      <c r="E5" s="44">
        <v>0</v>
      </c>
      <c r="F5" s="45"/>
      <c r="G5" s="44">
        <v>0</v>
      </c>
      <c r="H5" s="45"/>
      <c r="I5" s="44">
        <v>0</v>
      </c>
      <c r="J5" s="45"/>
      <c r="K5" s="44">
        <f t="shared" si="0"/>
        <v>0</v>
      </c>
    </row>
    <row r="6" spans="1:11" x14ac:dyDescent="0.3">
      <c r="A6" s="43"/>
      <c r="B6" s="43"/>
      <c r="C6" s="43"/>
      <c r="D6" s="43" t="s">
        <v>978</v>
      </c>
      <c r="E6" s="44">
        <v>100</v>
      </c>
      <c r="F6" s="45"/>
      <c r="G6" s="44">
        <v>0</v>
      </c>
      <c r="H6" s="45"/>
      <c r="I6" s="44">
        <v>0</v>
      </c>
      <c r="J6" s="45"/>
      <c r="K6" s="44">
        <f t="shared" si="0"/>
        <v>100</v>
      </c>
    </row>
    <row r="7" spans="1:11" x14ac:dyDescent="0.3">
      <c r="A7" s="43"/>
      <c r="B7" s="43"/>
      <c r="C7" s="43"/>
      <c r="D7" s="43" t="s">
        <v>577</v>
      </c>
      <c r="E7" s="44">
        <v>1651</v>
      </c>
      <c r="F7" s="45"/>
      <c r="G7" s="44">
        <v>1046</v>
      </c>
      <c r="H7" s="45"/>
      <c r="I7" s="44">
        <v>624</v>
      </c>
      <c r="J7" s="45"/>
      <c r="K7" s="44">
        <f t="shared" si="0"/>
        <v>3321</v>
      </c>
    </row>
    <row r="8" spans="1:11" x14ac:dyDescent="0.3">
      <c r="A8" s="43"/>
      <c r="B8" s="43"/>
      <c r="C8" s="43"/>
      <c r="D8" s="43" t="s">
        <v>979</v>
      </c>
      <c r="E8" s="44">
        <v>912</v>
      </c>
      <c r="F8" s="45"/>
      <c r="G8" s="44">
        <v>2070</v>
      </c>
      <c r="H8" s="45"/>
      <c r="I8" s="44">
        <v>1108</v>
      </c>
      <c r="J8" s="45"/>
      <c r="K8" s="44">
        <f t="shared" si="0"/>
        <v>4090</v>
      </c>
    </row>
    <row r="9" spans="1:11" x14ac:dyDescent="0.3">
      <c r="A9" s="43"/>
      <c r="B9" s="43"/>
      <c r="C9" s="43"/>
      <c r="D9" s="43" t="s">
        <v>271</v>
      </c>
      <c r="E9" s="44">
        <v>88</v>
      </c>
      <c r="F9" s="45"/>
      <c r="G9" s="44">
        <v>354</v>
      </c>
      <c r="H9" s="45"/>
      <c r="I9" s="44">
        <v>341</v>
      </c>
      <c r="J9" s="45"/>
      <c r="K9" s="44">
        <f t="shared" si="0"/>
        <v>783</v>
      </c>
    </row>
    <row r="10" spans="1:11" x14ac:dyDescent="0.3">
      <c r="A10" s="43"/>
      <c r="B10" s="43"/>
      <c r="C10" s="43"/>
      <c r="D10" s="43" t="s">
        <v>272</v>
      </c>
      <c r="E10" s="44">
        <v>394</v>
      </c>
      <c r="F10" s="45"/>
      <c r="G10" s="44">
        <v>411</v>
      </c>
      <c r="H10" s="45"/>
      <c r="I10" s="44">
        <v>433</v>
      </c>
      <c r="J10" s="45"/>
      <c r="K10" s="44">
        <f t="shared" si="0"/>
        <v>1238</v>
      </c>
    </row>
    <row r="11" spans="1:11" ht="15" thickBot="1" x14ac:dyDescent="0.35">
      <c r="A11" s="43"/>
      <c r="B11" s="43"/>
      <c r="C11" s="43"/>
      <c r="D11" s="43" t="s">
        <v>278</v>
      </c>
      <c r="E11" s="44">
        <v>5279</v>
      </c>
      <c r="F11" s="45"/>
      <c r="G11" s="44">
        <v>3767</v>
      </c>
      <c r="H11" s="45"/>
      <c r="I11" s="44">
        <v>0</v>
      </c>
      <c r="J11" s="45"/>
      <c r="K11" s="44">
        <f t="shared" si="0"/>
        <v>9046</v>
      </c>
    </row>
    <row r="12" spans="1:11" ht="15" thickBot="1" x14ac:dyDescent="0.35">
      <c r="A12" s="43"/>
      <c r="B12" s="43"/>
      <c r="C12" s="43" t="s">
        <v>287</v>
      </c>
      <c r="D12" s="43"/>
      <c r="E12" s="47">
        <f>ROUND(SUM(E3:E11),5)</f>
        <v>8424</v>
      </c>
      <c r="F12" s="45"/>
      <c r="G12" s="47">
        <f>ROUND(SUM(G3:G11),5)</f>
        <v>8006</v>
      </c>
      <c r="H12" s="45"/>
      <c r="I12" s="47">
        <f>ROUND(SUM(I3:I11),5)</f>
        <v>3369</v>
      </c>
      <c r="J12" s="45"/>
      <c r="K12" s="47">
        <f t="shared" si="0"/>
        <v>19799</v>
      </c>
    </row>
    <row r="13" spans="1:11" ht="30" customHeight="1" x14ac:dyDescent="0.3">
      <c r="A13" s="43"/>
      <c r="B13" s="43" t="s">
        <v>288</v>
      </c>
      <c r="C13" s="43"/>
      <c r="D13" s="43"/>
      <c r="E13" s="44">
        <f>ROUND(E2-E12,5)</f>
        <v>-8424</v>
      </c>
      <c r="F13" s="45"/>
      <c r="G13" s="44">
        <f>ROUND(G2-G12,5)</f>
        <v>-8006</v>
      </c>
      <c r="H13" s="45"/>
      <c r="I13" s="44">
        <f>ROUND(I2-I12,5)</f>
        <v>-3369</v>
      </c>
      <c r="J13" s="45"/>
      <c r="K13" s="44">
        <f t="shared" si="0"/>
        <v>-19799</v>
      </c>
    </row>
    <row r="14" spans="1:11" ht="30" customHeight="1" x14ac:dyDescent="0.3">
      <c r="A14" s="43"/>
      <c r="B14" s="43" t="s">
        <v>289</v>
      </c>
      <c r="C14" s="43"/>
      <c r="D14" s="43"/>
      <c r="E14" s="44"/>
      <c r="F14" s="45"/>
      <c r="G14" s="44"/>
      <c r="H14" s="45"/>
      <c r="I14" s="44"/>
      <c r="J14" s="45"/>
      <c r="K14" s="44"/>
    </row>
    <row r="15" spans="1:11" x14ac:dyDescent="0.3">
      <c r="A15" s="43"/>
      <c r="B15" s="43"/>
      <c r="C15" s="43" t="s">
        <v>290</v>
      </c>
      <c r="D15" s="43"/>
      <c r="E15" s="44"/>
      <c r="F15" s="45"/>
      <c r="G15" s="44"/>
      <c r="H15" s="45"/>
      <c r="I15" s="44"/>
      <c r="J15" s="45"/>
      <c r="K15" s="44"/>
    </row>
    <row r="16" spans="1:11" x14ac:dyDescent="0.3">
      <c r="A16" s="43"/>
      <c r="B16" s="43"/>
      <c r="C16" s="43"/>
      <c r="D16" s="43" t="s">
        <v>980</v>
      </c>
      <c r="E16" s="44">
        <v>2155</v>
      </c>
      <c r="F16" s="45"/>
      <c r="G16" s="44">
        <v>6836</v>
      </c>
      <c r="H16" s="45"/>
      <c r="I16" s="44">
        <v>6446</v>
      </c>
      <c r="J16" s="45"/>
      <c r="K16" s="44">
        <f t="shared" ref="K16:K21" si="1">ROUND(SUM(E16:I16),5)</f>
        <v>15437</v>
      </c>
    </row>
    <row r="17" spans="1:11" x14ac:dyDescent="0.3">
      <c r="A17" s="43"/>
      <c r="B17" s="43"/>
      <c r="C17" s="43"/>
      <c r="D17" s="43" t="s">
        <v>291</v>
      </c>
      <c r="E17" s="44">
        <v>0</v>
      </c>
      <c r="F17" s="45"/>
      <c r="G17" s="44">
        <v>0</v>
      </c>
      <c r="H17" s="45"/>
      <c r="I17" s="44">
        <v>0</v>
      </c>
      <c r="J17" s="45"/>
      <c r="K17" s="44">
        <f t="shared" si="1"/>
        <v>0</v>
      </c>
    </row>
    <row r="18" spans="1:11" ht="15" thickBot="1" x14ac:dyDescent="0.35">
      <c r="A18" s="43"/>
      <c r="B18" s="43"/>
      <c r="C18" s="43"/>
      <c r="D18" s="43" t="s">
        <v>290</v>
      </c>
      <c r="E18" s="44">
        <v>986</v>
      </c>
      <c r="F18" s="45"/>
      <c r="G18" s="44">
        <v>-26</v>
      </c>
      <c r="H18" s="45"/>
      <c r="I18" s="44">
        <v>0</v>
      </c>
      <c r="J18" s="45"/>
      <c r="K18" s="44">
        <f t="shared" si="1"/>
        <v>960</v>
      </c>
    </row>
    <row r="19" spans="1:11" ht="15" thickBot="1" x14ac:dyDescent="0.35">
      <c r="A19" s="43"/>
      <c r="B19" s="43"/>
      <c r="C19" s="43" t="s">
        <v>292</v>
      </c>
      <c r="D19" s="43"/>
      <c r="E19" s="48">
        <f>ROUND(SUM(E15:E18),5)</f>
        <v>3141</v>
      </c>
      <c r="F19" s="45"/>
      <c r="G19" s="48">
        <f>ROUND(SUM(G15:G18),5)</f>
        <v>6810</v>
      </c>
      <c r="H19" s="45"/>
      <c r="I19" s="48">
        <f>ROUND(SUM(I15:I18),5)</f>
        <v>6446</v>
      </c>
      <c r="J19" s="45"/>
      <c r="K19" s="48">
        <f t="shared" si="1"/>
        <v>16397</v>
      </c>
    </row>
    <row r="20" spans="1:11" ht="30" customHeight="1" thickBot="1" x14ac:dyDescent="0.35">
      <c r="A20" s="43"/>
      <c r="B20" s="43" t="s">
        <v>296</v>
      </c>
      <c r="C20" s="43"/>
      <c r="D20" s="43"/>
      <c r="E20" s="48">
        <f>ROUND(E14+E19,5)</f>
        <v>3141</v>
      </c>
      <c r="F20" s="45"/>
      <c r="G20" s="48">
        <f>ROUND(G14+G19,5)</f>
        <v>6810</v>
      </c>
      <c r="H20" s="45"/>
      <c r="I20" s="48">
        <f>ROUND(I14+I19,5)</f>
        <v>6446</v>
      </c>
      <c r="J20" s="45"/>
      <c r="K20" s="48">
        <f t="shared" si="1"/>
        <v>16397</v>
      </c>
    </row>
    <row r="21" spans="1:11" s="50" customFormat="1" ht="30" customHeight="1" thickBot="1" x14ac:dyDescent="0.25">
      <c r="A21" s="43" t="s">
        <v>165</v>
      </c>
      <c r="B21" s="43"/>
      <c r="C21" s="43"/>
      <c r="D21" s="43"/>
      <c r="E21" s="49">
        <f>ROUND(E13+E20,5)</f>
        <v>-5283</v>
      </c>
      <c r="F21" s="43"/>
      <c r="G21" s="49">
        <f>ROUND(G13+G20,5)</f>
        <v>-1196</v>
      </c>
      <c r="H21" s="43"/>
      <c r="I21" s="49">
        <f>ROUND(I13+I20,5)</f>
        <v>3077</v>
      </c>
      <c r="J21" s="43"/>
      <c r="K21" s="49">
        <f t="shared" si="1"/>
        <v>-3402</v>
      </c>
    </row>
    <row r="22" spans="1:11" ht="15" thickTop="1" x14ac:dyDescent="0.3"/>
  </sheetData>
  <pageMargins left="0.7" right="0.7" top="0.75" bottom="0.75" header="0.25" footer="0.3"/>
  <pageSetup orientation="portrait" r:id="rId1"/>
  <headerFooter>
    <oddHeader>&amp;C&amp;"Arial,Bold"&amp;12 Bristol Square, LLC
&amp;"Arial,Bold"&amp;14 Comparative Statement of Income
&amp;"Arial,Bold"&amp;10 For The One Month  Ended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522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297180</xdr:colOff>
                <xdr:row>1</xdr:row>
                <xdr:rowOff>38100</xdr:rowOff>
              </to>
            </anchor>
          </controlPr>
        </control>
      </mc:Choice>
      <mc:Fallback>
        <control shapeId="52226" r:id="rId4" name="HEADER"/>
      </mc:Fallback>
    </mc:AlternateContent>
    <mc:AlternateContent xmlns:mc="http://schemas.openxmlformats.org/markup-compatibility/2006">
      <mc:Choice Requires="x14">
        <control shapeId="522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297180</xdr:colOff>
                <xdr:row>1</xdr:row>
                <xdr:rowOff>38100</xdr:rowOff>
              </to>
            </anchor>
          </controlPr>
        </control>
      </mc:Choice>
      <mc:Fallback>
        <control shapeId="52225" r:id="rId6" name="FILTER"/>
      </mc:Fallback>
    </mc:AlternateContent>
  </controls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20"/>
  <dimension ref="A1:J29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2.44140625" style="50" customWidth="1"/>
    <col min="6" max="6" width="8.5546875" bestFit="1" customWidth="1"/>
    <col min="7" max="7" width="2.33203125" customWidth="1"/>
    <col min="8" max="8" width="8.6640625" bestFit="1" customWidth="1"/>
    <col min="9" max="9" width="2.33203125" customWidth="1"/>
    <col min="10" max="10" width="8.664062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2"/>
      <c r="G2" s="45"/>
      <c r="H2" s="52"/>
      <c r="I2" s="45"/>
      <c r="J2" s="52"/>
    </row>
    <row r="3" spans="1:10" x14ac:dyDescent="0.3">
      <c r="A3" s="43"/>
      <c r="B3" s="43" t="s">
        <v>113</v>
      </c>
      <c r="C3" s="43"/>
      <c r="D3" s="43"/>
      <c r="E3" s="43"/>
      <c r="F3" s="52"/>
      <c r="G3" s="45"/>
      <c r="H3" s="52"/>
      <c r="I3" s="45"/>
      <c r="J3" s="52"/>
    </row>
    <row r="4" spans="1:10" x14ac:dyDescent="0.3">
      <c r="A4" s="43"/>
      <c r="B4" s="43"/>
      <c r="C4" s="43" t="s">
        <v>120</v>
      </c>
      <c r="D4" s="43"/>
      <c r="E4" s="43"/>
      <c r="F4" s="52"/>
      <c r="G4" s="45"/>
      <c r="H4" s="52"/>
      <c r="I4" s="45"/>
      <c r="J4" s="52"/>
    </row>
    <row r="5" spans="1:10" ht="15" thickBot="1" x14ac:dyDescent="0.35">
      <c r="A5" s="43"/>
      <c r="B5" s="43"/>
      <c r="C5" s="43"/>
      <c r="D5" s="43" t="s">
        <v>122</v>
      </c>
      <c r="E5" s="43"/>
      <c r="F5" s="52">
        <v>0</v>
      </c>
      <c r="G5" s="45"/>
      <c r="H5" s="52">
        <v>26.53</v>
      </c>
      <c r="I5" s="45"/>
      <c r="J5" s="52">
        <v>21.74</v>
      </c>
    </row>
    <row r="6" spans="1:10" ht="15" thickBot="1" x14ac:dyDescent="0.35">
      <c r="A6" s="43"/>
      <c r="B6" s="43"/>
      <c r="C6" s="43" t="s">
        <v>124</v>
      </c>
      <c r="D6" s="43"/>
      <c r="E6" s="43"/>
      <c r="F6" s="53">
        <f>ROUND(SUM(F4:F5),5)</f>
        <v>0</v>
      </c>
      <c r="G6" s="45"/>
      <c r="H6" s="53">
        <f>ROUND(SUM(H4:H5),5)</f>
        <v>26.53</v>
      </c>
      <c r="I6" s="45"/>
      <c r="J6" s="53">
        <f>ROUND(SUM(J4:J5),5)</f>
        <v>21.74</v>
      </c>
    </row>
    <row r="7" spans="1:10" ht="30" customHeight="1" x14ac:dyDescent="0.3">
      <c r="A7" s="43"/>
      <c r="B7" s="43" t="s">
        <v>125</v>
      </c>
      <c r="C7" s="43"/>
      <c r="D7" s="43"/>
      <c r="E7" s="43"/>
      <c r="F7" s="52">
        <f>ROUND(F3+F6,5)</f>
        <v>0</v>
      </c>
      <c r="G7" s="45"/>
      <c r="H7" s="52">
        <f>ROUND(H3+H6,5)</f>
        <v>26.53</v>
      </c>
      <c r="I7" s="45"/>
      <c r="J7" s="52">
        <f>ROUND(J3+J6,5)</f>
        <v>21.74</v>
      </c>
    </row>
    <row r="8" spans="1:10" ht="30" customHeight="1" x14ac:dyDescent="0.3">
      <c r="A8" s="43"/>
      <c r="B8" s="43" t="s">
        <v>126</v>
      </c>
      <c r="C8" s="43"/>
      <c r="D8" s="43"/>
      <c r="E8" s="43"/>
      <c r="F8" s="52"/>
      <c r="G8" s="45"/>
      <c r="H8" s="52"/>
      <c r="I8" s="45"/>
      <c r="J8" s="52"/>
    </row>
    <row r="9" spans="1:10" ht="15" thickBot="1" x14ac:dyDescent="0.35">
      <c r="A9" s="43"/>
      <c r="B9" s="43"/>
      <c r="C9" s="43" t="s">
        <v>127</v>
      </c>
      <c r="D9" s="43"/>
      <c r="E9" s="43"/>
      <c r="F9" s="52">
        <v>0</v>
      </c>
      <c r="G9" s="45"/>
      <c r="H9" s="52">
        <v>209385.28</v>
      </c>
      <c r="I9" s="45"/>
      <c r="J9" s="52">
        <v>210344.1</v>
      </c>
    </row>
    <row r="10" spans="1:10" ht="15" thickBot="1" x14ac:dyDescent="0.35">
      <c r="A10" s="43"/>
      <c r="B10" s="43" t="s">
        <v>136</v>
      </c>
      <c r="C10" s="43"/>
      <c r="D10" s="43"/>
      <c r="E10" s="43"/>
      <c r="F10" s="55">
        <f>ROUND(SUM(F8:F9),5)</f>
        <v>0</v>
      </c>
      <c r="G10" s="45"/>
      <c r="H10" s="55">
        <f>ROUND(SUM(H8:H9),5)</f>
        <v>209385.28</v>
      </c>
      <c r="I10" s="45"/>
      <c r="J10" s="55">
        <f>ROUND(SUM(J8:J9),5)</f>
        <v>210344.1</v>
      </c>
    </row>
    <row r="11" spans="1:10" s="50" customFormat="1" ht="30" customHeight="1" thickBot="1" x14ac:dyDescent="0.25">
      <c r="A11" s="43" t="s">
        <v>142</v>
      </c>
      <c r="B11" s="43"/>
      <c r="C11" s="43"/>
      <c r="D11" s="43"/>
      <c r="E11" s="43"/>
      <c r="F11" s="56">
        <f>ROUND(F2+F7+F10,5)</f>
        <v>0</v>
      </c>
      <c r="G11" s="43"/>
      <c r="H11" s="56">
        <f>ROUND(H2+H7+H10,5)</f>
        <v>209411.81</v>
      </c>
      <c r="I11" s="43"/>
      <c r="J11" s="56">
        <f>ROUND(J2+J7+J10,5)</f>
        <v>210365.84</v>
      </c>
    </row>
    <row r="12" spans="1:10" ht="31.5" customHeight="1" thickTop="1" x14ac:dyDescent="0.3">
      <c r="A12" s="43" t="s">
        <v>143</v>
      </c>
      <c r="B12" s="43"/>
      <c r="C12" s="43"/>
      <c r="D12" s="43"/>
      <c r="E12" s="43"/>
      <c r="F12" s="52"/>
      <c r="G12" s="45"/>
      <c r="H12" s="52"/>
      <c r="I12" s="45"/>
      <c r="J12" s="52"/>
    </row>
    <row r="13" spans="1:10" x14ac:dyDescent="0.3">
      <c r="A13" s="43"/>
      <c r="B13" s="43" t="s">
        <v>144</v>
      </c>
      <c r="C13" s="43"/>
      <c r="D13" s="43"/>
      <c r="E13" s="43"/>
      <c r="F13" s="52"/>
      <c r="G13" s="45"/>
      <c r="H13" s="52"/>
      <c r="I13" s="45"/>
      <c r="J13" s="52"/>
    </row>
    <row r="14" spans="1:10" x14ac:dyDescent="0.3">
      <c r="A14" s="43"/>
      <c r="B14" s="43"/>
      <c r="C14" s="43" t="s">
        <v>145</v>
      </c>
      <c r="D14" s="43"/>
      <c r="E14" s="43"/>
      <c r="F14" s="52"/>
      <c r="G14" s="45"/>
      <c r="H14" s="52"/>
      <c r="I14" s="45"/>
      <c r="J14" s="52"/>
    </row>
    <row r="15" spans="1:10" x14ac:dyDescent="0.3">
      <c r="A15" s="43"/>
      <c r="B15" s="43"/>
      <c r="C15" s="43"/>
      <c r="D15" s="43" t="s">
        <v>146</v>
      </c>
      <c r="E15" s="43"/>
      <c r="F15" s="52"/>
      <c r="G15" s="45"/>
      <c r="H15" s="52"/>
      <c r="I15" s="45"/>
      <c r="J15" s="52"/>
    </row>
    <row r="16" spans="1:10" ht="15" thickBot="1" x14ac:dyDescent="0.35">
      <c r="A16" s="43"/>
      <c r="B16" s="43"/>
      <c r="C16" s="43"/>
      <c r="D16" s="43"/>
      <c r="E16" s="43" t="s">
        <v>146</v>
      </c>
      <c r="F16" s="54">
        <v>0</v>
      </c>
      <c r="G16" s="45"/>
      <c r="H16" s="54">
        <v>9472.41</v>
      </c>
      <c r="I16" s="45"/>
      <c r="J16" s="54">
        <v>12185.02</v>
      </c>
    </row>
    <row r="17" spans="1:10" x14ac:dyDescent="0.3">
      <c r="A17" s="43"/>
      <c r="B17" s="43"/>
      <c r="C17" s="43"/>
      <c r="D17" s="43" t="s">
        <v>147</v>
      </c>
      <c r="E17" s="43"/>
      <c r="F17" s="52">
        <f>ROUND(SUM(F15:F16),5)</f>
        <v>0</v>
      </c>
      <c r="G17" s="45"/>
      <c r="H17" s="52">
        <f>ROUND(SUM(H15:H16),5)</f>
        <v>9472.41</v>
      </c>
      <c r="I17" s="45"/>
      <c r="J17" s="52">
        <f>ROUND(SUM(J15:J16),5)</f>
        <v>12185.02</v>
      </c>
    </row>
    <row r="18" spans="1:10" ht="30" customHeight="1" x14ac:dyDescent="0.3">
      <c r="A18" s="43"/>
      <c r="B18" s="43"/>
      <c r="C18" s="43"/>
      <c r="D18" s="43" t="s">
        <v>148</v>
      </c>
      <c r="E18" s="43"/>
      <c r="F18" s="52"/>
      <c r="G18" s="45"/>
      <c r="H18" s="52"/>
      <c r="I18" s="45"/>
      <c r="J18" s="52"/>
    </row>
    <row r="19" spans="1:10" ht="15" thickBot="1" x14ac:dyDescent="0.35">
      <c r="A19" s="43"/>
      <c r="B19" s="43"/>
      <c r="C19" s="43"/>
      <c r="D19" s="43"/>
      <c r="E19" s="43" t="s">
        <v>565</v>
      </c>
      <c r="F19" s="52">
        <v>0</v>
      </c>
      <c r="G19" s="45"/>
      <c r="H19" s="52">
        <v>1728.08</v>
      </c>
      <c r="I19" s="45"/>
      <c r="J19" s="52">
        <v>274.17</v>
      </c>
    </row>
    <row r="20" spans="1:10" ht="15" thickBot="1" x14ac:dyDescent="0.35">
      <c r="A20" s="43"/>
      <c r="B20" s="43"/>
      <c r="C20" s="43"/>
      <c r="D20" s="43" t="s">
        <v>152</v>
      </c>
      <c r="E20" s="43"/>
      <c r="F20" s="55">
        <f>ROUND(SUM(F18:F19),5)</f>
        <v>0</v>
      </c>
      <c r="G20" s="45"/>
      <c r="H20" s="55">
        <f>ROUND(SUM(H18:H19),5)</f>
        <v>1728.08</v>
      </c>
      <c r="I20" s="45"/>
      <c r="J20" s="55">
        <f>ROUND(SUM(J18:J19),5)</f>
        <v>274.17</v>
      </c>
    </row>
    <row r="21" spans="1:10" ht="30" customHeight="1" thickBot="1" x14ac:dyDescent="0.35">
      <c r="A21" s="43"/>
      <c r="B21" s="43"/>
      <c r="C21" s="43" t="s">
        <v>153</v>
      </c>
      <c r="D21" s="43"/>
      <c r="E21" s="43"/>
      <c r="F21" s="53">
        <f>ROUND(F14+F17+F20,5)</f>
        <v>0</v>
      </c>
      <c r="G21" s="45"/>
      <c r="H21" s="53">
        <f>ROUND(H14+H17+H20,5)</f>
        <v>11200.49</v>
      </c>
      <c r="I21" s="45"/>
      <c r="J21" s="53">
        <f>ROUND(J14+J17+J20,5)</f>
        <v>12459.19</v>
      </c>
    </row>
    <row r="22" spans="1:10" ht="30" customHeight="1" x14ac:dyDescent="0.3">
      <c r="A22" s="43"/>
      <c r="B22" s="43" t="s">
        <v>158</v>
      </c>
      <c r="C22" s="43"/>
      <c r="D22" s="43"/>
      <c r="E22" s="43"/>
      <c r="F22" s="52">
        <f>ROUND(F13+F21,5)</f>
        <v>0</v>
      </c>
      <c r="G22" s="45"/>
      <c r="H22" s="52">
        <f>ROUND(H13+H21,5)</f>
        <v>11200.49</v>
      </c>
      <c r="I22" s="45"/>
      <c r="J22" s="52">
        <f>ROUND(J13+J21,5)</f>
        <v>12459.19</v>
      </c>
    </row>
    <row r="23" spans="1:10" ht="30" customHeight="1" x14ac:dyDescent="0.3">
      <c r="A23" s="43"/>
      <c r="B23" s="43" t="s">
        <v>159</v>
      </c>
      <c r="C23" s="43"/>
      <c r="D23" s="43"/>
      <c r="E23" s="43"/>
      <c r="F23" s="52"/>
      <c r="G23" s="45"/>
      <c r="H23" s="52"/>
      <c r="I23" s="45"/>
      <c r="J23" s="52"/>
    </row>
    <row r="24" spans="1:10" x14ac:dyDescent="0.3">
      <c r="A24" s="43"/>
      <c r="B24" s="43"/>
      <c r="C24" s="43" t="s">
        <v>160</v>
      </c>
      <c r="D24" s="43"/>
      <c r="E24" s="43"/>
      <c r="F24" s="52">
        <v>0</v>
      </c>
      <c r="G24" s="45"/>
      <c r="H24" s="52">
        <v>202418.7</v>
      </c>
      <c r="I24" s="45"/>
      <c r="J24" s="52">
        <v>202418.7</v>
      </c>
    </row>
    <row r="25" spans="1:10" x14ac:dyDescent="0.3">
      <c r="A25" s="43"/>
      <c r="B25" s="43"/>
      <c r="C25" s="43" t="s">
        <v>981</v>
      </c>
      <c r="D25" s="43"/>
      <c r="E25" s="43"/>
      <c r="F25" s="52">
        <v>0</v>
      </c>
      <c r="G25" s="45"/>
      <c r="H25" s="52">
        <v>0</v>
      </c>
      <c r="I25" s="45"/>
      <c r="J25" s="52">
        <v>-4207.38</v>
      </c>
    </row>
    <row r="26" spans="1:10" ht="15" thickBot="1" x14ac:dyDescent="0.35">
      <c r="A26" s="43"/>
      <c r="B26" s="43"/>
      <c r="C26" s="43" t="s">
        <v>165</v>
      </c>
      <c r="D26" s="43"/>
      <c r="E26" s="43"/>
      <c r="F26" s="52">
        <v>0</v>
      </c>
      <c r="G26" s="45"/>
      <c r="H26" s="52">
        <v>-4207.38</v>
      </c>
      <c r="I26" s="45"/>
      <c r="J26" s="52">
        <v>-304.67</v>
      </c>
    </row>
    <row r="27" spans="1:10" ht="15" thickBot="1" x14ac:dyDescent="0.35">
      <c r="A27" s="43"/>
      <c r="B27" s="43" t="s">
        <v>166</v>
      </c>
      <c r="C27" s="43"/>
      <c r="D27" s="43"/>
      <c r="E27" s="43"/>
      <c r="F27" s="55">
        <f>ROUND(SUM(F23:F26),5)</f>
        <v>0</v>
      </c>
      <c r="G27" s="45"/>
      <c r="H27" s="55">
        <f>ROUND(SUM(H23:H26),5)</f>
        <v>198211.32</v>
      </c>
      <c r="I27" s="45"/>
      <c r="J27" s="55">
        <f>ROUND(SUM(J23:J26),5)</f>
        <v>197906.65</v>
      </c>
    </row>
    <row r="28" spans="1:10" s="50" customFormat="1" ht="30" customHeight="1" thickBot="1" x14ac:dyDescent="0.25">
      <c r="A28" s="43" t="s">
        <v>167</v>
      </c>
      <c r="B28" s="43"/>
      <c r="C28" s="43"/>
      <c r="D28" s="43"/>
      <c r="E28" s="43"/>
      <c r="F28" s="56">
        <f>ROUND(F12+F22+F27,5)</f>
        <v>0</v>
      </c>
      <c r="G28" s="43"/>
      <c r="H28" s="56">
        <f>ROUND(H12+H22+H27,5)</f>
        <v>209411.81</v>
      </c>
      <c r="I28" s="43"/>
      <c r="J28" s="56">
        <f>ROUND(J12+J22+J27,5)</f>
        <v>210365.84</v>
      </c>
    </row>
    <row r="29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11:33 AM
&amp;"Arial,Bold"&amp;8 02/17/14
&amp;"Arial,Bold"&amp;8 Accrual Basis&amp;C&amp;"Arial,Bold"&amp;12 Wood 96 LLC
&amp;"Arial,Bold"&amp;14 Balance Sheet
&amp;"Arial,Bold"&amp;10 As of December 31,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5325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53250" r:id="rId4" name="HEADER"/>
      </mc:Fallback>
    </mc:AlternateContent>
    <mc:AlternateContent xmlns:mc="http://schemas.openxmlformats.org/markup-compatibility/2006">
      <mc:Choice Requires="x14">
        <control shapeId="5324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53249" r:id="rId6" name="FILTER"/>
      </mc:Fallback>
    </mc:AlternateContent>
  </controls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63"/>
  <dimension ref="A1:M28"/>
  <sheetViews>
    <sheetView workbookViewId="0">
      <pane xSplit="6" ySplit="1" topLeftCell="G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5" width="3" style="50" customWidth="1"/>
    <col min="6" max="6" width="22.109375" style="50" customWidth="1"/>
    <col min="7" max="7" width="10.109375" bestFit="1" customWidth="1"/>
    <col min="8" max="8" width="2.33203125" customWidth="1"/>
    <col min="9" max="9" width="10.109375" bestFit="1" customWidth="1"/>
    <col min="10" max="10" width="2.33203125" customWidth="1"/>
    <col min="11" max="11" width="10.109375" bestFit="1" customWidth="1"/>
    <col min="12" max="12" width="2.33203125" customWidth="1"/>
    <col min="13" max="13" width="6.33203125" bestFit="1" customWidth="1"/>
  </cols>
  <sheetData>
    <row r="1" spans="1:13" s="39" customFormat="1" ht="15" thickBot="1" x14ac:dyDescent="0.35">
      <c r="A1" s="40"/>
      <c r="B1" s="40"/>
      <c r="C1" s="40"/>
      <c r="D1" s="40"/>
      <c r="E1" s="40"/>
      <c r="F1" s="40"/>
      <c r="G1" s="41" t="s">
        <v>168</v>
      </c>
      <c r="H1" s="42"/>
      <c r="I1" s="41" t="s">
        <v>169</v>
      </c>
      <c r="J1" s="42"/>
      <c r="K1" s="41" t="s">
        <v>170</v>
      </c>
      <c r="L1" s="42"/>
      <c r="M1" s="41" t="s">
        <v>171</v>
      </c>
    </row>
    <row r="2" spans="1:13" ht="15" thickTop="1" x14ac:dyDescent="0.3">
      <c r="A2" s="43"/>
      <c r="B2" s="43" t="s">
        <v>172</v>
      </c>
      <c r="C2" s="43"/>
      <c r="D2" s="43"/>
      <c r="E2" s="43"/>
      <c r="F2" s="43"/>
      <c r="G2" s="44"/>
      <c r="H2" s="45"/>
      <c r="I2" s="44"/>
      <c r="J2" s="45"/>
      <c r="K2" s="44"/>
      <c r="L2" s="45"/>
      <c r="M2" s="44"/>
    </row>
    <row r="3" spans="1:13" x14ac:dyDescent="0.3">
      <c r="A3" s="43"/>
      <c r="B3" s="43"/>
      <c r="C3" s="43"/>
      <c r="D3" s="43" t="s">
        <v>182</v>
      </c>
      <c r="E3" s="43"/>
      <c r="F3" s="43"/>
      <c r="G3" s="44"/>
      <c r="H3" s="45"/>
      <c r="I3" s="44"/>
      <c r="J3" s="45"/>
      <c r="K3" s="44"/>
      <c r="L3" s="45"/>
      <c r="M3" s="44"/>
    </row>
    <row r="4" spans="1:13" x14ac:dyDescent="0.3">
      <c r="A4" s="43"/>
      <c r="B4" s="43"/>
      <c r="C4" s="43"/>
      <c r="D4" s="43"/>
      <c r="E4" s="43" t="s">
        <v>544</v>
      </c>
      <c r="F4" s="43"/>
      <c r="G4" s="44">
        <v>0</v>
      </c>
      <c r="H4" s="45"/>
      <c r="I4" s="44">
        <v>16</v>
      </c>
      <c r="J4" s="45"/>
      <c r="K4" s="44">
        <v>27</v>
      </c>
      <c r="L4" s="45"/>
      <c r="M4" s="44">
        <f>ROUND(SUM(G4:K4),5)</f>
        <v>43</v>
      </c>
    </row>
    <row r="5" spans="1:13" x14ac:dyDescent="0.3">
      <c r="A5" s="43"/>
      <c r="B5" s="43"/>
      <c r="C5" s="43"/>
      <c r="D5" s="43"/>
      <c r="E5" s="43" t="s">
        <v>434</v>
      </c>
      <c r="F5" s="43"/>
      <c r="G5" s="44">
        <v>0</v>
      </c>
      <c r="H5" s="45"/>
      <c r="I5" s="44">
        <v>38</v>
      </c>
      <c r="J5" s="45"/>
      <c r="K5" s="44">
        <v>34</v>
      </c>
      <c r="L5" s="45"/>
      <c r="M5" s="44">
        <f>ROUND(SUM(G5:K5),5)</f>
        <v>72</v>
      </c>
    </row>
    <row r="6" spans="1:13" x14ac:dyDescent="0.3">
      <c r="A6" s="43"/>
      <c r="B6" s="43"/>
      <c r="C6" s="43"/>
      <c r="D6" s="43"/>
      <c r="E6" s="43" t="s">
        <v>278</v>
      </c>
      <c r="F6" s="43"/>
      <c r="G6" s="44"/>
      <c r="H6" s="45"/>
      <c r="I6" s="44"/>
      <c r="J6" s="45"/>
      <c r="K6" s="44"/>
      <c r="L6" s="45"/>
      <c r="M6" s="44"/>
    </row>
    <row r="7" spans="1:13" ht="15" thickBot="1" x14ac:dyDescent="0.35">
      <c r="A7" s="43"/>
      <c r="B7" s="43"/>
      <c r="C7" s="43"/>
      <c r="D7" s="43"/>
      <c r="E7" s="43"/>
      <c r="F7" s="43" t="s">
        <v>279</v>
      </c>
      <c r="G7" s="46">
        <v>0</v>
      </c>
      <c r="H7" s="45"/>
      <c r="I7" s="46">
        <v>0</v>
      </c>
      <c r="J7" s="45"/>
      <c r="K7" s="46">
        <v>136</v>
      </c>
      <c r="L7" s="45"/>
      <c r="M7" s="46">
        <f>ROUND(SUM(G7:K7),5)</f>
        <v>136</v>
      </c>
    </row>
    <row r="8" spans="1:13" x14ac:dyDescent="0.3">
      <c r="A8" s="43"/>
      <c r="B8" s="43"/>
      <c r="C8" s="43"/>
      <c r="D8" s="43"/>
      <c r="E8" s="43" t="s">
        <v>283</v>
      </c>
      <c r="F8" s="43"/>
      <c r="G8" s="44">
        <f>ROUND(SUM(G6:G7),5)</f>
        <v>0</v>
      </c>
      <c r="H8" s="45"/>
      <c r="I8" s="44">
        <f>ROUND(SUM(I6:I7),5)</f>
        <v>0</v>
      </c>
      <c r="J8" s="45"/>
      <c r="K8" s="44">
        <f>ROUND(SUM(K6:K7),5)</f>
        <v>136</v>
      </c>
      <c r="L8" s="45"/>
      <c r="M8" s="44">
        <f>ROUND(SUM(G8:K8),5)</f>
        <v>136</v>
      </c>
    </row>
    <row r="9" spans="1:13" ht="30" customHeight="1" x14ac:dyDescent="0.3">
      <c r="A9" s="43"/>
      <c r="B9" s="43"/>
      <c r="C9" s="43"/>
      <c r="D9" s="43"/>
      <c r="E9" s="43" t="s">
        <v>130</v>
      </c>
      <c r="F9" s="43"/>
      <c r="G9" s="44"/>
      <c r="H9" s="45"/>
      <c r="I9" s="44"/>
      <c r="J9" s="45"/>
      <c r="K9" s="44"/>
      <c r="L9" s="45"/>
      <c r="M9" s="44"/>
    </row>
    <row r="10" spans="1:13" ht="15" thickBot="1" x14ac:dyDescent="0.35">
      <c r="A10" s="43"/>
      <c r="B10" s="43"/>
      <c r="C10" s="43"/>
      <c r="D10" s="43"/>
      <c r="E10" s="43"/>
      <c r="F10" s="43" t="s">
        <v>219</v>
      </c>
      <c r="G10" s="46">
        <v>0</v>
      </c>
      <c r="H10" s="45"/>
      <c r="I10" s="46">
        <v>0</v>
      </c>
      <c r="J10" s="45"/>
      <c r="K10" s="46">
        <v>150</v>
      </c>
      <c r="L10" s="45"/>
      <c r="M10" s="46">
        <f>ROUND(SUM(G10:K10),5)</f>
        <v>150</v>
      </c>
    </row>
    <row r="11" spans="1:13" x14ac:dyDescent="0.3">
      <c r="A11" s="43"/>
      <c r="B11" s="43"/>
      <c r="C11" s="43"/>
      <c r="D11" s="43"/>
      <c r="E11" s="43" t="s">
        <v>529</v>
      </c>
      <c r="F11" s="43"/>
      <c r="G11" s="44">
        <f>ROUND(SUM(G9:G10),5)</f>
        <v>0</v>
      </c>
      <c r="H11" s="45"/>
      <c r="I11" s="44">
        <f>ROUND(SUM(I9:I10),5)</f>
        <v>0</v>
      </c>
      <c r="J11" s="45"/>
      <c r="K11" s="44">
        <f>ROUND(SUM(K9:K10),5)</f>
        <v>150</v>
      </c>
      <c r="L11" s="45"/>
      <c r="M11" s="44">
        <f>ROUND(SUM(G11:K11),5)</f>
        <v>150</v>
      </c>
    </row>
    <row r="12" spans="1:13" ht="30" customHeight="1" x14ac:dyDescent="0.3">
      <c r="A12" s="43"/>
      <c r="B12" s="43"/>
      <c r="C12" s="43"/>
      <c r="D12" s="43"/>
      <c r="E12" s="43" t="s">
        <v>258</v>
      </c>
      <c r="F12" s="43"/>
      <c r="G12" s="44">
        <v>0</v>
      </c>
      <c r="H12" s="45"/>
      <c r="I12" s="44">
        <v>0</v>
      </c>
      <c r="J12" s="45"/>
      <c r="K12" s="44">
        <v>3</v>
      </c>
      <c r="L12" s="45"/>
      <c r="M12" s="44">
        <f>ROUND(SUM(G12:K12),5)</f>
        <v>3</v>
      </c>
    </row>
    <row r="13" spans="1:13" x14ac:dyDescent="0.3">
      <c r="A13" s="43"/>
      <c r="B13" s="43"/>
      <c r="C13" s="43"/>
      <c r="D13" s="43"/>
      <c r="E13" s="43" t="s">
        <v>192</v>
      </c>
      <c r="F13" s="43"/>
      <c r="G13" s="44">
        <v>0</v>
      </c>
      <c r="H13" s="45"/>
      <c r="I13" s="44">
        <v>4</v>
      </c>
      <c r="J13" s="45"/>
      <c r="K13" s="44">
        <v>17</v>
      </c>
      <c r="L13" s="45"/>
      <c r="M13" s="44">
        <f>ROUND(SUM(G13:K13),5)</f>
        <v>21</v>
      </c>
    </row>
    <row r="14" spans="1:13" x14ac:dyDescent="0.3">
      <c r="A14" s="43"/>
      <c r="B14" s="43"/>
      <c r="C14" s="43"/>
      <c r="D14" s="43"/>
      <c r="E14" s="43" t="s">
        <v>543</v>
      </c>
      <c r="F14" s="43"/>
      <c r="G14" s="44">
        <v>0</v>
      </c>
      <c r="H14" s="45"/>
      <c r="I14" s="44">
        <v>11</v>
      </c>
      <c r="J14" s="45"/>
      <c r="K14" s="44">
        <v>12</v>
      </c>
      <c r="L14" s="45"/>
      <c r="M14" s="44">
        <f>ROUND(SUM(G14:K14),5)</f>
        <v>23</v>
      </c>
    </row>
    <row r="15" spans="1:13" x14ac:dyDescent="0.3">
      <c r="A15" s="43"/>
      <c r="B15" s="43"/>
      <c r="C15" s="43"/>
      <c r="D15" s="43"/>
      <c r="E15" s="43" t="s">
        <v>195</v>
      </c>
      <c r="F15" s="43"/>
      <c r="G15" s="44"/>
      <c r="H15" s="45"/>
      <c r="I15" s="44"/>
      <c r="J15" s="45"/>
      <c r="K15" s="44"/>
      <c r="L15" s="45"/>
      <c r="M15" s="44"/>
    </row>
    <row r="16" spans="1:13" x14ac:dyDescent="0.3">
      <c r="A16" s="43"/>
      <c r="B16" s="43"/>
      <c r="C16" s="43"/>
      <c r="D16" s="43"/>
      <c r="E16" s="43"/>
      <c r="F16" s="43" t="s">
        <v>197</v>
      </c>
      <c r="G16" s="44">
        <v>0</v>
      </c>
      <c r="H16" s="45"/>
      <c r="I16" s="44">
        <v>0</v>
      </c>
      <c r="J16" s="45"/>
      <c r="K16" s="44">
        <v>100</v>
      </c>
      <c r="L16" s="45"/>
      <c r="M16" s="44">
        <f>ROUND(SUM(G16:K16),5)</f>
        <v>100</v>
      </c>
    </row>
    <row r="17" spans="1:13" ht="15" thickBot="1" x14ac:dyDescent="0.35">
      <c r="A17" s="43"/>
      <c r="B17" s="43"/>
      <c r="C17" s="43"/>
      <c r="D17" s="43"/>
      <c r="E17" s="43"/>
      <c r="F17" s="43" t="s">
        <v>199</v>
      </c>
      <c r="G17" s="46">
        <v>0</v>
      </c>
      <c r="H17" s="45"/>
      <c r="I17" s="46">
        <v>152</v>
      </c>
      <c r="J17" s="45"/>
      <c r="K17" s="46">
        <v>142</v>
      </c>
      <c r="L17" s="45"/>
      <c r="M17" s="46">
        <f>ROUND(SUM(G17:K17),5)</f>
        <v>294</v>
      </c>
    </row>
    <row r="18" spans="1:13" x14ac:dyDescent="0.3">
      <c r="A18" s="43"/>
      <c r="B18" s="43"/>
      <c r="C18" s="43"/>
      <c r="D18" s="43"/>
      <c r="E18" s="43" t="s">
        <v>200</v>
      </c>
      <c r="F18" s="43"/>
      <c r="G18" s="44">
        <f>ROUND(SUM(G15:G17),5)</f>
        <v>0</v>
      </c>
      <c r="H18" s="45"/>
      <c r="I18" s="44">
        <f>ROUND(SUM(I15:I17),5)</f>
        <v>152</v>
      </c>
      <c r="J18" s="45"/>
      <c r="K18" s="44">
        <f>ROUND(SUM(K15:K17),5)</f>
        <v>242</v>
      </c>
      <c r="L18" s="45"/>
      <c r="M18" s="44">
        <f>ROUND(SUM(G18:K18),5)</f>
        <v>394</v>
      </c>
    </row>
    <row r="19" spans="1:13" ht="30" customHeight="1" x14ac:dyDescent="0.3">
      <c r="A19" s="43"/>
      <c r="B19" s="43"/>
      <c r="C19" s="43"/>
      <c r="D19" s="43"/>
      <c r="E19" s="43" t="s">
        <v>982</v>
      </c>
      <c r="F19" s="43"/>
      <c r="G19" s="44">
        <v>0</v>
      </c>
      <c r="H19" s="45"/>
      <c r="I19" s="44">
        <v>606</v>
      </c>
      <c r="J19" s="45"/>
      <c r="K19" s="44">
        <v>0</v>
      </c>
      <c r="L19" s="45"/>
      <c r="M19" s="44">
        <f>ROUND(SUM(G19:K19),5)</f>
        <v>606</v>
      </c>
    </row>
    <row r="20" spans="1:13" x14ac:dyDescent="0.3">
      <c r="A20" s="43"/>
      <c r="B20" s="43"/>
      <c r="C20" s="43"/>
      <c r="D20" s="43"/>
      <c r="E20" s="43" t="s">
        <v>272</v>
      </c>
      <c r="F20" s="43"/>
      <c r="G20" s="44"/>
      <c r="H20" s="45"/>
      <c r="I20" s="44"/>
      <c r="J20" s="45"/>
      <c r="K20" s="44"/>
      <c r="L20" s="45"/>
      <c r="M20" s="44"/>
    </row>
    <row r="21" spans="1:13" x14ac:dyDescent="0.3">
      <c r="A21" s="43"/>
      <c r="B21" s="43"/>
      <c r="C21" s="43"/>
      <c r="D21" s="43"/>
      <c r="E21" s="43"/>
      <c r="F21" s="43" t="s">
        <v>551</v>
      </c>
      <c r="G21" s="44">
        <v>0</v>
      </c>
      <c r="H21" s="45"/>
      <c r="I21" s="44">
        <v>0</v>
      </c>
      <c r="J21" s="45"/>
      <c r="K21" s="44">
        <v>230</v>
      </c>
      <c r="L21" s="45"/>
      <c r="M21" s="44">
        <f t="shared" ref="M21:M27" si="0">ROUND(SUM(G21:K21),5)</f>
        <v>230</v>
      </c>
    </row>
    <row r="22" spans="1:13" x14ac:dyDescent="0.3">
      <c r="A22" s="43"/>
      <c r="B22" s="43"/>
      <c r="C22" s="43"/>
      <c r="D22" s="43"/>
      <c r="E22" s="43"/>
      <c r="F22" s="43" t="s">
        <v>275</v>
      </c>
      <c r="G22" s="44">
        <v>0</v>
      </c>
      <c r="H22" s="45"/>
      <c r="I22" s="44">
        <v>3381</v>
      </c>
      <c r="J22" s="45"/>
      <c r="K22" s="44">
        <v>548</v>
      </c>
      <c r="L22" s="45"/>
      <c r="M22" s="44">
        <f t="shared" si="0"/>
        <v>3929</v>
      </c>
    </row>
    <row r="23" spans="1:13" ht="15" thickBot="1" x14ac:dyDescent="0.35">
      <c r="A23" s="43"/>
      <c r="B23" s="43"/>
      <c r="C23" s="43"/>
      <c r="D23" s="43"/>
      <c r="E23" s="43"/>
      <c r="F23" s="43" t="s">
        <v>273</v>
      </c>
      <c r="G23" s="44">
        <v>0</v>
      </c>
      <c r="H23" s="45"/>
      <c r="I23" s="44">
        <v>0</v>
      </c>
      <c r="J23" s="45"/>
      <c r="K23" s="44">
        <v>-1094</v>
      </c>
      <c r="L23" s="45"/>
      <c r="M23" s="44">
        <f t="shared" si="0"/>
        <v>-1094</v>
      </c>
    </row>
    <row r="24" spans="1:13" ht="15" thickBot="1" x14ac:dyDescent="0.35">
      <c r="A24" s="43"/>
      <c r="B24" s="43"/>
      <c r="C24" s="43"/>
      <c r="D24" s="43"/>
      <c r="E24" s="43" t="s">
        <v>277</v>
      </c>
      <c r="F24" s="43"/>
      <c r="G24" s="48">
        <f>ROUND(SUM(G20:G23),5)</f>
        <v>0</v>
      </c>
      <c r="H24" s="45"/>
      <c r="I24" s="48">
        <f>ROUND(SUM(I20:I23),5)</f>
        <v>3381</v>
      </c>
      <c r="J24" s="45"/>
      <c r="K24" s="48">
        <f>ROUND(SUM(K20:K23),5)</f>
        <v>-316</v>
      </c>
      <c r="L24" s="45"/>
      <c r="M24" s="48">
        <f t="shared" si="0"/>
        <v>3065</v>
      </c>
    </row>
    <row r="25" spans="1:13" ht="30" customHeight="1" thickBot="1" x14ac:dyDescent="0.35">
      <c r="A25" s="43"/>
      <c r="B25" s="43"/>
      <c r="C25" s="43"/>
      <c r="D25" s="43" t="s">
        <v>287</v>
      </c>
      <c r="E25" s="43"/>
      <c r="F25" s="43"/>
      <c r="G25" s="48">
        <f>ROUND(SUM(G3:G5)+G8+SUM(G11:G14)+SUM(G18:G19)+G24,5)</f>
        <v>0</v>
      </c>
      <c r="H25" s="45"/>
      <c r="I25" s="48">
        <f>ROUND(SUM(I3:I5)+I8+SUM(I11:I14)+SUM(I18:I19)+I24,5)</f>
        <v>4208</v>
      </c>
      <c r="J25" s="45"/>
      <c r="K25" s="48">
        <f>ROUND(SUM(K3:K5)+K8+SUM(K11:K14)+SUM(K18:K19)+K24,5)</f>
        <v>305</v>
      </c>
      <c r="L25" s="45"/>
      <c r="M25" s="48">
        <f t="shared" si="0"/>
        <v>4513</v>
      </c>
    </row>
    <row r="26" spans="1:13" ht="30" customHeight="1" thickBot="1" x14ac:dyDescent="0.35">
      <c r="A26" s="43"/>
      <c r="B26" s="43" t="s">
        <v>288</v>
      </c>
      <c r="C26" s="43"/>
      <c r="D26" s="43"/>
      <c r="E26" s="43"/>
      <c r="F26" s="43"/>
      <c r="G26" s="48">
        <f>ROUND(G2-G25,5)</f>
        <v>0</v>
      </c>
      <c r="H26" s="45"/>
      <c r="I26" s="48">
        <f>ROUND(I2-I25,5)</f>
        <v>-4208</v>
      </c>
      <c r="J26" s="45"/>
      <c r="K26" s="48">
        <f>ROUND(K2-K25,5)</f>
        <v>-305</v>
      </c>
      <c r="L26" s="45"/>
      <c r="M26" s="48">
        <f t="shared" si="0"/>
        <v>-4513</v>
      </c>
    </row>
    <row r="27" spans="1:13" s="50" customFormat="1" ht="30" customHeight="1" thickBot="1" x14ac:dyDescent="0.25">
      <c r="A27" s="43" t="s">
        <v>165</v>
      </c>
      <c r="B27" s="43"/>
      <c r="C27" s="43"/>
      <c r="D27" s="43"/>
      <c r="E27" s="43"/>
      <c r="F27" s="43"/>
      <c r="G27" s="49">
        <f>G26</f>
        <v>0</v>
      </c>
      <c r="H27" s="43"/>
      <c r="I27" s="49">
        <f>I26</f>
        <v>-4208</v>
      </c>
      <c r="J27" s="43"/>
      <c r="K27" s="49">
        <f>K26</f>
        <v>-305</v>
      </c>
      <c r="L27" s="43"/>
      <c r="M27" s="49">
        <f t="shared" si="0"/>
        <v>-4513</v>
      </c>
    </row>
    <row r="28" spans="1:13" ht="15" thickTop="1" x14ac:dyDescent="0.3"/>
  </sheetData>
  <pageMargins left="0.7" right="0.7" top="0.75" bottom="0.75" header="0.25" footer="0.3"/>
  <pageSetup orientation="portrait" r:id="rId1"/>
  <headerFooter>
    <oddHeader>&amp;L&amp;"Arial,Bold"&amp;8 9:39 AM
&amp;"Arial,Bold"&amp;8 02/18/14
&amp;"Arial,Bold"&amp;8 Accrual Basis&amp;C&amp;"Arial,Bold"&amp;12 Wood 96 LLC
&amp;"Arial,Bold"&amp;14 Profit &amp;&amp; Loss
&amp;"Arial,Bold"&amp;10 For the One Month Ending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54274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54274" r:id="rId4" name="HEADER"/>
      </mc:Fallback>
    </mc:AlternateContent>
    <mc:AlternateContent xmlns:mc="http://schemas.openxmlformats.org/markup-compatibility/2006">
      <mc:Choice Requires="x14">
        <control shapeId="54273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54273" r:id="rId6" name="FILTER"/>
      </mc:Fallback>
    </mc:AlternateContent>
  </control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K34"/>
  <sheetViews>
    <sheetView topLeftCell="A5" workbookViewId="0">
      <selection activeCell="C16" sqref="C16"/>
    </sheetView>
  </sheetViews>
  <sheetFormatPr defaultColWidth="9.109375" defaultRowHeight="13.8" x14ac:dyDescent="0.25"/>
  <cols>
    <col min="1" max="1" width="3.6640625" style="67" customWidth="1"/>
    <col min="2" max="3" width="12.6640625" style="67" customWidth="1"/>
    <col min="4" max="5" width="12.6640625" style="68" customWidth="1"/>
    <col min="6" max="6" width="12.6640625" style="67" customWidth="1"/>
    <col min="7" max="7" width="12.88671875" style="67" customWidth="1"/>
    <col min="8" max="8" width="12.6640625" style="67" customWidth="1"/>
    <col min="9" max="9" width="13.33203125" style="67" customWidth="1"/>
    <col min="10" max="11" width="12.6640625" style="67" customWidth="1"/>
    <col min="12" max="12" width="3.6640625" style="67" customWidth="1"/>
    <col min="13" max="18" width="12.6640625" style="67" customWidth="1"/>
    <col min="19" max="16384" width="9.109375" style="67"/>
  </cols>
  <sheetData>
    <row r="1" spans="2:11" ht="22.8" x14ac:dyDescent="0.4">
      <c r="B1" s="163" t="s">
        <v>994</v>
      </c>
      <c r="C1" s="163"/>
      <c r="D1" s="163"/>
      <c r="E1" s="163"/>
      <c r="F1" s="163"/>
      <c r="G1" s="163"/>
      <c r="H1" s="163"/>
      <c r="I1" s="163"/>
      <c r="J1" s="163"/>
      <c r="K1" s="163"/>
    </row>
    <row r="4" spans="2:11" ht="14.4" thickBot="1" x14ac:dyDescent="0.3"/>
    <row r="5" spans="2:11" ht="14.4" thickBot="1" x14ac:dyDescent="0.3">
      <c r="B5" s="67" t="s">
        <v>993</v>
      </c>
      <c r="D5" s="173" t="s">
        <v>50</v>
      </c>
      <c r="E5" s="175"/>
    </row>
    <row r="6" spans="2:11" ht="14.4" thickBot="1" x14ac:dyDescent="0.3"/>
    <row r="7" spans="2:11" ht="14.4" thickBot="1" x14ac:dyDescent="0.3">
      <c r="B7" s="67" t="s">
        <v>2</v>
      </c>
      <c r="D7" s="121" t="s">
        <v>3</v>
      </c>
      <c r="E7" s="122"/>
      <c r="F7" s="123"/>
    </row>
    <row r="8" spans="2:11" ht="14.4" thickBot="1" x14ac:dyDescent="0.3"/>
    <row r="9" spans="2:11" ht="14.4" thickBot="1" x14ac:dyDescent="0.3">
      <c r="B9" s="67" t="s">
        <v>1</v>
      </c>
      <c r="D9" s="124">
        <v>1782</v>
      </c>
    </row>
    <row r="10" spans="2:11" ht="14.4" thickBot="1" x14ac:dyDescent="0.3"/>
    <row r="11" spans="2:11" ht="14.4" thickBot="1" x14ac:dyDescent="0.3">
      <c r="B11" s="67" t="s">
        <v>21</v>
      </c>
      <c r="D11" s="173" t="s">
        <v>988</v>
      </c>
      <c r="E11" s="174"/>
      <c r="F11" s="175"/>
    </row>
    <row r="12" spans="2:11" ht="14.4" thickBot="1" x14ac:dyDescent="0.3"/>
    <row r="13" spans="2:11" ht="14.4" x14ac:dyDescent="0.3">
      <c r="B13" s="101" t="s">
        <v>13</v>
      </c>
      <c r="C13" s="102"/>
      <c r="D13" s="102"/>
      <c r="E13" s="103"/>
      <c r="F13"/>
      <c r="G13" s="169" t="s">
        <v>10</v>
      </c>
      <c r="H13" s="170"/>
      <c r="I13" s="170"/>
      <c r="J13" s="170"/>
      <c r="K13" s="171"/>
    </row>
    <row r="14" spans="2:11" ht="42" x14ac:dyDescent="0.3">
      <c r="B14" s="104" t="s">
        <v>0</v>
      </c>
      <c r="C14" s="77" t="s">
        <v>11</v>
      </c>
      <c r="D14" s="78" t="s">
        <v>5</v>
      </c>
      <c r="E14" s="105" t="s">
        <v>12</v>
      </c>
      <c r="F14"/>
      <c r="G14" s="106" t="s">
        <v>4</v>
      </c>
      <c r="H14" s="77" t="s">
        <v>6</v>
      </c>
      <c r="I14" s="77" t="s">
        <v>8</v>
      </c>
      <c r="J14" s="77" t="s">
        <v>7</v>
      </c>
      <c r="K14" s="107" t="s">
        <v>9</v>
      </c>
    </row>
    <row r="15" spans="2:11" ht="14.4" x14ac:dyDescent="0.3">
      <c r="B15" s="89"/>
      <c r="E15" s="90"/>
      <c r="F15"/>
      <c r="G15" s="89"/>
      <c r="K15" s="108"/>
    </row>
    <row r="16" spans="2:11" ht="14.4" x14ac:dyDescent="0.3">
      <c r="B16" s="104">
        <v>1</v>
      </c>
      <c r="C16" s="72">
        <v>16</v>
      </c>
      <c r="D16" s="109">
        <f>ROUND(E16/12,2)</f>
        <v>2376</v>
      </c>
      <c r="E16" s="110">
        <f t="shared" ref="E16:E26" si="0">ROUND($D$9*C16,2)</f>
        <v>28512</v>
      </c>
      <c r="F16"/>
      <c r="G16" s="111">
        <v>17</v>
      </c>
      <c r="H16" s="109">
        <f>ROUND(((D9*G16)/12),2)</f>
        <v>2524.5</v>
      </c>
      <c r="I16" s="72">
        <v>4</v>
      </c>
      <c r="J16" s="109">
        <f>ROUND(((D9*I16)/12),2)</f>
        <v>594</v>
      </c>
      <c r="K16" s="110">
        <f>H16+J16</f>
        <v>3118.5</v>
      </c>
    </row>
    <row r="17" spans="2:11" ht="15" thickBot="1" x14ac:dyDescent="0.35">
      <c r="B17" s="104">
        <v>2</v>
      </c>
      <c r="C17" s="125">
        <v>16.25</v>
      </c>
      <c r="D17" s="112">
        <f t="shared" ref="D17:D26" si="1">ROUND(E17/12,2)</f>
        <v>2413.13</v>
      </c>
      <c r="E17" s="113">
        <f t="shared" si="0"/>
        <v>28957.5</v>
      </c>
      <c r="F17"/>
      <c r="G17" s="93"/>
      <c r="H17" s="94"/>
      <c r="I17" s="94"/>
      <c r="J17" s="94"/>
      <c r="K17" s="114"/>
    </row>
    <row r="18" spans="2:11" ht="14.4" x14ac:dyDescent="0.3">
      <c r="B18" s="104">
        <v>3</v>
      </c>
      <c r="C18" s="125">
        <v>16.5</v>
      </c>
      <c r="D18" s="112">
        <f t="shared" si="1"/>
        <v>2450.25</v>
      </c>
      <c r="E18" s="113">
        <f t="shared" si="0"/>
        <v>29403</v>
      </c>
      <c r="F18"/>
    </row>
    <row r="19" spans="2:11" ht="14.4" x14ac:dyDescent="0.3">
      <c r="B19" s="104">
        <v>4</v>
      </c>
      <c r="C19" s="125">
        <v>16.75</v>
      </c>
      <c r="D19" s="112">
        <f t="shared" si="1"/>
        <v>2487.38</v>
      </c>
      <c r="E19" s="113">
        <f t="shared" si="0"/>
        <v>29848.5</v>
      </c>
      <c r="F19"/>
    </row>
    <row r="20" spans="2:11" ht="14.4" x14ac:dyDescent="0.3">
      <c r="B20" s="104">
        <v>5</v>
      </c>
      <c r="C20" s="125">
        <v>17</v>
      </c>
      <c r="D20" s="112">
        <f t="shared" si="1"/>
        <v>2524.5</v>
      </c>
      <c r="E20" s="113">
        <f t="shared" si="0"/>
        <v>30294</v>
      </c>
      <c r="F20"/>
      <c r="G20" s="115" t="s">
        <v>24</v>
      </c>
    </row>
    <row r="21" spans="2:11" ht="14.4" x14ac:dyDescent="0.3">
      <c r="B21" s="104">
        <v>6</v>
      </c>
      <c r="C21" s="125">
        <v>0</v>
      </c>
      <c r="D21" s="112">
        <f t="shared" si="1"/>
        <v>0</v>
      </c>
      <c r="E21" s="113">
        <f t="shared" si="0"/>
        <v>0</v>
      </c>
      <c r="F21"/>
    </row>
    <row r="22" spans="2:11" ht="14.4" x14ac:dyDescent="0.3">
      <c r="B22" s="104">
        <v>7</v>
      </c>
      <c r="C22" s="125">
        <v>0</v>
      </c>
      <c r="D22" s="112">
        <f t="shared" si="1"/>
        <v>0</v>
      </c>
      <c r="E22" s="113">
        <f t="shared" si="0"/>
        <v>0</v>
      </c>
      <c r="F22"/>
      <c r="G22" s="116"/>
      <c r="H22" s="116"/>
      <c r="I22" s="116"/>
      <c r="J22" s="116"/>
      <c r="K22" s="116"/>
    </row>
    <row r="23" spans="2:11" ht="14.4" x14ac:dyDescent="0.3">
      <c r="B23" s="104">
        <v>8</v>
      </c>
      <c r="C23" s="125">
        <v>0</v>
      </c>
      <c r="D23" s="112">
        <f t="shared" si="1"/>
        <v>0</v>
      </c>
      <c r="E23" s="113">
        <f t="shared" si="0"/>
        <v>0</v>
      </c>
      <c r="F23"/>
    </row>
    <row r="24" spans="2:11" ht="14.4" x14ac:dyDescent="0.3">
      <c r="B24" s="104">
        <v>9</v>
      </c>
      <c r="C24" s="125">
        <v>0</v>
      </c>
      <c r="D24" s="112">
        <f t="shared" si="1"/>
        <v>0</v>
      </c>
      <c r="E24" s="113">
        <f t="shared" si="0"/>
        <v>0</v>
      </c>
      <c r="F24"/>
      <c r="G24" s="116"/>
      <c r="H24" s="116"/>
      <c r="I24" s="116"/>
      <c r="J24" s="116"/>
      <c r="K24" s="116"/>
    </row>
    <row r="25" spans="2:11" ht="14.4" x14ac:dyDescent="0.3">
      <c r="B25" s="104">
        <v>10</v>
      </c>
      <c r="C25" s="125">
        <v>0</v>
      </c>
      <c r="D25" s="112">
        <f t="shared" si="1"/>
        <v>0</v>
      </c>
      <c r="E25" s="113">
        <f t="shared" si="0"/>
        <v>0</v>
      </c>
      <c r="F25"/>
    </row>
    <row r="26" spans="2:11" ht="14.4" x14ac:dyDescent="0.3">
      <c r="B26" s="104">
        <v>11</v>
      </c>
      <c r="C26" s="125">
        <v>0</v>
      </c>
      <c r="D26" s="112">
        <f t="shared" si="1"/>
        <v>0</v>
      </c>
      <c r="E26" s="113">
        <f t="shared" si="0"/>
        <v>0</v>
      </c>
      <c r="F26"/>
      <c r="G26" s="116"/>
      <c r="H26" s="116"/>
      <c r="I26" s="116"/>
      <c r="J26" s="116"/>
      <c r="K26" s="116"/>
    </row>
    <row r="27" spans="2:11" ht="14.4" x14ac:dyDescent="0.3">
      <c r="B27" s="89"/>
      <c r="E27" s="110">
        <f>SUM(E16:E26)</f>
        <v>147015</v>
      </c>
      <c r="F27"/>
    </row>
    <row r="28" spans="2:11" ht="15" thickBot="1" x14ac:dyDescent="0.35">
      <c r="B28" s="93"/>
      <c r="C28" s="94"/>
      <c r="D28" s="95"/>
      <c r="E28" s="96"/>
      <c r="F28"/>
    </row>
    <row r="29" spans="2:11" ht="14.4" thickBot="1" x14ac:dyDescent="0.3"/>
    <row r="30" spans="2:11" x14ac:dyDescent="0.25">
      <c r="B30" s="169" t="s">
        <v>17</v>
      </c>
      <c r="C30" s="170"/>
      <c r="D30" s="170"/>
      <c r="E30" s="170"/>
      <c r="F30" s="170"/>
      <c r="G30" s="171"/>
    </row>
    <row r="31" spans="2:11" ht="41.4" x14ac:dyDescent="0.25">
      <c r="B31" s="106" t="s">
        <v>14</v>
      </c>
      <c r="C31" s="77" t="s">
        <v>15</v>
      </c>
      <c r="D31" s="77" t="s">
        <v>16</v>
      </c>
      <c r="E31" s="77" t="s">
        <v>18</v>
      </c>
      <c r="F31" s="77" t="s">
        <v>19</v>
      </c>
      <c r="G31" s="107" t="s">
        <v>20</v>
      </c>
    </row>
    <row r="32" spans="2:11" x14ac:dyDescent="0.25">
      <c r="B32" s="89"/>
      <c r="D32" s="67"/>
      <c r="E32" s="67"/>
      <c r="G32" s="108"/>
    </row>
    <row r="33" spans="2:7" x14ac:dyDescent="0.25">
      <c r="B33" s="111">
        <f>E27</f>
        <v>147015</v>
      </c>
      <c r="C33" s="126">
        <v>0.06</v>
      </c>
      <c r="D33" s="109">
        <f>B33*C33</f>
        <v>8820.9</v>
      </c>
      <c r="E33" s="109">
        <f>IF(D11&lt;&gt;"None",D33*0.5,D33)</f>
        <v>8820.9</v>
      </c>
      <c r="F33" s="109">
        <f>E33*0.5</f>
        <v>4410.45</v>
      </c>
      <c r="G33" s="110">
        <f>IF(D11&lt;&gt;"None",0.5*D33,0)</f>
        <v>0</v>
      </c>
    </row>
    <row r="34" spans="2:7" ht="14.4" thickBot="1" x14ac:dyDescent="0.3">
      <c r="B34" s="93"/>
      <c r="C34" s="94"/>
      <c r="D34" s="94"/>
      <c r="E34" s="94"/>
      <c r="F34" s="94"/>
      <c r="G34" s="114"/>
    </row>
  </sheetData>
  <sheetProtection selectLockedCells="1"/>
  <protectedRanges>
    <protectedRange sqref="I16 D33" name="Range5"/>
    <protectedRange sqref="C17:C26" name="Range3"/>
    <protectedRange sqref="D7:F7 F5" name="Range1"/>
    <protectedRange sqref="D9" name="Range2"/>
    <protectedRange sqref="G16 B33" name="Range4"/>
    <protectedRange sqref="C16" name="Range3_1"/>
    <protectedRange sqref="D5" name="Range1_1"/>
    <protectedRange sqref="D11:F11" name="Range1_1_1"/>
  </protectedRanges>
  <mergeCells count="5">
    <mergeCell ref="B1:K1"/>
    <mergeCell ref="G13:K13"/>
    <mergeCell ref="D11:F11"/>
    <mergeCell ref="B30:G30"/>
    <mergeCell ref="D5:E5"/>
  </mergeCells>
  <dataValidations count="1">
    <dataValidation type="list" allowBlank="1" showInputMessage="1" showErrorMessage="1" sqref="D5:E5" xr:uid="{00000000-0002-0000-0500-000000000000}">
      <formula1>Property</formula1>
    </dataValidation>
  </dataValidations>
  <printOptions horizontalCentered="1"/>
  <pageMargins left="0.25" right="0.25" top="0.5" bottom="0.5" header="0.3" footer="0.3"/>
  <pageSetup scale="88" orientation="landscape" r:id="rId1"/>
  <headerFooter>
    <oddFooter>&amp;L&amp;8&amp;F - &amp;A&amp;C&amp;8Page &amp;P of &amp;N&amp;R&amp;8&amp;D - &amp;T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34"/>
  <sheetViews>
    <sheetView workbookViewId="0">
      <selection activeCell="D5" sqref="D5:E5"/>
    </sheetView>
  </sheetViews>
  <sheetFormatPr defaultColWidth="9.109375" defaultRowHeight="13.8" x14ac:dyDescent="0.25"/>
  <cols>
    <col min="1" max="1" width="3.6640625" style="67" customWidth="1"/>
    <col min="2" max="3" width="12.6640625" style="67" customWidth="1"/>
    <col min="4" max="5" width="12.6640625" style="68" customWidth="1"/>
    <col min="6" max="6" width="12.6640625" style="67" customWidth="1"/>
    <col min="7" max="7" width="12.88671875" style="67" customWidth="1"/>
    <col min="8" max="8" width="12.6640625" style="67" customWidth="1"/>
    <col min="9" max="9" width="13.33203125" style="67" customWidth="1"/>
    <col min="10" max="11" width="12.6640625" style="67" customWidth="1"/>
    <col min="12" max="12" width="3.6640625" style="67" customWidth="1"/>
    <col min="13" max="18" width="12.6640625" style="67" customWidth="1"/>
    <col min="19" max="16384" width="9.109375" style="67"/>
  </cols>
  <sheetData>
    <row r="1" spans="2:11" ht="22.8" x14ac:dyDescent="0.4">
      <c r="B1" s="163" t="s">
        <v>995</v>
      </c>
      <c r="C1" s="163"/>
      <c r="D1" s="163"/>
      <c r="E1" s="163"/>
      <c r="F1" s="163"/>
      <c r="G1" s="163"/>
      <c r="H1" s="163"/>
      <c r="I1" s="163"/>
      <c r="J1" s="163"/>
      <c r="K1" s="163"/>
    </row>
    <row r="4" spans="2:11" ht="14.4" thickBot="1" x14ac:dyDescent="0.3"/>
    <row r="5" spans="2:11" ht="14.4" thickBot="1" x14ac:dyDescent="0.3">
      <c r="B5" s="67" t="s">
        <v>993</v>
      </c>
      <c r="D5" s="173" t="s">
        <v>50</v>
      </c>
      <c r="E5" s="175"/>
    </row>
    <row r="6" spans="2:11" ht="14.4" thickBot="1" x14ac:dyDescent="0.3"/>
    <row r="7" spans="2:11" ht="14.4" thickBot="1" x14ac:dyDescent="0.3">
      <c r="B7" s="67" t="s">
        <v>2</v>
      </c>
      <c r="D7" s="121" t="s">
        <v>3</v>
      </c>
      <c r="E7" s="122"/>
      <c r="F7" s="123"/>
    </row>
    <row r="8" spans="2:11" ht="14.4" thickBot="1" x14ac:dyDescent="0.3"/>
    <row r="9" spans="2:11" ht="14.4" thickBot="1" x14ac:dyDescent="0.3">
      <c r="B9" s="67" t="s">
        <v>23</v>
      </c>
      <c r="D9" s="124">
        <v>1000</v>
      </c>
    </row>
    <row r="10" spans="2:11" ht="14.4" thickBot="1" x14ac:dyDescent="0.3"/>
    <row r="11" spans="2:11" ht="14.4" thickBot="1" x14ac:dyDescent="0.3">
      <c r="B11" s="67" t="s">
        <v>21</v>
      </c>
      <c r="D11" s="173" t="s">
        <v>988</v>
      </c>
      <c r="E11" s="174"/>
      <c r="F11" s="175"/>
    </row>
    <row r="12" spans="2:11" ht="14.4" thickBot="1" x14ac:dyDescent="0.3"/>
    <row r="13" spans="2:11" ht="14.4" x14ac:dyDescent="0.3">
      <c r="B13" s="101" t="s">
        <v>13</v>
      </c>
      <c r="C13" s="102"/>
      <c r="D13" s="102"/>
      <c r="E13" s="103"/>
      <c r="F13"/>
      <c r="G13" s="169" t="s">
        <v>10</v>
      </c>
      <c r="H13" s="170"/>
      <c r="I13" s="170"/>
      <c r="J13" s="170"/>
      <c r="K13" s="171"/>
    </row>
    <row r="14" spans="2:11" ht="42" x14ac:dyDescent="0.3">
      <c r="B14" s="104" t="s">
        <v>0</v>
      </c>
      <c r="C14" s="77" t="s">
        <v>11</v>
      </c>
      <c r="D14" s="78" t="s">
        <v>5</v>
      </c>
      <c r="E14" s="105" t="s">
        <v>12</v>
      </c>
      <c r="F14"/>
      <c r="G14" s="106" t="s">
        <v>4</v>
      </c>
      <c r="H14" s="77" t="s">
        <v>6</v>
      </c>
      <c r="I14" s="77" t="s">
        <v>8</v>
      </c>
      <c r="J14" s="77" t="s">
        <v>7</v>
      </c>
      <c r="K14" s="107" t="s">
        <v>9</v>
      </c>
    </row>
    <row r="15" spans="2:11" ht="14.4" x14ac:dyDescent="0.3">
      <c r="B15" s="89"/>
      <c r="E15" s="90"/>
      <c r="F15"/>
      <c r="G15" s="89"/>
      <c r="K15" s="108"/>
    </row>
    <row r="16" spans="2:11" ht="14.4" x14ac:dyDescent="0.3">
      <c r="B16" s="104">
        <v>1</v>
      </c>
      <c r="C16" s="72">
        <v>16</v>
      </c>
      <c r="D16" s="109">
        <f>ROUND(E16/12,2)</f>
        <v>1333.33</v>
      </c>
      <c r="E16" s="110">
        <f t="shared" ref="E16:E26" si="0">ROUND($D$9*C16,2)</f>
        <v>16000</v>
      </c>
      <c r="F16"/>
      <c r="G16" s="111">
        <v>17</v>
      </c>
      <c r="H16" s="109">
        <f>ROUND(((D9*G16)/12),2)</f>
        <v>1416.67</v>
      </c>
      <c r="I16" s="72">
        <v>4</v>
      </c>
      <c r="J16" s="109">
        <f>ROUND(((D9*I16)/12),2)</f>
        <v>333.33</v>
      </c>
      <c r="K16" s="110">
        <f>H16+J16</f>
        <v>1750</v>
      </c>
    </row>
    <row r="17" spans="2:11" ht="15" thickBot="1" x14ac:dyDescent="0.35">
      <c r="B17" s="104">
        <v>2</v>
      </c>
      <c r="C17" s="125">
        <v>16.25</v>
      </c>
      <c r="D17" s="112">
        <f t="shared" ref="D17:D26" si="1">ROUND(E17/12,2)</f>
        <v>1354.17</v>
      </c>
      <c r="E17" s="113">
        <f t="shared" si="0"/>
        <v>16250</v>
      </c>
      <c r="F17"/>
      <c r="G17" s="93"/>
      <c r="H17" s="94"/>
      <c r="I17" s="94"/>
      <c r="J17" s="94"/>
      <c r="K17" s="114"/>
    </row>
    <row r="18" spans="2:11" ht="14.4" x14ac:dyDescent="0.3">
      <c r="B18" s="104">
        <v>3</v>
      </c>
      <c r="C18" s="125">
        <v>16.5</v>
      </c>
      <c r="D18" s="112">
        <f t="shared" si="1"/>
        <v>1375</v>
      </c>
      <c r="E18" s="113">
        <f t="shared" si="0"/>
        <v>16500</v>
      </c>
      <c r="F18"/>
    </row>
    <row r="19" spans="2:11" ht="14.4" x14ac:dyDescent="0.3">
      <c r="B19" s="104">
        <v>4</v>
      </c>
      <c r="C19" s="125">
        <v>16.75</v>
      </c>
      <c r="D19" s="112">
        <f t="shared" si="1"/>
        <v>1395.83</v>
      </c>
      <c r="E19" s="113">
        <f t="shared" si="0"/>
        <v>16750</v>
      </c>
      <c r="F19"/>
    </row>
    <row r="20" spans="2:11" ht="14.4" x14ac:dyDescent="0.3">
      <c r="B20" s="104">
        <v>5</v>
      </c>
      <c r="C20" s="125">
        <v>17</v>
      </c>
      <c r="D20" s="112">
        <f t="shared" si="1"/>
        <v>1416.67</v>
      </c>
      <c r="E20" s="113">
        <f t="shared" si="0"/>
        <v>17000</v>
      </c>
      <c r="F20"/>
      <c r="G20" s="115" t="s">
        <v>24</v>
      </c>
    </row>
    <row r="21" spans="2:11" ht="14.4" x14ac:dyDescent="0.3">
      <c r="B21" s="104">
        <v>6</v>
      </c>
      <c r="C21" s="125">
        <v>0</v>
      </c>
      <c r="D21" s="112">
        <f t="shared" si="1"/>
        <v>0</v>
      </c>
      <c r="E21" s="113">
        <f t="shared" si="0"/>
        <v>0</v>
      </c>
      <c r="F21"/>
    </row>
    <row r="22" spans="2:11" ht="14.4" x14ac:dyDescent="0.3">
      <c r="B22" s="104">
        <v>7</v>
      </c>
      <c r="C22" s="125">
        <v>0</v>
      </c>
      <c r="D22" s="112">
        <f t="shared" si="1"/>
        <v>0</v>
      </c>
      <c r="E22" s="113">
        <f t="shared" si="0"/>
        <v>0</v>
      </c>
      <c r="F22"/>
      <c r="G22" s="116"/>
      <c r="H22" s="116"/>
      <c r="I22" s="116"/>
      <c r="J22" s="116"/>
      <c r="K22" s="116"/>
    </row>
    <row r="23" spans="2:11" ht="14.4" x14ac:dyDescent="0.3">
      <c r="B23" s="104">
        <v>8</v>
      </c>
      <c r="C23" s="125">
        <v>0</v>
      </c>
      <c r="D23" s="112">
        <f t="shared" si="1"/>
        <v>0</v>
      </c>
      <c r="E23" s="113">
        <f t="shared" si="0"/>
        <v>0</v>
      </c>
      <c r="F23"/>
    </row>
    <row r="24" spans="2:11" ht="14.4" x14ac:dyDescent="0.3">
      <c r="B24" s="104">
        <v>9</v>
      </c>
      <c r="C24" s="125">
        <v>0</v>
      </c>
      <c r="D24" s="112">
        <f t="shared" si="1"/>
        <v>0</v>
      </c>
      <c r="E24" s="113">
        <f t="shared" si="0"/>
        <v>0</v>
      </c>
      <c r="F24"/>
      <c r="G24" s="116"/>
      <c r="H24" s="116"/>
      <c r="I24" s="116"/>
      <c r="J24" s="116"/>
      <c r="K24" s="116"/>
    </row>
    <row r="25" spans="2:11" ht="14.4" x14ac:dyDescent="0.3">
      <c r="B25" s="104">
        <v>10</v>
      </c>
      <c r="C25" s="125">
        <v>0</v>
      </c>
      <c r="D25" s="112">
        <f t="shared" si="1"/>
        <v>0</v>
      </c>
      <c r="E25" s="113">
        <f t="shared" si="0"/>
        <v>0</v>
      </c>
      <c r="F25"/>
    </row>
    <row r="26" spans="2:11" ht="14.4" x14ac:dyDescent="0.3">
      <c r="B26" s="104">
        <v>11</v>
      </c>
      <c r="C26" s="125">
        <v>0</v>
      </c>
      <c r="D26" s="112">
        <f t="shared" si="1"/>
        <v>0</v>
      </c>
      <c r="E26" s="113">
        <f t="shared" si="0"/>
        <v>0</v>
      </c>
      <c r="F26"/>
      <c r="G26" s="116"/>
      <c r="H26" s="116"/>
      <c r="I26" s="116"/>
      <c r="J26" s="116"/>
      <c r="K26" s="116"/>
    </row>
    <row r="27" spans="2:11" ht="14.4" x14ac:dyDescent="0.3">
      <c r="B27" s="89"/>
      <c r="E27" s="110">
        <f>SUM(E16:E26)</f>
        <v>82500</v>
      </c>
      <c r="F27"/>
    </row>
    <row r="28" spans="2:11" ht="15" thickBot="1" x14ac:dyDescent="0.35">
      <c r="B28" s="93"/>
      <c r="C28" s="94"/>
      <c r="D28" s="95"/>
      <c r="E28" s="96"/>
      <c r="F28"/>
    </row>
    <row r="29" spans="2:11" ht="14.4" thickBot="1" x14ac:dyDescent="0.3"/>
    <row r="30" spans="2:11" x14ac:dyDescent="0.25">
      <c r="B30" s="169" t="s">
        <v>17</v>
      </c>
      <c r="C30" s="170"/>
      <c r="D30" s="170"/>
      <c r="E30" s="170"/>
      <c r="F30" s="170"/>
      <c r="G30" s="171"/>
    </row>
    <row r="31" spans="2:11" ht="41.4" x14ac:dyDescent="0.25">
      <c r="B31" s="106" t="s">
        <v>14</v>
      </c>
      <c r="C31" s="77" t="s">
        <v>15</v>
      </c>
      <c r="D31" s="77" t="s">
        <v>16</v>
      </c>
      <c r="E31" s="77" t="s">
        <v>18</v>
      </c>
      <c r="F31" s="77" t="s">
        <v>19</v>
      </c>
      <c r="G31" s="107" t="s">
        <v>20</v>
      </c>
    </row>
    <row r="32" spans="2:11" x14ac:dyDescent="0.25">
      <c r="B32" s="89"/>
      <c r="D32" s="67"/>
      <c r="E32" s="67"/>
      <c r="G32" s="108"/>
    </row>
    <row r="33" spans="2:7" x14ac:dyDescent="0.25">
      <c r="B33" s="111">
        <f>E27</f>
        <v>82500</v>
      </c>
      <c r="C33" s="126">
        <v>0.06</v>
      </c>
      <c r="D33" s="109">
        <f>B33*C33</f>
        <v>4950</v>
      </c>
      <c r="E33" s="109">
        <f>IF(D11&lt;&gt;"None",D33*0.5,D33)</f>
        <v>4950</v>
      </c>
      <c r="F33" s="109">
        <f>E33*0.5</f>
        <v>2475</v>
      </c>
      <c r="G33" s="110">
        <f>IF(D11&lt;&gt;"None",0.5*D33,0)</f>
        <v>0</v>
      </c>
    </row>
    <row r="34" spans="2:7" ht="14.4" thickBot="1" x14ac:dyDescent="0.3">
      <c r="B34" s="93"/>
      <c r="C34" s="94"/>
      <c r="D34" s="94"/>
      <c r="E34" s="94"/>
      <c r="F34" s="94"/>
      <c r="G34" s="114"/>
    </row>
  </sheetData>
  <sheetProtection selectLockedCells="1"/>
  <protectedRanges>
    <protectedRange sqref="I16" name="Range5"/>
    <protectedRange sqref="C16:C26" name="Range3"/>
    <protectedRange sqref="D7:F7" name="Range1"/>
    <protectedRange sqref="D9" name="Range2"/>
    <protectedRange sqref="G16 B33" name="Range4"/>
    <protectedRange sqref="D5" name="Range1_1_1"/>
    <protectedRange sqref="D11:F11" name="Range1_1_1_1"/>
    <protectedRange sqref="D33" name="Range5_1"/>
  </protectedRanges>
  <mergeCells count="5">
    <mergeCell ref="D11:F11"/>
    <mergeCell ref="B30:G30"/>
    <mergeCell ref="B1:K1"/>
    <mergeCell ref="D5:E5"/>
    <mergeCell ref="G13:K13"/>
  </mergeCells>
  <dataValidations count="1">
    <dataValidation type="list" allowBlank="1" showInputMessage="1" showErrorMessage="1" sqref="D5:E5" xr:uid="{00000000-0002-0000-0600-000000000000}">
      <formula1>Property</formula1>
    </dataValidation>
  </dataValidations>
  <printOptions horizontalCentered="1"/>
  <pageMargins left="0.25" right="0.25" top="0.5" bottom="0.5" header="0.3" footer="0.3"/>
  <pageSetup scale="88" orientation="landscape" r:id="rId1"/>
  <headerFooter>
    <oddFooter>&amp;L&amp;8&amp;F - &amp;A&amp;C&amp;8Page &amp;P of &amp;N&amp;R&amp;8&amp;D -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8"/>
  <sheetViews>
    <sheetView tabSelected="1" workbookViewId="0">
      <pane xSplit="1" ySplit="6" topLeftCell="B8" activePane="bottomRight" state="frozen"/>
      <selection pane="topRight" activeCell="B1" sqref="B1"/>
      <selection pane="bottomLeft" activeCell="A7" sqref="A7"/>
      <selection pane="bottomRight" activeCell="H27" sqref="H27"/>
    </sheetView>
  </sheetViews>
  <sheetFormatPr defaultColWidth="9.109375" defaultRowHeight="13.8" x14ac:dyDescent="0.25"/>
  <cols>
    <col min="1" max="1" width="35" style="67" bestFit="1" customWidth="1"/>
    <col min="2" max="2" width="15.33203125" style="67" bestFit="1" customWidth="1"/>
    <col min="3" max="6" width="15.6640625" style="67" customWidth="1"/>
    <col min="7" max="7" width="3.6640625" style="67" customWidth="1"/>
    <col min="8" max="11" width="15.6640625" style="67" customWidth="1"/>
    <col min="12" max="12" width="3.6640625" style="67" customWidth="1"/>
    <col min="13" max="15" width="15.6640625" style="67" customWidth="1"/>
    <col min="16" max="16" width="15.6640625" style="82" customWidth="1"/>
    <col min="17" max="17" width="3.6640625" style="82" customWidth="1"/>
    <col min="18" max="20" width="15.6640625" style="67" customWidth="1"/>
    <col min="21" max="21" width="11" style="67" bestFit="1" customWidth="1"/>
    <col min="22" max="16384" width="9.109375" style="67"/>
  </cols>
  <sheetData>
    <row r="1" spans="1:21" ht="22.8" x14ac:dyDescent="0.4">
      <c r="A1" s="118" t="s">
        <v>51</v>
      </c>
      <c r="B1" s="75"/>
      <c r="C1" s="75"/>
      <c r="D1" s="75"/>
      <c r="E1" s="75"/>
    </row>
    <row r="3" spans="1:21" x14ac:dyDescent="0.25">
      <c r="A3" s="75" t="s">
        <v>983</v>
      </c>
    </row>
    <row r="4" spans="1:21" x14ac:dyDescent="0.25">
      <c r="T4" s="154">
        <v>0.05</v>
      </c>
    </row>
    <row r="5" spans="1:21" ht="41.4" x14ac:dyDescent="0.25">
      <c r="B5" s="77" t="s">
        <v>106</v>
      </c>
      <c r="C5" s="77" t="s">
        <v>105</v>
      </c>
      <c r="D5" s="77" t="s">
        <v>1003</v>
      </c>
      <c r="E5" s="77" t="s">
        <v>1000</v>
      </c>
      <c r="F5" s="77" t="s">
        <v>99</v>
      </c>
      <c r="H5" s="77" t="s">
        <v>986</v>
      </c>
      <c r="I5" s="77" t="s">
        <v>106</v>
      </c>
      <c r="J5" s="77" t="s">
        <v>985</v>
      </c>
      <c r="K5" s="77" t="s">
        <v>984</v>
      </c>
      <c r="M5" s="77" t="s">
        <v>997</v>
      </c>
      <c r="N5" s="77" t="s">
        <v>998</v>
      </c>
      <c r="O5" s="77" t="s">
        <v>999</v>
      </c>
      <c r="P5" s="82" t="s">
        <v>1004</v>
      </c>
      <c r="R5" s="77" t="s">
        <v>1001</v>
      </c>
      <c r="S5" s="77" t="s">
        <v>1002</v>
      </c>
      <c r="T5" s="77" t="s">
        <v>1002</v>
      </c>
      <c r="U5" s="67" t="s">
        <v>1032</v>
      </c>
    </row>
    <row r="7" spans="1:21" x14ac:dyDescent="0.25">
      <c r="A7" s="97" t="s">
        <v>41</v>
      </c>
      <c r="B7" s="80">
        <f>IF(K7&lt;0,0.25,K7)</f>
        <v>0</v>
      </c>
      <c r="C7" s="80">
        <f>IF(OR(M7=0,F7=0),0,M7/F7)</f>
        <v>10.089544709294993</v>
      </c>
      <c r="D7" s="80">
        <f>IF(OR(O7=0,F7=0),0,O7/F7)</f>
        <v>125.29038970866439</v>
      </c>
      <c r="E7" s="80">
        <f>IF(S7=0,0,T7/F7)</f>
        <v>7.5711590364484813</v>
      </c>
      <c r="F7" s="161">
        <v>79290</v>
      </c>
      <c r="H7" s="129">
        <v>0.25</v>
      </c>
      <c r="I7" s="129">
        <v>3.5</v>
      </c>
      <c r="J7" s="129">
        <v>3.5</v>
      </c>
      <c r="K7" s="80">
        <f>I7-J7</f>
        <v>0</v>
      </c>
      <c r="M7" s="152">
        <v>800000</v>
      </c>
      <c r="N7" s="152">
        <v>0</v>
      </c>
      <c r="O7" s="152">
        <f>750000+12256344-2576925-495144</f>
        <v>9934275</v>
      </c>
      <c r="P7" s="82">
        <v>750000</v>
      </c>
      <c r="R7" s="128">
        <f>'[1]21Webb Amort Sch'!E19</f>
        <v>79236.556298094802</v>
      </c>
      <c r="S7" s="152">
        <f>R7*12</f>
        <v>950838.67557713762</v>
      </c>
      <c r="T7" s="152">
        <f>'[1]21Webb Amort Sch'!C4*'[1]Data Grid'!$T$4</f>
        <v>600317.20000000007</v>
      </c>
      <c r="U7" s="67">
        <v>7.25</v>
      </c>
    </row>
    <row r="8" spans="1:21" x14ac:dyDescent="0.25">
      <c r="A8" s="97" t="s">
        <v>85</v>
      </c>
      <c r="B8" s="82">
        <f>$B$23</f>
        <v>0</v>
      </c>
      <c r="C8" s="82">
        <f>$C$23</f>
        <v>19.780413858063756</v>
      </c>
      <c r="D8" s="82">
        <f>$D$23</f>
        <v>161.4241897977806</v>
      </c>
      <c r="E8" s="82">
        <f>$E$23</f>
        <v>7.6494311659258827</v>
      </c>
      <c r="F8" s="99">
        <f>$F$23</f>
        <v>67946</v>
      </c>
      <c r="H8" s="130">
        <v>0.25</v>
      </c>
      <c r="I8" s="130">
        <v>0</v>
      </c>
      <c r="J8" s="130">
        <v>0</v>
      </c>
      <c r="K8" s="82">
        <f t="shared" ref="K8:K25" si="0">I8-J8</f>
        <v>0</v>
      </c>
      <c r="M8" s="128">
        <f>1934000-1588125</f>
        <v>345875</v>
      </c>
      <c r="N8" s="128">
        <v>0</v>
      </c>
      <c r="O8" s="128">
        <f>'[1]127PAW-BS-13'!J14</f>
        <v>472813</v>
      </c>
      <c r="P8" s="82">
        <f>1934000</f>
        <v>1934000</v>
      </c>
      <c r="R8" s="155">
        <v>0</v>
      </c>
      <c r="S8" s="155">
        <f t="shared" ref="S8:T25" si="1">R8*12</f>
        <v>0</v>
      </c>
      <c r="T8" s="155">
        <f t="shared" si="1"/>
        <v>0</v>
      </c>
    </row>
    <row r="9" spans="1:21" x14ac:dyDescent="0.25">
      <c r="A9" s="67" t="s">
        <v>50</v>
      </c>
      <c r="B9" s="82">
        <f t="shared" ref="B9:B24" si="2">IF(K9&lt;0,0.25,K9)</f>
        <v>0.25</v>
      </c>
      <c r="C9" s="82">
        <f t="shared" ref="C9:C24" si="3">IF(OR(M9=0,F9=0),0,M9/F9)</f>
        <v>21.243842364532021</v>
      </c>
      <c r="D9" s="82">
        <f t="shared" ref="D9:D24" si="4">IF(OR(O9=0,F9=0),0,O9/F9)</f>
        <v>96.563984674329504</v>
      </c>
      <c r="E9" s="82">
        <f t="shared" ref="E9:E24" si="5">IF(S9=0,0,T9/F9)</f>
        <v>3.8329036672140124</v>
      </c>
      <c r="F9" s="128">
        <v>36540</v>
      </c>
      <c r="H9" s="82">
        <f>'[1]ABP-PL-13'!L130</f>
        <v>191454.49000000005</v>
      </c>
      <c r="I9" s="82">
        <f t="shared" ref="I9:I24" si="6">H9/F9</f>
        <v>5.2395864805692405</v>
      </c>
      <c r="J9" s="130">
        <v>5.99</v>
      </c>
      <c r="K9" s="82">
        <f t="shared" si="0"/>
        <v>-0.75041351943075973</v>
      </c>
      <c r="M9" s="128">
        <f>(750000+5000+5000+5000+11250)</f>
        <v>776250</v>
      </c>
      <c r="N9" s="128">
        <v>2452418.44</v>
      </c>
      <c r="O9" s="128">
        <f>'[1]ABP-BS-13'!J28-'[1]ABP-BS-13'!J27-'[1]ABP-BS-13'!J26</f>
        <v>3528448</v>
      </c>
      <c r="P9" s="82">
        <v>750000</v>
      </c>
      <c r="R9" s="128">
        <v>17922.93</v>
      </c>
      <c r="S9" s="128">
        <f t="shared" si="1"/>
        <v>215075.16</v>
      </c>
      <c r="T9" s="128">
        <f>'[1]ABP-BS-13'!J49*T$4</f>
        <v>140054.30000000002</v>
      </c>
      <c r="U9" s="67">
        <v>6.98</v>
      </c>
    </row>
    <row r="10" spans="1:21" x14ac:dyDescent="0.25">
      <c r="A10" s="67" t="s">
        <v>1033</v>
      </c>
      <c r="B10" s="82">
        <f t="shared" si="2"/>
        <v>0.25</v>
      </c>
      <c r="C10" s="82">
        <f t="shared" si="3"/>
        <v>25.87693110812307</v>
      </c>
      <c r="D10" s="82">
        <f t="shared" si="4"/>
        <v>75.388119908249621</v>
      </c>
      <c r="E10" s="82">
        <f t="shared" si="5"/>
        <v>2.5196432808668829</v>
      </c>
      <c r="F10" s="128">
        <f>18468-5825</f>
        <v>12643</v>
      </c>
      <c r="H10" s="82">
        <f>'[1]BPT-PL-13'!L118-((400+100+12)*12)</f>
        <v>84477.140000000014</v>
      </c>
      <c r="I10" s="82">
        <f t="shared" si="6"/>
        <v>6.6817321838171333</v>
      </c>
      <c r="J10" s="130">
        <v>6.72</v>
      </c>
      <c r="K10" s="82">
        <f t="shared" si="0"/>
        <v>-3.8267816182866454E-2</v>
      </c>
      <c r="M10" s="128">
        <v>327162.03999999998</v>
      </c>
      <c r="N10" s="128">
        <v>1150000</v>
      </c>
      <c r="O10" s="128">
        <f>'[1]BPT-BS-13'!J29-'[1]BPT-BS-13'!J28</f>
        <v>953132</v>
      </c>
      <c r="P10" s="82">
        <v>322500</v>
      </c>
      <c r="R10" s="128">
        <v>9469.8499999999985</v>
      </c>
      <c r="S10" s="128">
        <f t="shared" si="1"/>
        <v>113638.19999999998</v>
      </c>
      <c r="T10" s="128">
        <f>'[1]BPT-BS-13'!J48*T$4</f>
        <v>31855.850000000002</v>
      </c>
      <c r="U10" s="67">
        <v>7.35</v>
      </c>
    </row>
    <row r="11" spans="1:21" x14ac:dyDescent="0.25">
      <c r="A11" s="67" t="s">
        <v>43</v>
      </c>
      <c r="B11" s="82">
        <f t="shared" si="2"/>
        <v>0.25</v>
      </c>
      <c r="C11" s="82">
        <f t="shared" si="3"/>
        <v>18.357142857142858</v>
      </c>
      <c r="D11" s="82">
        <f t="shared" si="4"/>
        <v>92.448999999999998</v>
      </c>
      <c r="E11" s="82">
        <f t="shared" si="5"/>
        <v>3.4012642857142859</v>
      </c>
      <c r="F11" s="128">
        <v>7000</v>
      </c>
      <c r="H11" s="82">
        <f>'[1]CP-PL-13'!L111</f>
        <v>37278.130000000012</v>
      </c>
      <c r="I11" s="82">
        <f t="shared" si="6"/>
        <v>5.3254471428571444</v>
      </c>
      <c r="J11" s="130">
        <v>6</v>
      </c>
      <c r="K11" s="82">
        <f t="shared" si="0"/>
        <v>-0.67455285714285562</v>
      </c>
      <c r="M11" s="128">
        <v>128500</v>
      </c>
      <c r="N11" s="128">
        <v>550000</v>
      </c>
      <c r="O11" s="128">
        <f>'[1]CP-BS-13'!J23-'[1]CP-BS-13'!J22</f>
        <v>647143</v>
      </c>
      <c r="P11" s="82">
        <v>637500</v>
      </c>
      <c r="R11" s="128">
        <v>2950.39</v>
      </c>
      <c r="S11" s="128">
        <f t="shared" si="1"/>
        <v>35404.68</v>
      </c>
      <c r="T11" s="128">
        <f>'[1]CP-BS-13'!J41*T$4</f>
        <v>23808.850000000002</v>
      </c>
      <c r="U11" s="67">
        <v>7.15</v>
      </c>
    </row>
    <row r="12" spans="1:21" x14ac:dyDescent="0.25">
      <c r="A12" s="67" t="s">
        <v>44</v>
      </c>
      <c r="B12" s="82">
        <f t="shared" si="2"/>
        <v>0.25</v>
      </c>
      <c r="C12" s="82">
        <f t="shared" si="3"/>
        <v>19.123153106002658</v>
      </c>
      <c r="D12" s="82">
        <f t="shared" si="4"/>
        <v>51.278956479729459</v>
      </c>
      <c r="E12" s="82">
        <f t="shared" si="5"/>
        <v>2.3662566931035873</v>
      </c>
      <c r="F12" s="128">
        <v>24839</v>
      </c>
      <c r="H12" s="82">
        <f>'[1]DGS-PL-13'!L127</f>
        <v>73361.240000000005</v>
      </c>
      <c r="I12" s="82">
        <f t="shared" si="6"/>
        <v>2.9534699464551717</v>
      </c>
      <c r="J12" s="130">
        <v>2.99</v>
      </c>
      <c r="K12" s="82">
        <f t="shared" si="0"/>
        <v>-3.6530053544828522E-2</v>
      </c>
      <c r="M12" s="128">
        <v>475000</v>
      </c>
      <c r="N12" s="128">
        <v>0</v>
      </c>
      <c r="O12" s="128">
        <f>'[1]DGS-BS-13'!J21-'[1]DGS-BS-13'!J20-'[1]DGS-BS-13'!J19</f>
        <v>1273718</v>
      </c>
      <c r="P12" s="82">
        <v>475000</v>
      </c>
      <c r="R12" s="128">
        <v>7155.68</v>
      </c>
      <c r="S12" s="128">
        <f t="shared" si="1"/>
        <v>85868.160000000003</v>
      </c>
      <c r="T12" s="128">
        <f>'[1]DGS-BS-13'!J39*T$4</f>
        <v>58775.450000000004</v>
      </c>
      <c r="U12" s="67">
        <v>3.9</v>
      </c>
    </row>
    <row r="13" spans="1:21" x14ac:dyDescent="0.25">
      <c r="A13" s="67" t="s">
        <v>45</v>
      </c>
      <c r="B13" s="82">
        <f t="shared" si="2"/>
        <v>0</v>
      </c>
      <c r="C13" s="82">
        <f t="shared" si="3"/>
        <v>8.6107921928817444</v>
      </c>
      <c r="D13" s="82">
        <f t="shared" si="4"/>
        <v>67.345924225028696</v>
      </c>
      <c r="E13" s="82">
        <f t="shared" si="5"/>
        <v>4.7560054535017224</v>
      </c>
      <c r="F13" s="128">
        <v>174200</v>
      </c>
      <c r="H13" s="130">
        <v>0.25</v>
      </c>
      <c r="I13" s="130">
        <v>0</v>
      </c>
      <c r="J13" s="130">
        <v>0</v>
      </c>
      <c r="K13" s="82">
        <f t="shared" si="0"/>
        <v>0</v>
      </c>
      <c r="M13" s="128">
        <v>1500000</v>
      </c>
      <c r="N13" s="128">
        <v>0</v>
      </c>
      <c r="O13" s="128">
        <f>1500000+16569923-3919500-1742000-676763</f>
        <v>11731660</v>
      </c>
      <c r="P13" s="82">
        <v>1293247</v>
      </c>
      <c r="R13" s="128">
        <f>'[1]Newton Amort Sch'!E19</f>
        <v>109354.15782228092</v>
      </c>
      <c r="S13" s="128">
        <f t="shared" si="1"/>
        <v>1312249.8938673711</v>
      </c>
      <c r="T13" s="128">
        <f>'[1]Newton Amort Sch'!C4*'[1]Data Grid'!$T$4</f>
        <v>828496.15</v>
      </c>
    </row>
    <row r="14" spans="1:21" x14ac:dyDescent="0.25">
      <c r="A14" s="67" t="s">
        <v>1034</v>
      </c>
      <c r="B14" s="82">
        <f t="shared" si="2"/>
        <v>0.25</v>
      </c>
      <c r="C14" s="82">
        <f t="shared" si="3"/>
        <v>11.329447752363448</v>
      </c>
      <c r="D14" s="82">
        <f t="shared" si="4"/>
        <v>67.335364241745239</v>
      </c>
      <c r="E14" s="82">
        <f t="shared" si="5"/>
        <v>1.6523338662369869</v>
      </c>
      <c r="F14" s="128">
        <v>79439</v>
      </c>
      <c r="H14" s="82">
        <f>'[1]NWC-PL-13'!M206</f>
        <v>320124.57999999996</v>
      </c>
      <c r="I14" s="82">
        <f t="shared" si="6"/>
        <v>4.0298163370636582</v>
      </c>
      <c r="J14" s="130">
        <v>4.45</v>
      </c>
      <c r="K14" s="82">
        <f t="shared" si="0"/>
        <v>-0.42018366293634202</v>
      </c>
      <c r="M14" s="128">
        <f>131250+131250+256250+381250</f>
        <v>900000</v>
      </c>
      <c r="N14" s="128">
        <v>3750000</v>
      </c>
      <c r="O14" s="128">
        <f>'[1]NWC-BS-13'!J26-'[1]NWC-BS-13'!J25-'[1]NWC-BS-13'!J23</f>
        <v>5349054</v>
      </c>
      <c r="P14" s="82">
        <v>4450000</v>
      </c>
      <c r="R14" s="128">
        <v>31908.61</v>
      </c>
      <c r="S14" s="128">
        <f t="shared" si="1"/>
        <v>382903.32</v>
      </c>
      <c r="T14" s="128">
        <f>'[1]NWC-BS-13'!J44*T$4</f>
        <v>131259.75</v>
      </c>
      <c r="U14" s="67">
        <v>5.15</v>
      </c>
    </row>
    <row r="15" spans="1:21" x14ac:dyDescent="0.25">
      <c r="A15" s="67" t="s">
        <v>46</v>
      </c>
      <c r="B15" s="82">
        <f t="shared" si="2"/>
        <v>7.8145167337349095</v>
      </c>
      <c r="C15" s="82">
        <f t="shared" si="3"/>
        <v>11.120838436351821</v>
      </c>
      <c r="D15" s="82">
        <f t="shared" si="4"/>
        <v>101.26180984278537</v>
      </c>
      <c r="E15" s="82">
        <f t="shared" si="5"/>
        <v>4.6508173161038773</v>
      </c>
      <c r="F15" s="128">
        <v>80018</v>
      </c>
      <c r="H15" s="82">
        <f>'[1]NR6-OfficePL-13'!L134</f>
        <v>625302</v>
      </c>
      <c r="I15" s="82">
        <f t="shared" si="6"/>
        <v>7.8145167337349095</v>
      </c>
      <c r="J15" s="130">
        <v>0</v>
      </c>
      <c r="K15" s="82">
        <f t="shared" si="0"/>
        <v>7.8145167337349095</v>
      </c>
      <c r="M15" s="128">
        <f>1779734.5*0.5</f>
        <v>889867.25</v>
      </c>
      <c r="N15" s="128">
        <f>875000*0.5</f>
        <v>437500</v>
      </c>
      <c r="O15" s="128">
        <f>('[1]NR6-BS-13'!J20*0.5)+'[1]NR6-BS-13'!J21+'[1]NR6-BS-13'!J23+('[1]NR6-BS-13'!J24*0.5)+'[1]NR6-BS-13'!J25+('[1]NR6-BS-13'!J27*0.5)+('[1]NR6-BS-13'!J28*0.5)</f>
        <v>8102767.5</v>
      </c>
      <c r="P15" s="82">
        <f>2650000*0.5</f>
        <v>1325000</v>
      </c>
      <c r="R15" s="128">
        <v>40906.83</v>
      </c>
      <c r="S15" s="128">
        <f t="shared" si="1"/>
        <v>490881.96</v>
      </c>
      <c r="T15" s="128">
        <f>'[1]NR6-BS-13'!J51*T$4</f>
        <v>372149.10000000003</v>
      </c>
    </row>
    <row r="16" spans="1:21" x14ac:dyDescent="0.25">
      <c r="A16" s="67" t="s">
        <v>1035</v>
      </c>
      <c r="B16" s="82">
        <f t="shared" si="2"/>
        <v>0.25</v>
      </c>
      <c r="C16" s="82">
        <f t="shared" si="3"/>
        <v>46.434316948445002</v>
      </c>
      <c r="D16" s="82">
        <f t="shared" si="4"/>
        <v>83.832284491755374</v>
      </c>
      <c r="E16" s="82">
        <f t="shared" si="5"/>
        <v>5.5973257148820714</v>
      </c>
      <c r="F16" s="128">
        <v>19164</v>
      </c>
      <c r="H16" s="82">
        <f>'[1]NR6-RetailPL-13'!L113</f>
        <v>101199</v>
      </c>
      <c r="I16" s="82">
        <f t="shared" si="6"/>
        <v>5.2806825297432685</v>
      </c>
      <c r="J16" s="130">
        <v>5.83</v>
      </c>
      <c r="K16" s="82">
        <f t="shared" si="0"/>
        <v>-0.54931747025673161</v>
      </c>
      <c r="M16" s="128">
        <f>1779734.5*0.5</f>
        <v>889867.25</v>
      </c>
      <c r="N16" s="128">
        <f>875000*0.5</f>
        <v>437500</v>
      </c>
      <c r="O16" s="128">
        <f>('[1]NR6-BS-13'!J20*0.5)+('[1]NR6-BS-13'!J24*0.5)+'[1]NR6-BS-13'!J26+('[1]NR6-BS-13'!J27*0.5)+('[1]NR6-BS-13'!J28*0.5)-258141.6-39780</f>
        <v>1606561.9</v>
      </c>
      <c r="P16" s="82">
        <f>2650000*0.5</f>
        <v>1325000</v>
      </c>
      <c r="R16" s="128">
        <v>11853.81</v>
      </c>
      <c r="S16" s="128">
        <f t="shared" si="1"/>
        <v>142245.72</v>
      </c>
      <c r="T16" s="128">
        <f>'[1]NR6-BS-13'!J52*T$4</f>
        <v>107267.15000000001</v>
      </c>
      <c r="U16" s="67">
        <v>7.75</v>
      </c>
    </row>
    <row r="17" spans="1:21" x14ac:dyDescent="0.25">
      <c r="A17" s="67" t="s">
        <v>1036</v>
      </c>
      <c r="B17" s="82">
        <f t="shared" si="2"/>
        <v>0</v>
      </c>
      <c r="C17" s="82">
        <f t="shared" si="3"/>
        <v>23.478723404255319</v>
      </c>
      <c r="D17" s="82">
        <f t="shared" si="4"/>
        <v>61.477521276595745</v>
      </c>
      <c r="E17" s="82">
        <f t="shared" si="5"/>
        <v>0.87647765957446822</v>
      </c>
      <c r="F17" s="128">
        <v>94000</v>
      </c>
      <c r="H17" s="130">
        <v>0</v>
      </c>
      <c r="I17" s="82">
        <f t="shared" si="6"/>
        <v>0</v>
      </c>
      <c r="J17" s="130">
        <v>0</v>
      </c>
      <c r="K17" s="82">
        <f t="shared" si="0"/>
        <v>0</v>
      </c>
      <c r="M17" s="128">
        <v>2207000</v>
      </c>
      <c r="N17" s="128">
        <v>1750000</v>
      </c>
      <c r="O17" s="128">
        <f>8520464+207392+103696-3052665</f>
        <v>5778887</v>
      </c>
      <c r="P17" s="82">
        <v>2207000</v>
      </c>
      <c r="R17" s="128">
        <v>11570.18</v>
      </c>
      <c r="S17" s="128">
        <f t="shared" si="1"/>
        <v>138842.16</v>
      </c>
      <c r="T17" s="128">
        <f>'[1]NR14-BS-13'!J36*T$4</f>
        <v>82388.900000000009</v>
      </c>
      <c r="U17" s="67">
        <v>6.7</v>
      </c>
    </row>
    <row r="18" spans="1:21" x14ac:dyDescent="0.25">
      <c r="A18" s="67" t="s">
        <v>47</v>
      </c>
      <c r="B18" s="82">
        <f t="shared" si="2"/>
        <v>6.9146957151728428</v>
      </c>
      <c r="C18" s="82">
        <f t="shared" si="3"/>
        <v>17.249706754985166</v>
      </c>
      <c r="D18" s="82">
        <f t="shared" si="4"/>
        <v>21.563375077623689</v>
      </c>
      <c r="E18" s="82">
        <f t="shared" si="5"/>
        <v>0.38857034430414683</v>
      </c>
      <c r="F18" s="128">
        <v>28986</v>
      </c>
      <c r="H18" s="82">
        <f>'[1]OCP-PL-13'!L143</f>
        <v>200429.37000000002</v>
      </c>
      <c r="I18" s="82">
        <f t="shared" si="6"/>
        <v>6.9146957151728428</v>
      </c>
      <c r="J18" s="130">
        <v>0</v>
      </c>
      <c r="K18" s="82">
        <f t="shared" si="0"/>
        <v>6.9146957151728428</v>
      </c>
      <c r="M18" s="128">
        <v>500000</v>
      </c>
      <c r="N18" s="128">
        <v>0</v>
      </c>
      <c r="O18" s="128">
        <f>'[1]OCP-BS-13'!J21-'[1]OCP-BS-13'!J20-4244.12-10222.09-62488-39207.57-19625.71-51998.33-34850.6-50772.74-1691.85</f>
        <v>625035.99000000022</v>
      </c>
      <c r="P18" s="82">
        <v>500000</v>
      </c>
      <c r="R18" s="128">
        <f>20000000*0.05125/12</f>
        <v>85416.666666666657</v>
      </c>
      <c r="S18" s="128">
        <f t="shared" si="1"/>
        <v>1024999.9999999999</v>
      </c>
      <c r="T18" s="128">
        <f>'[1]OCP-BS-13'!J35*T$4</f>
        <v>11263.1</v>
      </c>
    </row>
    <row r="19" spans="1:21" x14ac:dyDescent="0.25">
      <c r="A19" s="67" t="s">
        <v>48</v>
      </c>
      <c r="B19" s="82">
        <f t="shared" si="2"/>
        <v>0.25</v>
      </c>
      <c r="C19" s="82">
        <f t="shared" si="3"/>
        <v>8.1810744477774744</v>
      </c>
      <c r="D19" s="82">
        <f t="shared" si="4"/>
        <v>81.357780201799841</v>
      </c>
      <c r="E19" s="82">
        <f t="shared" si="5"/>
        <v>5.1500934005999452</v>
      </c>
      <c r="F19" s="128">
        <v>733400</v>
      </c>
      <c r="H19" s="128">
        <f>682009*3.85</f>
        <v>2625734.65</v>
      </c>
      <c r="I19" s="82">
        <f t="shared" si="6"/>
        <v>3.5802217752931549</v>
      </c>
      <c r="J19" s="130">
        <v>3.85</v>
      </c>
      <c r="K19" s="82">
        <f t="shared" si="0"/>
        <v>-0.2697782247068452</v>
      </c>
      <c r="M19" s="128">
        <v>6000000</v>
      </c>
      <c r="N19" s="128">
        <v>15630000</v>
      </c>
      <c r="O19" s="128">
        <f>21630000+61011570-16403080-6570694</f>
        <v>59667796</v>
      </c>
      <c r="P19" s="82">
        <v>21630000</v>
      </c>
      <c r="R19" s="128">
        <f>'[1]OPX Amort Sch'!E19</f>
        <v>441608.49541877909</v>
      </c>
      <c r="S19" s="128">
        <f t="shared" si="1"/>
        <v>5299301.945025349</v>
      </c>
      <c r="T19" s="128">
        <f>'[1]OPX Amort Sch'!C4*'[1]Data Grid'!$T$4</f>
        <v>3777078.5</v>
      </c>
    </row>
    <row r="20" spans="1:21" x14ac:dyDescent="0.25">
      <c r="A20" s="67" t="s">
        <v>1037</v>
      </c>
      <c r="B20" s="82">
        <f t="shared" si="2"/>
        <v>0.25</v>
      </c>
      <c r="C20" s="82">
        <f t="shared" si="3"/>
        <v>23.383359551039497</v>
      </c>
      <c r="D20" s="82">
        <f t="shared" si="4"/>
        <v>97.187051145784608</v>
      </c>
      <c r="E20" s="82">
        <f t="shared" si="5"/>
        <v>3.4537859784873093</v>
      </c>
      <c r="F20" s="128">
        <v>23521</v>
      </c>
      <c r="H20" s="82">
        <f>'[1]ROY-PL-13'!K98</f>
        <v>91311.790000000008</v>
      </c>
      <c r="I20" s="82">
        <f t="shared" si="6"/>
        <v>3.8821389396709325</v>
      </c>
      <c r="J20" s="130">
        <v>4.5999999999999996</v>
      </c>
      <c r="K20" s="82">
        <f t="shared" si="0"/>
        <v>-0.71786106032906716</v>
      </c>
      <c r="M20" s="128">
        <f>550000</f>
        <v>550000</v>
      </c>
      <c r="N20" s="128">
        <v>750000</v>
      </c>
      <c r="O20" s="128">
        <f>'[1]ROY-BS-13'!J25-'[1]ROY-BS-13'!J24-80906.37-48603-55608</f>
        <v>2285936.63</v>
      </c>
      <c r="P20" s="82">
        <v>1250000</v>
      </c>
      <c r="R20" s="128">
        <v>12863.34</v>
      </c>
      <c r="S20" s="128">
        <f t="shared" si="1"/>
        <v>154360.08000000002</v>
      </c>
      <c r="T20" s="128">
        <f>'[1]ROY-BS-13'!J39*T$4</f>
        <v>81236.5</v>
      </c>
      <c r="U20" s="67">
        <v>6.25</v>
      </c>
    </row>
    <row r="21" spans="1:21" x14ac:dyDescent="0.25">
      <c r="A21" s="67" t="s">
        <v>1038</v>
      </c>
      <c r="B21" s="82">
        <f>$B$23</f>
        <v>0</v>
      </c>
      <c r="C21" s="82">
        <f>$C$23</f>
        <v>19.780413858063756</v>
      </c>
      <c r="D21" s="82">
        <f>$D$23</f>
        <v>161.4241897977806</v>
      </c>
      <c r="E21" s="82">
        <f>$E$23</f>
        <v>7.6494311659258827</v>
      </c>
      <c r="F21" s="99">
        <f>$F$23</f>
        <v>67946</v>
      </c>
      <c r="H21" s="130">
        <v>0.25</v>
      </c>
      <c r="I21" s="130">
        <v>3.5</v>
      </c>
      <c r="J21" s="130">
        <v>3.5</v>
      </c>
      <c r="K21" s="82">
        <f t="shared" si="0"/>
        <v>0</v>
      </c>
      <c r="M21" s="128">
        <v>819461.63</v>
      </c>
      <c r="N21" s="128">
        <v>1621817.49</v>
      </c>
      <c r="O21" s="128">
        <f>'[1]RP21-BS-13'!J14</f>
        <v>2558134</v>
      </c>
      <c r="P21" s="82">
        <v>2447730</v>
      </c>
      <c r="R21" s="155"/>
      <c r="S21" s="155">
        <f t="shared" si="1"/>
        <v>0</v>
      </c>
      <c r="T21" s="155">
        <v>0</v>
      </c>
      <c r="U21" s="67">
        <v>5</v>
      </c>
    </row>
    <row r="22" spans="1:21" x14ac:dyDescent="0.25">
      <c r="A22" s="67" t="s">
        <v>49</v>
      </c>
      <c r="B22" s="82">
        <f t="shared" si="2"/>
        <v>0.25</v>
      </c>
      <c r="C22" s="82">
        <f t="shared" si="3"/>
        <v>5.7084866167702648</v>
      </c>
      <c r="D22" s="82">
        <f t="shared" si="4"/>
        <v>102.41389699353039</v>
      </c>
      <c r="E22" s="82">
        <f t="shared" si="5"/>
        <v>4.6598059114550301</v>
      </c>
      <c r="F22" s="128">
        <v>31532</v>
      </c>
      <c r="H22" s="131">
        <f>'[1]SPC-PL-13'!K150</f>
        <v>122251.04000000001</v>
      </c>
      <c r="I22" s="82">
        <f t="shared" si="6"/>
        <v>3.8770468095902579</v>
      </c>
      <c r="J22" s="130">
        <f>((6.25*6000)+(5.18*25532))/31532</f>
        <v>5.3836026893314726</v>
      </c>
      <c r="K22" s="82">
        <f t="shared" si="0"/>
        <v>-1.5065558797412146</v>
      </c>
      <c r="M22" s="128">
        <v>180000</v>
      </c>
      <c r="N22" s="128">
        <v>740000</v>
      </c>
      <c r="O22" s="128">
        <f>'[1]SPC-BS-13'!J23-'[1]SPC-BS-13'!J22</f>
        <v>3229315</v>
      </c>
      <c r="P22" s="82">
        <v>923776.92</v>
      </c>
      <c r="R22" s="128">
        <v>21450.83</v>
      </c>
      <c r="S22" s="128">
        <f t="shared" si="1"/>
        <v>257409.96000000002</v>
      </c>
      <c r="T22" s="128">
        <f>'[1]SPC-BS-13'!J37*T$4</f>
        <v>146933</v>
      </c>
    </row>
    <row r="23" spans="1:21" x14ac:dyDescent="0.25">
      <c r="A23" s="67" t="s">
        <v>1039</v>
      </c>
      <c r="B23" s="82">
        <f t="shared" si="2"/>
        <v>0</v>
      </c>
      <c r="C23" s="82">
        <f t="shared" si="3"/>
        <v>19.780413858063756</v>
      </c>
      <c r="D23" s="82">
        <f t="shared" si="4"/>
        <v>161.4241897977806</v>
      </c>
      <c r="E23" s="82">
        <f t="shared" si="5"/>
        <v>7.6494311659258827</v>
      </c>
      <c r="F23" s="128">
        <v>67946</v>
      </c>
      <c r="H23" s="130">
        <v>0</v>
      </c>
      <c r="I23" s="130">
        <v>0</v>
      </c>
      <c r="J23" s="130">
        <v>0</v>
      </c>
      <c r="K23" s="82">
        <f t="shared" si="0"/>
        <v>0</v>
      </c>
      <c r="M23" s="128">
        <v>1344000</v>
      </c>
      <c r="N23" s="128">
        <v>0</v>
      </c>
      <c r="O23" s="128">
        <f>1176464+10394965-283460-319841</f>
        <v>10968128</v>
      </c>
      <c r="P23" s="82">
        <v>1176464</v>
      </c>
      <c r="R23" s="128">
        <f>'[1]Tyler Amort Sch'!E19</f>
        <v>68602.168107062811</v>
      </c>
      <c r="S23" s="128">
        <f t="shared" si="1"/>
        <v>823226.01728475373</v>
      </c>
      <c r="T23" s="128">
        <f>'[1]Tyler Amort Sch'!C4*'[1]Data Grid'!$T$4</f>
        <v>519748.25</v>
      </c>
      <c r="U23" s="67">
        <v>5.5</v>
      </c>
    </row>
    <row r="24" spans="1:21" x14ac:dyDescent="0.25">
      <c r="A24" s="67" t="s">
        <v>1040</v>
      </c>
      <c r="B24" s="82">
        <f t="shared" si="2"/>
        <v>0.25</v>
      </c>
      <c r="C24" s="82">
        <f t="shared" si="3"/>
        <v>8.2393814970956178</v>
      </c>
      <c r="D24" s="82">
        <f t="shared" si="4"/>
        <v>135.86571181389985</v>
      </c>
      <c r="E24" s="82">
        <f t="shared" si="5"/>
        <v>8.7194925456484622</v>
      </c>
      <c r="F24" s="128">
        <v>218463</v>
      </c>
      <c r="H24" s="130">
        <f>107515*3.75</f>
        <v>403181.25</v>
      </c>
      <c r="I24" s="82">
        <f t="shared" si="6"/>
        <v>1.8455356284588238</v>
      </c>
      <c r="J24" s="130">
        <v>3.75</v>
      </c>
      <c r="K24" s="82">
        <f t="shared" si="0"/>
        <v>-1.9044643715411762</v>
      </c>
      <c r="M24" s="128">
        <v>1800000</v>
      </c>
      <c r="N24" s="128">
        <v>0</v>
      </c>
      <c r="O24" s="128">
        <f>1500000+51588232-7240425-1175674-10146790-232000-4611712</f>
        <v>29681631</v>
      </c>
      <c r="P24" s="82">
        <v>1500000</v>
      </c>
      <c r="R24" s="128">
        <f>'[1]Union Amort Sch'!E19</f>
        <v>251428.15564626624</v>
      </c>
      <c r="S24" s="128">
        <f t="shared" si="1"/>
        <v>3017137.8677551951</v>
      </c>
      <c r="T24" s="128">
        <f>'[1]Union Amort Sch'!C4*'[1]Data Grid'!$T$4</f>
        <v>1904886.5</v>
      </c>
      <c r="U24" s="67">
        <v>5.7</v>
      </c>
    </row>
    <row r="25" spans="1:21" x14ac:dyDescent="0.25">
      <c r="A25" s="67" t="s">
        <v>1041</v>
      </c>
      <c r="B25" s="82">
        <f>$B$23</f>
        <v>0</v>
      </c>
      <c r="C25" s="82">
        <f>$C$23</f>
        <v>19.780413858063756</v>
      </c>
      <c r="D25" s="82">
        <f>$D$23</f>
        <v>161.4241897977806</v>
      </c>
      <c r="E25" s="82">
        <f>$E$23</f>
        <v>7.6494311659258827</v>
      </c>
      <c r="F25" s="99">
        <f>$F$23</f>
        <v>67946</v>
      </c>
      <c r="H25" s="130">
        <v>0</v>
      </c>
      <c r="I25" s="130">
        <v>0</v>
      </c>
      <c r="J25" s="130">
        <v>0</v>
      </c>
      <c r="K25" s="82">
        <f t="shared" si="0"/>
        <v>0</v>
      </c>
      <c r="M25" s="128">
        <v>209385.28</v>
      </c>
      <c r="N25" s="128">
        <v>0</v>
      </c>
      <c r="O25" s="155">
        <f>'[1]Wood96-BS-13'!J10</f>
        <v>210344.1</v>
      </c>
      <c r="P25" s="82">
        <v>201354.8</v>
      </c>
      <c r="R25" s="155">
        <v>0</v>
      </c>
      <c r="S25" s="155">
        <f t="shared" si="1"/>
        <v>0</v>
      </c>
      <c r="T25" s="155">
        <f t="shared" si="1"/>
        <v>0</v>
      </c>
      <c r="U25" s="67">
        <v>5</v>
      </c>
    </row>
    <row r="26" spans="1:21" x14ac:dyDescent="0.25">
      <c r="A26" s="67" t="s">
        <v>1029</v>
      </c>
      <c r="U26" s="67">
        <v>1.75</v>
      </c>
    </row>
    <row r="27" spans="1:21" x14ac:dyDescent="0.25">
      <c r="A27" s="67" t="s">
        <v>1030</v>
      </c>
      <c r="U27" s="67">
        <v>4</v>
      </c>
    </row>
    <row r="28" spans="1:21" x14ac:dyDescent="0.25">
      <c r="A28" s="67" t="s">
        <v>1031</v>
      </c>
      <c r="U28" s="67">
        <v>4.82</v>
      </c>
    </row>
  </sheetData>
  <pageMargins left="0.45" right="0.45" top="0.75" bottom="0.75" header="0.3" footer="0.3"/>
  <pageSetup scale="90" orientation="landscape" r:id="rId1"/>
  <colBreaks count="2" manualBreakCount="2">
    <brk id="6" min="6" max="26" man="1"/>
    <brk id="11" min="6" max="26" man="1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27"/>
  <sheetViews>
    <sheetView zoomScale="80" zoomScaleNormal="80" workbookViewId="0">
      <selection activeCell="R15" sqref="R15"/>
    </sheetView>
  </sheetViews>
  <sheetFormatPr defaultRowHeight="14.4" x14ac:dyDescent="0.3"/>
  <cols>
    <col min="1" max="1" width="19" bestFit="1" customWidth="1"/>
    <col min="2" max="2" width="2.6640625" customWidth="1"/>
    <col min="3" max="3" width="28" bestFit="1" customWidth="1"/>
    <col min="4" max="4" width="2.6640625" customWidth="1"/>
    <col min="5" max="5" width="15.6640625" customWidth="1"/>
    <col min="6" max="6" width="2.6640625" customWidth="1"/>
    <col min="7" max="7" width="15.6640625" customWidth="1"/>
    <col min="8" max="8" width="2.6640625" customWidth="1"/>
    <col min="9" max="9" width="15.6640625" customWidth="1"/>
    <col min="10" max="10" width="2.6640625" customWidth="1"/>
    <col min="11" max="11" width="12.6640625" style="36" customWidth="1"/>
    <col min="12" max="12" width="2.6640625" style="36" customWidth="1"/>
    <col min="13" max="13" width="12.6640625" customWidth="1"/>
    <col min="14" max="14" width="2.6640625" customWidth="1"/>
    <col min="15" max="15" width="12.6640625" customWidth="1"/>
  </cols>
  <sheetData>
    <row r="1" spans="1:17" ht="18" x14ac:dyDescent="0.35">
      <c r="A1" s="22" t="s">
        <v>57</v>
      </c>
      <c r="B1" s="23"/>
      <c r="C1" s="24"/>
      <c r="D1" s="23"/>
      <c r="E1" s="23"/>
    </row>
    <row r="2" spans="1:17" ht="17.399999999999999" x14ac:dyDescent="0.3">
      <c r="A2" s="22" t="s">
        <v>58</v>
      </c>
      <c r="B2" s="22"/>
      <c r="C2" s="25"/>
      <c r="D2" s="22"/>
      <c r="E2" s="22"/>
    </row>
    <row r="3" spans="1:17" ht="17.399999999999999" x14ac:dyDescent="0.3">
      <c r="A3" s="22" t="s">
        <v>59</v>
      </c>
      <c r="B3" s="22"/>
      <c r="C3" s="25"/>
      <c r="D3" s="22"/>
      <c r="E3" s="22"/>
    </row>
    <row r="6" spans="1:17" x14ac:dyDescent="0.3">
      <c r="E6" s="26">
        <v>41639</v>
      </c>
      <c r="G6" s="26" t="s">
        <v>60</v>
      </c>
      <c r="M6" s="27" t="s">
        <v>97</v>
      </c>
      <c r="N6" s="27"/>
      <c r="O6" s="27"/>
    </row>
    <row r="7" spans="1:17" x14ac:dyDescent="0.3">
      <c r="C7" s="27" t="s">
        <v>61</v>
      </c>
      <c r="D7" s="27"/>
      <c r="E7" s="27" t="s">
        <v>37</v>
      </c>
      <c r="F7" s="27"/>
      <c r="G7" s="27" t="s">
        <v>33</v>
      </c>
      <c r="H7" s="27"/>
      <c r="I7" s="27" t="s">
        <v>62</v>
      </c>
      <c r="K7" s="38" t="s">
        <v>99</v>
      </c>
      <c r="M7" s="27" t="s">
        <v>98</v>
      </c>
      <c r="N7" s="27"/>
      <c r="O7" s="27" t="s">
        <v>96</v>
      </c>
    </row>
    <row r="8" spans="1:17" x14ac:dyDescent="0.3">
      <c r="C8" s="27"/>
      <c r="D8" s="27"/>
      <c r="E8" s="27"/>
      <c r="F8" s="27"/>
      <c r="G8" s="27"/>
      <c r="H8" s="27"/>
      <c r="I8" s="27"/>
    </row>
    <row r="9" spans="1:17" x14ac:dyDescent="0.3">
      <c r="A9" s="28" t="s">
        <v>41</v>
      </c>
      <c r="C9" s="29"/>
      <c r="E9" s="30">
        <v>0</v>
      </c>
      <c r="G9" s="30">
        <v>0</v>
      </c>
      <c r="I9" s="31">
        <v>42745</v>
      </c>
      <c r="J9" s="32"/>
      <c r="K9" s="36">
        <v>0</v>
      </c>
      <c r="M9" s="37">
        <v>0</v>
      </c>
      <c r="N9" s="37"/>
      <c r="O9" s="37">
        <v>0</v>
      </c>
    </row>
    <row r="10" spans="1:17" x14ac:dyDescent="0.3">
      <c r="A10" s="28" t="s">
        <v>85</v>
      </c>
      <c r="C10" s="29"/>
      <c r="E10" s="30">
        <v>0</v>
      </c>
      <c r="G10" s="30">
        <v>0</v>
      </c>
      <c r="I10" s="31">
        <v>42745</v>
      </c>
      <c r="J10" s="32"/>
      <c r="K10" s="36">
        <v>0</v>
      </c>
      <c r="M10" s="37">
        <v>0</v>
      </c>
      <c r="N10" s="37"/>
      <c r="O10" s="37">
        <v>0</v>
      </c>
    </row>
    <row r="11" spans="1:17" x14ac:dyDescent="0.3">
      <c r="A11" s="28" t="s">
        <v>63</v>
      </c>
      <c r="C11" s="29" t="s">
        <v>64</v>
      </c>
      <c r="E11" s="30">
        <v>2801086</v>
      </c>
      <c r="G11" s="30">
        <v>17922.93</v>
      </c>
      <c r="I11" s="31">
        <v>42745</v>
      </c>
      <c r="J11" s="32"/>
      <c r="K11" s="36">
        <v>36540</v>
      </c>
      <c r="M11" s="37">
        <f>G11*12/K11</f>
        <v>5.8860197044334974</v>
      </c>
      <c r="N11" s="37"/>
      <c r="O11" s="37">
        <f t="shared" ref="O11:O24" si="0">E11/K11</f>
        <v>76.65807334428024</v>
      </c>
    </row>
    <row r="12" spans="1:17" x14ac:dyDescent="0.3">
      <c r="A12" s="28" t="s">
        <v>65</v>
      </c>
      <c r="C12" s="29" t="s">
        <v>66</v>
      </c>
      <c r="E12" s="30">
        <v>637117</v>
      </c>
      <c r="G12" s="30">
        <f>13967.73-4497.88</f>
        <v>9469.8499999999985</v>
      </c>
      <c r="I12" s="31">
        <v>44105</v>
      </c>
      <c r="K12" s="36">
        <v>18468</v>
      </c>
      <c r="M12" s="37">
        <f>G12*12/K12</f>
        <v>6.1532488628979847</v>
      </c>
      <c r="N12" s="37"/>
      <c r="O12" s="37">
        <f t="shared" si="0"/>
        <v>34.498429716265974</v>
      </c>
    </row>
    <row r="13" spans="1:17" x14ac:dyDescent="0.3">
      <c r="A13" s="28" t="s">
        <v>67</v>
      </c>
      <c r="C13" s="29" t="s">
        <v>68</v>
      </c>
      <c r="E13" s="30">
        <v>476177</v>
      </c>
      <c r="G13" s="30">
        <v>2950.39</v>
      </c>
      <c r="I13" s="31">
        <v>42767</v>
      </c>
      <c r="J13" s="32"/>
      <c r="K13" s="36">
        <v>7000</v>
      </c>
      <c r="M13" s="37">
        <f>G13*12/K13</f>
        <v>5.0578114285714282</v>
      </c>
      <c r="N13" s="37"/>
      <c r="O13" s="37">
        <f t="shared" si="0"/>
        <v>68.025285714285715</v>
      </c>
    </row>
    <row r="14" spans="1:17" x14ac:dyDescent="0.3">
      <c r="A14" s="28" t="s">
        <v>69</v>
      </c>
      <c r="C14" s="29" t="s">
        <v>68</v>
      </c>
      <c r="E14" s="30">
        <v>1175509</v>
      </c>
      <c r="G14" s="30">
        <v>7155.68</v>
      </c>
      <c r="I14" s="31">
        <v>42979</v>
      </c>
      <c r="K14" s="36">
        <v>24839</v>
      </c>
      <c r="M14" s="37">
        <f>G14*12/K14</f>
        <v>3.4569894118120699</v>
      </c>
      <c r="N14" s="37"/>
      <c r="O14" s="37">
        <f t="shared" si="0"/>
        <v>47.325133862071745</v>
      </c>
      <c r="Q14">
        <v>85872</v>
      </c>
    </row>
    <row r="15" spans="1:17" x14ac:dyDescent="0.3">
      <c r="A15" s="28" t="s">
        <v>90</v>
      </c>
      <c r="C15" s="29"/>
      <c r="E15" s="30"/>
      <c r="G15" s="30"/>
      <c r="I15" s="31"/>
      <c r="M15" s="37">
        <v>0</v>
      </c>
      <c r="N15" s="37"/>
      <c r="O15" s="37">
        <v>0</v>
      </c>
    </row>
    <row r="16" spans="1:17" x14ac:dyDescent="0.3">
      <c r="A16" s="28" t="s">
        <v>76</v>
      </c>
      <c r="C16" s="29" t="s">
        <v>77</v>
      </c>
      <c r="E16" s="30">
        <v>2625195</v>
      </c>
      <c r="G16" s="30">
        <v>31908.61</v>
      </c>
      <c r="I16" s="31">
        <v>44896</v>
      </c>
      <c r="K16" s="36">
        <v>79439</v>
      </c>
      <c r="M16" s="37">
        <f>G16*12/K16</f>
        <v>4.8200923979405585</v>
      </c>
      <c r="N16" s="37"/>
      <c r="O16" s="37">
        <f t="shared" si="0"/>
        <v>33.04667732473974</v>
      </c>
    </row>
    <row r="17" spans="1:15" x14ac:dyDescent="0.3">
      <c r="A17" s="28" t="s">
        <v>72</v>
      </c>
      <c r="C17" s="29" t="s">
        <v>71</v>
      </c>
      <c r="E17" s="30">
        <v>7442982</v>
      </c>
      <c r="G17" s="30">
        <f>20269.86+12461.1+8175.87</f>
        <v>40906.83</v>
      </c>
      <c r="I17" s="31">
        <v>43317</v>
      </c>
      <c r="K17" s="36">
        <v>80018</v>
      </c>
      <c r="M17" s="37">
        <f>G17*12/K17</f>
        <v>6.1346442050538634</v>
      </c>
      <c r="N17" s="37"/>
      <c r="O17" s="37">
        <f t="shared" si="0"/>
        <v>93.016346322077538</v>
      </c>
    </row>
    <row r="18" spans="1:15" x14ac:dyDescent="0.3">
      <c r="A18" s="28" t="s">
        <v>70</v>
      </c>
      <c r="C18" s="29" t="s">
        <v>71</v>
      </c>
      <c r="E18" s="30">
        <v>2145343</v>
      </c>
      <c r="G18" s="30">
        <f>5858.22+3632.67+2362.92</f>
        <v>11853.81</v>
      </c>
      <c r="I18" s="31">
        <v>43317</v>
      </c>
      <c r="K18" s="36">
        <v>19164</v>
      </c>
      <c r="M18" s="37">
        <f>G18*12/K18</f>
        <v>7.4225485284909203</v>
      </c>
      <c r="N18" s="37"/>
      <c r="O18" s="37">
        <f t="shared" si="0"/>
        <v>111.94651429764141</v>
      </c>
    </row>
    <row r="19" spans="1:15" x14ac:dyDescent="0.3">
      <c r="A19" s="28" t="s">
        <v>73</v>
      </c>
      <c r="C19" s="29" t="s">
        <v>74</v>
      </c>
      <c r="E19" s="30">
        <v>1647778</v>
      </c>
      <c r="G19" s="30">
        <v>11570.18</v>
      </c>
      <c r="I19" s="31">
        <v>42015</v>
      </c>
      <c r="J19" s="33" t="s">
        <v>75</v>
      </c>
      <c r="K19" s="36">
        <v>94000</v>
      </c>
      <c r="M19" s="37">
        <f>G19*12/K19</f>
        <v>1.477044255319149</v>
      </c>
      <c r="N19" s="37"/>
      <c r="O19" s="37">
        <f t="shared" si="0"/>
        <v>17.529553191489363</v>
      </c>
    </row>
    <row r="20" spans="1:15" x14ac:dyDescent="0.3">
      <c r="A20" s="28" t="s">
        <v>78</v>
      </c>
      <c r="C20" s="29" t="s">
        <v>79</v>
      </c>
      <c r="E20" s="30">
        <v>225262</v>
      </c>
      <c r="G20" s="30">
        <v>3674.11</v>
      </c>
      <c r="I20" s="31">
        <v>42155</v>
      </c>
      <c r="K20" s="36">
        <v>28986</v>
      </c>
      <c r="M20" s="37">
        <f>G20*12/K20</f>
        <v>1.5210556820534051</v>
      </c>
      <c r="N20" s="37"/>
      <c r="O20" s="37">
        <f t="shared" si="0"/>
        <v>7.7714068860829366</v>
      </c>
    </row>
    <row r="21" spans="1:15" x14ac:dyDescent="0.3">
      <c r="A21" s="28" t="s">
        <v>48</v>
      </c>
      <c r="C21" s="29"/>
      <c r="E21" s="30"/>
      <c r="G21" s="30"/>
      <c r="I21" s="31"/>
      <c r="M21" s="37">
        <v>0</v>
      </c>
      <c r="N21" s="37"/>
      <c r="O21" s="37">
        <v>0</v>
      </c>
    </row>
    <row r="22" spans="1:15" x14ac:dyDescent="0.3">
      <c r="A22" s="28" t="s">
        <v>80</v>
      </c>
      <c r="C22" s="29" t="s">
        <v>81</v>
      </c>
      <c r="E22" s="30">
        <v>1624730</v>
      </c>
      <c r="G22" s="30">
        <v>12863.34</v>
      </c>
      <c r="I22" s="31">
        <v>42948</v>
      </c>
      <c r="K22" s="36">
        <v>23521</v>
      </c>
      <c r="M22" s="37">
        <f>G22*12/K22</f>
        <v>6.5626495472131294</v>
      </c>
      <c r="N22" s="37"/>
      <c r="O22" s="37">
        <f t="shared" si="0"/>
        <v>69.075719569746184</v>
      </c>
    </row>
    <row r="23" spans="1:15" x14ac:dyDescent="0.3">
      <c r="A23" s="28" t="s">
        <v>91</v>
      </c>
      <c r="C23" s="29"/>
      <c r="E23" s="30"/>
      <c r="G23" s="30"/>
      <c r="I23" s="31"/>
      <c r="M23" s="37">
        <v>0</v>
      </c>
      <c r="N23" s="37"/>
      <c r="O23" s="37">
        <v>0</v>
      </c>
    </row>
    <row r="24" spans="1:15" x14ac:dyDescent="0.3">
      <c r="A24" s="28" t="s">
        <v>82</v>
      </c>
      <c r="C24" s="29" t="s">
        <v>83</v>
      </c>
      <c r="E24" s="30">
        <v>2938660</v>
      </c>
      <c r="G24" s="30">
        <v>21450.83</v>
      </c>
      <c r="I24" s="31">
        <v>43023</v>
      </c>
      <c r="K24" s="36">
        <v>31532</v>
      </c>
      <c r="M24" s="37">
        <f>G24*12/K24</f>
        <v>8.1634517315742752</v>
      </c>
      <c r="N24" s="37"/>
      <c r="O24" s="37">
        <f t="shared" si="0"/>
        <v>93.196118229100591</v>
      </c>
    </row>
    <row r="25" spans="1:15" x14ac:dyDescent="0.3">
      <c r="A25" s="28" t="s">
        <v>89</v>
      </c>
      <c r="C25" s="29" t="s">
        <v>22</v>
      </c>
      <c r="E25" s="30">
        <v>0</v>
      </c>
      <c r="F25" s="34"/>
      <c r="G25" s="35">
        <v>0</v>
      </c>
      <c r="H25" s="34"/>
      <c r="I25" s="34"/>
      <c r="J25" s="32"/>
      <c r="M25" s="37">
        <v>0</v>
      </c>
      <c r="N25" s="37"/>
      <c r="O25" s="37">
        <v>0</v>
      </c>
    </row>
    <row r="26" spans="1:15" x14ac:dyDescent="0.3">
      <c r="A26" s="28" t="s">
        <v>87</v>
      </c>
      <c r="C26" s="29" t="s">
        <v>84</v>
      </c>
      <c r="E26" s="30">
        <v>1000000</v>
      </c>
      <c r="F26" s="34"/>
      <c r="G26" s="35">
        <v>0</v>
      </c>
      <c r="H26" s="34"/>
      <c r="I26" s="31">
        <v>42036</v>
      </c>
      <c r="J26" s="33" t="s">
        <v>88</v>
      </c>
      <c r="M26" s="37">
        <v>0</v>
      </c>
      <c r="N26" s="37"/>
      <c r="O26" s="37">
        <v>0</v>
      </c>
    </row>
    <row r="27" spans="1:15" x14ac:dyDescent="0.3">
      <c r="A27" s="28" t="s">
        <v>86</v>
      </c>
      <c r="C27" s="29" t="s">
        <v>22</v>
      </c>
      <c r="E27" s="30">
        <v>0</v>
      </c>
      <c r="F27" s="34"/>
      <c r="G27" s="35">
        <v>0</v>
      </c>
      <c r="H27" s="34"/>
      <c r="I27" s="34"/>
      <c r="J27" s="32"/>
      <c r="M27" s="37">
        <v>0</v>
      </c>
      <c r="N27" s="37"/>
      <c r="O27" s="37">
        <v>0</v>
      </c>
    </row>
  </sheetData>
  <pageMargins left="0.75" right="0.75" top="0.75" bottom="0.75" header="0.3" footer="0.3"/>
  <pageSetup scale="81" orientation="portrait" r:id="rId1"/>
  <headerFooter>
    <oddFooter>&amp;L&amp;8&amp;F -  &amp;A&amp;C&amp;8Page &amp;P of &amp;N&amp;R&amp;8&amp;D -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65</vt:i4>
      </vt:variant>
    </vt:vector>
  </HeadingPairs>
  <TitlesOfParts>
    <vt:vector size="122" baseType="lpstr">
      <vt:lpstr>Analysis</vt:lpstr>
      <vt:lpstr>Analysis - LL TI Amort Sch</vt:lpstr>
      <vt:lpstr>Analysis - TI Amort Sch</vt:lpstr>
      <vt:lpstr>Proposal</vt:lpstr>
      <vt:lpstr>New Lease</vt:lpstr>
      <vt:lpstr>Renewal</vt:lpstr>
      <vt:lpstr>Expansion</vt:lpstr>
      <vt:lpstr>Data Grid</vt:lpstr>
      <vt:lpstr>Debt Schedule</vt:lpstr>
      <vt:lpstr>Newton Amort Sch</vt:lpstr>
      <vt:lpstr>21Webb Amort Sch</vt:lpstr>
      <vt:lpstr>Tyler Amort Sch</vt:lpstr>
      <vt:lpstr>Union Amort Sch</vt:lpstr>
      <vt:lpstr>OPX Amort Sch</vt:lpstr>
      <vt:lpstr>NDV Amort Sch (3)</vt:lpstr>
      <vt:lpstr>ABP-BS-13</vt:lpstr>
      <vt:lpstr>ABP-PL-13</vt:lpstr>
      <vt:lpstr>BPT-BS-13</vt:lpstr>
      <vt:lpstr>BPT-PL-13</vt:lpstr>
      <vt:lpstr>CP-BS-13</vt:lpstr>
      <vt:lpstr>CP-PL-13</vt:lpstr>
      <vt:lpstr>DGS-BS-13</vt:lpstr>
      <vt:lpstr>DGS-PL-13</vt:lpstr>
      <vt:lpstr>NDV-BS-13</vt:lpstr>
      <vt:lpstr>NDV-PL-13</vt:lpstr>
      <vt:lpstr>NR6-BS-13</vt:lpstr>
      <vt:lpstr>NR6-TotalPL-13</vt:lpstr>
      <vt:lpstr>NR6-OfficePL-13</vt:lpstr>
      <vt:lpstr>NR6-RetailPL-13</vt:lpstr>
      <vt:lpstr>NR14-BS-13</vt:lpstr>
      <vt:lpstr>NR14-PL-13</vt:lpstr>
      <vt:lpstr>NWC-BS-13</vt:lpstr>
      <vt:lpstr>NWC-PL-13</vt:lpstr>
      <vt:lpstr>OCP-BS-13</vt:lpstr>
      <vt:lpstr>OCP-PL-13</vt:lpstr>
      <vt:lpstr>OMI-BS-13</vt:lpstr>
      <vt:lpstr>OMI-PL-13</vt:lpstr>
      <vt:lpstr>ROY-BS-13</vt:lpstr>
      <vt:lpstr>ROY-PL-13</vt:lpstr>
      <vt:lpstr>SPC-BS-13</vt:lpstr>
      <vt:lpstr>SPC-PL-13</vt:lpstr>
      <vt:lpstr>TYP-BS-13</vt:lpstr>
      <vt:lpstr>TYP-PL-13</vt:lpstr>
      <vt:lpstr>UST-BS-13</vt:lpstr>
      <vt:lpstr>UST-PL-13</vt:lpstr>
      <vt:lpstr>21Webb-BS-13</vt:lpstr>
      <vt:lpstr>21Webb-PL-13</vt:lpstr>
      <vt:lpstr>127PAW-BS-13</vt:lpstr>
      <vt:lpstr>127PAW-PL-13</vt:lpstr>
      <vt:lpstr>RP21-BS-13</vt:lpstr>
      <vt:lpstr>RP21-PL-13</vt:lpstr>
      <vt:lpstr>BSQ-BS-13</vt:lpstr>
      <vt:lpstr>BSQ-PL-13</vt:lpstr>
      <vt:lpstr>Wood96-BS-13</vt:lpstr>
      <vt:lpstr>Wood96-PL-13</vt:lpstr>
      <vt:lpstr>Sheet2</vt:lpstr>
      <vt:lpstr>Sheet3</vt:lpstr>
      <vt:lpstr>'21Webb Amort Sch'!Print_Area</vt:lpstr>
      <vt:lpstr>Analysis!Print_Area</vt:lpstr>
      <vt:lpstr>'Analysis - LL TI Amort Sch'!Print_Area</vt:lpstr>
      <vt:lpstr>'Analysis - TI Amort Sch'!Print_Area</vt:lpstr>
      <vt:lpstr>'Data Grid'!Print_Area</vt:lpstr>
      <vt:lpstr>'Debt Schedule'!Print_Area</vt:lpstr>
      <vt:lpstr>Expansion!Print_Area</vt:lpstr>
      <vt:lpstr>'NDV Amort Sch (3)'!Print_Area</vt:lpstr>
      <vt:lpstr>'New Lease'!Print_Area</vt:lpstr>
      <vt:lpstr>'Newton Amort Sch'!Print_Area</vt:lpstr>
      <vt:lpstr>'OPX Amort Sch'!Print_Area</vt:lpstr>
      <vt:lpstr>Proposal!Print_Area</vt:lpstr>
      <vt:lpstr>Renewal!Print_Area</vt:lpstr>
      <vt:lpstr>'Tyler Amort Sch'!Print_Area</vt:lpstr>
      <vt:lpstr>'Union Amort Sch'!Print_Area</vt:lpstr>
      <vt:lpstr>'127PAW-BS-13'!Print_Titles</vt:lpstr>
      <vt:lpstr>'127PAW-PL-13'!Print_Titles</vt:lpstr>
      <vt:lpstr>'21Webb Amort Sch'!Print_Titles</vt:lpstr>
      <vt:lpstr>'21Webb-BS-13'!Print_Titles</vt:lpstr>
      <vt:lpstr>'21Webb-PL-13'!Print_Titles</vt:lpstr>
      <vt:lpstr>'ABP-BS-13'!Print_Titles</vt:lpstr>
      <vt:lpstr>'ABP-PL-13'!Print_Titles</vt:lpstr>
      <vt:lpstr>'Analysis - LL TI Amort Sch'!Print_Titles</vt:lpstr>
      <vt:lpstr>'Analysis - TI Amort Sch'!Print_Titles</vt:lpstr>
      <vt:lpstr>'BPT-BS-13'!Print_Titles</vt:lpstr>
      <vt:lpstr>'BPT-PL-13'!Print_Titles</vt:lpstr>
      <vt:lpstr>'BSQ-BS-13'!Print_Titles</vt:lpstr>
      <vt:lpstr>'BSQ-PL-13'!Print_Titles</vt:lpstr>
      <vt:lpstr>'CP-BS-13'!Print_Titles</vt:lpstr>
      <vt:lpstr>'CP-PL-13'!Print_Titles</vt:lpstr>
      <vt:lpstr>'Data Grid'!Print_Titles</vt:lpstr>
      <vt:lpstr>'DGS-BS-13'!Print_Titles</vt:lpstr>
      <vt:lpstr>'DGS-PL-13'!Print_Titles</vt:lpstr>
      <vt:lpstr>'NDV Amort Sch (3)'!Print_Titles</vt:lpstr>
      <vt:lpstr>'NDV-BS-13'!Print_Titles</vt:lpstr>
      <vt:lpstr>'NDV-PL-13'!Print_Titles</vt:lpstr>
      <vt:lpstr>'Newton Amort Sch'!Print_Titles</vt:lpstr>
      <vt:lpstr>'NR14-BS-13'!Print_Titles</vt:lpstr>
      <vt:lpstr>'NR14-PL-13'!Print_Titles</vt:lpstr>
      <vt:lpstr>'NR6-BS-13'!Print_Titles</vt:lpstr>
      <vt:lpstr>'NR6-OfficePL-13'!Print_Titles</vt:lpstr>
      <vt:lpstr>'NR6-RetailPL-13'!Print_Titles</vt:lpstr>
      <vt:lpstr>'NR6-TotalPL-13'!Print_Titles</vt:lpstr>
      <vt:lpstr>'NWC-BS-13'!Print_Titles</vt:lpstr>
      <vt:lpstr>'NWC-PL-13'!Print_Titles</vt:lpstr>
      <vt:lpstr>'OCP-BS-13'!Print_Titles</vt:lpstr>
      <vt:lpstr>'OCP-PL-13'!Print_Titles</vt:lpstr>
      <vt:lpstr>'OMI-BS-13'!Print_Titles</vt:lpstr>
      <vt:lpstr>'OMI-PL-13'!Print_Titles</vt:lpstr>
      <vt:lpstr>'OPX Amort Sch'!Print_Titles</vt:lpstr>
      <vt:lpstr>'ROY-BS-13'!Print_Titles</vt:lpstr>
      <vt:lpstr>'ROY-PL-13'!Print_Titles</vt:lpstr>
      <vt:lpstr>'RP21-BS-13'!Print_Titles</vt:lpstr>
      <vt:lpstr>'RP21-PL-13'!Print_Titles</vt:lpstr>
      <vt:lpstr>'SPC-BS-13'!Print_Titles</vt:lpstr>
      <vt:lpstr>'SPC-PL-13'!Print_Titles</vt:lpstr>
      <vt:lpstr>'Tyler Amort Sch'!Print_Titles</vt:lpstr>
      <vt:lpstr>'TYP-BS-13'!Print_Titles</vt:lpstr>
      <vt:lpstr>'TYP-PL-13'!Print_Titles</vt:lpstr>
      <vt:lpstr>'Union Amort Sch'!Print_Titles</vt:lpstr>
      <vt:lpstr>'UST-BS-13'!Print_Titles</vt:lpstr>
      <vt:lpstr>'UST-PL-13'!Print_Titles</vt:lpstr>
      <vt:lpstr>'Wood96-BS-13'!Print_Titles</vt:lpstr>
      <vt:lpstr>'Wood96-PL-13'!Print_Titles</vt:lpstr>
      <vt:lpstr>Property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Persels</dc:creator>
  <cp:lastModifiedBy>Brandon Smith</cp:lastModifiedBy>
  <cp:lastPrinted>2019-04-01T14:54:45Z</cp:lastPrinted>
  <dcterms:created xsi:type="dcterms:W3CDTF">2011-12-09T13:57:53Z</dcterms:created>
  <dcterms:modified xsi:type="dcterms:W3CDTF">2022-07-28T15:51:01Z</dcterms:modified>
</cp:coreProperties>
</file>