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tennesseetitans-my.sharepoint.com/personal/brandt_callahan_titans_nfl_com/Documents/Documents/Python/professional_portfolio/march_madness/"/>
    </mc:Choice>
  </mc:AlternateContent>
  <xr:revisionPtr revIDLastSave="4" documentId="11_D60D83D593CB10D9D4209114F3DAE92E92ED00DA" xr6:coauthVersionLast="47" xr6:coauthVersionMax="47" xr10:uidLastSave="{C415FBF8-9184-4935-8B2D-9AA662EA669E}"/>
  <bookViews>
    <workbookView xWindow="1900" yWindow="1900" windowWidth="16920" windowHeight="10450" activeTab="1" xr2:uid="{00000000-000D-0000-FFFF-FFFF00000000}"/>
  </bookViews>
  <sheets>
    <sheet name="marchmadness_data" sheetId="1" r:id="rId1"/>
    <sheet name="ncaam_bracket" sheetId="2" r:id="rId2"/>
    <sheet name="ncaam_bracket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2" l="1"/>
  <c r="M77" i="2"/>
  <c r="W71" i="3"/>
  <c r="C71" i="3"/>
  <c r="W69" i="3"/>
  <c r="C69" i="3"/>
  <c r="W67" i="3"/>
  <c r="C67" i="3"/>
  <c r="W65" i="3"/>
  <c r="C65" i="3"/>
  <c r="W63" i="3"/>
  <c r="C63" i="3"/>
  <c r="W61" i="3"/>
  <c r="C61" i="3"/>
  <c r="W59" i="3"/>
  <c r="C59" i="3"/>
  <c r="W57" i="3"/>
  <c r="V57" i="3"/>
  <c r="D57" i="3"/>
  <c r="C57" i="3"/>
  <c r="S56" i="3"/>
  <c r="F56" i="3"/>
  <c r="W55" i="3"/>
  <c r="C55" i="3"/>
  <c r="W53" i="3"/>
  <c r="C53" i="3"/>
  <c r="W51" i="3"/>
  <c r="C51" i="3"/>
  <c r="W49" i="3"/>
  <c r="C49" i="3"/>
  <c r="W47" i="3"/>
  <c r="C47" i="3"/>
  <c r="W45" i="3"/>
  <c r="C45" i="3"/>
  <c r="W43" i="3"/>
  <c r="C43" i="3"/>
  <c r="W41" i="3"/>
  <c r="C41" i="3"/>
  <c r="W36" i="3"/>
  <c r="C36" i="3"/>
  <c r="W34" i="3"/>
  <c r="C34" i="3"/>
  <c r="W32" i="3"/>
  <c r="C32" i="3"/>
  <c r="W30" i="3"/>
  <c r="C30" i="3"/>
  <c r="W28" i="3"/>
  <c r="C28" i="3"/>
  <c r="W26" i="3"/>
  <c r="C26" i="3"/>
  <c r="W24" i="3"/>
  <c r="C24" i="3"/>
  <c r="W22" i="3"/>
  <c r="V22" i="3"/>
  <c r="D22" i="3"/>
  <c r="C22" i="3"/>
  <c r="S21" i="3"/>
  <c r="F21" i="3"/>
  <c r="W20" i="3"/>
  <c r="C20" i="3"/>
  <c r="W18" i="3"/>
  <c r="C18" i="3"/>
  <c r="W16" i="3"/>
  <c r="C16" i="3"/>
  <c r="W14" i="3"/>
  <c r="C14" i="3"/>
  <c r="W12" i="3"/>
  <c r="C12" i="3"/>
  <c r="W10" i="3"/>
  <c r="C10" i="3"/>
  <c r="W8" i="3"/>
  <c r="C8" i="3"/>
  <c r="W6" i="3"/>
  <c r="C6" i="3"/>
  <c r="W71" i="2"/>
  <c r="V71" i="2"/>
  <c r="D71" i="2"/>
  <c r="C71" i="2"/>
  <c r="W69" i="2"/>
  <c r="V69" i="2"/>
  <c r="U70" i="2" s="1"/>
  <c r="C69" i="2"/>
  <c r="D69" i="2" s="1"/>
  <c r="E70" i="2" s="1"/>
  <c r="F70" i="2" s="1"/>
  <c r="W67" i="2"/>
  <c r="V67" i="2"/>
  <c r="C67" i="2"/>
  <c r="D67" i="2" s="1"/>
  <c r="U66" i="2"/>
  <c r="U67" i="2" s="1"/>
  <c r="T66" i="2"/>
  <c r="W65" i="2"/>
  <c r="V65" i="2"/>
  <c r="C65" i="2"/>
  <c r="D65" i="2" s="1"/>
  <c r="W63" i="2"/>
  <c r="V63" i="2" s="1"/>
  <c r="C63" i="2"/>
  <c r="D63" i="2" s="1"/>
  <c r="W61" i="2"/>
  <c r="V61" i="2"/>
  <c r="U62" i="2" s="1"/>
  <c r="C61" i="2"/>
  <c r="D61" i="2" s="1"/>
  <c r="E62" i="2" s="1"/>
  <c r="W59" i="2"/>
  <c r="V59" i="2"/>
  <c r="C59" i="2"/>
  <c r="D59" i="2" s="1"/>
  <c r="W57" i="2"/>
  <c r="V57" i="2" s="1"/>
  <c r="U58" i="2" s="1"/>
  <c r="C57" i="2"/>
  <c r="D57" i="2" s="1"/>
  <c r="E58" i="2" s="1"/>
  <c r="S56" i="2"/>
  <c r="F56" i="2"/>
  <c r="W55" i="2"/>
  <c r="V55" i="2"/>
  <c r="U54" i="2" s="1"/>
  <c r="C55" i="2"/>
  <c r="D55" i="2" s="1"/>
  <c r="W53" i="2"/>
  <c r="V53" i="2"/>
  <c r="C53" i="2"/>
  <c r="D53" i="2" s="1"/>
  <c r="W51" i="2"/>
  <c r="V51" i="2"/>
  <c r="C51" i="2"/>
  <c r="D51" i="2" s="1"/>
  <c r="U50" i="2"/>
  <c r="T50" i="2" s="1"/>
  <c r="W49" i="2"/>
  <c r="V49" i="2"/>
  <c r="C49" i="2"/>
  <c r="D49" i="2" s="1"/>
  <c r="W47" i="2"/>
  <c r="V47" i="2" s="1"/>
  <c r="D47" i="2"/>
  <c r="C47" i="2"/>
  <c r="W45" i="2"/>
  <c r="V45" i="2"/>
  <c r="C45" i="2"/>
  <c r="D45" i="2" s="1"/>
  <c r="E46" i="2" s="1"/>
  <c r="W43" i="2"/>
  <c r="V43" i="2"/>
  <c r="U43" i="2"/>
  <c r="E43" i="2"/>
  <c r="D43" i="2"/>
  <c r="C43" i="2"/>
  <c r="W41" i="2"/>
  <c r="V41" i="2"/>
  <c r="U42" i="2" s="1"/>
  <c r="T42" i="2" s="1"/>
  <c r="C41" i="2"/>
  <c r="D41" i="2" s="1"/>
  <c r="E42" i="2" s="1"/>
  <c r="F42" i="2" s="1"/>
  <c r="W36" i="2"/>
  <c r="V36" i="2"/>
  <c r="D36" i="2"/>
  <c r="C36" i="2"/>
  <c r="W34" i="2"/>
  <c r="V34" i="2"/>
  <c r="U35" i="2" s="1"/>
  <c r="C34" i="2"/>
  <c r="D34" i="2" s="1"/>
  <c r="E35" i="2" s="1"/>
  <c r="W32" i="2"/>
  <c r="V32" i="2"/>
  <c r="D32" i="2"/>
  <c r="C32" i="2"/>
  <c r="W30" i="2"/>
  <c r="V30" i="2"/>
  <c r="U31" i="2" s="1"/>
  <c r="T31" i="2" s="1"/>
  <c r="C30" i="2"/>
  <c r="D30" i="2" s="1"/>
  <c r="E31" i="2" s="1"/>
  <c r="F31" i="2" s="1"/>
  <c r="W28" i="2"/>
  <c r="V28" i="2"/>
  <c r="C28" i="2"/>
  <c r="D28" i="2" s="1"/>
  <c r="U27" i="2"/>
  <c r="U28" i="2" s="1"/>
  <c r="T27" i="2"/>
  <c r="W26" i="2"/>
  <c r="V26" i="2"/>
  <c r="C26" i="2"/>
  <c r="D26" i="2" s="1"/>
  <c r="E27" i="2" s="1"/>
  <c r="W24" i="2"/>
  <c r="V24" i="2" s="1"/>
  <c r="U23" i="2" s="1"/>
  <c r="C24" i="2"/>
  <c r="D24" i="2" s="1"/>
  <c r="W22" i="2"/>
  <c r="V22" i="2"/>
  <c r="C22" i="2"/>
  <c r="D22" i="2" s="1"/>
  <c r="S21" i="2"/>
  <c r="F21" i="2"/>
  <c r="W20" i="2"/>
  <c r="V20" i="2"/>
  <c r="C20" i="2"/>
  <c r="D20" i="2" s="1"/>
  <c r="E19" i="2" s="1"/>
  <c r="W18" i="2"/>
  <c r="V18" i="2"/>
  <c r="U19" i="2" s="1"/>
  <c r="D18" i="2"/>
  <c r="C18" i="2"/>
  <c r="W16" i="2"/>
  <c r="V16" i="2"/>
  <c r="D16" i="2"/>
  <c r="C16" i="2"/>
  <c r="W14" i="2"/>
  <c r="V14" i="2"/>
  <c r="U15" i="2" s="1"/>
  <c r="C14" i="2"/>
  <c r="D14" i="2" s="1"/>
  <c r="W12" i="2"/>
  <c r="V12" i="2"/>
  <c r="C12" i="2"/>
  <c r="D12" i="2" s="1"/>
  <c r="W10" i="2"/>
  <c r="V10" i="2" s="1"/>
  <c r="U11" i="2" s="1"/>
  <c r="C10" i="2"/>
  <c r="D10" i="2" s="1"/>
  <c r="E11" i="2" s="1"/>
  <c r="W8" i="2"/>
  <c r="V8" i="2"/>
  <c r="C8" i="2"/>
  <c r="D8" i="2" s="1"/>
  <c r="W6" i="2"/>
  <c r="V6" i="2" s="1"/>
  <c r="U7" i="2" s="1"/>
  <c r="C6" i="2"/>
  <c r="D6" i="2" s="1"/>
  <c r="E7" i="2" s="1"/>
  <c r="M2" i="2"/>
  <c r="E8" i="2" l="1"/>
  <c r="F7" i="2"/>
  <c r="U12" i="2"/>
  <c r="T11" i="2"/>
  <c r="E59" i="2"/>
  <c r="F58" i="2"/>
  <c r="G60" i="2" s="1"/>
  <c r="E20" i="2"/>
  <c r="F19" i="2"/>
  <c r="U63" i="2"/>
  <c r="T62" i="2"/>
  <c r="U46" i="2"/>
  <c r="U36" i="2"/>
  <c r="T35" i="2"/>
  <c r="E63" i="2"/>
  <c r="F62" i="2"/>
  <c r="S33" i="2"/>
  <c r="T70" i="2"/>
  <c r="U71" i="2"/>
  <c r="E32" i="2"/>
  <c r="T58" i="2"/>
  <c r="S60" i="2" s="1"/>
  <c r="U59" i="2"/>
  <c r="E66" i="2"/>
  <c r="U20" i="2"/>
  <c r="T19" i="2"/>
  <c r="T54" i="2"/>
  <c r="S52" i="2" s="1"/>
  <c r="U55" i="2"/>
  <c r="T7" i="2"/>
  <c r="S9" i="2" s="1"/>
  <c r="U8" i="2"/>
  <c r="U32" i="2"/>
  <c r="E71" i="2"/>
  <c r="T15" i="2"/>
  <c r="S17" i="2" s="1"/>
  <c r="U16" i="2"/>
  <c r="E47" i="2"/>
  <c r="F46" i="2"/>
  <c r="G44" i="2" s="1"/>
  <c r="E54" i="2"/>
  <c r="U24" i="2"/>
  <c r="T23" i="2"/>
  <c r="S25" i="2" s="1"/>
  <c r="E12" i="2"/>
  <c r="F11" i="2"/>
  <c r="F27" i="2"/>
  <c r="E28" i="2"/>
  <c r="E23" i="2"/>
  <c r="E15" i="2"/>
  <c r="E50" i="2"/>
  <c r="S68" i="2"/>
  <c r="E36" i="2"/>
  <c r="F35" i="2"/>
  <c r="G33" i="2" s="1"/>
  <c r="U51" i="2"/>
  <c r="G34" i="2" l="1"/>
  <c r="H33" i="2"/>
  <c r="G45" i="2"/>
  <c r="H44" i="2"/>
  <c r="S53" i="2"/>
  <c r="R52" i="2"/>
  <c r="F15" i="2"/>
  <c r="G17" i="2" s="1"/>
  <c r="E16" i="2"/>
  <c r="F23" i="2"/>
  <c r="G25" i="2" s="1"/>
  <c r="E24" i="2"/>
  <c r="G61" i="2"/>
  <c r="H60" i="2"/>
  <c r="S61" i="2"/>
  <c r="R60" i="2"/>
  <c r="S34" i="2"/>
  <c r="R33" i="2"/>
  <c r="S26" i="2"/>
  <c r="R25" i="2"/>
  <c r="Q30" i="2" s="1"/>
  <c r="F50" i="2"/>
  <c r="G52" i="2" s="1"/>
  <c r="E51" i="2"/>
  <c r="R17" i="2"/>
  <c r="S18" i="2"/>
  <c r="S10" i="2"/>
  <c r="R9" i="2"/>
  <c r="R68" i="2"/>
  <c r="S69" i="2"/>
  <c r="F54" i="2"/>
  <c r="E55" i="2"/>
  <c r="F66" i="2"/>
  <c r="G68" i="2" s="1"/>
  <c r="E67" i="2"/>
  <c r="G9" i="2"/>
  <c r="U47" i="2"/>
  <c r="U74" i="2" s="1"/>
  <c r="T46" i="2"/>
  <c r="S44" i="2" s="1"/>
  <c r="E74" i="2"/>
  <c r="G10" i="2" l="1"/>
  <c r="H9" i="2"/>
  <c r="I14" i="2" s="1"/>
  <c r="H17" i="2"/>
  <c r="G18" i="2"/>
  <c r="H68" i="2"/>
  <c r="I65" i="2" s="1"/>
  <c r="G69" i="2"/>
  <c r="S45" i="2"/>
  <c r="S74" i="2" s="1"/>
  <c r="R44" i="2"/>
  <c r="Q49" i="2" s="1"/>
  <c r="G26" i="2"/>
  <c r="H25" i="2"/>
  <c r="I30" i="2" s="1"/>
  <c r="Q31" i="2"/>
  <c r="P30" i="2"/>
  <c r="H52" i="2"/>
  <c r="I49" i="2" s="1"/>
  <c r="G53" i="2"/>
  <c r="Q65" i="2"/>
  <c r="Q14" i="2"/>
  <c r="I66" i="2" l="1"/>
  <c r="J65" i="2"/>
  <c r="J49" i="2"/>
  <c r="K58" i="2" s="1"/>
  <c r="I50" i="2"/>
  <c r="Q66" i="2"/>
  <c r="P65" i="2"/>
  <c r="G74" i="2"/>
  <c r="P49" i="2"/>
  <c r="O58" i="2" s="1"/>
  <c r="Q50" i="2"/>
  <c r="Q15" i="2"/>
  <c r="P14" i="2"/>
  <c r="O23" i="2" s="1"/>
  <c r="J30" i="2"/>
  <c r="I31" i="2"/>
  <c r="I15" i="2"/>
  <c r="J14" i="2"/>
  <c r="K23" i="2" s="1"/>
  <c r="L23" i="2" l="1"/>
  <c r="K24" i="2"/>
  <c r="N58" i="2"/>
  <c r="O59" i="2"/>
  <c r="O74" i="2" s="1"/>
  <c r="O24" i="2"/>
  <c r="N23" i="2"/>
  <c r="Q74" i="2"/>
  <c r="K59" i="2"/>
  <c r="K74" i="2" s="1"/>
  <c r="L58" i="2"/>
  <c r="I74" i="2"/>
  <c r="M46" i="2" l="1"/>
  <c r="M47" i="2" s="1"/>
  <c r="M35" i="2"/>
  <c r="M36" i="2" s="1"/>
  <c r="L11" i="2" l="1"/>
  <c r="M13" i="2" s="1"/>
  <c r="M74" i="2" s="1"/>
  <c r="M17" i="2" s="1"/>
</calcChain>
</file>

<file path=xl/sharedStrings.xml><?xml version="1.0" encoding="utf-8"?>
<sst xmlns="http://schemas.openxmlformats.org/spreadsheetml/2006/main" count="226" uniqueCount="86">
  <si>
    <t>season</t>
  </si>
  <si>
    <t>region</t>
  </si>
  <si>
    <t>seed</t>
  </si>
  <si>
    <t>tm</t>
  </si>
  <si>
    <t>Round 32</t>
  </si>
  <si>
    <t>Sweet Sixteen</t>
  </si>
  <si>
    <t>Elite Eight</t>
  </si>
  <si>
    <t>Final Four</t>
  </si>
  <si>
    <t>Championship</t>
  </si>
  <si>
    <t>Champion</t>
  </si>
  <si>
    <t>South</t>
  </si>
  <si>
    <t>Auburn</t>
  </si>
  <si>
    <t>Michigan State</t>
  </si>
  <si>
    <t>Iowa State</t>
  </si>
  <si>
    <t>Texas A&amp;M</t>
  </si>
  <si>
    <t>Michigan</t>
  </si>
  <si>
    <t>Ole Miss</t>
  </si>
  <si>
    <t>Marquette</t>
  </si>
  <si>
    <t>Louisville</t>
  </si>
  <si>
    <t>Creighton</t>
  </si>
  <si>
    <t>New Mexico</t>
  </si>
  <si>
    <t>North Carolina</t>
  </si>
  <si>
    <t>UC San Diego</t>
  </si>
  <si>
    <t>Yale</t>
  </si>
  <si>
    <t>Lipscomb</t>
  </si>
  <si>
    <t>Bryant</t>
  </si>
  <si>
    <t>Alabama State</t>
  </si>
  <si>
    <t>West</t>
  </si>
  <si>
    <t>Florida</t>
  </si>
  <si>
    <t>St. John's (NY)</t>
  </si>
  <si>
    <t>Texas Tech</t>
  </si>
  <si>
    <t>Maryland</t>
  </si>
  <si>
    <t>Memphis</t>
  </si>
  <si>
    <t>Missouri</t>
  </si>
  <si>
    <t>Kansas</t>
  </si>
  <si>
    <t>Connecticut</t>
  </si>
  <si>
    <t>Oklahoma</t>
  </si>
  <si>
    <t>Arkansas</t>
  </si>
  <si>
    <t>Drake</t>
  </si>
  <si>
    <t>Colorado State</t>
  </si>
  <si>
    <t>Grand Canyon</t>
  </si>
  <si>
    <t>UNC Wilmington</t>
  </si>
  <si>
    <t>Omaha</t>
  </si>
  <si>
    <t>Norfolk State</t>
  </si>
  <si>
    <t>East</t>
  </si>
  <si>
    <t>Duke</t>
  </si>
  <si>
    <t>Alabama</t>
  </si>
  <si>
    <t>Wisconsin</t>
  </si>
  <si>
    <t>Arizona</t>
  </si>
  <si>
    <t>Oregon</t>
  </si>
  <si>
    <t>Brigham Young</t>
  </si>
  <si>
    <t>St. Mary's (CA)</t>
  </si>
  <si>
    <t>Mississippi State</t>
  </si>
  <si>
    <t>Baylor</t>
  </si>
  <si>
    <t>Vanderbilt</t>
  </si>
  <si>
    <t>VCU</t>
  </si>
  <si>
    <t>Liberty</t>
  </si>
  <si>
    <t>Akron</t>
  </si>
  <si>
    <t>Montana</t>
  </si>
  <si>
    <t>Robert Morris</t>
  </si>
  <si>
    <t>Mount St. Mary's</t>
  </si>
  <si>
    <t>Midwest</t>
  </si>
  <si>
    <t>Houston</t>
  </si>
  <si>
    <t>Tennessee</t>
  </si>
  <si>
    <t>Kentucky</t>
  </si>
  <si>
    <t>Purdue</t>
  </si>
  <si>
    <t>Clemson</t>
  </si>
  <si>
    <t>Illinois</t>
  </si>
  <si>
    <t>UCLA</t>
  </si>
  <si>
    <t>Gonzaga</t>
  </si>
  <si>
    <t>Georgia</t>
  </si>
  <si>
    <t>Utah State</t>
  </si>
  <si>
    <t>Xavier</t>
  </si>
  <si>
    <t>McNeese State</t>
  </si>
  <si>
    <t>High Point</t>
  </si>
  <si>
    <t>Troy</t>
  </si>
  <si>
    <t>Wofford</t>
  </si>
  <si>
    <t>SIU-Edwardsville</t>
  </si>
  <si>
    <t>Round of 64</t>
  </si>
  <si>
    <t>Round of 32</t>
  </si>
  <si>
    <t>Sweet 16</t>
  </si>
  <si>
    <t>Elite 8</t>
  </si>
  <si>
    <t>Final 4</t>
  </si>
  <si>
    <t>Accuracy</t>
  </si>
  <si>
    <t>BYU</t>
  </si>
  <si>
    <t>Saint Mary's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</si>
</sst>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0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/>
  </sheetViews>
  <sheetFormatPr defaultRowHeight="14.5" x14ac:dyDescent="0.35"/>
  <sheetData>
    <row r="1" spans="1:10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</row>
    <row r="2" spans="1:10" x14ac:dyDescent="0.35">
      <c r="A2">
        <v>2025</v>
      </c>
      <c r="B2" t="s">
        <v>10</v>
      </c>
      <c r="C2">
        <v>1</v>
      </c>
      <c r="D2" t="s">
        <v>11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5">
      <c r="A3">
        <v>2025</v>
      </c>
      <c r="B3" t="s">
        <v>10</v>
      </c>
      <c r="C3">
        <v>2</v>
      </c>
      <c r="D3" t="s">
        <v>12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 x14ac:dyDescent="0.35">
      <c r="A4">
        <v>2025</v>
      </c>
      <c r="B4" t="s">
        <v>10</v>
      </c>
      <c r="C4">
        <v>3</v>
      </c>
      <c r="D4" t="s">
        <v>13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2025</v>
      </c>
      <c r="B5" t="s">
        <v>10</v>
      </c>
      <c r="C5">
        <v>4</v>
      </c>
      <c r="D5" t="s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2025</v>
      </c>
      <c r="B6" t="s">
        <v>10</v>
      </c>
      <c r="C6">
        <v>5</v>
      </c>
      <c r="D6" t="s">
        <v>15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2025</v>
      </c>
      <c r="B7" t="s">
        <v>10</v>
      </c>
      <c r="C7">
        <v>6</v>
      </c>
      <c r="D7" t="s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2025</v>
      </c>
      <c r="B8" t="s">
        <v>10</v>
      </c>
      <c r="C8">
        <v>7</v>
      </c>
      <c r="D8" t="s">
        <v>17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2025</v>
      </c>
      <c r="B9" t="s">
        <v>10</v>
      </c>
      <c r="C9">
        <v>8</v>
      </c>
      <c r="D9" t="s">
        <v>18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2025</v>
      </c>
      <c r="B10" t="s">
        <v>10</v>
      </c>
      <c r="C10">
        <v>9</v>
      </c>
      <c r="D10" t="s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2025</v>
      </c>
      <c r="B11" t="s">
        <v>10</v>
      </c>
      <c r="C11">
        <v>10</v>
      </c>
      <c r="D11" t="s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2025</v>
      </c>
      <c r="B12" t="s">
        <v>10</v>
      </c>
      <c r="C12">
        <v>11</v>
      </c>
      <c r="D12" t="s">
        <v>21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2025</v>
      </c>
      <c r="B13" t="s">
        <v>10</v>
      </c>
      <c r="C13">
        <v>12</v>
      </c>
      <c r="D13" t="s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2025</v>
      </c>
      <c r="B14" t="s">
        <v>10</v>
      </c>
      <c r="C14">
        <v>13</v>
      </c>
      <c r="D14" t="s">
        <v>23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2025</v>
      </c>
      <c r="B15" t="s">
        <v>10</v>
      </c>
      <c r="C15">
        <v>14</v>
      </c>
      <c r="D15" t="s">
        <v>24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2025</v>
      </c>
      <c r="B16" t="s">
        <v>10</v>
      </c>
      <c r="C16">
        <v>15</v>
      </c>
      <c r="D16" t="s">
        <v>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2025</v>
      </c>
      <c r="B17" t="s">
        <v>10</v>
      </c>
      <c r="C17">
        <v>16</v>
      </c>
      <c r="D17" t="s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2025</v>
      </c>
      <c r="B18" t="s">
        <v>27</v>
      </c>
      <c r="C18">
        <v>1</v>
      </c>
      <c r="D18" t="s">
        <v>28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35">
      <c r="A19">
        <v>2025</v>
      </c>
      <c r="B19" t="s">
        <v>27</v>
      </c>
      <c r="C19">
        <v>2</v>
      </c>
      <c r="D19" t="s">
        <v>29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 x14ac:dyDescent="0.35">
      <c r="A20">
        <v>2025</v>
      </c>
      <c r="B20" t="s">
        <v>27</v>
      </c>
      <c r="C20">
        <v>3</v>
      </c>
      <c r="D20" t="s">
        <v>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2025</v>
      </c>
      <c r="B21" t="s">
        <v>27</v>
      </c>
      <c r="C21">
        <v>4</v>
      </c>
      <c r="D21" t="s">
        <v>31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2025</v>
      </c>
      <c r="B22" t="s">
        <v>27</v>
      </c>
      <c r="C22">
        <v>5</v>
      </c>
      <c r="D22" t="s">
        <v>32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2025</v>
      </c>
      <c r="B23" t="s">
        <v>27</v>
      </c>
      <c r="C23">
        <v>6</v>
      </c>
      <c r="D23" t="s">
        <v>33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2025</v>
      </c>
      <c r="B24" t="s">
        <v>27</v>
      </c>
      <c r="C24">
        <v>7</v>
      </c>
      <c r="D24" t="s">
        <v>34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2025</v>
      </c>
      <c r="B25" t="s">
        <v>27</v>
      </c>
      <c r="C25">
        <v>8</v>
      </c>
      <c r="D25" t="s">
        <v>35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2025</v>
      </c>
      <c r="B26" t="s">
        <v>27</v>
      </c>
      <c r="C26">
        <v>9</v>
      </c>
      <c r="D26" t="s">
        <v>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2025</v>
      </c>
      <c r="B27" t="s">
        <v>27</v>
      </c>
      <c r="C27">
        <v>10</v>
      </c>
      <c r="D27" t="s">
        <v>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2025</v>
      </c>
      <c r="B28" t="s">
        <v>27</v>
      </c>
      <c r="C28">
        <v>11</v>
      </c>
      <c r="D28" t="s">
        <v>38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2025</v>
      </c>
      <c r="B29" t="s">
        <v>27</v>
      </c>
      <c r="C29">
        <v>12</v>
      </c>
      <c r="D29" t="s">
        <v>39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2025</v>
      </c>
      <c r="B30" t="s">
        <v>27</v>
      </c>
      <c r="C30">
        <v>13</v>
      </c>
      <c r="D30" t="s">
        <v>40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2025</v>
      </c>
      <c r="B31" t="s">
        <v>27</v>
      </c>
      <c r="C31">
        <v>14</v>
      </c>
      <c r="D31" t="s">
        <v>41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2025</v>
      </c>
      <c r="B32" t="s">
        <v>27</v>
      </c>
      <c r="C32">
        <v>15</v>
      </c>
      <c r="D32" t="s">
        <v>42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2025</v>
      </c>
      <c r="B33" t="s">
        <v>27</v>
      </c>
      <c r="C33">
        <v>16</v>
      </c>
      <c r="D33" t="s">
        <v>43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2025</v>
      </c>
      <c r="B34" t="s">
        <v>44</v>
      </c>
      <c r="C34">
        <v>1</v>
      </c>
      <c r="D34" t="s">
        <v>45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</row>
    <row r="35" spans="1:10" x14ac:dyDescent="0.35">
      <c r="A35">
        <v>2025</v>
      </c>
      <c r="B35" t="s">
        <v>44</v>
      </c>
      <c r="C35">
        <v>2</v>
      </c>
      <c r="D35" t="s">
        <v>46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2025</v>
      </c>
      <c r="B36" t="s">
        <v>44</v>
      </c>
      <c r="C36">
        <v>3</v>
      </c>
      <c r="D36" t="s">
        <v>47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2025</v>
      </c>
      <c r="B37" t="s">
        <v>44</v>
      </c>
      <c r="C37">
        <v>4</v>
      </c>
      <c r="D37" t="s">
        <v>48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2025</v>
      </c>
      <c r="B38" t="s">
        <v>44</v>
      </c>
      <c r="C38">
        <v>5</v>
      </c>
      <c r="D38" t="s">
        <v>49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2025</v>
      </c>
      <c r="B39" t="s">
        <v>44</v>
      </c>
      <c r="C39">
        <v>6</v>
      </c>
      <c r="D39" t="s">
        <v>50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2025</v>
      </c>
      <c r="B40" t="s">
        <v>44</v>
      </c>
      <c r="C40">
        <v>7</v>
      </c>
      <c r="D40" t="s">
        <v>51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2025</v>
      </c>
      <c r="B41" t="s">
        <v>44</v>
      </c>
      <c r="C41">
        <v>8</v>
      </c>
      <c r="D41" t="s">
        <v>52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2025</v>
      </c>
      <c r="B42" t="s">
        <v>44</v>
      </c>
      <c r="C42">
        <v>9</v>
      </c>
      <c r="D42" t="s">
        <v>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2025</v>
      </c>
      <c r="B43" t="s">
        <v>44</v>
      </c>
      <c r="C43">
        <v>10</v>
      </c>
      <c r="D43" t="s">
        <v>54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2025</v>
      </c>
      <c r="B44" t="s">
        <v>44</v>
      </c>
      <c r="C44">
        <v>11</v>
      </c>
      <c r="D44" t="s">
        <v>55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35">
      <c r="A45">
        <v>2025</v>
      </c>
      <c r="B45" t="s">
        <v>44</v>
      </c>
      <c r="C45">
        <v>12</v>
      </c>
      <c r="D45" t="s">
        <v>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2025</v>
      </c>
      <c r="B46" t="s">
        <v>44</v>
      </c>
      <c r="C46">
        <v>13</v>
      </c>
      <c r="D46" t="s">
        <v>57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2025</v>
      </c>
      <c r="B47" t="s">
        <v>44</v>
      </c>
      <c r="C47">
        <v>14</v>
      </c>
      <c r="D47" t="s">
        <v>58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2025</v>
      </c>
      <c r="B48" t="s">
        <v>44</v>
      </c>
      <c r="C48">
        <v>15</v>
      </c>
      <c r="D48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2025</v>
      </c>
      <c r="B49" t="s">
        <v>44</v>
      </c>
      <c r="C49">
        <v>16</v>
      </c>
      <c r="D49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2025</v>
      </c>
      <c r="B50" t="s">
        <v>61</v>
      </c>
      <c r="C50">
        <v>1</v>
      </c>
      <c r="D50" t="s">
        <v>62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</row>
    <row r="51" spans="1:10" x14ac:dyDescent="0.35">
      <c r="A51">
        <v>2025</v>
      </c>
      <c r="B51" t="s">
        <v>61</v>
      </c>
      <c r="C51">
        <v>2</v>
      </c>
      <c r="D51" t="s">
        <v>63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 x14ac:dyDescent="0.35">
      <c r="A52">
        <v>2025</v>
      </c>
      <c r="B52" t="s">
        <v>61</v>
      </c>
      <c r="C52">
        <v>3</v>
      </c>
      <c r="D52" t="s">
        <v>64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35">
      <c r="A53">
        <v>2025</v>
      </c>
      <c r="B53" t="s">
        <v>61</v>
      </c>
      <c r="C53">
        <v>4</v>
      </c>
      <c r="D53" t="s">
        <v>65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>
        <v>2025</v>
      </c>
      <c r="B54" t="s">
        <v>61</v>
      </c>
      <c r="C54">
        <v>5</v>
      </c>
      <c r="D54" t="s">
        <v>66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>
        <v>2025</v>
      </c>
      <c r="B55" t="s">
        <v>61</v>
      </c>
      <c r="C55">
        <v>6</v>
      </c>
      <c r="D55" t="s">
        <v>67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>
        <v>2025</v>
      </c>
      <c r="B56" t="s">
        <v>61</v>
      </c>
      <c r="C56">
        <v>7</v>
      </c>
      <c r="D56" t="s">
        <v>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>
        <v>2025</v>
      </c>
      <c r="B57" t="s">
        <v>61</v>
      </c>
      <c r="C57">
        <v>8</v>
      </c>
      <c r="D57" t="s">
        <v>69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>
        <v>2025</v>
      </c>
      <c r="B58" t="s">
        <v>61</v>
      </c>
      <c r="C58">
        <v>9</v>
      </c>
      <c r="D58" t="s">
        <v>70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>
        <v>2025</v>
      </c>
      <c r="B59" t="s">
        <v>61</v>
      </c>
      <c r="C59">
        <v>10</v>
      </c>
      <c r="D59" t="s">
        <v>71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>
        <v>2025</v>
      </c>
      <c r="B60" t="s">
        <v>61</v>
      </c>
      <c r="C60">
        <v>11</v>
      </c>
      <c r="D60" t="s">
        <v>72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>
        <v>2025</v>
      </c>
      <c r="B61" t="s">
        <v>61</v>
      </c>
      <c r="C61">
        <v>12</v>
      </c>
      <c r="D61" t="s">
        <v>73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>
        <v>2025</v>
      </c>
      <c r="B62" t="s">
        <v>61</v>
      </c>
      <c r="C62">
        <v>13</v>
      </c>
      <c r="D62" t="s">
        <v>74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>
        <v>2025</v>
      </c>
      <c r="B63" t="s">
        <v>61</v>
      </c>
      <c r="C63">
        <v>14</v>
      </c>
      <c r="D63" t="s">
        <v>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>
        <v>2025</v>
      </c>
      <c r="B64" t="s">
        <v>61</v>
      </c>
      <c r="C64">
        <v>15</v>
      </c>
      <c r="D64" t="s">
        <v>76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>
        <v>2025</v>
      </c>
      <c r="B65" t="s">
        <v>61</v>
      </c>
      <c r="C65">
        <v>16</v>
      </c>
      <c r="D65" t="s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78"/>
  <sheetViews>
    <sheetView tabSelected="1" topLeftCell="G57" zoomScale="70" zoomScaleNormal="70" workbookViewId="0">
      <selection activeCell="L86" sqref="L86"/>
    </sheetView>
  </sheetViews>
  <sheetFormatPr defaultRowHeight="14.5" x14ac:dyDescent="0.35"/>
  <cols>
    <col min="3" max="3" width="27.81640625" customWidth="1"/>
    <col min="4" max="4" width="4.453125" customWidth="1"/>
    <col min="5" max="5" width="20.6328125" style="11" customWidth="1"/>
    <col min="6" max="6" width="4.54296875" customWidth="1"/>
    <col min="7" max="7" width="20.6328125" style="11" customWidth="1"/>
    <col min="8" max="8" width="4.54296875" customWidth="1"/>
    <col min="9" max="9" width="20.6328125" style="11" customWidth="1"/>
    <col min="10" max="10" width="4.54296875" customWidth="1"/>
    <col min="11" max="11" width="20.6328125" style="11" customWidth="1"/>
    <col min="13" max="13" width="20.6328125" customWidth="1"/>
    <col min="15" max="15" width="20.6328125" customWidth="1"/>
    <col min="16" max="16" width="4.54296875" customWidth="1"/>
    <col min="17" max="17" width="20.6328125" customWidth="1"/>
    <col min="18" max="18" width="4.54296875" customWidth="1"/>
    <col min="19" max="19" width="20.6328125" customWidth="1"/>
    <col min="20" max="20" width="4.54296875" customWidth="1"/>
    <col min="21" max="21" width="20.6328125" customWidth="1"/>
    <col min="22" max="22" width="4.54296875" customWidth="1"/>
    <col min="23" max="23" width="27.81640625" bestFit="1" customWidth="1"/>
    <col min="24" max="24" width="8.7265625" style="6" customWidth="1"/>
  </cols>
  <sheetData>
    <row r="2" spans="2:24" ht="26" customHeight="1" x14ac:dyDescent="0.35">
      <c r="M2" s="29">
        <f>marchmadness_data!A2</f>
        <v>2025</v>
      </c>
    </row>
    <row r="4" spans="2:24" x14ac:dyDescent="0.35">
      <c r="C4" s="28" t="s">
        <v>78</v>
      </c>
      <c r="D4" s="11"/>
      <c r="E4" s="28" t="s">
        <v>79</v>
      </c>
      <c r="F4" s="11"/>
      <c r="G4" s="28" t="s">
        <v>80</v>
      </c>
      <c r="H4" s="11"/>
      <c r="I4" s="28" t="s">
        <v>81</v>
      </c>
      <c r="J4" s="11"/>
      <c r="K4" s="28" t="s">
        <v>82</v>
      </c>
      <c r="L4" s="11"/>
      <c r="M4" s="28" t="s">
        <v>8</v>
      </c>
      <c r="N4" s="11"/>
      <c r="O4" s="28" t="s">
        <v>82</v>
      </c>
      <c r="P4" s="11"/>
      <c r="Q4" s="28" t="s">
        <v>81</v>
      </c>
      <c r="R4" s="11"/>
      <c r="S4" s="28" t="s">
        <v>80</v>
      </c>
      <c r="T4" s="11"/>
      <c r="U4" s="28" t="s">
        <v>79</v>
      </c>
      <c r="V4" s="11"/>
      <c r="W4" s="28" t="s">
        <v>78</v>
      </c>
    </row>
    <row r="6" spans="2:24" x14ac:dyDescent="0.35">
      <c r="B6">
        <v>1</v>
      </c>
      <c r="C6" s="1" t="str">
        <f>VLOOKUP(B6, marchmadness_data!$C$2:$D$17, 2, FALSE)</f>
        <v>Auburn</v>
      </c>
      <c r="D6" s="15">
        <f>VLOOKUP(C6,marchmadness_data!$D$2:$J$17, 2, FALSE)</f>
        <v>1</v>
      </c>
      <c r="O6" s="19"/>
      <c r="P6" s="19"/>
      <c r="Q6" s="19"/>
      <c r="R6" s="19"/>
      <c r="S6" s="19"/>
      <c r="T6" s="19"/>
      <c r="U6" s="19"/>
      <c r="V6" s="20">
        <f>VLOOKUP(W6,marchmadness_data!$D$34:$J$49, 2, FALSE)</f>
        <v>1</v>
      </c>
      <c r="W6" s="7" t="str">
        <f>VLOOKUP(X6, marchmadness_data!$C$34:$D$49, 2, FALSE)</f>
        <v>Duke</v>
      </c>
      <c r="X6" s="6">
        <v>1</v>
      </c>
    </row>
    <row r="7" spans="2:24" x14ac:dyDescent="0.35">
      <c r="C7" s="3"/>
      <c r="D7" s="16"/>
      <c r="E7" s="13" t="str">
        <f>IF(D6&gt;D8, C6, C8)</f>
        <v>Auburn</v>
      </c>
      <c r="F7" s="15">
        <f>VLOOKUP(E7,marchmadness_data!$D$2:$J$17, 3, FALSE)</f>
        <v>1</v>
      </c>
      <c r="O7" s="19"/>
      <c r="P7" s="19"/>
      <c r="Q7" s="19"/>
      <c r="R7" s="19"/>
      <c r="S7" s="19"/>
      <c r="T7" s="20">
        <f>VLOOKUP(U7,marchmadness_data!$D$34:$J$49, 3, FALSE)</f>
        <v>1</v>
      </c>
      <c r="U7" s="19" t="str">
        <f>IF(V6&gt;V8, W6,W8)</f>
        <v>Duke</v>
      </c>
      <c r="V7" s="19"/>
      <c r="W7" s="8"/>
    </row>
    <row r="8" spans="2:24" x14ac:dyDescent="0.35">
      <c r="B8">
        <v>16</v>
      </c>
      <c r="C8" s="2" t="str">
        <f>VLOOKUP(B8, marchmadness_data!$C$2:$D$17, 2, FALSE)</f>
        <v>Alabama State</v>
      </c>
      <c r="D8" s="15">
        <f>VLOOKUP(C8,marchmadness_data!$D$2:$J$17, 2, FALSE)</f>
        <v>0</v>
      </c>
      <c r="E8" s="32">
        <f>IF(E7=ncaam_bracket2025!E7, 1, 0)</f>
        <v>1</v>
      </c>
      <c r="O8" s="19"/>
      <c r="P8" s="19"/>
      <c r="Q8" s="19"/>
      <c r="R8" s="19"/>
      <c r="S8" s="19"/>
      <c r="T8" s="19"/>
      <c r="U8" s="35">
        <f>IF(U7=ncaam_bracket2025!U7, 1, 0)</f>
        <v>1</v>
      </c>
      <c r="V8" s="22">
        <f>VLOOKUP(W8,marchmadness_data!$D$34:$J$49, 2, FALSE)</f>
        <v>0</v>
      </c>
      <c r="W8" s="9" t="str">
        <f>VLOOKUP(X8, marchmadness_data!$C$34:$D$49, 2, FALSE)</f>
        <v>Mount St. Mary's</v>
      </c>
      <c r="X8" s="6">
        <v>16</v>
      </c>
    </row>
    <row r="9" spans="2:24" x14ac:dyDescent="0.35">
      <c r="D9" s="15"/>
      <c r="E9" s="17"/>
      <c r="F9" s="4"/>
      <c r="G9" s="13" t="str">
        <f>IF(F7&gt;F11, E7,E11)</f>
        <v>Auburn</v>
      </c>
      <c r="H9" s="15">
        <f>VLOOKUP(G9,marchmadness_data!$D$2:$J$17, 4, FALSE)</f>
        <v>1</v>
      </c>
      <c r="O9" s="19"/>
      <c r="P9" s="19"/>
      <c r="Q9" s="19"/>
      <c r="R9" s="20">
        <f>VLOOKUP(S9,marchmadness_data!$D$34:$J$49, 4, FALSE)</f>
        <v>1</v>
      </c>
      <c r="S9" s="19" t="str">
        <f>IF(T7&gt;T11,U7,U11)</f>
        <v>Duke</v>
      </c>
      <c r="T9" s="19"/>
      <c r="U9" s="23"/>
      <c r="V9" s="19"/>
      <c r="W9" s="10"/>
    </row>
    <row r="10" spans="2:24" ht="23.5" customHeight="1" x14ac:dyDescent="0.35">
      <c r="B10">
        <v>8</v>
      </c>
      <c r="C10" s="1" t="str">
        <f>VLOOKUP(B10, marchmadness_data!$C$2:$D$17, 2, FALSE)</f>
        <v>Louisville</v>
      </c>
      <c r="D10" s="15">
        <f>VLOOKUP(C10,marchmadness_data!$D$2:$J$17, 2, FALSE)</f>
        <v>1</v>
      </c>
      <c r="E10" s="17"/>
      <c r="G10" s="32">
        <f>IF(G9=ncaam_bracket2025!G9, 1, 0)</f>
        <v>1</v>
      </c>
      <c r="L10" s="37" t="s">
        <v>9</v>
      </c>
      <c r="M10" s="38"/>
      <c r="N10" s="38"/>
      <c r="O10" s="19"/>
      <c r="P10" s="19"/>
      <c r="Q10" s="19"/>
      <c r="R10" s="19"/>
      <c r="S10" s="35">
        <f>IF(S9=ncaam_bracket2025!S9, 1, 0)</f>
        <v>1</v>
      </c>
      <c r="T10" s="24"/>
      <c r="U10" s="23"/>
      <c r="V10" s="20">
        <f>VLOOKUP(W10,marchmadness_data!$D$34:$J$49, 2, FALSE)</f>
        <v>1</v>
      </c>
      <c r="W10" s="7" t="str">
        <f>VLOOKUP(X10, marchmadness_data!$C$34:$D$49, 2, FALSE)</f>
        <v>Mississippi State</v>
      </c>
      <c r="X10" s="6">
        <v>8</v>
      </c>
    </row>
    <row r="11" spans="2:24" x14ac:dyDescent="0.35">
      <c r="C11" s="3"/>
      <c r="D11" s="16"/>
      <c r="E11" s="14" t="str">
        <f>IF(D10&gt;D12, C10, C12)</f>
        <v>Louisville</v>
      </c>
      <c r="F11" s="15">
        <f>VLOOKUP(E11,marchmadness_data!$D$2:$J$17, 3, FALSE)</f>
        <v>0</v>
      </c>
      <c r="G11" s="17"/>
      <c r="L11" s="39" t="str">
        <f>IF(M36&gt;M47,M35,M46)</f>
        <v>Duke</v>
      </c>
      <c r="M11" s="40"/>
      <c r="N11" s="41"/>
      <c r="O11" s="19"/>
      <c r="P11" s="19"/>
      <c r="Q11" s="19"/>
      <c r="R11" s="19"/>
      <c r="S11" s="23"/>
      <c r="T11" s="20">
        <f>VLOOKUP(U11,marchmadness_data!$D$34:$J$49, 3, FALSE)</f>
        <v>0</v>
      </c>
      <c r="U11" s="25" t="str">
        <f>IF(V10&gt;V12, W10,W12)</f>
        <v>Mississippi State</v>
      </c>
      <c r="V11" s="19"/>
      <c r="W11" s="8"/>
    </row>
    <row r="12" spans="2:24" x14ac:dyDescent="0.35">
      <c r="B12">
        <v>9</v>
      </c>
      <c r="C12" s="2" t="str">
        <f>VLOOKUP(B12, marchmadness_data!$C$2:$D$17, 2, FALSE)</f>
        <v>Creighton</v>
      </c>
      <c r="D12" s="15">
        <f>VLOOKUP(C12,marchmadness_data!$D$2:$J$17, 2, FALSE)</f>
        <v>0</v>
      </c>
      <c r="E12" s="33">
        <f>IF(E11=ncaam_bracket2025!E11, 1, 0)</f>
        <v>0</v>
      </c>
      <c r="G12" s="17"/>
      <c r="L12" s="42"/>
      <c r="M12" s="38"/>
      <c r="N12" s="43"/>
      <c r="O12" s="19"/>
      <c r="P12" s="19"/>
      <c r="Q12" s="19"/>
      <c r="R12" s="19"/>
      <c r="S12" s="23"/>
      <c r="T12" s="19"/>
      <c r="U12" s="34">
        <f>IF(U11=ncaam_bracket2025!U11, 1, 0)</f>
        <v>0</v>
      </c>
      <c r="V12" s="22">
        <f>VLOOKUP(W12,marchmadness_data!$D$34:$J$49, 2, FALSE)</f>
        <v>0</v>
      </c>
      <c r="W12" s="9" t="str">
        <f>VLOOKUP(X12, marchmadness_data!$C$34:$D$49, 2, FALSE)</f>
        <v>Baylor</v>
      </c>
      <c r="X12" s="6">
        <v>9</v>
      </c>
    </row>
    <row r="13" spans="2:24" x14ac:dyDescent="0.35">
      <c r="D13" s="15"/>
      <c r="G13" s="17"/>
      <c r="M13" s="20">
        <f>IF(L11=ncaam_bracket2025!L11, 1, 0)</f>
        <v>0</v>
      </c>
      <c r="O13" s="19"/>
      <c r="P13" s="19"/>
      <c r="Q13" s="19"/>
      <c r="R13" s="19"/>
      <c r="S13" s="23"/>
      <c r="T13" s="19"/>
      <c r="U13" s="19"/>
      <c r="V13" s="19"/>
      <c r="W13" s="10"/>
    </row>
    <row r="14" spans="2:24" x14ac:dyDescent="0.35">
      <c r="B14">
        <v>5</v>
      </c>
      <c r="C14" s="1" t="str">
        <f>VLOOKUP(B14, marchmadness_data!$C$2:$D$17, 2, FALSE)</f>
        <v>Michigan</v>
      </c>
      <c r="D14" s="15">
        <f>VLOOKUP(C14,marchmadness_data!$D$2:$J$17, 2, FALSE)</f>
        <v>1</v>
      </c>
      <c r="G14" s="17"/>
      <c r="H14" s="4"/>
      <c r="I14" s="13" t="str">
        <f>IF(H9&gt;H17, G9, G17)</f>
        <v>Auburn</v>
      </c>
      <c r="J14" s="15">
        <f>VLOOKUP(I14,marchmadness_data!$D$2:$J$17, 5, FALSE)</f>
        <v>1</v>
      </c>
      <c r="O14" s="19"/>
      <c r="P14" s="20">
        <f>VLOOKUP(Q14,marchmadness_data!$D$34:$J$49, 5, FALSE)</f>
        <v>1</v>
      </c>
      <c r="Q14" s="19" t="str">
        <f>IF(R9&gt;R17,S9,S17)</f>
        <v>Duke</v>
      </c>
      <c r="R14" s="19"/>
      <c r="S14" s="23"/>
      <c r="T14" s="19"/>
      <c r="U14" s="19"/>
      <c r="V14" s="20">
        <f>VLOOKUP(W14,marchmadness_data!$D$34:$J$49, 2, FALSE)</f>
        <v>1</v>
      </c>
      <c r="W14" s="7" t="str">
        <f>VLOOKUP(X14, marchmadness_data!$C$34:$D$49, 2, FALSE)</f>
        <v>Oregon</v>
      </c>
      <c r="X14" s="6">
        <v>5</v>
      </c>
    </row>
    <row r="15" spans="2:24" x14ac:dyDescent="0.35">
      <c r="C15" s="3"/>
      <c r="D15" s="16"/>
      <c r="E15" s="13" t="str">
        <f>IF(D14&gt;D16, C14, C16)</f>
        <v>Michigan</v>
      </c>
      <c r="F15" s="15">
        <f>VLOOKUP(E15,marchmadness_data!$D$2:$J$17, 3, FALSE)</f>
        <v>1</v>
      </c>
      <c r="G15" s="17"/>
      <c r="I15" s="32">
        <f>IF(I14=ncaam_bracket2025!I14, 1, 0)</f>
        <v>1</v>
      </c>
      <c r="O15" s="19"/>
      <c r="P15" s="19"/>
      <c r="Q15" s="35">
        <f>IF(Q14=ncaam_bracket2025!Q14, 1, 0)</f>
        <v>1</v>
      </c>
      <c r="R15" s="24"/>
      <c r="S15" s="23"/>
      <c r="T15" s="20">
        <f>VLOOKUP(U15,marchmadness_data!$D$34:$J$49, 3, FALSE)</f>
        <v>0</v>
      </c>
      <c r="U15" s="19" t="str">
        <f>IF(V14&gt;V16, W14,W16)</f>
        <v>Oregon</v>
      </c>
      <c r="V15" s="19"/>
      <c r="W15" s="8"/>
    </row>
    <row r="16" spans="2:24" ht="15.5" customHeight="1" x14ac:dyDescent="0.35">
      <c r="B16">
        <v>12</v>
      </c>
      <c r="C16" s="2" t="str">
        <f>VLOOKUP(B16, marchmadness_data!$C$2:$D$17, 2, FALSE)</f>
        <v>UC San Diego</v>
      </c>
      <c r="D16" s="15">
        <f>VLOOKUP(C16,marchmadness_data!$D$2:$J$17, 2, FALSE)</f>
        <v>0</v>
      </c>
      <c r="E16" s="32">
        <f>IF(E15=ncaam_bracket2025!E15, 1, 0)</f>
        <v>1</v>
      </c>
      <c r="G16" s="17"/>
      <c r="I16" s="17"/>
      <c r="M16" s="30" t="s">
        <v>83</v>
      </c>
      <c r="O16" s="19"/>
      <c r="P16" s="19"/>
      <c r="Q16" s="23"/>
      <c r="R16" s="19"/>
      <c r="S16" s="23"/>
      <c r="T16" s="19"/>
      <c r="U16" s="35">
        <f>IF(U15=ncaam_bracket2025!U15, 1, 0)</f>
        <v>1</v>
      </c>
      <c r="V16" s="22">
        <f>VLOOKUP(W16,marchmadness_data!$D$34:$J$49, 2, FALSE)</f>
        <v>0</v>
      </c>
      <c r="W16" s="9" t="str">
        <f>VLOOKUP(X16, marchmadness_data!$C$34:$D$49, 2, FALSE)</f>
        <v>Liberty</v>
      </c>
      <c r="X16" s="6">
        <v>12</v>
      </c>
    </row>
    <row r="17" spans="2:24" ht="15.5" customHeight="1" x14ac:dyDescent="0.35">
      <c r="D17" s="15"/>
      <c r="E17" s="17"/>
      <c r="F17" s="4"/>
      <c r="G17" s="14" t="str">
        <f>IF(F15&gt;F19, E15,E19)</f>
        <v>Michigan</v>
      </c>
      <c r="H17" s="15">
        <f>VLOOKUP(G17,marchmadness_data!$D$2:$J$17, 4, FALSE)</f>
        <v>0</v>
      </c>
      <c r="I17" s="17"/>
      <c r="M17" s="31">
        <f>SUM(E74:U74)/SUM(E75:U75)</f>
        <v>0.63492063492063489</v>
      </c>
      <c r="O17" s="19"/>
      <c r="P17" s="19"/>
      <c r="Q17" s="23"/>
      <c r="R17" s="20">
        <f>VLOOKUP(S17,marchmadness_data!$D$34:$J$49, 4, FALSE)</f>
        <v>0</v>
      </c>
      <c r="S17" s="25" t="str">
        <f>IF(T15&gt;T19,U15,U19)</f>
        <v>Arizona</v>
      </c>
      <c r="T17" s="19"/>
      <c r="U17" s="23"/>
      <c r="V17" s="19"/>
      <c r="W17" s="10"/>
    </row>
    <row r="18" spans="2:24" x14ac:dyDescent="0.35">
      <c r="B18">
        <v>4</v>
      </c>
      <c r="C18" s="1" t="str">
        <f>VLOOKUP(B18, marchmadness_data!$C$2:$D$17, 2, FALSE)</f>
        <v>Texas A&amp;M</v>
      </c>
      <c r="D18" s="15">
        <f>VLOOKUP(C18,marchmadness_data!$D$2:$J$17, 2, FALSE)</f>
        <v>0</v>
      </c>
      <c r="E18" s="17"/>
      <c r="G18" s="33">
        <f>IF(G17=ncaam_bracket2025!G17, 1, 0)</f>
        <v>1</v>
      </c>
      <c r="I18" s="17"/>
      <c r="O18" s="19"/>
      <c r="P18" s="19"/>
      <c r="Q18" s="23"/>
      <c r="R18" s="19"/>
      <c r="S18" s="34">
        <f>IF(S17=ncaam_bracket2025!S17, 1, 0)</f>
        <v>1</v>
      </c>
      <c r="T18" s="24"/>
      <c r="U18" s="23"/>
      <c r="V18" s="20">
        <f>VLOOKUP(W18,marchmadness_data!$D$34:$J$49, 2, FALSE)</f>
        <v>1</v>
      </c>
      <c r="W18" s="7" t="str">
        <f>VLOOKUP(X18, marchmadness_data!$C$34:$D$49, 2, FALSE)</f>
        <v>Arizona</v>
      </c>
      <c r="X18" s="6">
        <v>4</v>
      </c>
    </row>
    <row r="19" spans="2:24" x14ac:dyDescent="0.35">
      <c r="C19" s="3"/>
      <c r="D19" s="16"/>
      <c r="E19" s="14" t="str">
        <f>IF(D18&gt;D20, C18, C20)</f>
        <v>Yale</v>
      </c>
      <c r="F19" s="15">
        <f>VLOOKUP(E19,marchmadness_data!$D$2:$J$17, 3, FALSE)</f>
        <v>0</v>
      </c>
      <c r="I19" s="17"/>
      <c r="O19" s="19"/>
      <c r="P19" s="19"/>
      <c r="Q19" s="23"/>
      <c r="R19" s="19"/>
      <c r="S19" s="19"/>
      <c r="T19" s="20">
        <f>VLOOKUP(U19,marchmadness_data!$D$34:$J$49, 3, FALSE)</f>
        <v>1</v>
      </c>
      <c r="U19" s="25" t="str">
        <f>IF(V18&gt;V20, W18,W20)</f>
        <v>Arizona</v>
      </c>
      <c r="V19" s="19"/>
      <c r="W19" s="8"/>
    </row>
    <row r="20" spans="2:24" x14ac:dyDescent="0.35">
      <c r="B20">
        <v>13</v>
      </c>
      <c r="C20" s="2" t="str">
        <f>VLOOKUP(B20, marchmadness_data!$C$2:$D$17, 2, FALSE)</f>
        <v>Yale</v>
      </c>
      <c r="D20" s="15">
        <f>VLOOKUP(C20,marchmadness_data!$D$2:$J$17, 2, FALSE)</f>
        <v>1</v>
      </c>
      <c r="E20" s="33">
        <f>IF(E19=ncaam_bracket2025!E19, 1, 0)</f>
        <v>0</v>
      </c>
      <c r="I20" s="17"/>
      <c r="O20" s="19"/>
      <c r="P20" s="19"/>
      <c r="Q20" s="23"/>
      <c r="R20" s="19"/>
      <c r="S20" s="19"/>
      <c r="T20" s="19"/>
      <c r="U20" s="34">
        <f>IF(U19=ncaam_bracket2025!U19, 1, 0)</f>
        <v>1</v>
      </c>
      <c r="V20" s="22">
        <f>VLOOKUP(W20,marchmadness_data!$D$34:$J$49, 2, FALSE)</f>
        <v>0</v>
      </c>
      <c r="W20" s="9" t="str">
        <f>VLOOKUP(X20, marchmadness_data!$C$34:$D$49, 2, FALSE)</f>
        <v>Akron</v>
      </c>
      <c r="X20" s="6">
        <v>13</v>
      </c>
    </row>
    <row r="21" spans="2:24" x14ac:dyDescent="0.35">
      <c r="D21" s="15"/>
      <c r="F21" s="44" t="str">
        <f>marchmadness_data!B2</f>
        <v>South</v>
      </c>
      <c r="G21" s="46"/>
      <c r="I21" s="17"/>
      <c r="O21" s="19"/>
      <c r="P21" s="19"/>
      <c r="Q21" s="23"/>
      <c r="R21" s="19"/>
      <c r="S21" s="44" t="str">
        <f>marchmadness_data!B34</f>
        <v>East</v>
      </c>
      <c r="T21" s="45"/>
      <c r="U21" s="19"/>
      <c r="V21" s="19"/>
      <c r="W21" s="10"/>
    </row>
    <row r="22" spans="2:24" x14ac:dyDescent="0.35">
      <c r="B22">
        <v>6</v>
      </c>
      <c r="C22" s="1" t="str">
        <f>VLOOKUP(B22, marchmadness_data!$C$2:$D$17, 2, FALSE)</f>
        <v>Ole Miss</v>
      </c>
      <c r="D22" s="15">
        <f>VLOOKUP(C22,marchmadness_data!$D$2:$J$17, 2, FALSE)</f>
        <v>0</v>
      </c>
      <c r="F22" s="45"/>
      <c r="G22" s="46"/>
      <c r="I22" s="17"/>
      <c r="O22" s="19"/>
      <c r="P22" s="19"/>
      <c r="Q22" s="23"/>
      <c r="R22" s="19"/>
      <c r="S22" s="45"/>
      <c r="T22" s="45"/>
      <c r="U22" s="19"/>
      <c r="V22" s="20">
        <f>VLOOKUP(W22,marchmadness_data!$D$34:$J$49, 2, FALSE)</f>
        <v>0</v>
      </c>
      <c r="W22" s="7" t="str">
        <f>VLOOKUP(X22, marchmadness_data!$C$34:$D$49, 2, FALSE)</f>
        <v>Brigham Young</v>
      </c>
      <c r="X22" s="6">
        <v>6</v>
      </c>
    </row>
    <row r="23" spans="2:24" x14ac:dyDescent="0.35">
      <c r="C23" s="3"/>
      <c r="D23" s="16"/>
      <c r="E23" s="13" t="str">
        <f>IF(D22&gt;D24, C22, C24)</f>
        <v>North Carolina</v>
      </c>
      <c r="F23" s="15">
        <f>VLOOKUP(E23,marchmadness_data!$D$2:$J$17, 3, FALSE)</f>
        <v>0</v>
      </c>
      <c r="I23" s="17"/>
      <c r="J23" s="4"/>
      <c r="K23" s="13" t="str">
        <f>IF(J14&gt;J30,I14,I30)</f>
        <v>Auburn</v>
      </c>
      <c r="L23" s="15">
        <f>VLOOKUP(K23,marchmadness_data!$D$2:$J$17, 6, FALSE)</f>
        <v>1</v>
      </c>
      <c r="N23" s="15">
        <f>VLOOKUP(O23,marchmadness_data!$D$34:$J$49, 6, FALSE)</f>
        <v>1</v>
      </c>
      <c r="O23" s="19" t="str">
        <f>IF(P14&gt;P30,Q14,Q30)</f>
        <v>Duke</v>
      </c>
      <c r="P23" s="19"/>
      <c r="Q23" s="23"/>
      <c r="R23" s="19"/>
      <c r="S23" s="19"/>
      <c r="T23" s="20">
        <f>VLOOKUP(U23,marchmadness_data!$D$34:$J$49, 3, FALSE)</f>
        <v>1</v>
      </c>
      <c r="U23" s="19" t="str">
        <f>IF(V22&gt;V24, W22,W24)</f>
        <v>VCU</v>
      </c>
      <c r="V23" s="19"/>
      <c r="W23" s="8"/>
    </row>
    <row r="24" spans="2:24" x14ac:dyDescent="0.35">
      <c r="B24">
        <v>11</v>
      </c>
      <c r="C24" s="2" t="str">
        <f>VLOOKUP(B24, marchmadness_data!$C$2:$D$17, 2, FALSE)</f>
        <v>North Carolina</v>
      </c>
      <c r="D24" s="15">
        <f>VLOOKUP(C24,marchmadness_data!$D$2:$J$17, 2, FALSE)</f>
        <v>1</v>
      </c>
      <c r="E24" s="32">
        <f>IF(E23=ncaam_bracket2025!E23, 1, 0)</f>
        <v>0</v>
      </c>
      <c r="I24" s="17"/>
      <c r="K24" s="32">
        <f>IF(K23=ncaam_bracket2025!K23, 1, 0)</f>
        <v>1</v>
      </c>
      <c r="O24" s="35">
        <f>IF(O23=ncaam_bracket2025!O23, 1, 0)</f>
        <v>1</v>
      </c>
      <c r="P24" s="24"/>
      <c r="Q24" s="23"/>
      <c r="R24" s="19"/>
      <c r="S24" s="19"/>
      <c r="T24" s="19"/>
      <c r="U24" s="35">
        <f>IF(U23=ncaam_bracket2025!U23, 1, 0)</f>
        <v>0</v>
      </c>
      <c r="V24" s="22">
        <f>VLOOKUP(W24,marchmadness_data!$D$34:$J$49, 2, FALSE)</f>
        <v>1</v>
      </c>
      <c r="W24" s="9" t="str">
        <f>VLOOKUP(X24, marchmadness_data!$C$34:$D$49, 2, FALSE)</f>
        <v>VCU</v>
      </c>
      <c r="X24" s="6">
        <v>11</v>
      </c>
    </row>
    <row r="25" spans="2:24" x14ac:dyDescent="0.35">
      <c r="D25" s="15"/>
      <c r="E25" s="17"/>
      <c r="F25" s="4"/>
      <c r="G25" s="13" t="str">
        <f>IF(F23&gt;F27, E23,E27)</f>
        <v>Iowa State</v>
      </c>
      <c r="H25" s="15">
        <f>VLOOKUP(G25,marchmadness_data!$D$2:$J$17, 4, FALSE)</f>
        <v>0</v>
      </c>
      <c r="I25" s="17"/>
      <c r="K25" s="17"/>
      <c r="O25" s="23"/>
      <c r="P25" s="19"/>
      <c r="Q25" s="23"/>
      <c r="R25" s="20">
        <f>VLOOKUP(S25,marchmadness_data!$D$34:$J$49, 4, FALSE)</f>
        <v>1</v>
      </c>
      <c r="S25" s="19" t="str">
        <f>IF(T23&gt;T27,U23,U27)</f>
        <v>VCU</v>
      </c>
      <c r="T25" s="19"/>
      <c r="U25" s="23"/>
      <c r="V25" s="19"/>
      <c r="W25" s="10"/>
    </row>
    <row r="26" spans="2:24" x14ac:dyDescent="0.35">
      <c r="B26">
        <v>3</v>
      </c>
      <c r="C26" s="1" t="str">
        <f>VLOOKUP(B26, marchmadness_data!$C$2:$D$17, 2, FALSE)</f>
        <v>Iowa State</v>
      </c>
      <c r="D26" s="15">
        <f>VLOOKUP(C26,marchmadness_data!$D$2:$J$17, 2, FALSE)</f>
        <v>1</v>
      </c>
      <c r="E26" s="17"/>
      <c r="G26" s="32">
        <f>IF(G25=ncaam_bracket2025!G25, 1, 0)</f>
        <v>0</v>
      </c>
      <c r="I26" s="17"/>
      <c r="K26" s="17"/>
      <c r="O26" s="23"/>
      <c r="P26" s="19"/>
      <c r="Q26" s="23"/>
      <c r="R26" s="19"/>
      <c r="S26" s="35">
        <f>IF(S25=ncaam_bracket2025!S25, 1, 0)</f>
        <v>0</v>
      </c>
      <c r="T26" s="24"/>
      <c r="U26" s="23"/>
      <c r="V26" s="20">
        <f>VLOOKUP(W26,marchmadness_data!$D$34:$J$49, 2, FALSE)</f>
        <v>1</v>
      </c>
      <c r="W26" s="7" t="str">
        <f>VLOOKUP(X26, marchmadness_data!$C$34:$D$49, 2, FALSE)</f>
        <v>Wisconsin</v>
      </c>
      <c r="X26" s="6">
        <v>3</v>
      </c>
    </row>
    <row r="27" spans="2:24" x14ac:dyDescent="0.35">
      <c r="C27" s="3"/>
      <c r="D27" s="16"/>
      <c r="E27" s="14" t="str">
        <f>IF(D26&gt;D28, C26, C28)</f>
        <v>Iowa State</v>
      </c>
      <c r="F27" s="15">
        <f>VLOOKUP(E27,marchmadness_data!$D$2:$J$17, 3, FALSE)</f>
        <v>1</v>
      </c>
      <c r="G27" s="17"/>
      <c r="I27" s="17"/>
      <c r="K27" s="17"/>
      <c r="O27" s="23"/>
      <c r="P27" s="19"/>
      <c r="Q27" s="23"/>
      <c r="R27" s="19"/>
      <c r="S27" s="23"/>
      <c r="T27" s="20">
        <f>VLOOKUP(U27,marchmadness_data!$D$34:$J$49, 3, FALSE)</f>
        <v>0</v>
      </c>
      <c r="U27" s="25" t="str">
        <f>IF(V26&gt;V28, W26,W28)</f>
        <v>Wisconsin</v>
      </c>
      <c r="V27" s="19"/>
      <c r="W27" s="8"/>
    </row>
    <row r="28" spans="2:24" x14ac:dyDescent="0.35">
      <c r="B28">
        <v>14</v>
      </c>
      <c r="C28" s="2" t="str">
        <f>VLOOKUP(B28, marchmadness_data!$C$2:$D$17, 2, FALSE)</f>
        <v>Lipscomb</v>
      </c>
      <c r="D28" s="15">
        <f>VLOOKUP(C28,marchmadness_data!$D$2:$J$17, 2, FALSE)</f>
        <v>0</v>
      </c>
      <c r="E28" s="33">
        <f>IF(E27=ncaam_bracket2025!E27, 1, 0)</f>
        <v>1</v>
      </c>
      <c r="G28" s="17"/>
      <c r="I28" s="17"/>
      <c r="K28" s="17"/>
      <c r="O28" s="23"/>
      <c r="P28" s="19"/>
      <c r="Q28" s="23"/>
      <c r="R28" s="19"/>
      <c r="S28" s="23"/>
      <c r="T28" s="19"/>
      <c r="U28" s="34">
        <f>IF(U27=ncaam_bracket2025!U27, 1, 0)</f>
        <v>1</v>
      </c>
      <c r="V28" s="22">
        <f>VLOOKUP(W28,marchmadness_data!$D$34:$J$49, 2, FALSE)</f>
        <v>0</v>
      </c>
      <c r="W28" s="9" t="str">
        <f>VLOOKUP(X28, marchmadness_data!$C$34:$D$49, 2, FALSE)</f>
        <v>Montana</v>
      </c>
      <c r="X28" s="6">
        <v>14</v>
      </c>
    </row>
    <row r="29" spans="2:24" x14ac:dyDescent="0.35">
      <c r="D29" s="15"/>
      <c r="G29" s="17"/>
      <c r="I29" s="17"/>
      <c r="K29" s="17"/>
      <c r="O29" s="23"/>
      <c r="P29" s="19"/>
      <c r="Q29" s="23"/>
      <c r="R29" s="19"/>
      <c r="S29" s="23"/>
      <c r="T29" s="19"/>
      <c r="U29" s="19"/>
      <c r="V29" s="19"/>
      <c r="W29" s="10"/>
    </row>
    <row r="30" spans="2:24" x14ac:dyDescent="0.35">
      <c r="B30">
        <v>7</v>
      </c>
      <c r="C30" s="1" t="str">
        <f>VLOOKUP(B30, marchmadness_data!$C$2:$D$17, 2, FALSE)</f>
        <v>Marquette</v>
      </c>
      <c r="D30" s="15">
        <f>VLOOKUP(C30,marchmadness_data!$D$2:$J$17, 2, FALSE)</f>
        <v>1</v>
      </c>
      <c r="G30" s="17"/>
      <c r="H30" s="4"/>
      <c r="I30" s="14" t="str">
        <f>IF(H25&gt;H33, G25, G33)</f>
        <v>Michigan State</v>
      </c>
      <c r="J30" s="15">
        <f>VLOOKUP(I30,marchmadness_data!$D$2:$J$17, 5, FALSE)</f>
        <v>0</v>
      </c>
      <c r="K30" s="17"/>
      <c r="O30" s="23"/>
      <c r="P30" s="20">
        <f>VLOOKUP(Q30,marchmadness_data!$D$34:$J$49, 5, FALSE)</f>
        <v>0</v>
      </c>
      <c r="Q30" s="25" t="str">
        <f>IF(R25&gt;R33,S25,S33)</f>
        <v>VCU</v>
      </c>
      <c r="R30" s="19"/>
      <c r="S30" s="23"/>
      <c r="T30" s="19"/>
      <c r="U30" s="19"/>
      <c r="V30" s="20">
        <f>VLOOKUP(W30,marchmadness_data!$D$34:$J$49, 2, FALSE)</f>
        <v>1</v>
      </c>
      <c r="W30" s="7" t="str">
        <f>VLOOKUP(X30, marchmadness_data!$C$34:$D$49, 2, FALSE)</f>
        <v>St. Mary's (CA)</v>
      </c>
      <c r="X30" s="6">
        <v>7</v>
      </c>
    </row>
    <row r="31" spans="2:24" x14ac:dyDescent="0.35">
      <c r="C31" s="3"/>
      <c r="D31" s="16"/>
      <c r="E31" s="13" t="str">
        <f>IF(D30&gt;D32, C30, C32)</f>
        <v>Marquette</v>
      </c>
      <c r="F31" s="15">
        <f>VLOOKUP(E31,marchmadness_data!$D$2:$J$17, 3, FALSE)</f>
        <v>0</v>
      </c>
      <c r="G31" s="17"/>
      <c r="I31" s="33">
        <f>IF(I30=ncaam_bracket2025!I30, 1, 0)</f>
        <v>1</v>
      </c>
      <c r="K31" s="17"/>
      <c r="O31" s="23"/>
      <c r="P31" s="19"/>
      <c r="Q31" s="34">
        <f>IF(Q30=ncaam_bracket2025!Q30, 1, 0)</f>
        <v>0</v>
      </c>
      <c r="R31" s="24"/>
      <c r="S31" s="23"/>
      <c r="T31" s="20">
        <f>VLOOKUP(U31,marchmadness_data!$D$34:$J$49, 3, FALSE)</f>
        <v>0</v>
      </c>
      <c r="U31" s="19" t="str">
        <f>IF(V30&gt;V32, W30,W32)</f>
        <v>St. Mary's (CA)</v>
      </c>
      <c r="V31" s="19"/>
      <c r="W31" s="8"/>
    </row>
    <row r="32" spans="2:24" x14ac:dyDescent="0.35">
      <c r="B32">
        <v>10</v>
      </c>
      <c r="C32" s="2" t="str">
        <f>VLOOKUP(B32, marchmadness_data!$C$2:$D$17, 2, FALSE)</f>
        <v>New Mexico</v>
      </c>
      <c r="D32" s="15">
        <f>VLOOKUP(C32,marchmadness_data!$D$2:$J$17, 2, FALSE)</f>
        <v>0</v>
      </c>
      <c r="E32" s="32">
        <f>IF(E31=ncaam_bracket2025!E31, 1, 0)</f>
        <v>0</v>
      </c>
      <c r="G32" s="17"/>
      <c r="K32" s="17"/>
      <c r="O32" s="23"/>
      <c r="P32" s="19"/>
      <c r="Q32" s="19"/>
      <c r="R32" s="19"/>
      <c r="S32" s="23"/>
      <c r="T32" s="19"/>
      <c r="U32" s="35">
        <f>IF(U31=ncaam_bracket2025!U31, 1, 0)</f>
        <v>0</v>
      </c>
      <c r="V32" s="22">
        <f>VLOOKUP(W32,marchmadness_data!$D$34:$J$49, 2, FALSE)</f>
        <v>0</v>
      </c>
      <c r="W32" s="9" t="str">
        <f>VLOOKUP(X32, marchmadness_data!$C$34:$D$49, 2, FALSE)</f>
        <v>Vanderbilt</v>
      </c>
      <c r="X32" s="6">
        <v>10</v>
      </c>
    </row>
    <row r="33" spans="2:24" x14ac:dyDescent="0.35">
      <c r="D33" s="15"/>
      <c r="E33" s="17"/>
      <c r="F33" s="4"/>
      <c r="G33" s="14" t="str">
        <f>IF(F31&gt;F35, E31,E35)</f>
        <v>Michigan State</v>
      </c>
      <c r="H33" s="15">
        <f>VLOOKUP(G33,marchmadness_data!$D$2:$J$17, 4, FALSE)</f>
        <v>1</v>
      </c>
      <c r="K33" s="17"/>
      <c r="O33" s="23"/>
      <c r="P33" s="19"/>
      <c r="Q33" s="19"/>
      <c r="R33" s="20">
        <f>VLOOKUP(S33,marchmadness_data!$D$34:$J$49, 4, FALSE)</f>
        <v>0</v>
      </c>
      <c r="S33" s="25" t="str">
        <f>IF(T31&gt;T35,U31,U35)</f>
        <v>Alabama</v>
      </c>
      <c r="T33" s="19"/>
      <c r="U33" s="23"/>
      <c r="V33" s="19"/>
      <c r="W33" s="10"/>
    </row>
    <row r="34" spans="2:24" x14ac:dyDescent="0.35">
      <c r="B34">
        <v>2</v>
      </c>
      <c r="C34" s="1" t="str">
        <f>VLOOKUP(B34, marchmadness_data!$C$2:$D$17, 2, FALSE)</f>
        <v>Michigan State</v>
      </c>
      <c r="D34" s="15">
        <f>VLOOKUP(C34,marchmadness_data!$D$2:$J$17, 2, FALSE)</f>
        <v>1</v>
      </c>
      <c r="E34" s="17"/>
      <c r="G34" s="33">
        <f>IF(G33=ncaam_bracket2025!G33, 1, 0)</f>
        <v>1</v>
      </c>
      <c r="K34" s="17"/>
      <c r="O34" s="23"/>
      <c r="P34" s="19"/>
      <c r="Q34" s="19"/>
      <c r="R34" s="19"/>
      <c r="S34" s="34">
        <f>IF(S33=ncaam_bracket2025!S33, 1, 0)</f>
        <v>1</v>
      </c>
      <c r="T34" s="24"/>
      <c r="U34" s="23"/>
      <c r="V34" s="20">
        <f>VLOOKUP(W34,marchmadness_data!$D$34:$J$49, 2, FALSE)</f>
        <v>1</v>
      </c>
      <c r="W34" s="7" t="str">
        <f>VLOOKUP(X34, marchmadness_data!$C$34:$D$49, 2, FALSE)</f>
        <v>Alabama</v>
      </c>
      <c r="X34" s="6">
        <v>2</v>
      </c>
    </row>
    <row r="35" spans="2:24" x14ac:dyDescent="0.35">
      <c r="C35" s="3"/>
      <c r="D35" s="16"/>
      <c r="E35" s="14" t="str">
        <f>IF(D34&gt;D36, C34, C36)</f>
        <v>Michigan State</v>
      </c>
      <c r="F35" s="15">
        <f>VLOOKUP(E35,marchmadness_data!$D$2:$J$17, 3, FALSE)</f>
        <v>1</v>
      </c>
      <c r="K35" s="17"/>
      <c r="L35" s="4"/>
      <c r="M35" s="18" t="str">
        <f>IF(L23&gt;L58, K23,K58)</f>
        <v>Auburn</v>
      </c>
      <c r="O35" s="23"/>
      <c r="P35" s="19"/>
      <c r="Q35" s="19"/>
      <c r="R35" s="19"/>
      <c r="S35" s="19"/>
      <c r="T35" s="20">
        <f>VLOOKUP(U35,marchmadness_data!$D$34:$J$49, 3, FALSE)</f>
        <v>1</v>
      </c>
      <c r="U35" s="25" t="str">
        <f>IF(V34&gt;V36, W34,W36)</f>
        <v>Alabama</v>
      </c>
      <c r="V35" s="19"/>
      <c r="W35" s="8"/>
    </row>
    <row r="36" spans="2:24" x14ac:dyDescent="0.35">
      <c r="B36">
        <v>15</v>
      </c>
      <c r="C36" s="2" t="str">
        <f>VLOOKUP(B36, marchmadness_data!$C$2:$D$17, 2, FALSE)</f>
        <v>Bryant</v>
      </c>
      <c r="D36" s="15">
        <f>VLOOKUP(C36,marchmadness_data!$D$2:$J$17, 2, FALSE)</f>
        <v>0</v>
      </c>
      <c r="E36" s="33">
        <f>IF(E35=ncaam_bracket2025!E35, 1, 0)</f>
        <v>1</v>
      </c>
      <c r="K36" s="17"/>
      <c r="M36" s="15">
        <f>IF(M35=ncaam_bracket2025!M35, 1, 0)</f>
        <v>0</v>
      </c>
      <c r="O36" s="23"/>
      <c r="P36" s="19"/>
      <c r="Q36" s="19"/>
      <c r="R36" s="19"/>
      <c r="S36" s="19"/>
      <c r="T36" s="19"/>
      <c r="U36" s="34">
        <f>IF(U35=ncaam_bracket2025!U35, 1, 0)</f>
        <v>1</v>
      </c>
      <c r="V36" s="22">
        <f>VLOOKUP(W36,marchmadness_data!$D$34:$J$49, 2, FALSE)</f>
        <v>0</v>
      </c>
      <c r="W36" s="9" t="str">
        <f>VLOOKUP(X36, marchmadness_data!$C$34:$D$49, 2, FALSE)</f>
        <v>Robert Morris</v>
      </c>
      <c r="X36" s="6">
        <v>15</v>
      </c>
    </row>
    <row r="37" spans="2:24" x14ac:dyDescent="0.35">
      <c r="K37" s="17"/>
      <c r="O37" s="23"/>
      <c r="P37" s="19"/>
      <c r="Q37" s="19"/>
      <c r="R37" s="19"/>
      <c r="S37" s="19"/>
      <c r="T37" s="19"/>
      <c r="U37" s="19"/>
      <c r="V37" s="19"/>
      <c r="W37" s="10"/>
    </row>
    <row r="38" spans="2:24" x14ac:dyDescent="0.35">
      <c r="K38" s="17"/>
      <c r="O38" s="23"/>
      <c r="P38" s="19"/>
      <c r="Q38" s="19"/>
      <c r="R38" s="19"/>
      <c r="S38" s="19"/>
      <c r="T38" s="19"/>
      <c r="U38" s="19"/>
      <c r="V38" s="19"/>
      <c r="W38" s="10"/>
    </row>
    <row r="39" spans="2:24" x14ac:dyDescent="0.35">
      <c r="K39" s="17"/>
      <c r="O39" s="23"/>
      <c r="P39" s="19"/>
      <c r="Q39" s="19"/>
      <c r="R39" s="19"/>
      <c r="S39" s="19"/>
      <c r="T39" s="19"/>
      <c r="U39" s="19"/>
      <c r="V39" s="19"/>
      <c r="W39" s="10"/>
    </row>
    <row r="40" spans="2:24" x14ac:dyDescent="0.35">
      <c r="K40" s="17"/>
      <c r="O40" s="23"/>
      <c r="P40" s="19"/>
      <c r="Q40" s="19"/>
      <c r="R40" s="19"/>
      <c r="S40" s="19"/>
      <c r="T40" s="19"/>
      <c r="U40" s="19"/>
      <c r="V40" s="19"/>
      <c r="W40" s="10"/>
    </row>
    <row r="41" spans="2:24" x14ac:dyDescent="0.35">
      <c r="B41">
        <v>1</v>
      </c>
      <c r="C41" s="1" t="str">
        <f>VLOOKUP(B41, marchmadness_data!$C$18:$D$33, 2, FALSE)</f>
        <v>Florida</v>
      </c>
      <c r="D41" s="15">
        <f>VLOOKUP(C41,marchmadness_data!$D$18:$J$33, 2, FALSE)</f>
        <v>1</v>
      </c>
      <c r="K41" s="17"/>
      <c r="O41" s="23"/>
      <c r="P41" s="19"/>
      <c r="Q41" s="19"/>
      <c r="R41" s="19"/>
      <c r="S41" s="19"/>
      <c r="T41" s="19"/>
      <c r="U41" s="19"/>
      <c r="V41" s="20">
        <f>VLOOKUP(W41,marchmadness_data!$D$50:$J$65, 2, FALSE)</f>
        <v>1</v>
      </c>
      <c r="W41" s="7" t="str">
        <f>VLOOKUP(X41, marchmadness_data!$C$50:$D$65, 2, FALSE)</f>
        <v>Houston</v>
      </c>
      <c r="X41" s="6">
        <v>1</v>
      </c>
    </row>
    <row r="42" spans="2:24" x14ac:dyDescent="0.35">
      <c r="C42" s="3"/>
      <c r="D42" s="4"/>
      <c r="E42" s="13" t="str">
        <f>IF(D41&gt;D43, C41, C43)</f>
        <v>Florida</v>
      </c>
      <c r="F42" s="15">
        <f>VLOOKUP(E42,marchmadness_data!$D$18:$J$33, 2, FALSE)</f>
        <v>1</v>
      </c>
      <c r="K42" s="17"/>
      <c r="O42" s="23"/>
      <c r="P42" s="19"/>
      <c r="Q42" s="19"/>
      <c r="R42" s="19"/>
      <c r="S42" s="19"/>
      <c r="T42" s="20">
        <f>VLOOKUP(U42,marchmadness_data!$D$50:$J$65, 3, FALSE)</f>
        <v>1</v>
      </c>
      <c r="U42" s="19" t="str">
        <f>IF(V41&gt;V43, W41,W43)</f>
        <v>Houston</v>
      </c>
      <c r="V42" s="19"/>
      <c r="W42" s="8"/>
    </row>
    <row r="43" spans="2:24" x14ac:dyDescent="0.35">
      <c r="B43">
        <v>16</v>
      </c>
      <c r="C43" s="2" t="str">
        <f>VLOOKUP(B43, marchmadness_data!$C$18:$D$33, 2, FALSE)</f>
        <v>Norfolk State</v>
      </c>
      <c r="D43" s="15">
        <f>VLOOKUP(C43,marchmadness_data!$D$18:$J$33, 2, FALSE)</f>
        <v>0</v>
      </c>
      <c r="E43" s="32">
        <f>IF(E42=ncaam_bracket2025!E42, 1, 0)</f>
        <v>1</v>
      </c>
      <c r="K43" s="17"/>
      <c r="O43" s="23"/>
      <c r="P43" s="19"/>
      <c r="Q43" s="19"/>
      <c r="R43" s="19"/>
      <c r="S43" s="19"/>
      <c r="T43" s="19"/>
      <c r="U43" s="35">
        <f>IF(U42=ncaam_bracket2025!U42, 1, 0)</f>
        <v>1</v>
      </c>
      <c r="V43" s="22">
        <f>VLOOKUP(W43,marchmadness_data!$D$50:$J$65, 2, FALSE)</f>
        <v>0</v>
      </c>
      <c r="W43" s="9" t="str">
        <f>VLOOKUP(X43, marchmadness_data!$C$50:$D$65, 2, FALSE)</f>
        <v>SIU-Edwardsville</v>
      </c>
      <c r="X43" s="6">
        <v>16</v>
      </c>
    </row>
    <row r="44" spans="2:24" x14ac:dyDescent="0.35">
      <c r="E44" s="17"/>
      <c r="F44" s="4"/>
      <c r="G44" s="13" t="str">
        <f>IF(F42&gt;F46, E42,E46)</f>
        <v>Florida</v>
      </c>
      <c r="H44" s="15">
        <f>VLOOKUP(G44,marchmadness_data!$D$18:$J$33, 2, FALSE)</f>
        <v>1</v>
      </c>
      <c r="K44" s="17"/>
      <c r="O44" s="23"/>
      <c r="P44" s="19"/>
      <c r="Q44" s="19"/>
      <c r="R44" s="20">
        <f>VLOOKUP(S44,marchmadness_data!$D$50:$J$65, 4, FALSE)</f>
        <v>1</v>
      </c>
      <c r="S44" s="19" t="str">
        <f>IF(T42&gt;T46,U42,U46)</f>
        <v>Houston</v>
      </c>
      <c r="T44" s="19"/>
      <c r="U44" s="23"/>
      <c r="V44" s="19"/>
      <c r="W44" s="10"/>
    </row>
    <row r="45" spans="2:24" x14ac:dyDescent="0.35">
      <c r="B45">
        <v>8</v>
      </c>
      <c r="C45" s="1" t="str">
        <f>VLOOKUP(B45, marchmadness_data!$C$18:$D$33, 2, FALSE)</f>
        <v>Connecticut</v>
      </c>
      <c r="D45" s="15">
        <f>VLOOKUP(C45,marchmadness_data!$D$18:$J$33, 2, FALSE)</f>
        <v>1</v>
      </c>
      <c r="E45" s="17"/>
      <c r="G45" s="32">
        <f>IF(G44=ncaam_bracket2025!G44, 1, 0)</f>
        <v>1</v>
      </c>
      <c r="K45" s="17"/>
      <c r="O45" s="23"/>
      <c r="P45" s="19"/>
      <c r="Q45" s="19"/>
      <c r="R45" s="19"/>
      <c r="S45" s="35">
        <f>IF(S44=ncaam_bracket2025!S44, 1, 0)</f>
        <v>1</v>
      </c>
      <c r="T45" s="24"/>
      <c r="U45" s="23"/>
      <c r="V45" s="20">
        <f>VLOOKUP(W45,marchmadness_data!$D$50:$J$65, 2, FALSE)</f>
        <v>1</v>
      </c>
      <c r="W45" s="7" t="str">
        <f>VLOOKUP(X45, marchmadness_data!$C$50:$D$65, 2, FALSE)</f>
        <v>Gonzaga</v>
      </c>
      <c r="X45" s="6">
        <v>8</v>
      </c>
    </row>
    <row r="46" spans="2:24" x14ac:dyDescent="0.35">
      <c r="C46" s="3"/>
      <c r="D46" s="4"/>
      <c r="E46" s="14" t="str">
        <f>IF(D45&gt;D47, C45, C47)</f>
        <v>Connecticut</v>
      </c>
      <c r="F46" s="15">
        <f>VLOOKUP(E46,marchmadness_data!$D$18:$J$33, 3, FALSE)</f>
        <v>0</v>
      </c>
      <c r="G46" s="17"/>
      <c r="K46" s="17"/>
      <c r="M46" s="19" t="str">
        <f>IF(N23&gt;N58,O23,O58)</f>
        <v>Duke</v>
      </c>
      <c r="O46" s="23"/>
      <c r="P46" s="19"/>
      <c r="Q46" s="19"/>
      <c r="R46" s="19"/>
      <c r="S46" s="23"/>
      <c r="T46" s="20">
        <f>VLOOKUP(U46,marchmadness_data!$D$50:$J$65, 3, FALSE)</f>
        <v>0</v>
      </c>
      <c r="U46" s="25" t="str">
        <f>IF(V45&gt;V47, W45,W47)</f>
        <v>Gonzaga</v>
      </c>
      <c r="V46" s="19"/>
      <c r="W46" s="8"/>
    </row>
    <row r="47" spans="2:24" x14ac:dyDescent="0.35">
      <c r="B47">
        <v>9</v>
      </c>
      <c r="C47" s="2" t="str">
        <f>VLOOKUP(B47, marchmadness_data!$C$18:$D$33, 2, FALSE)</f>
        <v>Oklahoma</v>
      </c>
      <c r="D47" s="15">
        <f>VLOOKUP(C47,marchmadness_data!$D$18:$J$33, 2, FALSE)</f>
        <v>0</v>
      </c>
      <c r="E47" s="33">
        <f>IF(E46=ncaam_bracket2025!E46, 1, 0)</f>
        <v>1</v>
      </c>
      <c r="G47" s="17"/>
      <c r="K47" s="17"/>
      <c r="M47" s="27">
        <f>IF(M46=ncaam_bracket2025!M46, 1, 0)</f>
        <v>0</v>
      </c>
      <c r="N47" s="5"/>
      <c r="O47" s="23"/>
      <c r="P47" s="19"/>
      <c r="Q47" s="19"/>
      <c r="R47" s="19"/>
      <c r="S47" s="23"/>
      <c r="T47" s="19"/>
      <c r="U47" s="34">
        <f>IF(U46=ncaam_bracket2025!U46, 1, 0)</f>
        <v>1</v>
      </c>
      <c r="V47" s="22">
        <f>VLOOKUP(W47,marchmadness_data!$D$50:$J$65, 2, FALSE)</f>
        <v>0</v>
      </c>
      <c r="W47" s="9" t="str">
        <f>VLOOKUP(X47, marchmadness_data!$C$50:$D$65, 2, FALSE)</f>
        <v>Georgia</v>
      </c>
      <c r="X47" s="6">
        <v>9</v>
      </c>
    </row>
    <row r="48" spans="2:24" x14ac:dyDescent="0.35">
      <c r="G48" s="17"/>
      <c r="K48" s="17"/>
      <c r="O48" s="23"/>
      <c r="P48" s="19"/>
      <c r="Q48" s="19"/>
      <c r="R48" s="19"/>
      <c r="S48" s="23"/>
      <c r="T48" s="19"/>
      <c r="U48" s="19"/>
      <c r="V48" s="19"/>
      <c r="W48" s="10"/>
    </row>
    <row r="49" spans="2:24" x14ac:dyDescent="0.35">
      <c r="B49">
        <v>5</v>
      </c>
      <c r="C49" s="1" t="str">
        <f>VLOOKUP(B49, marchmadness_data!$C$18:$D$33, 2, FALSE)</f>
        <v>Memphis</v>
      </c>
      <c r="D49" s="15">
        <f>VLOOKUP(C49,marchmadness_data!$D$18:$J$33, 2, FALSE)</f>
        <v>1</v>
      </c>
      <c r="G49" s="17"/>
      <c r="H49" s="4"/>
      <c r="I49" s="13" t="str">
        <f>IF(H44&gt;H52, G44, G52)</f>
        <v>Florida</v>
      </c>
      <c r="J49" s="15">
        <f>VLOOKUP(I49,marchmadness_data!$D$18:$J$33, 5, FALSE)</f>
        <v>1</v>
      </c>
      <c r="K49" s="17"/>
      <c r="O49" s="23"/>
      <c r="P49" s="20">
        <f>VLOOKUP(Q49,marchmadness_data!$D$50:$J$65, 5, FALSE)</f>
        <v>1</v>
      </c>
      <c r="Q49" s="19" t="str">
        <f>IF(R44&gt;R52,S44,S52)</f>
        <v>Houston</v>
      </c>
      <c r="R49" s="19"/>
      <c r="S49" s="23"/>
      <c r="T49" s="19"/>
      <c r="U49" s="19"/>
      <c r="V49" s="20">
        <f>VLOOKUP(W49,marchmadness_data!$D$50:$J$65, 2, FALSE)</f>
        <v>1</v>
      </c>
      <c r="W49" s="7" t="str">
        <f>VLOOKUP(X49, marchmadness_data!$C$50:$D$65, 2, FALSE)</f>
        <v>Clemson</v>
      </c>
      <c r="X49" s="6">
        <v>5</v>
      </c>
    </row>
    <row r="50" spans="2:24" x14ac:dyDescent="0.35">
      <c r="C50" s="3"/>
      <c r="D50" s="4"/>
      <c r="E50" s="13" t="str">
        <f>IF(D49&gt;D51, C49, C51)</f>
        <v>Memphis</v>
      </c>
      <c r="F50" s="15">
        <f>VLOOKUP(E50,marchmadness_data!$D$18:$J$33, 3, FALSE)</f>
        <v>0</v>
      </c>
      <c r="G50" s="17"/>
      <c r="I50" s="32">
        <f>IF(I49=ncaam_bracket2025!I49, 1, 0)</f>
        <v>1</v>
      </c>
      <c r="K50" s="17"/>
      <c r="O50" s="23"/>
      <c r="P50" s="19"/>
      <c r="Q50" s="35">
        <f>IF(Q49=ncaam_bracket2025!Q49, 1, 0)</f>
        <v>1</v>
      </c>
      <c r="R50" s="24"/>
      <c r="S50" s="23"/>
      <c r="T50" s="20">
        <f>VLOOKUP(U50,marchmadness_data!$D$50:$J$65, 3, FALSE)</f>
        <v>1</v>
      </c>
      <c r="U50" s="19" t="str">
        <f>IF(V49&gt;V51, W49,W51)</f>
        <v>Clemson</v>
      </c>
      <c r="V50" s="19"/>
      <c r="W50" s="8"/>
    </row>
    <row r="51" spans="2:24" x14ac:dyDescent="0.35">
      <c r="B51">
        <v>12</v>
      </c>
      <c r="C51" s="2" t="str">
        <f>VLOOKUP(B51, marchmadness_data!$C$18:$D$33, 2, FALSE)</f>
        <v>Colorado State</v>
      </c>
      <c r="D51" s="15">
        <f>VLOOKUP(C51,marchmadness_data!$D$18:$J$33, 2, FALSE)</f>
        <v>0</v>
      </c>
      <c r="E51" s="32">
        <f>IF(E50=ncaam_bracket2025!E50, 1, 0)</f>
        <v>0</v>
      </c>
      <c r="G51" s="17"/>
      <c r="I51" s="17"/>
      <c r="K51" s="17"/>
      <c r="O51" s="23"/>
      <c r="P51" s="19"/>
      <c r="Q51" s="23"/>
      <c r="R51" s="19"/>
      <c r="S51" s="23"/>
      <c r="T51" s="19"/>
      <c r="U51" s="35">
        <f>IF(U50=ncaam_bracket2025!U50, 1, 0)</f>
        <v>0</v>
      </c>
      <c r="V51" s="22">
        <f>VLOOKUP(W51,marchmadness_data!$D$50:$J$65, 2, FALSE)</f>
        <v>0</v>
      </c>
      <c r="W51" s="9" t="str">
        <f>VLOOKUP(X51, marchmadness_data!$C$50:$D$65, 2, FALSE)</f>
        <v>McNeese State</v>
      </c>
      <c r="X51" s="6">
        <v>12</v>
      </c>
    </row>
    <row r="52" spans="2:24" x14ac:dyDescent="0.35">
      <c r="E52" s="17"/>
      <c r="F52" s="4"/>
      <c r="G52" s="14" t="str">
        <f>IF(F50&gt;F54, E50,E54)</f>
        <v>Maryland</v>
      </c>
      <c r="H52" s="15">
        <f>VLOOKUP(G52,marchmadness_data!$D$18:$J$33, 4, FALSE)</f>
        <v>0</v>
      </c>
      <c r="I52" s="17"/>
      <c r="K52" s="17"/>
      <c r="O52" s="23"/>
      <c r="P52" s="19"/>
      <c r="Q52" s="23"/>
      <c r="R52" s="20">
        <f>VLOOKUP(S52,marchmadness_data!$D$50:$J$65, 4, FALSE)</f>
        <v>0</v>
      </c>
      <c r="S52" s="25" t="str">
        <f>IF(T50&gt;T54,U50,U54)</f>
        <v>Clemson</v>
      </c>
      <c r="T52" s="19"/>
      <c r="U52" s="23"/>
      <c r="V52" s="19"/>
      <c r="W52" s="10"/>
    </row>
    <row r="53" spans="2:24" x14ac:dyDescent="0.35">
      <c r="B53">
        <v>4</v>
      </c>
      <c r="C53" s="1" t="str">
        <f>VLOOKUP(B53, marchmadness_data!$C$18:$D$33, 2, FALSE)</f>
        <v>Maryland</v>
      </c>
      <c r="D53" s="15">
        <f>VLOOKUP(C53,marchmadness_data!$D$18:$J$33, 2, FALSE)</f>
        <v>1</v>
      </c>
      <c r="E53" s="17"/>
      <c r="G53" s="33">
        <f>IF(G52=ncaam_bracket2025!G52, 1, 0)</f>
        <v>1</v>
      </c>
      <c r="I53" s="17"/>
      <c r="K53" s="17"/>
      <c r="O53" s="23"/>
      <c r="P53" s="19"/>
      <c r="Q53" s="23"/>
      <c r="R53" s="19"/>
      <c r="S53" s="34">
        <f>IF(S52=ncaam_bracket2025!S52, 1, 0)</f>
        <v>0</v>
      </c>
      <c r="T53" s="24"/>
      <c r="U53" s="23"/>
      <c r="V53" s="20">
        <f>VLOOKUP(W53,marchmadness_data!$D$50:$J$65, 2, FALSE)</f>
        <v>0</v>
      </c>
      <c r="W53" s="7" t="str">
        <f>VLOOKUP(X53, marchmadness_data!$C$50:$D$65, 2, FALSE)</f>
        <v>Purdue</v>
      </c>
      <c r="X53" s="6">
        <v>4</v>
      </c>
    </row>
    <row r="54" spans="2:24" x14ac:dyDescent="0.35">
      <c r="C54" s="3"/>
      <c r="D54" s="4"/>
      <c r="E54" s="14" t="str">
        <f>IF(D53&gt;D55, C53, C55)</f>
        <v>Maryland</v>
      </c>
      <c r="F54" s="15">
        <f>VLOOKUP(E54,marchmadness_data!$D$18:$J$33, 3, FALSE)</f>
        <v>1</v>
      </c>
      <c r="I54" s="17"/>
      <c r="K54" s="17"/>
      <c r="O54" s="23"/>
      <c r="P54" s="19"/>
      <c r="Q54" s="23"/>
      <c r="R54" s="19"/>
      <c r="S54" s="19"/>
      <c r="T54" s="20">
        <f>VLOOKUP(U54,marchmadness_data!$D$50:$J$65, 3, FALSE)</f>
        <v>0</v>
      </c>
      <c r="U54" s="25" t="str">
        <f>IF(V53&gt;V55, W53,W55)</f>
        <v>High Point</v>
      </c>
      <c r="V54" s="19"/>
      <c r="W54" s="8"/>
    </row>
    <row r="55" spans="2:24" x14ac:dyDescent="0.35">
      <c r="B55">
        <v>13</v>
      </c>
      <c r="C55" s="2" t="str">
        <f>VLOOKUP(B55, marchmadness_data!$C$18:$D$33, 2, FALSE)</f>
        <v>Grand Canyon</v>
      </c>
      <c r="D55" s="15">
        <f>VLOOKUP(C55,marchmadness_data!$D$18:$J$33, 2, FALSE)</f>
        <v>0</v>
      </c>
      <c r="E55" s="33">
        <f>IF(E54=ncaam_bracket2025!E54, 1, 0)</f>
        <v>1</v>
      </c>
      <c r="I55" s="17"/>
      <c r="K55" s="17"/>
      <c r="O55" s="23"/>
      <c r="P55" s="19"/>
      <c r="Q55" s="23"/>
      <c r="R55" s="19"/>
      <c r="S55" s="19"/>
      <c r="T55" s="19"/>
      <c r="U55" s="34">
        <f>IF(U54=ncaam_bracket2025!U54, 1, 0)</f>
        <v>0</v>
      </c>
      <c r="V55" s="22">
        <f>VLOOKUP(W55,marchmadness_data!$D$50:$J$65, 2, FALSE)</f>
        <v>1</v>
      </c>
      <c r="W55" s="9" t="str">
        <f>VLOOKUP(X55, marchmadness_data!$C$50:$D$65, 2, FALSE)</f>
        <v>High Point</v>
      </c>
      <c r="X55" s="6">
        <v>13</v>
      </c>
    </row>
    <row r="56" spans="2:24" x14ac:dyDescent="0.35">
      <c r="F56" s="44" t="str">
        <f>marchmadness_data!B18</f>
        <v>West</v>
      </c>
      <c r="G56" s="46"/>
      <c r="I56" s="17"/>
      <c r="K56" s="17"/>
      <c r="O56" s="23"/>
      <c r="P56" s="19"/>
      <c r="Q56" s="23"/>
      <c r="R56" s="19"/>
      <c r="S56" s="44" t="str">
        <f>marchmadness_data!B50</f>
        <v>Midwest</v>
      </c>
      <c r="T56" s="45"/>
      <c r="U56" s="19"/>
      <c r="V56" s="19"/>
      <c r="W56" s="10"/>
    </row>
    <row r="57" spans="2:24" x14ac:dyDescent="0.35">
      <c r="B57">
        <v>6</v>
      </c>
      <c r="C57" s="1" t="str">
        <f>VLOOKUP(B57, marchmadness_data!$C$18:$D$33, 2, FALSE)</f>
        <v>Missouri</v>
      </c>
      <c r="D57" s="15">
        <f>VLOOKUP(C57,marchmadness_data!$D$18:$J$33, 2, FALSE)</f>
        <v>1</v>
      </c>
      <c r="F57" s="45"/>
      <c r="G57" s="46"/>
      <c r="I57" s="17"/>
      <c r="K57" s="17"/>
      <c r="O57" s="23"/>
      <c r="P57" s="19"/>
      <c r="Q57" s="23"/>
      <c r="R57" s="19"/>
      <c r="S57" s="45"/>
      <c r="T57" s="45"/>
      <c r="U57" s="19"/>
      <c r="V57" s="20">
        <f>VLOOKUP(W57,marchmadness_data!$D$50:$J$65, 2, FALSE)</f>
        <v>0</v>
      </c>
      <c r="W57" s="7" t="str">
        <f>VLOOKUP(X57, marchmadness_data!$C$50:$D$65, 2, FALSE)</f>
        <v>Illinois</v>
      </c>
      <c r="X57" s="6">
        <v>6</v>
      </c>
    </row>
    <row r="58" spans="2:24" x14ac:dyDescent="0.35">
      <c r="C58" s="3"/>
      <c r="D58" s="4"/>
      <c r="E58" s="13" t="str">
        <f>IF(D57&gt;D59, C57, C59)</f>
        <v>Missouri</v>
      </c>
      <c r="F58" s="15">
        <f>VLOOKUP(E58,marchmadness_data!$D$18:$J$33, 3, FALSE)</f>
        <v>0</v>
      </c>
      <c r="I58" s="17"/>
      <c r="J58" s="4"/>
      <c r="K58" s="14" t="str">
        <f>IF(J49&gt;J65,I49,I65)</f>
        <v>Florida</v>
      </c>
      <c r="L58" s="15">
        <f>VLOOKUP(K58,marchmadness_data!$D$18:$J$33, 6, FALSE)</f>
        <v>0</v>
      </c>
      <c r="N58" s="15">
        <f>VLOOKUP(O58,marchmadness_data!$D$50:$J$65, 6, FALSE)</f>
        <v>0</v>
      </c>
      <c r="O58" s="25" t="str">
        <f>IF(P49&gt;P65,Q49,Q65)</f>
        <v>Houston</v>
      </c>
      <c r="P58" s="19"/>
      <c r="Q58" s="23"/>
      <c r="R58" s="19"/>
      <c r="S58" s="19"/>
      <c r="T58" s="20">
        <f>VLOOKUP(U58,marchmadness_data!$D$50:$J$65, 3, FALSE)</f>
        <v>0</v>
      </c>
      <c r="U58" s="19" t="str">
        <f>IF(V57&gt;V59, W57,W59)</f>
        <v>Xavier</v>
      </c>
      <c r="V58" s="19"/>
      <c r="W58" s="8"/>
    </row>
    <row r="59" spans="2:24" x14ac:dyDescent="0.35">
      <c r="B59">
        <v>11</v>
      </c>
      <c r="C59" s="2" t="str">
        <f>VLOOKUP(B59, marchmadness_data!$C$18:$D$33, 2, FALSE)</f>
        <v>Drake</v>
      </c>
      <c r="D59" s="15">
        <f>VLOOKUP(C59,marchmadness_data!$D$18:$J$33, 2, FALSE)</f>
        <v>0</v>
      </c>
      <c r="E59" s="32">
        <f>IF(E58=ncaam_bracket2025!E58, 1, 0)</f>
        <v>0</v>
      </c>
      <c r="I59" s="17"/>
      <c r="K59" s="33">
        <f>IF(K58=ncaam_bracket2025!K58, 1, 0)</f>
        <v>1</v>
      </c>
      <c r="O59" s="34">
        <f>IF(O58=ncaam_bracket2025!O58, 1, 0)</f>
        <v>1</v>
      </c>
      <c r="P59" s="24"/>
      <c r="Q59" s="23"/>
      <c r="R59" s="19"/>
      <c r="S59" s="19"/>
      <c r="T59" s="19"/>
      <c r="U59" s="35">
        <f>IF(U58=ncaam_bracket2025!U58, 1, 0)</f>
        <v>0</v>
      </c>
      <c r="V59" s="22">
        <f>VLOOKUP(W59,marchmadness_data!$D$50:$J$65, 2, FALSE)</f>
        <v>1</v>
      </c>
      <c r="W59" s="9" t="str">
        <f>VLOOKUP(X59, marchmadness_data!$C$50:$D$65, 2, FALSE)</f>
        <v>Xavier</v>
      </c>
      <c r="X59" s="6">
        <v>11</v>
      </c>
    </row>
    <row r="60" spans="2:24" x14ac:dyDescent="0.35">
      <c r="E60" s="17"/>
      <c r="F60" s="4"/>
      <c r="G60" s="13" t="str">
        <f>IF(F58&gt;F62, E58,E62)</f>
        <v>Texas Tech</v>
      </c>
      <c r="H60" s="15">
        <f>VLOOKUP(G60,marchmadness_data!$D$18:$J$33, 4, FALSE)</f>
        <v>0</v>
      </c>
      <c r="I60" s="17"/>
      <c r="O60" s="19"/>
      <c r="P60" s="19"/>
      <c r="Q60" s="23"/>
      <c r="R60" s="20">
        <f>VLOOKUP(S60,marchmadness_data!$D$50:$J$65, 4, FALSE)</f>
        <v>0</v>
      </c>
      <c r="S60" s="19" t="str">
        <f>IF(T58&gt;T62,U58,U62)</f>
        <v>Kentucky</v>
      </c>
      <c r="T60" s="19"/>
      <c r="U60" s="23"/>
      <c r="V60" s="19"/>
      <c r="W60" s="10"/>
    </row>
    <row r="61" spans="2:24" x14ac:dyDescent="0.35">
      <c r="B61">
        <v>3</v>
      </c>
      <c r="C61" s="1" t="str">
        <f>VLOOKUP(B61, marchmadness_data!$C$18:$D$33, 2, FALSE)</f>
        <v>Texas Tech</v>
      </c>
      <c r="D61" s="15">
        <f>VLOOKUP(C61,marchmadness_data!$D$18:$J$33, 2, FALSE)</f>
        <v>1</v>
      </c>
      <c r="E61" s="17"/>
      <c r="G61" s="32">
        <f>IF(G60=ncaam_bracket2025!G60, 1, 0)</f>
        <v>1</v>
      </c>
      <c r="I61" s="17"/>
      <c r="O61" s="19"/>
      <c r="P61" s="19"/>
      <c r="Q61" s="23"/>
      <c r="R61" s="19"/>
      <c r="S61" s="35">
        <f>IF(S60=ncaam_bracket2025!S60, 1, 0)</f>
        <v>1</v>
      </c>
      <c r="T61" s="24"/>
      <c r="U61" s="23"/>
      <c r="V61" s="20">
        <f>VLOOKUP(W61,marchmadness_data!$D$50:$J$65, 2, FALSE)</f>
        <v>1</v>
      </c>
      <c r="W61" s="7" t="str">
        <f>VLOOKUP(X61, marchmadness_data!$C$50:$D$65, 2, FALSE)</f>
        <v>Kentucky</v>
      </c>
      <c r="X61" s="6">
        <v>3</v>
      </c>
    </row>
    <row r="62" spans="2:24" x14ac:dyDescent="0.35">
      <c r="C62" s="3"/>
      <c r="D62" s="4"/>
      <c r="E62" s="14" t="str">
        <f>IF(D61&gt;D63, C61, C63)</f>
        <v>Texas Tech</v>
      </c>
      <c r="F62" s="15">
        <f>VLOOKUP(E62,marchmadness_data!$D$18:$J$33, 3, FALSE)</f>
        <v>1</v>
      </c>
      <c r="G62" s="17"/>
      <c r="I62" s="17"/>
      <c r="O62" s="19"/>
      <c r="P62" s="19"/>
      <c r="Q62" s="23"/>
      <c r="R62" s="19"/>
      <c r="S62" s="23"/>
      <c r="T62" s="20">
        <f>VLOOKUP(U62,marchmadness_data!$D$50:$J$65, 3, FALSE)</f>
        <v>1</v>
      </c>
      <c r="U62" s="25" t="str">
        <f>IF(V61&gt;V63, W61,W63)</f>
        <v>Kentucky</v>
      </c>
      <c r="V62" s="19"/>
      <c r="W62" s="8"/>
    </row>
    <row r="63" spans="2:24" x14ac:dyDescent="0.35">
      <c r="B63">
        <v>14</v>
      </c>
      <c r="C63" s="2" t="str">
        <f>VLOOKUP(B63, marchmadness_data!$C$18:$D$33, 2, FALSE)</f>
        <v>UNC Wilmington</v>
      </c>
      <c r="D63" s="15">
        <f>VLOOKUP(C63,marchmadness_data!$D$18:$J$33, 2, FALSE)</f>
        <v>0</v>
      </c>
      <c r="E63" s="33">
        <f>IF(E62=ncaam_bracket2025!E62, 1, 0)</f>
        <v>1</v>
      </c>
      <c r="G63" s="17"/>
      <c r="I63" s="17"/>
      <c r="O63" s="19"/>
      <c r="P63" s="19"/>
      <c r="Q63" s="23"/>
      <c r="R63" s="19"/>
      <c r="S63" s="23"/>
      <c r="T63" s="19"/>
      <c r="U63" s="34">
        <f>IF(U62=ncaam_bracket2025!U62, 1, 0)</f>
        <v>1</v>
      </c>
      <c r="V63" s="22">
        <f>VLOOKUP(W63,marchmadness_data!$D$50:$J$65, 2, FALSE)</f>
        <v>0</v>
      </c>
      <c r="W63" s="9" t="str">
        <f>VLOOKUP(X63, marchmadness_data!$C$50:$D$65, 2, FALSE)</f>
        <v>Troy</v>
      </c>
      <c r="X63" s="6">
        <v>14</v>
      </c>
    </row>
    <row r="64" spans="2:24" x14ac:dyDescent="0.35">
      <c r="G64" s="17"/>
      <c r="I64" s="17"/>
      <c r="O64" s="19"/>
      <c r="P64" s="19"/>
      <c r="Q64" s="23"/>
      <c r="R64" s="19"/>
      <c r="S64" s="23"/>
      <c r="T64" s="19"/>
      <c r="U64" s="19"/>
      <c r="V64" s="19"/>
      <c r="W64" s="10"/>
    </row>
    <row r="65" spans="2:24" x14ac:dyDescent="0.35">
      <c r="B65">
        <v>7</v>
      </c>
      <c r="C65" s="1" t="str">
        <f>VLOOKUP(B65, marchmadness_data!$C$18:$D$33, 2, FALSE)</f>
        <v>Kansas</v>
      </c>
      <c r="D65" s="15">
        <f>VLOOKUP(C65,marchmadness_data!$D$18:$J$33, 2, FALSE)</f>
        <v>1</v>
      </c>
      <c r="G65" s="17"/>
      <c r="H65" s="4"/>
      <c r="I65" s="14" t="str">
        <f>IF(H60&gt;H68, G60, G68)</f>
        <v>St. John's (NY)</v>
      </c>
      <c r="J65" s="15">
        <f>VLOOKUP(I65,marchmadness_data!$D$18:$J$33, 5, FALSE)</f>
        <v>0</v>
      </c>
      <c r="O65" s="19"/>
      <c r="P65" s="20">
        <f>VLOOKUP(Q65,marchmadness_data!$D$50:$J$65, 5, FALSE)</f>
        <v>0</v>
      </c>
      <c r="Q65" s="25" t="str">
        <f>IF(R60&gt;R68,S60,S68)</f>
        <v>Tennessee</v>
      </c>
      <c r="R65" s="19"/>
      <c r="S65" s="23"/>
      <c r="T65" s="19"/>
      <c r="U65" s="19"/>
      <c r="V65" s="20">
        <f>VLOOKUP(W65,marchmadness_data!$D$50:$J$65, 2, FALSE)</f>
        <v>0</v>
      </c>
      <c r="W65" s="7" t="str">
        <f>VLOOKUP(X65, marchmadness_data!$C$50:$D$65, 2, FALSE)</f>
        <v>UCLA</v>
      </c>
      <c r="X65" s="6">
        <v>7</v>
      </c>
    </row>
    <row r="66" spans="2:24" x14ac:dyDescent="0.35">
      <c r="C66" s="3"/>
      <c r="D66" s="4"/>
      <c r="E66" s="13" t="str">
        <f>IF(D65&gt;D67, C65, C67)</f>
        <v>Kansas</v>
      </c>
      <c r="F66" s="15">
        <f>VLOOKUP(E66,marchmadness_data!$D$18:$J$33, 3, FALSE)</f>
        <v>0</v>
      </c>
      <c r="G66" s="17"/>
      <c r="I66" s="33">
        <f>IF(I65=ncaam_bracket2025!I65, 1, 0)</f>
        <v>0</v>
      </c>
      <c r="O66" s="19"/>
      <c r="P66" s="19"/>
      <c r="Q66" s="34">
        <f>IF(Q65=ncaam_bracket2025!Q65, 1, 0)</f>
        <v>1</v>
      </c>
      <c r="R66" s="24"/>
      <c r="S66" s="23"/>
      <c r="T66" s="20">
        <f>VLOOKUP(U66,marchmadness_data!$D$50:$J$65, 3, FALSE)</f>
        <v>0</v>
      </c>
      <c r="U66" s="19" t="str">
        <f>IF(V65&gt;V67, W65,W67)</f>
        <v>Utah State</v>
      </c>
      <c r="V66" s="19"/>
      <c r="W66" s="8"/>
    </row>
    <row r="67" spans="2:24" x14ac:dyDescent="0.35">
      <c r="B67">
        <v>10</v>
      </c>
      <c r="C67" s="2" t="str">
        <f>VLOOKUP(B67, marchmadness_data!$C$18:$D$33, 2, FALSE)</f>
        <v>Arkansas</v>
      </c>
      <c r="D67" s="15">
        <f>VLOOKUP(C67,marchmadness_data!$D$18:$J$33, 2, FALSE)</f>
        <v>0</v>
      </c>
      <c r="E67" s="32">
        <f>IF(E66=ncaam_bracket2025!E66, 1, 0)</f>
        <v>0</v>
      </c>
      <c r="G67" s="17"/>
      <c r="O67" s="19"/>
      <c r="P67" s="19"/>
      <c r="Q67" s="19"/>
      <c r="R67" s="19"/>
      <c r="S67" s="23"/>
      <c r="T67" s="19"/>
      <c r="U67" s="35">
        <f>IF(U66=ncaam_bracket2025!U66, 1, 0)</f>
        <v>0</v>
      </c>
      <c r="V67" s="22">
        <f>VLOOKUP(W67,marchmadness_data!$D$50:$J$65, 2, FALSE)</f>
        <v>1</v>
      </c>
      <c r="W67" s="9" t="str">
        <f>VLOOKUP(X67, marchmadness_data!$C$50:$D$65, 2, FALSE)</f>
        <v>Utah State</v>
      </c>
      <c r="X67" s="6">
        <v>10</v>
      </c>
    </row>
    <row r="68" spans="2:24" x14ac:dyDescent="0.35">
      <c r="E68" s="17"/>
      <c r="F68" s="4"/>
      <c r="G68" s="14" t="str">
        <f>IF(F66&gt;F70, E66,E70)</f>
        <v>St. John's (NY)</v>
      </c>
      <c r="H68" s="15">
        <f>VLOOKUP(G68,marchmadness_data!$D$18:$J$33, 4, FALSE)</f>
        <v>1</v>
      </c>
      <c r="O68" s="19"/>
      <c r="P68" s="19"/>
      <c r="Q68" s="19"/>
      <c r="R68" s="20">
        <f>VLOOKUP(S68,marchmadness_data!$D$50:$J$65, 4, FALSE)</f>
        <v>1</v>
      </c>
      <c r="S68" s="25" t="str">
        <f>IF(T66&gt;T70,U66,U70)</f>
        <v>Tennessee</v>
      </c>
      <c r="T68" s="19"/>
      <c r="U68" s="23"/>
      <c r="V68" s="19"/>
      <c r="W68" s="10"/>
    </row>
    <row r="69" spans="2:24" x14ac:dyDescent="0.35">
      <c r="B69">
        <v>2</v>
      </c>
      <c r="C69" s="1" t="str">
        <f>VLOOKUP(B69, marchmadness_data!$C$18:$D$33, 2, FALSE)</f>
        <v>St. John's (NY)</v>
      </c>
      <c r="D69" s="15">
        <f>VLOOKUP(C69,marchmadness_data!$D$18:$J$33, 2, FALSE)</f>
        <v>1</v>
      </c>
      <c r="E69" s="17"/>
      <c r="G69" s="33">
        <f>IF(G68=ncaam_bracket2025!G68, 1, 0)</f>
        <v>0</v>
      </c>
      <c r="O69" s="19"/>
      <c r="P69" s="19"/>
      <c r="Q69" s="19"/>
      <c r="R69" s="19"/>
      <c r="S69" s="34">
        <f>IF(S68=ncaam_bracket2025!S68, 1, 0)</f>
        <v>1</v>
      </c>
      <c r="T69" s="24"/>
      <c r="U69" s="23"/>
      <c r="V69" s="20">
        <f>VLOOKUP(W69,marchmadness_data!$D$50:$J$65, 2, FALSE)</f>
        <v>1</v>
      </c>
      <c r="W69" s="7" t="str">
        <f>VLOOKUP(X69, marchmadness_data!$C$50:$D$65, 2, FALSE)</f>
        <v>Tennessee</v>
      </c>
      <c r="X69" s="6">
        <v>2</v>
      </c>
    </row>
    <row r="70" spans="2:24" x14ac:dyDescent="0.35">
      <c r="C70" s="3"/>
      <c r="D70" s="4"/>
      <c r="E70" s="14" t="str">
        <f>IF(D69&gt;D71, C69, C71)</f>
        <v>St. John's (NY)</v>
      </c>
      <c r="F70" s="15">
        <f>VLOOKUP(E70,marchmadness_data!$D$18:$J$33, 3, FALSE)</f>
        <v>1</v>
      </c>
      <c r="O70" s="19"/>
      <c r="P70" s="19"/>
      <c r="Q70" s="19"/>
      <c r="R70" s="19"/>
      <c r="S70" s="19"/>
      <c r="T70" s="20">
        <f>VLOOKUP(U70,marchmadness_data!$D$50:$J$65, 3, FALSE)</f>
        <v>1</v>
      </c>
      <c r="U70" s="25" t="str">
        <f>IF(V69&gt;V71, W69,W71)</f>
        <v>Tennessee</v>
      </c>
      <c r="V70" s="19"/>
      <c r="W70" s="8"/>
    </row>
    <row r="71" spans="2:24" x14ac:dyDescent="0.35">
      <c r="B71">
        <v>15</v>
      </c>
      <c r="C71" s="2" t="str">
        <f>VLOOKUP(B71, marchmadness_data!$C$18:$D$33, 2, FALSE)</f>
        <v>Omaha</v>
      </c>
      <c r="D71" s="15">
        <f>VLOOKUP(C71,marchmadness_data!$D$18:$J$33, 2, FALSE)</f>
        <v>0</v>
      </c>
      <c r="E71" s="33">
        <f>IF(E70=ncaam_bracket2025!E70, 1, 0)</f>
        <v>1</v>
      </c>
      <c r="O71" s="19"/>
      <c r="P71" s="19"/>
      <c r="Q71" s="19"/>
      <c r="R71" s="19"/>
      <c r="S71" s="19"/>
      <c r="T71" s="19"/>
      <c r="U71" s="34">
        <f>IF(U70=ncaam_bracket2025!U70, 1, 0)</f>
        <v>1</v>
      </c>
      <c r="V71" s="22">
        <f>VLOOKUP(W71,marchmadness_data!$D$50:$J$65, 2, FALSE)</f>
        <v>0</v>
      </c>
      <c r="W71" s="9" t="str">
        <f>VLOOKUP(X71, marchmadness_data!$C$50:$D$65, 2, FALSE)</f>
        <v>Wofford</v>
      </c>
      <c r="X71" s="6">
        <v>15</v>
      </c>
    </row>
    <row r="74" spans="2:24" x14ac:dyDescent="0.35">
      <c r="E74" s="19">
        <f>SUM(E8,E12,E16,E20,E24,E28,E32,E36,E43,E47,E51,E55,E59,E63,E67,E71)</f>
        <v>9</v>
      </c>
      <c r="F74" s="19"/>
      <c r="G74" s="19">
        <f>SUM(G69,G61,G53,G45,G10,G18,G26,G34)</f>
        <v>6</v>
      </c>
      <c r="H74" s="19"/>
      <c r="I74" s="19">
        <f>SUM(I66,I50,I31,I15)</f>
        <v>3</v>
      </c>
      <c r="J74" s="19"/>
      <c r="K74" s="19">
        <f>SUM(K59,K24)</f>
        <v>2</v>
      </c>
      <c r="L74" s="19"/>
      <c r="M74" s="19">
        <f>SUM(M47,M36,M13)</f>
        <v>0</v>
      </c>
      <c r="N74" s="19"/>
      <c r="O74" s="19">
        <f>SUM(O59,O24)</f>
        <v>2</v>
      </c>
      <c r="P74" s="19"/>
      <c r="Q74" s="19">
        <f>SUM(Q66,Q50,Q31,Q15)</f>
        <v>3</v>
      </c>
      <c r="R74" s="19"/>
      <c r="S74" s="19">
        <f>SUM(S69,S61,S53,S45,S10,S18,S26,S34)</f>
        <v>6</v>
      </c>
      <c r="T74" s="19"/>
      <c r="U74" s="19">
        <f>SUM(U8,U12,U16,U20,U24,U28,U32,U36,U43,U47,U51,U55,U59,U63,U67,U71)</f>
        <v>9</v>
      </c>
    </row>
    <row r="75" spans="2:24" x14ac:dyDescent="0.35">
      <c r="E75" s="19">
        <v>16</v>
      </c>
      <c r="F75" s="19"/>
      <c r="G75" s="19">
        <v>8</v>
      </c>
      <c r="H75" s="19"/>
      <c r="I75" s="19">
        <v>4</v>
      </c>
      <c r="J75" s="19"/>
      <c r="K75" s="19">
        <v>2</v>
      </c>
      <c r="L75" s="19"/>
      <c r="M75" s="19">
        <v>3</v>
      </c>
      <c r="N75" s="19"/>
      <c r="O75" s="19">
        <v>2</v>
      </c>
      <c r="P75" s="19"/>
      <c r="Q75" s="19">
        <v>4</v>
      </c>
      <c r="R75" s="19"/>
      <c r="S75" s="19">
        <v>8</v>
      </c>
      <c r="T75" s="19"/>
      <c r="U75" s="19">
        <v>16</v>
      </c>
    </row>
    <row r="77" spans="2:24" x14ac:dyDescent="0.35">
      <c r="M77" s="19">
        <f>SUM(E74:U74)</f>
        <v>40</v>
      </c>
    </row>
    <row r="78" spans="2:24" x14ac:dyDescent="0.35">
      <c r="M78" s="19">
        <f>SUM(E75:U75)</f>
        <v>63</v>
      </c>
    </row>
  </sheetData>
  <mergeCells count="6">
    <mergeCell ref="L10:N10"/>
    <mergeCell ref="L11:N12"/>
    <mergeCell ref="S56:T57"/>
    <mergeCell ref="F56:G57"/>
    <mergeCell ref="S21:T22"/>
    <mergeCell ref="F21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X71"/>
  <sheetViews>
    <sheetView topLeftCell="G1" zoomScale="70" zoomScaleNormal="70" workbookViewId="0">
      <selection activeCell="K23" sqref="K23"/>
    </sheetView>
  </sheetViews>
  <sheetFormatPr defaultRowHeight="14.5" x14ac:dyDescent="0.35"/>
  <cols>
    <col min="3" max="3" width="27.81640625" customWidth="1"/>
    <col min="4" max="4" width="4.453125" customWidth="1"/>
    <col min="5" max="5" width="20.6328125" style="11" customWidth="1"/>
    <col min="6" max="6" width="4.54296875" customWidth="1"/>
    <col min="7" max="7" width="20.6328125" style="11" customWidth="1"/>
    <col min="8" max="8" width="4.54296875" customWidth="1"/>
    <col min="9" max="9" width="20.6328125" style="11" customWidth="1"/>
    <col min="10" max="10" width="4.54296875" customWidth="1"/>
    <col min="11" max="11" width="20.6328125" style="11" customWidth="1"/>
    <col min="13" max="13" width="20.6328125" customWidth="1"/>
    <col min="15" max="15" width="20.6328125" customWidth="1"/>
    <col min="16" max="16" width="4.54296875" customWidth="1"/>
    <col min="17" max="17" width="20.6328125" customWidth="1"/>
    <col min="18" max="18" width="4.54296875" customWidth="1"/>
    <col min="19" max="19" width="20.6328125" customWidth="1"/>
    <col min="20" max="20" width="4.54296875" customWidth="1"/>
    <col min="21" max="21" width="20.6328125" customWidth="1"/>
    <col min="22" max="22" width="4.54296875" customWidth="1"/>
    <col min="23" max="23" width="27.81640625" bestFit="1" customWidth="1"/>
    <col min="24" max="24" width="8.7265625" style="6" customWidth="1"/>
  </cols>
  <sheetData>
    <row r="4" spans="2:24" x14ac:dyDescent="0.35">
      <c r="C4" s="28" t="s">
        <v>78</v>
      </c>
      <c r="D4" s="11"/>
      <c r="E4" s="28" t="s">
        <v>79</v>
      </c>
      <c r="F4" s="11"/>
      <c r="G4" s="28" t="s">
        <v>80</v>
      </c>
      <c r="H4" s="11"/>
      <c r="I4" s="28" t="s">
        <v>81</v>
      </c>
      <c r="J4" s="11"/>
      <c r="K4" s="28" t="s">
        <v>82</v>
      </c>
      <c r="L4" s="11"/>
      <c r="M4" s="28" t="s">
        <v>8</v>
      </c>
      <c r="N4" s="11"/>
      <c r="O4" s="28" t="s">
        <v>82</v>
      </c>
      <c r="P4" s="11"/>
      <c r="Q4" s="28" t="s">
        <v>81</v>
      </c>
      <c r="R4" s="11"/>
      <c r="S4" s="28" t="s">
        <v>80</v>
      </c>
      <c r="T4" s="11"/>
      <c r="U4" s="28" t="s">
        <v>79</v>
      </c>
      <c r="V4" s="11"/>
      <c r="W4" s="28" t="s">
        <v>78</v>
      </c>
    </row>
    <row r="6" spans="2:24" x14ac:dyDescent="0.35">
      <c r="B6">
        <v>1</v>
      </c>
      <c r="C6" s="1" t="str">
        <f>VLOOKUP(B6, marchmadness_data!$C$2:$D$17, 2, FALSE)</f>
        <v>Auburn</v>
      </c>
      <c r="D6" s="15"/>
      <c r="O6" s="19"/>
      <c r="P6" s="19"/>
      <c r="Q6" s="19"/>
      <c r="R6" s="19"/>
      <c r="S6" s="19"/>
      <c r="T6" s="19"/>
      <c r="U6" s="19"/>
      <c r="V6" s="20"/>
      <c r="W6" s="7" t="str">
        <f>VLOOKUP(X6, marchmadness_data!$C$34:$D$49, 2, FALSE)</f>
        <v>Duke</v>
      </c>
      <c r="X6" s="6">
        <v>1</v>
      </c>
    </row>
    <row r="7" spans="2:24" x14ac:dyDescent="0.35">
      <c r="C7" s="3"/>
      <c r="D7" s="16"/>
      <c r="E7" s="13" t="s">
        <v>11</v>
      </c>
      <c r="F7" s="15"/>
      <c r="O7" s="19"/>
      <c r="P7" s="19"/>
      <c r="Q7" s="19"/>
      <c r="R7" s="19"/>
      <c r="S7" s="19"/>
      <c r="T7" s="20"/>
      <c r="U7" s="19" t="s">
        <v>45</v>
      </c>
      <c r="V7" s="19"/>
      <c r="W7" s="8"/>
    </row>
    <row r="8" spans="2:24" x14ac:dyDescent="0.35">
      <c r="B8">
        <v>16</v>
      </c>
      <c r="C8" s="2" t="str">
        <f>VLOOKUP(B8, marchmadness_data!$C$2:$D$17, 2, FALSE)</f>
        <v>Alabama State</v>
      </c>
      <c r="D8" s="15"/>
      <c r="E8" s="12"/>
      <c r="O8" s="19"/>
      <c r="P8" s="19"/>
      <c r="Q8" s="19"/>
      <c r="R8" s="19"/>
      <c r="S8" s="19"/>
      <c r="T8" s="19"/>
      <c r="U8" s="21"/>
      <c r="V8" s="22"/>
      <c r="W8" s="9" t="str">
        <f>VLOOKUP(X8, marchmadness_data!$C$34:$D$49, 2, FALSE)</f>
        <v>Mount St. Mary's</v>
      </c>
      <c r="X8" s="6">
        <v>16</v>
      </c>
    </row>
    <row r="9" spans="2:24" x14ac:dyDescent="0.35">
      <c r="D9" s="15"/>
      <c r="E9" s="17"/>
      <c r="F9" s="4"/>
      <c r="G9" s="13" t="s">
        <v>11</v>
      </c>
      <c r="H9" s="15"/>
      <c r="O9" s="19"/>
      <c r="P9" s="19"/>
      <c r="Q9" s="19"/>
      <c r="R9" s="20"/>
      <c r="S9" s="19" t="s">
        <v>45</v>
      </c>
      <c r="T9" s="19"/>
      <c r="U9" s="23"/>
      <c r="V9" s="19"/>
      <c r="W9" s="10"/>
    </row>
    <row r="10" spans="2:24" ht="23.5" customHeight="1" x14ac:dyDescent="0.35">
      <c r="B10">
        <v>8</v>
      </c>
      <c r="C10" s="1" t="str">
        <f>VLOOKUP(B10, marchmadness_data!$C$2:$D$17, 2, FALSE)</f>
        <v>Louisville</v>
      </c>
      <c r="D10" s="15"/>
      <c r="E10" s="17"/>
      <c r="G10" s="12"/>
      <c r="L10" s="37" t="s">
        <v>9</v>
      </c>
      <c r="M10" s="38"/>
      <c r="N10" s="38"/>
      <c r="O10" s="19"/>
      <c r="P10" s="19"/>
      <c r="Q10" s="19"/>
      <c r="R10" s="19"/>
      <c r="S10" s="21"/>
      <c r="T10" s="24"/>
      <c r="U10" s="23"/>
      <c r="V10" s="20"/>
      <c r="W10" s="7" t="str">
        <f>VLOOKUP(X10, marchmadness_data!$C$34:$D$49, 2, FALSE)</f>
        <v>Mississippi State</v>
      </c>
      <c r="X10" s="6">
        <v>8</v>
      </c>
    </row>
    <row r="11" spans="2:24" x14ac:dyDescent="0.35">
      <c r="C11" s="3"/>
      <c r="D11" s="16"/>
      <c r="E11" s="14" t="s">
        <v>19</v>
      </c>
      <c r="F11" s="15"/>
      <c r="G11" s="17"/>
      <c r="L11" s="39" t="s">
        <v>28</v>
      </c>
      <c r="M11" s="40"/>
      <c r="N11" s="41"/>
      <c r="O11" s="19"/>
      <c r="P11" s="19"/>
      <c r="Q11" s="19"/>
      <c r="R11" s="19"/>
      <c r="S11" s="23"/>
      <c r="T11" s="20"/>
      <c r="U11" s="25" t="s">
        <v>53</v>
      </c>
      <c r="V11" s="19"/>
      <c r="W11" s="8"/>
    </row>
    <row r="12" spans="2:24" x14ac:dyDescent="0.35">
      <c r="B12">
        <v>9</v>
      </c>
      <c r="C12" s="2" t="str">
        <f>VLOOKUP(B12, marchmadness_data!$C$2:$D$17, 2, FALSE)</f>
        <v>Creighton</v>
      </c>
      <c r="D12" s="15"/>
      <c r="G12" s="17"/>
      <c r="L12" s="42"/>
      <c r="M12" s="38"/>
      <c r="N12" s="43"/>
      <c r="O12" s="19"/>
      <c r="P12" s="19"/>
      <c r="Q12" s="19"/>
      <c r="R12" s="19"/>
      <c r="S12" s="23"/>
      <c r="T12" s="19"/>
      <c r="U12" s="26"/>
      <c r="V12" s="22"/>
      <c r="W12" s="9" t="str">
        <f>VLOOKUP(X12, marchmadness_data!$C$34:$D$49, 2, FALSE)</f>
        <v>Baylor</v>
      </c>
      <c r="X12" s="6">
        <v>9</v>
      </c>
    </row>
    <row r="13" spans="2:24" x14ac:dyDescent="0.35">
      <c r="D13" s="15"/>
      <c r="G13" s="17"/>
      <c r="O13" s="19"/>
      <c r="P13" s="19"/>
      <c r="Q13" s="19"/>
      <c r="R13" s="19"/>
      <c r="S13" s="23"/>
      <c r="T13" s="19"/>
      <c r="U13" s="19"/>
      <c r="V13" s="19"/>
      <c r="W13" s="10"/>
    </row>
    <row r="14" spans="2:24" x14ac:dyDescent="0.35">
      <c r="B14">
        <v>5</v>
      </c>
      <c r="C14" s="1" t="str">
        <f>VLOOKUP(B14, marchmadness_data!$C$2:$D$17, 2, FALSE)</f>
        <v>Michigan</v>
      </c>
      <c r="D14" s="15"/>
      <c r="G14" s="17"/>
      <c r="H14" s="4"/>
      <c r="I14" s="13" t="s">
        <v>11</v>
      </c>
      <c r="J14" s="15"/>
      <c r="O14" s="19"/>
      <c r="P14" s="20"/>
      <c r="Q14" s="19" t="s">
        <v>45</v>
      </c>
      <c r="R14" s="19"/>
      <c r="S14" s="23"/>
      <c r="T14" s="19"/>
      <c r="U14" s="19"/>
      <c r="V14" s="20"/>
      <c r="W14" s="7" t="str">
        <f>VLOOKUP(X14, marchmadness_data!$C$34:$D$49, 2, FALSE)</f>
        <v>Oregon</v>
      </c>
      <c r="X14" s="6">
        <v>5</v>
      </c>
    </row>
    <row r="15" spans="2:24" x14ac:dyDescent="0.35">
      <c r="C15" s="3"/>
      <c r="D15" s="16"/>
      <c r="E15" s="13" t="s">
        <v>15</v>
      </c>
      <c r="F15" s="15"/>
      <c r="G15" s="17"/>
      <c r="I15" s="12"/>
      <c r="O15" s="19"/>
      <c r="P15" s="19"/>
      <c r="Q15" s="21"/>
      <c r="R15" s="24"/>
      <c r="S15" s="23"/>
      <c r="T15" s="20"/>
      <c r="U15" s="19" t="s">
        <v>49</v>
      </c>
      <c r="V15" s="19"/>
      <c r="W15" s="8"/>
    </row>
    <row r="16" spans="2:24" x14ac:dyDescent="0.35">
      <c r="B16">
        <v>12</v>
      </c>
      <c r="C16" s="2" t="str">
        <f>VLOOKUP(B16, marchmadness_data!$C$2:$D$17, 2, FALSE)</f>
        <v>UC San Diego</v>
      </c>
      <c r="D16" s="15"/>
      <c r="E16" s="12"/>
      <c r="G16" s="17"/>
      <c r="I16" s="17"/>
      <c r="O16" s="19"/>
      <c r="P16" s="19"/>
      <c r="Q16" s="23"/>
      <c r="R16" s="19"/>
      <c r="S16" s="23"/>
      <c r="T16" s="19"/>
      <c r="U16" s="21"/>
      <c r="V16" s="22"/>
      <c r="W16" s="9" t="str">
        <f>VLOOKUP(X16, marchmadness_data!$C$34:$D$49, 2, FALSE)</f>
        <v>Liberty</v>
      </c>
      <c r="X16" s="6">
        <v>12</v>
      </c>
    </row>
    <row r="17" spans="2:24" x14ac:dyDescent="0.35">
      <c r="D17" s="15"/>
      <c r="E17" s="17"/>
      <c r="F17" s="4"/>
      <c r="G17" s="14" t="s">
        <v>15</v>
      </c>
      <c r="H17" s="15"/>
      <c r="I17" s="17"/>
      <c r="O17" s="19"/>
      <c r="P17" s="19"/>
      <c r="Q17" s="23"/>
      <c r="R17" s="20"/>
      <c r="S17" s="25" t="s">
        <v>48</v>
      </c>
      <c r="T17" s="19"/>
      <c r="U17" s="23"/>
      <c r="V17" s="19"/>
      <c r="W17" s="10"/>
    </row>
    <row r="18" spans="2:24" x14ac:dyDescent="0.35">
      <c r="B18">
        <v>4</v>
      </c>
      <c r="C18" s="1" t="str">
        <f>VLOOKUP(B18, marchmadness_data!$C$2:$D$17, 2, FALSE)</f>
        <v>Texas A&amp;M</v>
      </c>
      <c r="D18" s="15"/>
      <c r="E18" s="17"/>
      <c r="I18" s="17"/>
      <c r="O18" s="19"/>
      <c r="P18" s="19"/>
      <c r="Q18" s="23"/>
      <c r="R18" s="19"/>
      <c r="S18" s="26"/>
      <c r="T18" s="24"/>
      <c r="U18" s="23"/>
      <c r="V18" s="20"/>
      <c r="W18" s="7" t="str">
        <f>VLOOKUP(X18, marchmadness_data!$C$34:$D$49, 2, FALSE)</f>
        <v>Arizona</v>
      </c>
      <c r="X18" s="6">
        <v>4</v>
      </c>
    </row>
    <row r="19" spans="2:24" x14ac:dyDescent="0.35">
      <c r="C19" s="3"/>
      <c r="D19" s="16"/>
      <c r="E19" s="14" t="s">
        <v>14</v>
      </c>
      <c r="F19" s="15"/>
      <c r="I19" s="17"/>
      <c r="O19" s="19"/>
      <c r="P19" s="19"/>
      <c r="Q19" s="23"/>
      <c r="R19" s="19"/>
      <c r="S19" s="19"/>
      <c r="T19" s="20"/>
      <c r="U19" s="25" t="s">
        <v>48</v>
      </c>
      <c r="V19" s="19"/>
      <c r="W19" s="8"/>
    </row>
    <row r="20" spans="2:24" x14ac:dyDescent="0.35">
      <c r="B20">
        <v>13</v>
      </c>
      <c r="C20" s="2" t="str">
        <f>VLOOKUP(B20, marchmadness_data!$C$2:$D$17, 2, FALSE)</f>
        <v>Yale</v>
      </c>
      <c r="D20" s="15"/>
      <c r="I20" s="17"/>
      <c r="O20" s="19"/>
      <c r="P20" s="19"/>
      <c r="Q20" s="23"/>
      <c r="R20" s="19"/>
      <c r="S20" s="19"/>
      <c r="T20" s="19"/>
      <c r="U20" s="26"/>
      <c r="V20" s="22"/>
      <c r="W20" s="9" t="str">
        <f>VLOOKUP(X20, marchmadness_data!$C$34:$D$49, 2, FALSE)</f>
        <v>Akron</v>
      </c>
      <c r="X20" s="6">
        <v>13</v>
      </c>
    </row>
    <row r="21" spans="2:24" x14ac:dyDescent="0.35">
      <c r="D21" s="15"/>
      <c r="F21" s="44" t="str">
        <f>marchmadness_data!B2</f>
        <v>South</v>
      </c>
      <c r="G21" s="46"/>
      <c r="I21" s="17"/>
      <c r="O21" s="19"/>
      <c r="P21" s="19"/>
      <c r="Q21" s="23"/>
      <c r="R21" s="19"/>
      <c r="S21" s="44" t="str">
        <f>marchmadness_data!B34</f>
        <v>East</v>
      </c>
      <c r="T21" s="45"/>
      <c r="U21" s="19"/>
      <c r="V21" s="19"/>
      <c r="W21" s="10"/>
    </row>
    <row r="22" spans="2:24" x14ac:dyDescent="0.35">
      <c r="B22">
        <v>6</v>
      </c>
      <c r="C22" s="1" t="str">
        <f>VLOOKUP(B22, marchmadness_data!$C$2:$D$17, 2, FALSE)</f>
        <v>Ole Miss</v>
      </c>
      <c r="D22" s="15">
        <f>VLOOKUP(C22,marchmadness_data!$D$2:$J$17, 2, FALSE)</f>
        <v>0</v>
      </c>
      <c r="F22" s="45"/>
      <c r="G22" s="46"/>
      <c r="I22" s="17"/>
      <c r="O22" s="19"/>
      <c r="P22" s="19"/>
      <c r="Q22" s="23"/>
      <c r="R22" s="19"/>
      <c r="S22" s="45"/>
      <c r="T22" s="45"/>
      <c r="U22" s="19"/>
      <c r="V22" s="20">
        <f>VLOOKUP(W22,marchmadness_data!$D$34:$J$49, 2, FALSE)</f>
        <v>0</v>
      </c>
      <c r="W22" s="7" t="str">
        <f>VLOOKUP(X22, marchmadness_data!$C$34:$D$49, 2, FALSE)</f>
        <v>Brigham Young</v>
      </c>
      <c r="X22" s="6">
        <v>6</v>
      </c>
    </row>
    <row r="23" spans="2:24" x14ac:dyDescent="0.35">
      <c r="C23" s="3"/>
      <c r="D23" s="16"/>
      <c r="E23" s="13" t="s">
        <v>16</v>
      </c>
      <c r="F23" s="15"/>
      <c r="I23" s="17"/>
      <c r="J23" s="4"/>
      <c r="K23" s="13" t="s">
        <v>11</v>
      </c>
      <c r="L23" s="15"/>
      <c r="N23" s="15"/>
      <c r="O23" s="19" t="s">
        <v>45</v>
      </c>
      <c r="P23" s="19"/>
      <c r="Q23" s="23"/>
      <c r="R23" s="19"/>
      <c r="S23" s="19"/>
      <c r="T23" s="20"/>
      <c r="U23" s="19" t="s">
        <v>84</v>
      </c>
      <c r="V23" s="19"/>
      <c r="W23" s="8"/>
    </row>
    <row r="24" spans="2:24" x14ac:dyDescent="0.35">
      <c r="B24">
        <v>11</v>
      </c>
      <c r="C24" s="2" t="str">
        <f>VLOOKUP(B24, marchmadness_data!$C$2:$D$17, 2, FALSE)</f>
        <v>North Carolina</v>
      </c>
      <c r="D24" s="15"/>
      <c r="E24" s="12"/>
      <c r="I24" s="17"/>
      <c r="K24" s="12"/>
      <c r="O24" s="21"/>
      <c r="P24" s="24"/>
      <c r="Q24" s="23"/>
      <c r="R24" s="19"/>
      <c r="S24" s="19"/>
      <c r="T24" s="19"/>
      <c r="U24" s="21"/>
      <c r="V24" s="22"/>
      <c r="W24" s="9" t="str">
        <f>VLOOKUP(X24, marchmadness_data!$C$34:$D$49, 2, FALSE)</f>
        <v>VCU</v>
      </c>
      <c r="X24" s="6">
        <v>11</v>
      </c>
    </row>
    <row r="25" spans="2:24" x14ac:dyDescent="0.35">
      <c r="D25" s="15"/>
      <c r="E25" s="17"/>
      <c r="F25" s="4"/>
      <c r="G25" s="13" t="s">
        <v>16</v>
      </c>
      <c r="H25" s="15"/>
      <c r="I25" s="17"/>
      <c r="K25" s="17"/>
      <c r="O25" s="23"/>
      <c r="P25" s="19"/>
      <c r="Q25" s="23"/>
      <c r="R25" s="20"/>
      <c r="S25" s="19" t="s">
        <v>84</v>
      </c>
      <c r="T25" s="19"/>
      <c r="U25" s="23"/>
      <c r="V25" s="19"/>
      <c r="W25" s="10"/>
    </row>
    <row r="26" spans="2:24" x14ac:dyDescent="0.35">
      <c r="B26">
        <v>3</v>
      </c>
      <c r="C26" s="1" t="str">
        <f>VLOOKUP(B26, marchmadness_data!$C$2:$D$17, 2, FALSE)</f>
        <v>Iowa State</v>
      </c>
      <c r="D26" s="15"/>
      <c r="E26" s="17"/>
      <c r="G26" s="12"/>
      <c r="I26" s="17"/>
      <c r="K26" s="17"/>
      <c r="O26" s="23"/>
      <c r="P26" s="19"/>
      <c r="Q26" s="23"/>
      <c r="R26" s="19"/>
      <c r="S26" s="21"/>
      <c r="T26" s="24"/>
      <c r="U26" s="23"/>
      <c r="V26" s="20"/>
      <c r="W26" s="7" t="str">
        <f>VLOOKUP(X26, marchmadness_data!$C$34:$D$49, 2, FALSE)</f>
        <v>Wisconsin</v>
      </c>
      <c r="X26" s="6">
        <v>3</v>
      </c>
    </row>
    <row r="27" spans="2:24" x14ac:dyDescent="0.35">
      <c r="C27" s="3"/>
      <c r="D27" s="16"/>
      <c r="E27" s="14" t="s">
        <v>13</v>
      </c>
      <c r="F27" s="15"/>
      <c r="G27" s="17"/>
      <c r="I27" s="17"/>
      <c r="K27" s="17"/>
      <c r="O27" s="23"/>
      <c r="P27" s="19"/>
      <c r="Q27" s="23"/>
      <c r="R27" s="19"/>
      <c r="S27" s="23"/>
      <c r="T27" s="20"/>
      <c r="U27" s="25" t="s">
        <v>47</v>
      </c>
      <c r="V27" s="19"/>
      <c r="W27" s="8"/>
    </row>
    <row r="28" spans="2:24" x14ac:dyDescent="0.35">
      <c r="B28">
        <v>14</v>
      </c>
      <c r="C28" s="2" t="str">
        <f>VLOOKUP(B28, marchmadness_data!$C$2:$D$17, 2, FALSE)</f>
        <v>Lipscomb</v>
      </c>
      <c r="D28" s="15"/>
      <c r="G28" s="17"/>
      <c r="I28" s="17"/>
      <c r="K28" s="17"/>
      <c r="O28" s="23"/>
      <c r="P28" s="19"/>
      <c r="Q28" s="23"/>
      <c r="R28" s="19"/>
      <c r="S28" s="23"/>
      <c r="T28" s="19"/>
      <c r="U28" s="26"/>
      <c r="V28" s="22"/>
      <c r="W28" s="9" t="str">
        <f>VLOOKUP(X28, marchmadness_data!$C$34:$D$49, 2, FALSE)</f>
        <v>Montana</v>
      </c>
      <c r="X28" s="6">
        <v>14</v>
      </c>
    </row>
    <row r="29" spans="2:24" x14ac:dyDescent="0.35">
      <c r="D29" s="15"/>
      <c r="G29" s="17"/>
      <c r="I29" s="17"/>
      <c r="K29" s="17"/>
      <c r="O29" s="23"/>
      <c r="P29" s="19"/>
      <c r="Q29" s="23"/>
      <c r="R29" s="19"/>
      <c r="S29" s="23"/>
      <c r="T29" s="19"/>
      <c r="U29" s="19"/>
      <c r="V29" s="19"/>
      <c r="W29" s="10"/>
    </row>
    <row r="30" spans="2:24" x14ac:dyDescent="0.35">
      <c r="B30">
        <v>7</v>
      </c>
      <c r="C30" s="1" t="str">
        <f>VLOOKUP(B30, marchmadness_data!$C$2:$D$17, 2, FALSE)</f>
        <v>Marquette</v>
      </c>
      <c r="D30" s="15"/>
      <c r="G30" s="17"/>
      <c r="H30" s="4"/>
      <c r="I30" s="14" t="s">
        <v>12</v>
      </c>
      <c r="J30" s="15"/>
      <c r="K30" s="17"/>
      <c r="O30" s="23"/>
      <c r="P30" s="20"/>
      <c r="Q30" s="25" t="s">
        <v>46</v>
      </c>
      <c r="R30" s="19"/>
      <c r="S30" s="23"/>
      <c r="T30" s="19"/>
      <c r="U30" s="19"/>
      <c r="V30" s="20"/>
      <c r="W30" s="7" t="str">
        <f>VLOOKUP(X30, marchmadness_data!$C$34:$D$49, 2, FALSE)</f>
        <v>St. Mary's (CA)</v>
      </c>
      <c r="X30" s="6">
        <v>7</v>
      </c>
    </row>
    <row r="31" spans="2:24" x14ac:dyDescent="0.35">
      <c r="C31" s="3"/>
      <c r="D31" s="16"/>
      <c r="E31" s="13" t="s">
        <v>20</v>
      </c>
      <c r="F31" s="15"/>
      <c r="G31" s="17"/>
      <c r="K31" s="17"/>
      <c r="O31" s="23"/>
      <c r="P31" s="19"/>
      <c r="Q31" s="26"/>
      <c r="R31" s="24"/>
      <c r="S31" s="23"/>
      <c r="T31" s="20"/>
      <c r="U31" s="19" t="s">
        <v>85</v>
      </c>
      <c r="V31" s="19"/>
      <c r="W31" s="8"/>
    </row>
    <row r="32" spans="2:24" x14ac:dyDescent="0.35">
      <c r="B32">
        <v>10</v>
      </c>
      <c r="C32" s="2" t="str">
        <f>VLOOKUP(B32, marchmadness_data!$C$2:$D$17, 2, FALSE)</f>
        <v>New Mexico</v>
      </c>
      <c r="D32" s="15"/>
      <c r="E32" s="12"/>
      <c r="G32" s="17"/>
      <c r="K32" s="17"/>
      <c r="O32" s="23"/>
      <c r="P32" s="19"/>
      <c r="Q32" s="19"/>
      <c r="R32" s="19"/>
      <c r="S32" s="23"/>
      <c r="T32" s="19"/>
      <c r="U32" s="21"/>
      <c r="V32" s="22"/>
      <c r="W32" s="9" t="str">
        <f>VLOOKUP(X32, marchmadness_data!$C$34:$D$49, 2, FALSE)</f>
        <v>Vanderbilt</v>
      </c>
      <c r="X32" s="6">
        <v>10</v>
      </c>
    </row>
    <row r="33" spans="2:24" x14ac:dyDescent="0.35">
      <c r="D33" s="15"/>
      <c r="E33" s="17"/>
      <c r="F33" s="4"/>
      <c r="G33" s="14" t="s">
        <v>12</v>
      </c>
      <c r="H33" s="15"/>
      <c r="K33" s="17"/>
      <c r="O33" s="23"/>
      <c r="P33" s="19"/>
      <c r="Q33" s="19"/>
      <c r="R33" s="20"/>
      <c r="S33" s="25" t="s">
        <v>46</v>
      </c>
      <c r="T33" s="19"/>
      <c r="U33" s="23"/>
      <c r="V33" s="19"/>
      <c r="W33" s="10"/>
    </row>
    <row r="34" spans="2:24" x14ac:dyDescent="0.35">
      <c r="B34">
        <v>2</v>
      </c>
      <c r="C34" s="1" t="str">
        <f>VLOOKUP(B34, marchmadness_data!$C$2:$D$17, 2, FALSE)</f>
        <v>Michigan State</v>
      </c>
      <c r="D34" s="15"/>
      <c r="E34" s="17"/>
      <c r="K34" s="17"/>
      <c r="O34" s="23"/>
      <c r="P34" s="19"/>
      <c r="Q34" s="19"/>
      <c r="R34" s="19"/>
      <c r="S34" s="26"/>
      <c r="T34" s="24"/>
      <c r="U34" s="23"/>
      <c r="V34" s="20"/>
      <c r="W34" s="7" t="str">
        <f>VLOOKUP(X34, marchmadness_data!$C$34:$D$49, 2, FALSE)</f>
        <v>Alabama</v>
      </c>
      <c r="X34" s="6">
        <v>2</v>
      </c>
    </row>
    <row r="35" spans="2:24" x14ac:dyDescent="0.35">
      <c r="C35" s="3"/>
      <c r="D35" s="16"/>
      <c r="E35" s="14" t="s">
        <v>12</v>
      </c>
      <c r="F35" s="15"/>
      <c r="K35" s="17"/>
      <c r="L35" s="4"/>
      <c r="M35" s="18" t="s">
        <v>28</v>
      </c>
      <c r="O35" s="23"/>
      <c r="P35" s="19"/>
      <c r="Q35" s="19"/>
      <c r="R35" s="19"/>
      <c r="S35" s="19"/>
      <c r="T35" s="20"/>
      <c r="U35" s="25" t="s">
        <v>46</v>
      </c>
      <c r="V35" s="19"/>
      <c r="W35" s="8"/>
    </row>
    <row r="36" spans="2:24" x14ac:dyDescent="0.35">
      <c r="B36">
        <v>15</v>
      </c>
      <c r="C36" s="2" t="str">
        <f>VLOOKUP(B36, marchmadness_data!$C$2:$D$17, 2, FALSE)</f>
        <v>Bryant</v>
      </c>
      <c r="D36" s="15"/>
      <c r="K36" s="17"/>
      <c r="M36" s="15"/>
      <c r="O36" s="23"/>
      <c r="P36" s="19"/>
      <c r="Q36" s="19"/>
      <c r="R36" s="19"/>
      <c r="S36" s="19"/>
      <c r="T36" s="19"/>
      <c r="U36" s="26"/>
      <c r="V36" s="22"/>
      <c r="W36" s="9" t="str">
        <f>VLOOKUP(X36, marchmadness_data!$C$34:$D$49, 2, FALSE)</f>
        <v>Robert Morris</v>
      </c>
      <c r="X36" s="6">
        <v>15</v>
      </c>
    </row>
    <row r="37" spans="2:24" x14ac:dyDescent="0.35">
      <c r="K37" s="17"/>
      <c r="O37" s="23"/>
      <c r="P37" s="19"/>
      <c r="Q37" s="19"/>
      <c r="R37" s="19"/>
      <c r="S37" s="19"/>
      <c r="T37" s="19"/>
      <c r="U37" s="19"/>
      <c r="V37" s="19"/>
      <c r="W37" s="10"/>
    </row>
    <row r="38" spans="2:24" x14ac:dyDescent="0.35">
      <c r="K38" s="17"/>
      <c r="O38" s="23"/>
      <c r="P38" s="19"/>
      <c r="Q38" s="19"/>
      <c r="R38" s="19"/>
      <c r="S38" s="19"/>
      <c r="T38" s="19"/>
      <c r="U38" s="19"/>
      <c r="V38" s="19"/>
      <c r="W38" s="10"/>
    </row>
    <row r="39" spans="2:24" x14ac:dyDescent="0.35">
      <c r="K39" s="17"/>
      <c r="O39" s="23"/>
      <c r="P39" s="19"/>
      <c r="Q39" s="19"/>
      <c r="R39" s="19"/>
      <c r="S39" s="19"/>
      <c r="T39" s="19"/>
      <c r="U39" s="19"/>
      <c r="V39" s="19"/>
      <c r="W39" s="10"/>
    </row>
    <row r="40" spans="2:24" x14ac:dyDescent="0.35">
      <c r="K40" s="17"/>
      <c r="O40" s="23"/>
      <c r="P40" s="19"/>
      <c r="Q40" s="19"/>
      <c r="R40" s="19"/>
      <c r="S40" s="19"/>
      <c r="T40" s="19"/>
      <c r="U40" s="19"/>
      <c r="V40" s="19"/>
      <c r="W40" s="10"/>
    </row>
    <row r="41" spans="2:24" x14ac:dyDescent="0.35">
      <c r="B41">
        <v>1</v>
      </c>
      <c r="C41" s="1" t="str">
        <f>VLOOKUP(B41, marchmadness_data!$C$18:$D$33, 2, FALSE)</f>
        <v>Florida</v>
      </c>
      <c r="D41" s="15"/>
      <c r="K41" s="17"/>
      <c r="O41" s="23"/>
      <c r="P41" s="19"/>
      <c r="Q41" s="19"/>
      <c r="R41" s="19"/>
      <c r="S41" s="19"/>
      <c r="T41" s="19"/>
      <c r="U41" s="19"/>
      <c r="V41" s="20"/>
      <c r="W41" s="7" t="str">
        <f>VLOOKUP(X41, marchmadness_data!$C$50:$D$65, 2, FALSE)</f>
        <v>Houston</v>
      </c>
      <c r="X41" s="6">
        <v>1</v>
      </c>
    </row>
    <row r="42" spans="2:24" x14ac:dyDescent="0.35">
      <c r="C42" s="3"/>
      <c r="D42" s="4"/>
      <c r="E42" s="13" t="s">
        <v>28</v>
      </c>
      <c r="F42" s="15"/>
      <c r="K42" s="17"/>
      <c r="O42" s="23"/>
      <c r="P42" s="19"/>
      <c r="Q42" s="19"/>
      <c r="R42" s="19"/>
      <c r="S42" s="19"/>
      <c r="T42" s="20"/>
      <c r="U42" s="19" t="s">
        <v>62</v>
      </c>
      <c r="V42" s="19"/>
      <c r="W42" s="8"/>
    </row>
    <row r="43" spans="2:24" x14ac:dyDescent="0.35">
      <c r="B43">
        <v>16</v>
      </c>
      <c r="C43" s="2" t="str">
        <f>VLOOKUP(B43, marchmadness_data!$C$18:$D$33, 2, FALSE)</f>
        <v>Norfolk State</v>
      </c>
      <c r="D43" s="15"/>
      <c r="E43" s="12"/>
      <c r="K43" s="17"/>
      <c r="O43" s="23"/>
      <c r="P43" s="19"/>
      <c r="Q43" s="19"/>
      <c r="R43" s="19"/>
      <c r="S43" s="19"/>
      <c r="T43" s="19"/>
      <c r="U43" s="21"/>
      <c r="V43" s="22"/>
      <c r="W43" s="9" t="str">
        <f>VLOOKUP(X43, marchmadness_data!$C$50:$D$65, 2, FALSE)</f>
        <v>SIU-Edwardsville</v>
      </c>
      <c r="X43" s="6">
        <v>16</v>
      </c>
    </row>
    <row r="44" spans="2:24" x14ac:dyDescent="0.35">
      <c r="E44" s="17"/>
      <c r="F44" s="4"/>
      <c r="G44" s="13" t="s">
        <v>28</v>
      </c>
      <c r="H44" s="15"/>
      <c r="K44" s="17"/>
      <c r="O44" s="23"/>
      <c r="P44" s="19"/>
      <c r="Q44" s="19"/>
      <c r="R44" s="20"/>
      <c r="S44" s="19" t="s">
        <v>62</v>
      </c>
      <c r="T44" s="19"/>
      <c r="U44" s="23"/>
      <c r="V44" s="19"/>
      <c r="W44" s="10"/>
    </row>
    <row r="45" spans="2:24" x14ac:dyDescent="0.35">
      <c r="B45">
        <v>8</v>
      </c>
      <c r="C45" s="1" t="str">
        <f>VLOOKUP(B45, marchmadness_data!$C$18:$D$33, 2, FALSE)</f>
        <v>Connecticut</v>
      </c>
      <c r="D45" s="15"/>
      <c r="E45" s="17"/>
      <c r="G45" s="12"/>
      <c r="K45" s="17"/>
      <c r="O45" s="23"/>
      <c r="P45" s="19"/>
      <c r="Q45" s="19"/>
      <c r="R45" s="19"/>
      <c r="S45" s="21"/>
      <c r="T45" s="24"/>
      <c r="U45" s="23"/>
      <c r="V45" s="20"/>
      <c r="W45" s="7" t="str">
        <f>VLOOKUP(X45, marchmadness_data!$C$50:$D$65, 2, FALSE)</f>
        <v>Gonzaga</v>
      </c>
      <c r="X45" s="6">
        <v>8</v>
      </c>
    </row>
    <row r="46" spans="2:24" x14ac:dyDescent="0.35">
      <c r="C46" s="3"/>
      <c r="D46" s="4"/>
      <c r="E46" s="14" t="s">
        <v>35</v>
      </c>
      <c r="F46" s="15"/>
      <c r="G46" s="17"/>
      <c r="K46" s="17"/>
      <c r="M46" s="19" t="s">
        <v>62</v>
      </c>
      <c r="O46" s="23"/>
      <c r="P46" s="19"/>
      <c r="Q46" s="19"/>
      <c r="R46" s="19"/>
      <c r="S46" s="23"/>
      <c r="T46" s="20"/>
      <c r="U46" s="25" t="s">
        <v>69</v>
      </c>
      <c r="V46" s="19"/>
      <c r="W46" s="8"/>
    </row>
    <row r="47" spans="2:24" x14ac:dyDescent="0.35">
      <c r="B47">
        <v>9</v>
      </c>
      <c r="C47" s="2" t="str">
        <f>VLOOKUP(B47, marchmadness_data!$C$18:$D$33, 2, FALSE)</f>
        <v>Oklahoma</v>
      </c>
      <c r="D47" s="15"/>
      <c r="G47" s="17"/>
      <c r="K47" s="17"/>
      <c r="M47" s="27"/>
      <c r="N47" s="5"/>
      <c r="O47" s="23"/>
      <c r="P47" s="19"/>
      <c r="Q47" s="19"/>
      <c r="R47" s="19"/>
      <c r="S47" s="23"/>
      <c r="T47" s="19"/>
      <c r="U47" s="26"/>
      <c r="V47" s="22"/>
      <c r="W47" s="9" t="str">
        <f>VLOOKUP(X47, marchmadness_data!$C$50:$D$65, 2, FALSE)</f>
        <v>Georgia</v>
      </c>
      <c r="X47" s="6">
        <v>9</v>
      </c>
    </row>
    <row r="48" spans="2:24" x14ac:dyDescent="0.35">
      <c r="G48" s="17"/>
      <c r="K48" s="17"/>
      <c r="O48" s="23"/>
      <c r="P48" s="19"/>
      <c r="Q48" s="19"/>
      <c r="R48" s="19"/>
      <c r="S48" s="23"/>
      <c r="T48" s="19"/>
      <c r="U48" s="19"/>
      <c r="V48" s="19"/>
      <c r="W48" s="10"/>
    </row>
    <row r="49" spans="2:24" x14ac:dyDescent="0.35">
      <c r="B49">
        <v>5</v>
      </c>
      <c r="C49" s="1" t="str">
        <f>VLOOKUP(B49, marchmadness_data!$C$18:$D$33, 2, FALSE)</f>
        <v>Memphis</v>
      </c>
      <c r="D49" s="15"/>
      <c r="G49" s="17"/>
      <c r="H49" s="4"/>
      <c r="I49" s="13" t="s">
        <v>28</v>
      </c>
      <c r="J49" s="15"/>
      <c r="K49" s="17"/>
      <c r="O49" s="23"/>
      <c r="P49" s="20"/>
      <c r="Q49" s="19" t="s">
        <v>62</v>
      </c>
      <c r="R49" s="19"/>
      <c r="S49" s="23"/>
      <c r="T49" s="19"/>
      <c r="U49" s="19"/>
      <c r="V49" s="20"/>
      <c r="W49" s="7" t="str">
        <f>VLOOKUP(X49, marchmadness_data!$C$50:$D$65, 2, FALSE)</f>
        <v>Clemson</v>
      </c>
      <c r="X49" s="6">
        <v>5</v>
      </c>
    </row>
    <row r="50" spans="2:24" x14ac:dyDescent="0.35">
      <c r="C50" s="3"/>
      <c r="D50" s="4"/>
      <c r="E50" s="13" t="s">
        <v>39</v>
      </c>
      <c r="F50" s="15"/>
      <c r="G50" s="17"/>
      <c r="I50" s="12"/>
      <c r="K50" s="17"/>
      <c r="O50" s="23"/>
      <c r="P50" s="19"/>
      <c r="Q50" s="21"/>
      <c r="R50" s="24"/>
      <c r="S50" s="23"/>
      <c r="T50" s="20"/>
      <c r="U50" s="19" t="s">
        <v>73</v>
      </c>
      <c r="V50" s="19"/>
      <c r="W50" s="8"/>
    </row>
    <row r="51" spans="2:24" x14ac:dyDescent="0.35">
      <c r="B51">
        <v>12</v>
      </c>
      <c r="C51" s="2" t="str">
        <f>VLOOKUP(B51, marchmadness_data!$C$18:$D$33, 2, FALSE)</f>
        <v>Colorado State</v>
      </c>
      <c r="D51" s="15"/>
      <c r="E51" s="12"/>
      <c r="G51" s="17"/>
      <c r="I51" s="17"/>
      <c r="K51" s="17"/>
      <c r="O51" s="23"/>
      <c r="P51" s="19"/>
      <c r="Q51" s="23"/>
      <c r="R51" s="19"/>
      <c r="S51" s="23"/>
      <c r="T51" s="19"/>
      <c r="U51" s="21"/>
      <c r="V51" s="22"/>
      <c r="W51" s="9" t="str">
        <f>VLOOKUP(X51, marchmadness_data!$C$50:$D$65, 2, FALSE)</f>
        <v>McNeese State</v>
      </c>
      <c r="X51" s="6">
        <v>12</v>
      </c>
    </row>
    <row r="52" spans="2:24" x14ac:dyDescent="0.35">
      <c r="E52" s="17"/>
      <c r="F52" s="4"/>
      <c r="G52" s="14" t="s">
        <v>31</v>
      </c>
      <c r="H52" s="15"/>
      <c r="I52" s="17"/>
      <c r="K52" s="17"/>
      <c r="O52" s="23"/>
      <c r="P52" s="19"/>
      <c r="Q52" s="23"/>
      <c r="R52" s="20"/>
      <c r="S52" s="25" t="s">
        <v>65</v>
      </c>
      <c r="T52" s="19"/>
      <c r="U52" s="23"/>
      <c r="V52" s="19"/>
      <c r="W52" s="10"/>
    </row>
    <row r="53" spans="2:24" x14ac:dyDescent="0.35">
      <c r="B53">
        <v>4</v>
      </c>
      <c r="C53" s="1" t="str">
        <f>VLOOKUP(B53, marchmadness_data!$C$18:$D$33, 2, FALSE)</f>
        <v>Maryland</v>
      </c>
      <c r="D53" s="15"/>
      <c r="E53" s="17"/>
      <c r="I53" s="17"/>
      <c r="K53" s="17"/>
      <c r="O53" s="23"/>
      <c r="P53" s="19"/>
      <c r="Q53" s="23"/>
      <c r="R53" s="19"/>
      <c r="S53" s="26"/>
      <c r="T53" s="24"/>
      <c r="U53" s="23"/>
      <c r="V53" s="20"/>
      <c r="W53" s="7" t="str">
        <f>VLOOKUP(X53, marchmadness_data!$C$50:$D$65, 2, FALSE)</f>
        <v>Purdue</v>
      </c>
      <c r="X53" s="6">
        <v>4</v>
      </c>
    </row>
    <row r="54" spans="2:24" x14ac:dyDescent="0.35">
      <c r="C54" s="3"/>
      <c r="D54" s="4"/>
      <c r="E54" s="14" t="s">
        <v>31</v>
      </c>
      <c r="F54" s="15"/>
      <c r="I54" s="17"/>
      <c r="K54" s="17"/>
      <c r="O54" s="23"/>
      <c r="P54" s="19"/>
      <c r="Q54" s="23"/>
      <c r="R54" s="19"/>
      <c r="S54" s="19"/>
      <c r="T54" s="20"/>
      <c r="U54" s="25" t="s">
        <v>65</v>
      </c>
      <c r="V54" s="19"/>
      <c r="W54" s="8"/>
    </row>
    <row r="55" spans="2:24" x14ac:dyDescent="0.35">
      <c r="B55">
        <v>13</v>
      </c>
      <c r="C55" s="2" t="str">
        <f>VLOOKUP(B55, marchmadness_data!$C$18:$D$33, 2, FALSE)</f>
        <v>Grand Canyon</v>
      </c>
      <c r="D55" s="15"/>
      <c r="I55" s="17"/>
      <c r="K55" s="17"/>
      <c r="O55" s="23"/>
      <c r="P55" s="19"/>
      <c r="Q55" s="23"/>
      <c r="R55" s="19"/>
      <c r="S55" s="19"/>
      <c r="T55" s="19"/>
      <c r="U55" s="26"/>
      <c r="V55" s="22"/>
      <c r="W55" s="9" t="str">
        <f>VLOOKUP(X55, marchmadness_data!$C$50:$D$65, 2, FALSE)</f>
        <v>High Point</v>
      </c>
      <c r="X55" s="6">
        <v>13</v>
      </c>
    </row>
    <row r="56" spans="2:24" x14ac:dyDescent="0.35">
      <c r="F56" s="44" t="str">
        <f>marchmadness_data!B18</f>
        <v>West</v>
      </c>
      <c r="G56" s="46"/>
      <c r="I56" s="17"/>
      <c r="K56" s="17"/>
      <c r="O56" s="23"/>
      <c r="P56" s="19"/>
      <c r="Q56" s="23"/>
      <c r="R56" s="19"/>
      <c r="S56" s="44" t="str">
        <f>marchmadness_data!B50</f>
        <v>Midwest</v>
      </c>
      <c r="T56" s="45"/>
      <c r="U56" s="19"/>
      <c r="V56" s="19"/>
      <c r="W56" s="10"/>
    </row>
    <row r="57" spans="2:24" x14ac:dyDescent="0.35">
      <c r="B57">
        <v>6</v>
      </c>
      <c r="C57" s="1" t="str">
        <f>VLOOKUP(B57, marchmadness_data!$C$18:$D$33, 2, FALSE)</f>
        <v>Missouri</v>
      </c>
      <c r="D57" s="15">
        <f>VLOOKUP(C57,marchmadness_data!$D$18:$J$33, 2, FALSE)</f>
        <v>1</v>
      </c>
      <c r="F57" s="45"/>
      <c r="G57" s="46"/>
      <c r="I57" s="17"/>
      <c r="K57" s="17"/>
      <c r="O57" s="23"/>
      <c r="P57" s="19"/>
      <c r="Q57" s="23"/>
      <c r="R57" s="19"/>
      <c r="S57" s="45"/>
      <c r="T57" s="45"/>
      <c r="U57" s="19"/>
      <c r="V57" s="20">
        <f>VLOOKUP(W57,marchmadness_data!$D$50:$J$65, 2, FALSE)</f>
        <v>0</v>
      </c>
      <c r="W57" s="7" t="str">
        <f>VLOOKUP(X57, marchmadness_data!$C$50:$D$65, 2, FALSE)</f>
        <v>Illinois</v>
      </c>
      <c r="X57" s="6">
        <v>6</v>
      </c>
    </row>
    <row r="58" spans="2:24" x14ac:dyDescent="0.35">
      <c r="C58" s="3"/>
      <c r="D58" s="4"/>
      <c r="E58" s="13" t="s">
        <v>38</v>
      </c>
      <c r="F58" s="15"/>
      <c r="I58" s="17"/>
      <c r="J58" s="4"/>
      <c r="K58" s="14" t="s">
        <v>28</v>
      </c>
      <c r="L58" s="15"/>
      <c r="N58" s="15"/>
      <c r="O58" s="25" t="s">
        <v>62</v>
      </c>
      <c r="P58" s="19"/>
      <c r="Q58" s="23"/>
      <c r="R58" s="19"/>
      <c r="S58" s="19"/>
      <c r="T58" s="20"/>
      <c r="U58" s="19" t="s">
        <v>67</v>
      </c>
      <c r="V58" s="19"/>
      <c r="W58" s="8"/>
    </row>
    <row r="59" spans="2:24" x14ac:dyDescent="0.35">
      <c r="B59">
        <v>11</v>
      </c>
      <c r="C59" s="2" t="str">
        <f>VLOOKUP(B59, marchmadness_data!$C$18:$D$33, 2, FALSE)</f>
        <v>Drake</v>
      </c>
      <c r="D59" s="15"/>
      <c r="E59" s="12"/>
      <c r="I59" s="17"/>
      <c r="O59" s="26"/>
      <c r="P59" s="24"/>
      <c r="Q59" s="23"/>
      <c r="R59" s="19"/>
      <c r="S59" s="19"/>
      <c r="T59" s="19"/>
      <c r="U59" s="21"/>
      <c r="V59" s="22"/>
      <c r="W59" s="9" t="str">
        <f>VLOOKUP(X59, marchmadness_data!$C$50:$D$65, 2, FALSE)</f>
        <v>Xavier</v>
      </c>
      <c r="X59" s="6">
        <v>11</v>
      </c>
    </row>
    <row r="60" spans="2:24" x14ac:dyDescent="0.35">
      <c r="E60" s="17"/>
      <c r="F60" s="4"/>
      <c r="G60" s="13" t="s">
        <v>30</v>
      </c>
      <c r="H60" s="15"/>
      <c r="I60" s="17"/>
      <c r="O60" s="19"/>
      <c r="P60" s="19"/>
      <c r="Q60" s="23"/>
      <c r="R60" s="20"/>
      <c r="S60" s="19" t="s">
        <v>64</v>
      </c>
      <c r="T60" s="19"/>
      <c r="U60" s="23"/>
      <c r="V60" s="19"/>
      <c r="W60" s="10"/>
    </row>
    <row r="61" spans="2:24" x14ac:dyDescent="0.35">
      <c r="B61">
        <v>3</v>
      </c>
      <c r="C61" s="1" t="str">
        <f>VLOOKUP(B61, marchmadness_data!$C$18:$D$33, 2, FALSE)</f>
        <v>Texas Tech</v>
      </c>
      <c r="D61" s="15"/>
      <c r="E61" s="17"/>
      <c r="G61" s="12"/>
      <c r="I61" s="17"/>
      <c r="O61" s="19"/>
      <c r="P61" s="19"/>
      <c r="Q61" s="23"/>
      <c r="R61" s="19"/>
      <c r="S61" s="21"/>
      <c r="T61" s="24"/>
      <c r="U61" s="23"/>
      <c r="V61" s="20"/>
      <c r="W61" s="7" t="str">
        <f>VLOOKUP(X61, marchmadness_data!$C$50:$D$65, 2, FALSE)</f>
        <v>Kentucky</v>
      </c>
      <c r="X61" s="6">
        <v>3</v>
      </c>
    </row>
    <row r="62" spans="2:24" x14ac:dyDescent="0.35">
      <c r="C62" s="3"/>
      <c r="D62" s="4"/>
      <c r="E62" s="14" t="s">
        <v>30</v>
      </c>
      <c r="F62" s="15"/>
      <c r="G62" s="17"/>
      <c r="I62" s="17"/>
      <c r="O62" s="19"/>
      <c r="P62" s="19"/>
      <c r="Q62" s="23"/>
      <c r="R62" s="19"/>
      <c r="S62" s="23"/>
      <c r="T62" s="20"/>
      <c r="U62" s="25" t="s">
        <v>64</v>
      </c>
      <c r="V62" s="19"/>
      <c r="W62" s="8"/>
    </row>
    <row r="63" spans="2:24" x14ac:dyDescent="0.35">
      <c r="B63">
        <v>14</v>
      </c>
      <c r="C63" s="2" t="str">
        <f>VLOOKUP(B63, marchmadness_data!$C$18:$D$33, 2, FALSE)</f>
        <v>UNC Wilmington</v>
      </c>
      <c r="D63" s="15"/>
      <c r="G63" s="17"/>
      <c r="I63" s="17"/>
      <c r="O63" s="19"/>
      <c r="P63" s="19"/>
      <c r="Q63" s="23"/>
      <c r="R63" s="19"/>
      <c r="S63" s="23"/>
      <c r="T63" s="19"/>
      <c r="U63" s="26"/>
      <c r="V63" s="22"/>
      <c r="W63" s="9" t="str">
        <f>VLOOKUP(X63, marchmadness_data!$C$50:$D$65, 2, FALSE)</f>
        <v>Troy</v>
      </c>
      <c r="X63" s="6">
        <v>14</v>
      </c>
    </row>
    <row r="64" spans="2:24" x14ac:dyDescent="0.35">
      <c r="G64" s="17"/>
      <c r="I64" s="17"/>
      <c r="O64" s="19"/>
      <c r="P64" s="19"/>
      <c r="Q64" s="23"/>
      <c r="R64" s="19"/>
      <c r="S64" s="23"/>
      <c r="T64" s="19"/>
      <c r="U64" s="19"/>
      <c r="V64" s="19"/>
      <c r="W64" s="10"/>
    </row>
    <row r="65" spans="2:24" x14ac:dyDescent="0.35">
      <c r="B65">
        <v>7</v>
      </c>
      <c r="C65" s="1" t="str">
        <f>VLOOKUP(B65, marchmadness_data!$C$18:$D$33, 2, FALSE)</f>
        <v>Kansas</v>
      </c>
      <c r="D65" s="15"/>
      <c r="G65" s="17"/>
      <c r="H65" s="4"/>
      <c r="I65" s="14" t="s">
        <v>30</v>
      </c>
      <c r="J65" s="15"/>
      <c r="O65" s="19"/>
      <c r="P65" s="20"/>
      <c r="Q65" s="25" t="s">
        <v>63</v>
      </c>
      <c r="R65" s="19"/>
      <c r="S65" s="23"/>
      <c r="T65" s="19"/>
      <c r="U65" s="19"/>
      <c r="V65" s="20"/>
      <c r="W65" s="7" t="str">
        <f>VLOOKUP(X65, marchmadness_data!$C$50:$D$65, 2, FALSE)</f>
        <v>UCLA</v>
      </c>
      <c r="X65" s="6">
        <v>7</v>
      </c>
    </row>
    <row r="66" spans="2:24" x14ac:dyDescent="0.35">
      <c r="C66" s="3"/>
      <c r="D66" s="4"/>
      <c r="E66" s="13" t="s">
        <v>37</v>
      </c>
      <c r="F66" s="15"/>
      <c r="G66" s="17"/>
      <c r="O66" s="19"/>
      <c r="P66" s="19"/>
      <c r="Q66" s="26"/>
      <c r="R66" s="24"/>
      <c r="S66" s="23"/>
      <c r="T66" s="20"/>
      <c r="U66" s="19" t="s">
        <v>68</v>
      </c>
      <c r="V66" s="19"/>
      <c r="W66" s="8"/>
    </row>
    <row r="67" spans="2:24" x14ac:dyDescent="0.35">
      <c r="B67">
        <v>10</v>
      </c>
      <c r="C67" s="2" t="str">
        <f>VLOOKUP(B67, marchmadness_data!$C$18:$D$33, 2, FALSE)</f>
        <v>Arkansas</v>
      </c>
      <c r="D67" s="15"/>
      <c r="E67" s="12"/>
      <c r="G67" s="17"/>
      <c r="O67" s="19"/>
      <c r="P67" s="19"/>
      <c r="Q67" s="19"/>
      <c r="R67" s="19"/>
      <c r="S67" s="23"/>
      <c r="T67" s="19"/>
      <c r="U67" s="21"/>
      <c r="V67" s="22"/>
      <c r="W67" s="9" t="str">
        <f>VLOOKUP(X67, marchmadness_data!$C$50:$D$65, 2, FALSE)</f>
        <v>Utah State</v>
      </c>
      <c r="X67" s="6">
        <v>10</v>
      </c>
    </row>
    <row r="68" spans="2:24" x14ac:dyDescent="0.35">
      <c r="E68" s="17"/>
      <c r="F68" s="4"/>
      <c r="G68" s="14" t="s">
        <v>37</v>
      </c>
      <c r="H68" s="15"/>
      <c r="O68" s="19"/>
      <c r="P68" s="19"/>
      <c r="Q68" s="19"/>
      <c r="R68" s="20"/>
      <c r="S68" s="25" t="s">
        <v>63</v>
      </c>
      <c r="T68" s="19"/>
      <c r="U68" s="23"/>
      <c r="V68" s="19"/>
      <c r="W68" s="10"/>
    </row>
    <row r="69" spans="2:24" x14ac:dyDescent="0.35">
      <c r="B69">
        <v>2</v>
      </c>
      <c r="C69" s="1" t="str">
        <f>VLOOKUP(B69, marchmadness_data!$C$18:$D$33, 2, FALSE)</f>
        <v>St. John's (NY)</v>
      </c>
      <c r="D69" s="15"/>
      <c r="E69" s="17"/>
      <c r="O69" s="19"/>
      <c r="P69" s="19"/>
      <c r="Q69" s="19"/>
      <c r="R69" s="19"/>
      <c r="S69" s="26"/>
      <c r="T69" s="24"/>
      <c r="U69" s="23"/>
      <c r="V69" s="20"/>
      <c r="W69" s="7" t="str">
        <f>VLOOKUP(X69, marchmadness_data!$C$50:$D$65, 2, FALSE)</f>
        <v>Tennessee</v>
      </c>
      <c r="X69" s="6">
        <v>2</v>
      </c>
    </row>
    <row r="70" spans="2:24" x14ac:dyDescent="0.35">
      <c r="C70" s="3"/>
      <c r="D70" s="4"/>
      <c r="E70" s="14" t="s">
        <v>29</v>
      </c>
      <c r="F70" s="15"/>
      <c r="O70" s="19"/>
      <c r="P70" s="19"/>
      <c r="Q70" s="19"/>
      <c r="R70" s="19"/>
      <c r="S70" s="19"/>
      <c r="T70" s="20"/>
      <c r="U70" s="25" t="s">
        <v>63</v>
      </c>
      <c r="V70" s="19"/>
      <c r="W70" s="8"/>
    </row>
    <row r="71" spans="2:24" x14ac:dyDescent="0.35">
      <c r="B71">
        <v>15</v>
      </c>
      <c r="C71" s="2" t="str">
        <f>VLOOKUP(B71, marchmadness_data!$C$18:$D$33, 2, FALSE)</f>
        <v>Omaha</v>
      </c>
      <c r="D71" s="15"/>
      <c r="O71" s="19"/>
      <c r="P71" s="19"/>
      <c r="Q71" s="19"/>
      <c r="R71" s="19"/>
      <c r="S71" s="19"/>
      <c r="T71" s="19"/>
      <c r="U71" s="26"/>
      <c r="V71" s="22"/>
      <c r="W71" s="9" t="str">
        <f>VLOOKUP(X71, marchmadness_data!$C$50:$D$65, 2, FALSE)</f>
        <v>Wofford</v>
      </c>
      <c r="X71" s="6">
        <v>15</v>
      </c>
    </row>
  </sheetData>
  <mergeCells count="6">
    <mergeCell ref="L10:N10"/>
    <mergeCell ref="L11:N12"/>
    <mergeCell ref="S56:T57"/>
    <mergeCell ref="F56:G57"/>
    <mergeCell ref="S21:T22"/>
    <mergeCell ref="F2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marchmadness_data</vt:lpstr>
      <vt:lpstr>ncaam_bracket</vt:lpstr>
      <vt:lpstr>ncaam_bracket2025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Callahan, Brandt</cp:lastModifiedBy>
  <dcterms:created xsi:type="dcterms:W3CDTF">2025-06-10T01:40:11Z</dcterms:created>
  <dcterms:modified xsi:type="dcterms:W3CDTF">2025-06-20T02:05:45Z</dcterms:modified>
</cp:coreProperties>
</file>