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1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/newhome/science/Research/Grants/NSF/CommonDocs/"/>
    </mc:Choice>
  </mc:AlternateContent>
  <xr:revisionPtr revIDLastSave="0" documentId="13_ncr:1_{6C48B130-37D2-7F41-B1F5-C8A0E9F14E17}" xr6:coauthVersionLast="47" xr6:coauthVersionMax="47" xr10:uidLastSave="{00000000-0000-0000-0000-000000000000}"/>
  <bookViews>
    <workbookView xWindow="1960" yWindow="1840" windowWidth="46120" windowHeight="26180" xr2:uid="{F529FD44-B6CA-CB47-BF9B-4B36D93A9A28}"/>
  </bookViews>
  <sheets>
    <sheet name=" Summary Table" sheetId="14" r:id="rId1"/>
    <sheet name="ternary breakdown reorganized" sheetId="12" r:id="rId2"/>
    <sheet name="binary PC-PG reorg" sheetId="16" r:id="rId3"/>
    <sheet name="ternary PG titration" sheetId="19" r:id="rId4"/>
    <sheet name="binary PG titration" sheetId="18" r:id="rId5"/>
    <sheet name="combined PG titration" sheetId="20" r:id="rId6"/>
    <sheet name="binary PC-PG breakdown" sheetId="15" state="hidden" r:id="rId7"/>
    <sheet name="ternary breakdown" sheetId="11" state="hidden" r:id="rId8"/>
    <sheet name="ternary and POPC together" sheetId="9" state="hidden" r:id="rId9"/>
    <sheet name="POPC Reference" sheetId="3" state="hidden" r:id="rId10"/>
    <sheet name="POPE Reference" sheetId="7" state="hidden" r:id="rId11"/>
    <sheet name="POPG Reference" sheetId="1" state="hidden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9" l="1"/>
  <c r="N3" i="19"/>
  <c r="N5" i="19"/>
  <c r="M3" i="19"/>
  <c r="M5" i="19"/>
  <c r="M2" i="19"/>
  <c r="H6" i="12"/>
  <c r="D5" i="19"/>
  <c r="E5" i="19"/>
  <c r="F5" i="19"/>
  <c r="I5" i="19" s="1"/>
  <c r="G5" i="19"/>
  <c r="H5" i="19"/>
  <c r="E2" i="20"/>
  <c r="E3" i="20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D3" i="20"/>
  <c r="D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2" i="20"/>
  <c r="B32" i="18"/>
  <c r="D32" i="18" s="1"/>
  <c r="F32" i="18" s="1"/>
  <c r="C32" i="18"/>
  <c r="E32" i="18"/>
  <c r="B33" i="18"/>
  <c r="C33" i="18" s="1"/>
  <c r="E33" i="18" s="1"/>
  <c r="D33" i="18"/>
  <c r="F33" i="18" s="1"/>
  <c r="B34" i="18"/>
  <c r="C34" i="18"/>
  <c r="E34" i="18" s="1"/>
  <c r="D34" i="18"/>
  <c r="F34" i="18" s="1"/>
  <c r="B35" i="18"/>
  <c r="C35" i="18" s="1"/>
  <c r="E35" i="18" s="1"/>
  <c r="B36" i="18"/>
  <c r="D36" i="18" s="1"/>
  <c r="F36" i="18" s="1"/>
  <c r="C36" i="18"/>
  <c r="E36" i="18"/>
  <c r="B37" i="18"/>
  <c r="C37" i="18" s="1"/>
  <c r="E37" i="18" s="1"/>
  <c r="D37" i="18"/>
  <c r="F37" i="18" s="1"/>
  <c r="B38" i="18"/>
  <c r="C38" i="18"/>
  <c r="E38" i="18" s="1"/>
  <c r="D38" i="18"/>
  <c r="F38" i="18" s="1"/>
  <c r="B39" i="18"/>
  <c r="C39" i="18" s="1"/>
  <c r="E39" i="18" s="1"/>
  <c r="B40" i="18"/>
  <c r="D40" i="18" s="1"/>
  <c r="F40" i="18" s="1"/>
  <c r="C40" i="18"/>
  <c r="E40" i="18"/>
  <c r="B41" i="18"/>
  <c r="C41" i="18" s="1"/>
  <c r="E41" i="18" s="1"/>
  <c r="D41" i="18"/>
  <c r="F41" i="18" s="1"/>
  <c r="B42" i="18"/>
  <c r="C42" i="18"/>
  <c r="E42" i="18" s="1"/>
  <c r="D42" i="18"/>
  <c r="F42" i="18" s="1"/>
  <c r="B43" i="18"/>
  <c r="C43" i="18" s="1"/>
  <c r="E43" i="18" s="1"/>
  <c r="B44" i="18"/>
  <c r="C44" i="18" s="1"/>
  <c r="E44" i="18" s="1"/>
  <c r="B45" i="18"/>
  <c r="C45" i="18" s="1"/>
  <c r="E45" i="18" s="1"/>
  <c r="D45" i="18"/>
  <c r="F45" i="18" s="1"/>
  <c r="B46" i="18"/>
  <c r="C46" i="18"/>
  <c r="E46" i="18" s="1"/>
  <c r="D46" i="18"/>
  <c r="F46" i="18" s="1"/>
  <c r="B47" i="18"/>
  <c r="C47" i="18" s="1"/>
  <c r="E47" i="18" s="1"/>
  <c r="B48" i="18"/>
  <c r="C48" i="18" s="1"/>
  <c r="E48" i="18" s="1"/>
  <c r="B29" i="18"/>
  <c r="B25" i="18"/>
  <c r="B21" i="18"/>
  <c r="B17" i="18"/>
  <c r="B13" i="18"/>
  <c r="B9" i="18"/>
  <c r="B5" i="18"/>
  <c r="B6" i="19" a="1"/>
  <c r="B6" i="19" s="1"/>
  <c r="B7" i="19" a="1"/>
  <c r="B7" i="19" s="1"/>
  <c r="B8" i="19" a="1"/>
  <c r="B8" i="19" s="1"/>
  <c r="B9" i="19" a="1"/>
  <c r="B9" i="19" s="1"/>
  <c r="B10" i="19" a="1"/>
  <c r="B10" i="19" s="1"/>
  <c r="B11" i="19" a="1"/>
  <c r="B11" i="19" s="1"/>
  <c r="B12" i="19" a="1"/>
  <c r="B12" i="19" s="1"/>
  <c r="B13" i="19" a="1"/>
  <c r="B13" i="19" s="1"/>
  <c r="C13" i="19" s="1"/>
  <c r="B14" i="19" a="1"/>
  <c r="B14" i="19" s="1"/>
  <c r="B15" i="19" a="1"/>
  <c r="B15" i="19" s="1"/>
  <c r="B16" i="19" a="1"/>
  <c r="B16" i="19" s="1"/>
  <c r="C16" i="19" s="1"/>
  <c r="B17" i="19" a="1"/>
  <c r="B17" i="19" s="1"/>
  <c r="B18" i="19" a="1"/>
  <c r="B18" i="19" s="1"/>
  <c r="B19" i="19" a="1"/>
  <c r="B19" i="19" s="1"/>
  <c r="B20" i="19" a="1"/>
  <c r="B20" i="19" s="1"/>
  <c r="B21" i="19" a="1"/>
  <c r="B21" i="19" s="1"/>
  <c r="B22" i="19" a="1"/>
  <c r="B22" i="19" s="1"/>
  <c r="B23" i="19" a="1"/>
  <c r="B23" i="19" s="1"/>
  <c r="B24" i="19" a="1"/>
  <c r="B24" i="19" s="1"/>
  <c r="B25" i="19" a="1"/>
  <c r="B25" i="19" s="1"/>
  <c r="B26" i="19" a="1"/>
  <c r="B26" i="19" s="1"/>
  <c r="B27" i="19" a="1"/>
  <c r="B27" i="19" s="1"/>
  <c r="B28" i="19" a="1"/>
  <c r="B28" i="19" s="1"/>
  <c r="B29" i="19" a="1"/>
  <c r="B29" i="19" s="1"/>
  <c r="B30" i="19" a="1"/>
  <c r="B30" i="19" s="1"/>
  <c r="B31" i="19" a="1"/>
  <c r="B31" i="19" s="1"/>
  <c r="B32" i="19" a="1"/>
  <c r="B32" i="19" s="1"/>
  <c r="B33" i="19" a="1"/>
  <c r="B33" i="19" s="1"/>
  <c r="E33" i="19" s="1"/>
  <c r="B34" i="19" a="1"/>
  <c r="B34" i="19" s="1"/>
  <c r="B35" i="19" a="1"/>
  <c r="B35" i="19" s="1"/>
  <c r="E35" i="19" s="1"/>
  <c r="B36" i="19" a="1"/>
  <c r="B36" i="19" s="1"/>
  <c r="E36" i="19" s="1"/>
  <c r="B37" i="19" a="1"/>
  <c r="B37" i="19" s="1"/>
  <c r="E37" i="19" s="1"/>
  <c r="B38" i="19" a="1"/>
  <c r="B38" i="19" s="1"/>
  <c r="E38" i="19" s="1"/>
  <c r="B39" i="19" a="1"/>
  <c r="B39" i="19" s="1"/>
  <c r="E39" i="19" s="1"/>
  <c r="B40" i="19" a="1"/>
  <c r="B40" i="19" s="1"/>
  <c r="E40" i="19" s="1"/>
  <c r="B41" i="19" a="1"/>
  <c r="B41" i="19" s="1"/>
  <c r="E41" i="19" s="1"/>
  <c r="B42" i="19" a="1"/>
  <c r="B42" i="19" s="1"/>
  <c r="B43" i="19" a="1"/>
  <c r="B43" i="19" s="1"/>
  <c r="E43" i="19" s="1"/>
  <c r="B44" i="19" a="1"/>
  <c r="B44" i="19" s="1"/>
  <c r="B45" i="19" a="1"/>
  <c r="B45" i="19" s="1"/>
  <c r="C45" i="19" s="1"/>
  <c r="B46" i="19" a="1"/>
  <c r="B46" i="19" s="1"/>
  <c r="B47" i="19" a="1"/>
  <c r="B47" i="19" s="1"/>
  <c r="C47" i="19" s="1"/>
  <c r="B48" i="19" a="1"/>
  <c r="B48" i="19" s="1"/>
  <c r="B49" i="19" a="1"/>
  <c r="B49" i="19" s="1"/>
  <c r="C49" i="19" s="1"/>
  <c r="B4" i="19" a="1"/>
  <c r="B4" i="19" s="1"/>
  <c r="C4" i="19" s="1"/>
  <c r="H4" i="19" s="1"/>
  <c r="D24" i="18"/>
  <c r="D2" i="18"/>
  <c r="B3" i="18"/>
  <c r="C3" i="18" s="1"/>
  <c r="B4" i="18"/>
  <c r="C4" i="18" s="1"/>
  <c r="B6" i="18"/>
  <c r="D6" i="18" s="1"/>
  <c r="B7" i="18"/>
  <c r="C7" i="18" s="1"/>
  <c r="B8" i="18"/>
  <c r="C8" i="18" s="1"/>
  <c r="B10" i="18"/>
  <c r="D10" i="18" s="1"/>
  <c r="B11" i="18"/>
  <c r="C11" i="18" s="1"/>
  <c r="B12" i="18"/>
  <c r="C12" i="18" s="1"/>
  <c r="B14" i="18"/>
  <c r="D14" i="18" s="1"/>
  <c r="B15" i="18"/>
  <c r="C15" i="18" s="1"/>
  <c r="B16" i="18"/>
  <c r="C16" i="18" s="1"/>
  <c r="B18" i="18"/>
  <c r="C18" i="18" s="1"/>
  <c r="B19" i="18"/>
  <c r="C19" i="18" s="1"/>
  <c r="B20" i="18"/>
  <c r="C20" i="18" s="1"/>
  <c r="B22" i="18"/>
  <c r="D22" i="18" s="1"/>
  <c r="B23" i="18"/>
  <c r="C23" i="18" s="1"/>
  <c r="B24" i="18"/>
  <c r="C24" i="18" s="1"/>
  <c r="B26" i="18"/>
  <c r="C26" i="18" s="1"/>
  <c r="B27" i="18"/>
  <c r="C27" i="18" s="1"/>
  <c r="B28" i="18"/>
  <c r="C28" i="18" s="1"/>
  <c r="B30" i="18"/>
  <c r="D30" i="18" s="1"/>
  <c r="B31" i="18"/>
  <c r="C31" i="18" s="1"/>
  <c r="B2" i="18"/>
  <c r="C2" i="18" s="1"/>
  <c r="G13" i="11"/>
  <c r="F13" i="11"/>
  <c r="G12" i="11"/>
  <c r="F12" i="11"/>
  <c r="G11" i="11"/>
  <c r="F11" i="11"/>
  <c r="G9" i="11"/>
  <c r="F9" i="11"/>
  <c r="G8" i="11"/>
  <c r="F8" i="11"/>
  <c r="G7" i="11"/>
  <c r="F7" i="11"/>
  <c r="F4" i="11"/>
  <c r="G4" i="11"/>
  <c r="F5" i="11"/>
  <c r="G5" i="11"/>
  <c r="G3" i="11"/>
  <c r="F3" i="11"/>
  <c r="F9" i="12"/>
  <c r="G9" i="12"/>
  <c r="F10" i="12"/>
  <c r="G10" i="12"/>
  <c r="F11" i="12"/>
  <c r="G11" i="12"/>
  <c r="G6" i="12"/>
  <c r="F7" i="12"/>
  <c r="G7" i="12"/>
  <c r="F8" i="12"/>
  <c r="G8" i="12"/>
  <c r="F4" i="12"/>
  <c r="H7" i="12" s="1"/>
  <c r="G4" i="12"/>
  <c r="F5" i="12"/>
  <c r="G5" i="12"/>
  <c r="G3" i="12"/>
  <c r="G9" i="16"/>
  <c r="F9" i="16"/>
  <c r="G8" i="16"/>
  <c r="F8" i="16"/>
  <c r="F3" i="15"/>
  <c r="G3" i="15"/>
  <c r="J3" i="15"/>
  <c r="F7" i="15"/>
  <c r="L7" i="15" s="1"/>
  <c r="N7" i="15" s="1"/>
  <c r="G7" i="15"/>
  <c r="J7" i="15"/>
  <c r="F8" i="15"/>
  <c r="G8" i="15"/>
  <c r="F9" i="15"/>
  <c r="G9" i="15"/>
  <c r="L9" i="15" s="1"/>
  <c r="F11" i="15"/>
  <c r="G11" i="15"/>
  <c r="J11" i="15"/>
  <c r="C12" i="15"/>
  <c r="F12" i="15" s="1"/>
  <c r="B17" i="15"/>
  <c r="B18" i="15" s="1"/>
  <c r="C13" i="15" s="1"/>
  <c r="G12" i="15"/>
  <c r="F5" i="15"/>
  <c r="G5" i="15"/>
  <c r="B17" i="16"/>
  <c r="B18" i="16" s="1"/>
  <c r="E6" i="12"/>
  <c r="E3" i="12" s="1"/>
  <c r="D6" i="12"/>
  <c r="D3" i="12" s="1"/>
  <c r="F3" i="12" s="1"/>
  <c r="H7" i="11"/>
  <c r="L14" i="9"/>
  <c r="K14" i="9"/>
  <c r="L13" i="9"/>
  <c r="P12" i="9" s="1"/>
  <c r="K13" i="9"/>
  <c r="L12" i="9"/>
  <c r="K12" i="9"/>
  <c r="L10" i="9"/>
  <c r="K10" i="9"/>
  <c r="L9" i="9"/>
  <c r="K9" i="9"/>
  <c r="O8" i="9" s="1"/>
  <c r="L8" i="9"/>
  <c r="K8" i="9"/>
  <c r="L5" i="9"/>
  <c r="L6" i="9"/>
  <c r="K6" i="9"/>
  <c r="J14" i="9"/>
  <c r="I14" i="9"/>
  <c r="J13" i="9"/>
  <c r="I13" i="9"/>
  <c r="J12" i="9"/>
  <c r="I12" i="9"/>
  <c r="M12" i="9" s="1"/>
  <c r="J10" i="9"/>
  <c r="I10" i="9"/>
  <c r="J9" i="9"/>
  <c r="I9" i="9"/>
  <c r="P8" i="9"/>
  <c r="J8" i="9"/>
  <c r="N8" i="9" s="1"/>
  <c r="I8" i="9"/>
  <c r="M8" i="9" s="1"/>
  <c r="I6" i="9"/>
  <c r="J6" i="9"/>
  <c r="O12" i="9"/>
  <c r="N12" i="9"/>
  <c r="H5" i="9"/>
  <c r="G5" i="9"/>
  <c r="K5" i="9" s="1"/>
  <c r="F5" i="9"/>
  <c r="J5" i="9" s="1"/>
  <c r="E5" i="9"/>
  <c r="I5" i="9" s="1"/>
  <c r="H4" i="9"/>
  <c r="L4" i="9" s="1"/>
  <c r="F4" i="9"/>
  <c r="J4" i="9" s="1"/>
  <c r="I6" i="1"/>
  <c r="H6" i="1"/>
  <c r="G6" i="1"/>
  <c r="F6" i="1"/>
  <c r="I5" i="1"/>
  <c r="H5" i="1"/>
  <c r="G5" i="1"/>
  <c r="F5" i="1"/>
  <c r="I4" i="1"/>
  <c r="H4" i="1"/>
  <c r="G4" i="1"/>
  <c r="F4" i="1"/>
  <c r="I6" i="7"/>
  <c r="H6" i="7"/>
  <c r="G6" i="7"/>
  <c r="F6" i="7"/>
  <c r="I5" i="7"/>
  <c r="H5" i="7"/>
  <c r="G5" i="7"/>
  <c r="F5" i="7"/>
  <c r="I4" i="7"/>
  <c r="H4" i="7"/>
  <c r="G4" i="7"/>
  <c r="F4" i="7"/>
  <c r="F6" i="3"/>
  <c r="G6" i="3"/>
  <c r="H6" i="3"/>
  <c r="I6" i="3"/>
  <c r="B5" i="3"/>
  <c r="B4" i="3" s="1"/>
  <c r="F4" i="3" s="1"/>
  <c r="C5" i="3"/>
  <c r="C4" i="3" s="1"/>
  <c r="G4" i="3" s="1"/>
  <c r="D5" i="3"/>
  <c r="D4" i="3" s="1"/>
  <c r="H4" i="3" s="1"/>
  <c r="E5" i="3"/>
  <c r="E4" i="3" s="1"/>
  <c r="I4" i="3" s="1"/>
  <c r="L5" i="19" l="1"/>
  <c r="K5" i="19"/>
  <c r="J5" i="19"/>
  <c r="P5" i="19" s="1"/>
  <c r="F6" i="12"/>
  <c r="D48" i="18"/>
  <c r="F48" i="18" s="1"/>
  <c r="D44" i="18"/>
  <c r="F44" i="18" s="1"/>
  <c r="D47" i="18"/>
  <c r="F47" i="18" s="1"/>
  <c r="D43" i="18"/>
  <c r="F43" i="18" s="1"/>
  <c r="D39" i="18"/>
  <c r="F39" i="18" s="1"/>
  <c r="D35" i="18"/>
  <c r="F35" i="18" s="1"/>
  <c r="D16" i="18"/>
  <c r="D8" i="18"/>
  <c r="D28" i="18"/>
  <c r="D12" i="18"/>
  <c r="D20" i="18"/>
  <c r="F20" i="18" s="1"/>
  <c r="D4" i="18"/>
  <c r="D5" i="18"/>
  <c r="C5" i="18"/>
  <c r="E5" i="18" s="1"/>
  <c r="D13" i="18"/>
  <c r="F13" i="18" s="1"/>
  <c r="C13" i="18"/>
  <c r="E13" i="18" s="1"/>
  <c r="D21" i="18"/>
  <c r="C21" i="18"/>
  <c r="E21" i="18" s="1"/>
  <c r="D25" i="18"/>
  <c r="F25" i="18" s="1"/>
  <c r="C25" i="18"/>
  <c r="E25" i="18" s="1"/>
  <c r="D9" i="18"/>
  <c r="F9" i="18" s="1"/>
  <c r="C9" i="18"/>
  <c r="D17" i="18"/>
  <c r="C17" i="18"/>
  <c r="E17" i="18" s="1"/>
  <c r="D29" i="18"/>
  <c r="C29" i="18"/>
  <c r="C22" i="18"/>
  <c r="E22" i="18" s="1"/>
  <c r="C6" i="18"/>
  <c r="E6" i="18" s="1"/>
  <c r="C14" i="18"/>
  <c r="E14" i="18" s="1"/>
  <c r="D31" i="18"/>
  <c r="D27" i="18"/>
  <c r="D23" i="18"/>
  <c r="F23" i="18" s="1"/>
  <c r="D19" i="18"/>
  <c r="F19" i="18" s="1"/>
  <c r="D15" i="18"/>
  <c r="D11" i="18"/>
  <c r="D7" i="18"/>
  <c r="D3" i="18"/>
  <c r="F3" i="18" s="1"/>
  <c r="C30" i="18"/>
  <c r="E30" i="18" s="1"/>
  <c r="C10" i="18"/>
  <c r="D26" i="18"/>
  <c r="F26" i="18" s="1"/>
  <c r="D18" i="18"/>
  <c r="F18" i="18" s="1"/>
  <c r="G11" i="19"/>
  <c r="E11" i="19"/>
  <c r="E7" i="19"/>
  <c r="C7" i="19"/>
  <c r="H7" i="19" s="1"/>
  <c r="G15" i="19"/>
  <c r="E15" i="19"/>
  <c r="E9" i="19"/>
  <c r="G9" i="19"/>
  <c r="C9" i="19"/>
  <c r="D9" i="19" s="1"/>
  <c r="A8" i="20" s="1"/>
  <c r="E4" i="19"/>
  <c r="G13" i="19"/>
  <c r="G4" i="19"/>
  <c r="E14" i="19"/>
  <c r="G14" i="19"/>
  <c r="C14" i="19"/>
  <c r="D14" i="19" s="1"/>
  <c r="A13" i="20" s="1"/>
  <c r="E6" i="19"/>
  <c r="C6" i="19"/>
  <c r="D6" i="19" s="1"/>
  <c r="A5" i="20" s="1"/>
  <c r="G6" i="19"/>
  <c r="F13" i="19"/>
  <c r="H13" i="19"/>
  <c r="C8" i="19"/>
  <c r="F8" i="19" s="1"/>
  <c r="E8" i="19"/>
  <c r="G8" i="19"/>
  <c r="E10" i="19"/>
  <c r="G10" i="19"/>
  <c r="C10" i="19"/>
  <c r="F10" i="19" s="1"/>
  <c r="G12" i="19"/>
  <c r="E12" i="19"/>
  <c r="C12" i="19"/>
  <c r="C3" i="19"/>
  <c r="F3" i="19" s="1"/>
  <c r="E3" i="19"/>
  <c r="G3" i="19"/>
  <c r="G7" i="19"/>
  <c r="E13" i="19"/>
  <c r="C11" i="19"/>
  <c r="D11" i="19" s="1"/>
  <c r="A10" i="20" s="1"/>
  <c r="C15" i="19"/>
  <c r="D15" i="19" s="1"/>
  <c r="A14" i="20" s="1"/>
  <c r="D13" i="19"/>
  <c r="A12" i="20" s="1"/>
  <c r="C2" i="19"/>
  <c r="D2" i="19" s="1"/>
  <c r="A2" i="20" s="1"/>
  <c r="E2" i="19"/>
  <c r="G2" i="19"/>
  <c r="H12" i="19"/>
  <c r="H10" i="19"/>
  <c r="D4" i="19"/>
  <c r="A4" i="20" s="1"/>
  <c r="F4" i="19"/>
  <c r="H6" i="19"/>
  <c r="C35" i="19"/>
  <c r="H35" i="19" s="1"/>
  <c r="C37" i="19"/>
  <c r="H37" i="19" s="1"/>
  <c r="C41" i="19"/>
  <c r="F41" i="19" s="1"/>
  <c r="K41" i="19" s="1"/>
  <c r="B40" i="20" s="1"/>
  <c r="G33" i="19"/>
  <c r="C43" i="19"/>
  <c r="F43" i="19" s="1"/>
  <c r="K43" i="19" s="1"/>
  <c r="B42" i="20" s="1"/>
  <c r="G37" i="19"/>
  <c r="C33" i="19"/>
  <c r="F45" i="19"/>
  <c r="H45" i="19"/>
  <c r="H47" i="19"/>
  <c r="F47" i="19"/>
  <c r="E46" i="19"/>
  <c r="C46" i="19"/>
  <c r="D46" i="19" s="1"/>
  <c r="A45" i="20" s="1"/>
  <c r="G46" i="19"/>
  <c r="E48" i="19"/>
  <c r="C48" i="19"/>
  <c r="G48" i="19"/>
  <c r="H49" i="19"/>
  <c r="F49" i="19"/>
  <c r="E44" i="19"/>
  <c r="G44" i="19"/>
  <c r="C44" i="19"/>
  <c r="D44" i="19" s="1"/>
  <c r="A43" i="20" s="1"/>
  <c r="E45" i="19"/>
  <c r="D49" i="19"/>
  <c r="A48" i="20" s="1"/>
  <c r="D47" i="19"/>
  <c r="A46" i="20" s="1"/>
  <c r="D45" i="19"/>
  <c r="A44" i="20" s="1"/>
  <c r="E49" i="19"/>
  <c r="I49" i="19" s="1"/>
  <c r="E47" i="19"/>
  <c r="G49" i="19"/>
  <c r="G47" i="19"/>
  <c r="G45" i="19"/>
  <c r="C42" i="19"/>
  <c r="G42" i="19"/>
  <c r="E42" i="19"/>
  <c r="C34" i="19"/>
  <c r="D34" i="19" s="1"/>
  <c r="A33" i="20" s="1"/>
  <c r="G34" i="19"/>
  <c r="E34" i="19"/>
  <c r="G41" i="19"/>
  <c r="C40" i="19"/>
  <c r="G40" i="19"/>
  <c r="C28" i="19"/>
  <c r="D28" i="19" s="1"/>
  <c r="A27" i="20" s="1"/>
  <c r="G28" i="19"/>
  <c r="E28" i="19"/>
  <c r="E27" i="19"/>
  <c r="C27" i="19"/>
  <c r="D27" i="19" s="1"/>
  <c r="A26" i="20" s="1"/>
  <c r="G27" i="19"/>
  <c r="C20" i="19"/>
  <c r="D20" i="19" s="1"/>
  <c r="A19" i="20" s="1"/>
  <c r="G20" i="19"/>
  <c r="E20" i="19"/>
  <c r="E19" i="19"/>
  <c r="C19" i="19"/>
  <c r="D19" i="19" s="1"/>
  <c r="A18" i="20" s="1"/>
  <c r="G19" i="19"/>
  <c r="G43" i="19"/>
  <c r="C39" i="19"/>
  <c r="G35" i="19"/>
  <c r="C30" i="19"/>
  <c r="D30" i="19" s="1"/>
  <c r="A29" i="20" s="1"/>
  <c r="G30" i="19"/>
  <c r="E30" i="19"/>
  <c r="E29" i="19"/>
  <c r="C29" i="19"/>
  <c r="G29" i="19"/>
  <c r="C22" i="19"/>
  <c r="D22" i="19" s="1"/>
  <c r="A21" i="20" s="1"/>
  <c r="G22" i="19"/>
  <c r="E22" i="19"/>
  <c r="E21" i="19"/>
  <c r="C21" i="19"/>
  <c r="G21" i="19"/>
  <c r="C36" i="19"/>
  <c r="G36" i="19"/>
  <c r="C32" i="19"/>
  <c r="D32" i="19" s="1"/>
  <c r="A31" i="20" s="1"/>
  <c r="G32" i="19"/>
  <c r="E32" i="19"/>
  <c r="E31" i="19"/>
  <c r="C31" i="19"/>
  <c r="G31" i="19"/>
  <c r="C24" i="19"/>
  <c r="D24" i="19" s="1"/>
  <c r="A23" i="20" s="1"/>
  <c r="G24" i="19"/>
  <c r="E24" i="19"/>
  <c r="E23" i="19"/>
  <c r="C23" i="19"/>
  <c r="G23" i="19"/>
  <c r="G39" i="19"/>
  <c r="C38" i="19"/>
  <c r="D38" i="19" s="1"/>
  <c r="A37" i="20" s="1"/>
  <c r="G38" i="19"/>
  <c r="C26" i="19"/>
  <c r="G26" i="19"/>
  <c r="E26" i="19"/>
  <c r="E25" i="19"/>
  <c r="C25" i="19"/>
  <c r="G25" i="19"/>
  <c r="C18" i="19"/>
  <c r="G18" i="19"/>
  <c r="E18" i="19"/>
  <c r="E17" i="19"/>
  <c r="C17" i="19"/>
  <c r="G17" i="19"/>
  <c r="D8" i="19"/>
  <c r="A7" i="20" s="1"/>
  <c r="H16" i="19"/>
  <c r="F16" i="19"/>
  <c r="D16" i="19"/>
  <c r="A15" i="20" s="1"/>
  <c r="G16" i="19"/>
  <c r="E16" i="19"/>
  <c r="F5" i="18"/>
  <c r="E23" i="18"/>
  <c r="E20" i="18"/>
  <c r="E16" i="18"/>
  <c r="F8" i="18"/>
  <c r="E26" i="18"/>
  <c r="E11" i="18"/>
  <c r="F21" i="18"/>
  <c r="E8" i="18"/>
  <c r="F14" i="18"/>
  <c r="F6" i="18"/>
  <c r="E18" i="18"/>
  <c r="E10" i="18"/>
  <c r="E19" i="18"/>
  <c r="F11" i="18"/>
  <c r="E3" i="18"/>
  <c r="F17" i="18"/>
  <c r="E9" i="18"/>
  <c r="F16" i="18"/>
  <c r="F30" i="18"/>
  <c r="F22" i="18"/>
  <c r="F10" i="18"/>
  <c r="L8" i="15"/>
  <c r="G13" i="15"/>
  <c r="I11" i="15" s="1"/>
  <c r="F13" i="15"/>
  <c r="H11" i="15" s="1"/>
  <c r="C4" i="15"/>
  <c r="C11" i="16"/>
  <c r="C6" i="16"/>
  <c r="I8" i="12"/>
  <c r="H10" i="12"/>
  <c r="I7" i="12"/>
  <c r="H8" i="12"/>
  <c r="I5" i="12"/>
  <c r="I11" i="12"/>
  <c r="I4" i="12"/>
  <c r="H11" i="12"/>
  <c r="H5" i="12"/>
  <c r="I10" i="12"/>
  <c r="H4" i="12"/>
  <c r="H3" i="12"/>
  <c r="I6" i="12"/>
  <c r="I3" i="11"/>
  <c r="I11" i="11"/>
  <c r="I7" i="11"/>
  <c r="H11" i="11"/>
  <c r="J12" i="11" s="1"/>
  <c r="H3" i="11"/>
  <c r="Q13" i="9"/>
  <c r="U12" i="9"/>
  <c r="U8" i="9"/>
  <c r="S13" i="9"/>
  <c r="W10" i="9"/>
  <c r="S9" i="9"/>
  <c r="U14" i="9"/>
  <c r="U10" i="9"/>
  <c r="W12" i="9"/>
  <c r="S12" i="9"/>
  <c r="S4" i="9"/>
  <c r="U13" i="9"/>
  <c r="Y13" i="9" s="1"/>
  <c r="U9" i="9"/>
  <c r="W8" i="9"/>
  <c r="W13" i="9"/>
  <c r="S8" i="9"/>
  <c r="Q4" i="9"/>
  <c r="W9" i="9"/>
  <c r="W14" i="9"/>
  <c r="Q8" i="9"/>
  <c r="Y8" i="9" s="1"/>
  <c r="Q12" i="9"/>
  <c r="S5" i="9"/>
  <c r="Q5" i="9"/>
  <c r="Q9" i="9"/>
  <c r="Y9" i="9" s="1"/>
  <c r="N4" i="9"/>
  <c r="P4" i="9"/>
  <c r="G4" i="9"/>
  <c r="K4" i="9" s="1"/>
  <c r="E4" i="9"/>
  <c r="I5" i="3"/>
  <c r="H5" i="3"/>
  <c r="G5" i="3"/>
  <c r="F5" i="3"/>
  <c r="O5" i="19" l="1"/>
  <c r="Q5" i="19" s="1"/>
  <c r="I3" i="19"/>
  <c r="J47" i="19"/>
  <c r="N47" i="19" s="1"/>
  <c r="J37" i="19"/>
  <c r="N37" i="19" s="1"/>
  <c r="J10" i="19"/>
  <c r="K8" i="19"/>
  <c r="B7" i="20" s="1"/>
  <c r="I10" i="19"/>
  <c r="I16" i="19"/>
  <c r="I4" i="19"/>
  <c r="J35" i="19"/>
  <c r="J45" i="19"/>
  <c r="I45" i="19"/>
  <c r="L4" i="19"/>
  <c r="J4" i="19"/>
  <c r="N4" i="19" s="1"/>
  <c r="L7" i="19"/>
  <c r="J7" i="19"/>
  <c r="N7" i="19" s="1"/>
  <c r="I41" i="19"/>
  <c r="M41" i="19" s="1"/>
  <c r="J49" i="19"/>
  <c r="F6" i="19"/>
  <c r="I6" i="19" s="1"/>
  <c r="J12" i="19"/>
  <c r="N12" i="19" s="1"/>
  <c r="J13" i="19"/>
  <c r="J16" i="19"/>
  <c r="H8" i="19"/>
  <c r="J8" i="19" s="1"/>
  <c r="I47" i="19"/>
  <c r="I13" i="19"/>
  <c r="I8" i="19"/>
  <c r="M8" i="19" s="1"/>
  <c r="J6" i="19"/>
  <c r="I43" i="19"/>
  <c r="M43" i="19" s="1"/>
  <c r="D3" i="19"/>
  <c r="A3" i="20" s="1"/>
  <c r="H9" i="19"/>
  <c r="J9" i="19" s="1"/>
  <c r="L13" i="19"/>
  <c r="L45" i="19"/>
  <c r="K4" i="19"/>
  <c r="B4" i="20" s="1"/>
  <c r="F9" i="19"/>
  <c r="K9" i="19" s="1"/>
  <c r="B8" i="20" s="1"/>
  <c r="L10" i="19"/>
  <c r="D10" i="19"/>
  <c r="A9" i="20" s="1"/>
  <c r="H3" i="19"/>
  <c r="L3" i="19" s="1"/>
  <c r="K3" i="19"/>
  <c r="B3" i="20" s="1"/>
  <c r="L12" i="19"/>
  <c r="H2" i="19"/>
  <c r="L2" i="19" s="1"/>
  <c r="F2" i="19"/>
  <c r="K2" i="19" s="1"/>
  <c r="B2" i="20" s="1"/>
  <c r="F7" i="19"/>
  <c r="K7" i="19" s="1"/>
  <c r="B6" i="20" s="1"/>
  <c r="D7" i="19"/>
  <c r="A6" i="20" s="1"/>
  <c r="H14" i="19"/>
  <c r="L14" i="19" s="1"/>
  <c r="K10" i="19"/>
  <c r="B9" i="20" s="1"/>
  <c r="K13" i="19"/>
  <c r="B12" i="20" s="1"/>
  <c r="L6" i="19"/>
  <c r="F15" i="19"/>
  <c r="K15" i="19" s="1"/>
  <c r="B14" i="20" s="1"/>
  <c r="F11" i="19"/>
  <c r="K11" i="19" s="1"/>
  <c r="B10" i="20" s="1"/>
  <c r="H11" i="19"/>
  <c r="L11" i="19" s="1"/>
  <c r="D12" i="19"/>
  <c r="A11" i="20" s="1"/>
  <c r="F12" i="19"/>
  <c r="K12" i="19" s="1"/>
  <c r="B11" i="20" s="1"/>
  <c r="H15" i="19"/>
  <c r="L15" i="19" s="1"/>
  <c r="F14" i="19"/>
  <c r="K14" i="19" s="1"/>
  <c r="B13" i="20" s="1"/>
  <c r="D41" i="19"/>
  <c r="A40" i="20" s="1"/>
  <c r="H41" i="19"/>
  <c r="J41" i="19" s="1"/>
  <c r="K45" i="19"/>
  <c r="B44" i="20" s="1"/>
  <c r="L47" i="19"/>
  <c r="F35" i="19"/>
  <c r="D35" i="19"/>
  <c r="A34" i="20" s="1"/>
  <c r="H43" i="19"/>
  <c r="L43" i="19" s="1"/>
  <c r="D43" i="19"/>
  <c r="A42" i="20" s="1"/>
  <c r="F37" i="19"/>
  <c r="D37" i="19"/>
  <c r="A36" i="20" s="1"/>
  <c r="L37" i="19"/>
  <c r="K47" i="19"/>
  <c r="B46" i="20" s="1"/>
  <c r="F33" i="19"/>
  <c r="H33" i="19"/>
  <c r="L33" i="19" s="1"/>
  <c r="D33" i="19"/>
  <c r="A32" i="20" s="1"/>
  <c r="K49" i="19"/>
  <c r="B48" i="20" s="1"/>
  <c r="F48" i="19"/>
  <c r="K48" i="19" s="1"/>
  <c r="B47" i="20" s="1"/>
  <c r="H48" i="19"/>
  <c r="L48" i="19" s="1"/>
  <c r="H44" i="19"/>
  <c r="L44" i="19" s="1"/>
  <c r="F44" i="19"/>
  <c r="K44" i="19" s="1"/>
  <c r="B43" i="20" s="1"/>
  <c r="L49" i="19"/>
  <c r="D48" i="19"/>
  <c r="A47" i="20" s="1"/>
  <c r="F46" i="19"/>
  <c r="K46" i="19" s="1"/>
  <c r="B45" i="20" s="1"/>
  <c r="H46" i="19"/>
  <c r="L46" i="19" s="1"/>
  <c r="H18" i="19"/>
  <c r="L18" i="19" s="1"/>
  <c r="F18" i="19"/>
  <c r="K18" i="19" s="1"/>
  <c r="B17" i="20" s="1"/>
  <c r="H26" i="19"/>
  <c r="L26" i="19" s="1"/>
  <c r="F26" i="19"/>
  <c r="K26" i="19" s="1"/>
  <c r="B25" i="20" s="1"/>
  <c r="H36" i="19"/>
  <c r="L36" i="19" s="1"/>
  <c r="F36" i="19"/>
  <c r="H40" i="19"/>
  <c r="L40" i="19" s="1"/>
  <c r="F40" i="19"/>
  <c r="H42" i="19"/>
  <c r="L42" i="19" s="1"/>
  <c r="F42" i="19"/>
  <c r="K42" i="19" s="1"/>
  <c r="B41" i="20" s="1"/>
  <c r="D18" i="19"/>
  <c r="A17" i="20" s="1"/>
  <c r="D26" i="19"/>
  <c r="A25" i="20" s="1"/>
  <c r="F23" i="19"/>
  <c r="K23" i="19" s="1"/>
  <c r="B22" i="20" s="1"/>
  <c r="H23" i="19"/>
  <c r="L23" i="19" s="1"/>
  <c r="H32" i="19"/>
  <c r="L32" i="19" s="1"/>
  <c r="F32" i="19"/>
  <c r="K32" i="19" s="1"/>
  <c r="B31" i="20" s="1"/>
  <c r="H22" i="19"/>
  <c r="L22" i="19" s="1"/>
  <c r="F22" i="19"/>
  <c r="K22" i="19" s="1"/>
  <c r="B21" i="20" s="1"/>
  <c r="F39" i="19"/>
  <c r="H39" i="19"/>
  <c r="L39" i="19" s="1"/>
  <c r="F19" i="19"/>
  <c r="K19" i="19" s="1"/>
  <c r="B18" i="20" s="1"/>
  <c r="H19" i="19"/>
  <c r="L19" i="19" s="1"/>
  <c r="H28" i="19"/>
  <c r="L28" i="19" s="1"/>
  <c r="F28" i="19"/>
  <c r="K28" i="19" s="1"/>
  <c r="B27" i="20" s="1"/>
  <c r="D39" i="19"/>
  <c r="A38" i="20" s="1"/>
  <c r="L41" i="19"/>
  <c r="F31" i="19"/>
  <c r="K31" i="19" s="1"/>
  <c r="B30" i="20" s="1"/>
  <c r="H31" i="19"/>
  <c r="L31" i="19" s="1"/>
  <c r="F21" i="19"/>
  <c r="K21" i="19" s="1"/>
  <c r="B20" i="20" s="1"/>
  <c r="H21" i="19"/>
  <c r="L21" i="19" s="1"/>
  <c r="D21" i="19"/>
  <c r="A20" i="20" s="1"/>
  <c r="H24" i="19"/>
  <c r="L24" i="19" s="1"/>
  <c r="F24" i="19"/>
  <c r="K24" i="19" s="1"/>
  <c r="B23" i="20" s="1"/>
  <c r="D36" i="19"/>
  <c r="A35" i="20" s="1"/>
  <c r="L35" i="19"/>
  <c r="H20" i="19"/>
  <c r="L20" i="19" s="1"/>
  <c r="F20" i="19"/>
  <c r="K20" i="19" s="1"/>
  <c r="B19" i="20" s="1"/>
  <c r="D40" i="19"/>
  <c r="A39" i="20" s="1"/>
  <c r="D23" i="19"/>
  <c r="A22" i="20" s="1"/>
  <c r="D42" i="19"/>
  <c r="A41" i="20" s="1"/>
  <c r="H38" i="19"/>
  <c r="L38" i="19" s="1"/>
  <c r="F38" i="19"/>
  <c r="H30" i="19"/>
  <c r="L30" i="19" s="1"/>
  <c r="F30" i="19"/>
  <c r="K30" i="19" s="1"/>
  <c r="B29" i="20" s="1"/>
  <c r="F27" i="19"/>
  <c r="K27" i="19" s="1"/>
  <c r="B26" i="20" s="1"/>
  <c r="H27" i="19"/>
  <c r="L27" i="19" s="1"/>
  <c r="F17" i="19"/>
  <c r="K17" i="19" s="1"/>
  <c r="B16" i="20" s="1"/>
  <c r="D17" i="19"/>
  <c r="A16" i="20" s="1"/>
  <c r="H17" i="19"/>
  <c r="L17" i="19" s="1"/>
  <c r="F25" i="19"/>
  <c r="K25" i="19" s="1"/>
  <c r="B24" i="20" s="1"/>
  <c r="D25" i="19"/>
  <c r="A24" i="20" s="1"/>
  <c r="H25" i="19"/>
  <c r="L25" i="19" s="1"/>
  <c r="F29" i="19"/>
  <c r="K29" i="19" s="1"/>
  <c r="B28" i="20" s="1"/>
  <c r="H29" i="19"/>
  <c r="L29" i="19" s="1"/>
  <c r="D29" i="19"/>
  <c r="A28" i="20" s="1"/>
  <c r="H34" i="19"/>
  <c r="L34" i="19" s="1"/>
  <c r="F34" i="19"/>
  <c r="K34" i="19" s="1"/>
  <c r="B33" i="20" s="1"/>
  <c r="D31" i="19"/>
  <c r="A30" i="20" s="1"/>
  <c r="K16" i="19"/>
  <c r="B15" i="20" s="1"/>
  <c r="L16" i="19"/>
  <c r="F31" i="18"/>
  <c r="E31" i="18"/>
  <c r="E28" i="18"/>
  <c r="F28" i="18"/>
  <c r="F7" i="18"/>
  <c r="E7" i="18"/>
  <c r="E4" i="18"/>
  <c r="F4" i="18"/>
  <c r="E2" i="18"/>
  <c r="F2" i="18"/>
  <c r="F15" i="18"/>
  <c r="E15" i="18"/>
  <c r="F29" i="18"/>
  <c r="E29" i="18"/>
  <c r="E12" i="18"/>
  <c r="F12" i="18"/>
  <c r="F27" i="18"/>
  <c r="E27" i="18"/>
  <c r="F24" i="18"/>
  <c r="E24" i="18"/>
  <c r="F6" i="16"/>
  <c r="G6" i="16"/>
  <c r="G11" i="16"/>
  <c r="I11" i="16" s="1"/>
  <c r="F11" i="16"/>
  <c r="H8" i="16" s="1"/>
  <c r="L8" i="16" s="1"/>
  <c r="J11" i="11"/>
  <c r="J3" i="11"/>
  <c r="J8" i="15"/>
  <c r="N8" i="15" s="1"/>
  <c r="L11" i="15"/>
  <c r="N11" i="15" s="1"/>
  <c r="J12" i="15"/>
  <c r="J4" i="15"/>
  <c r="F4" i="15"/>
  <c r="H3" i="15" s="1"/>
  <c r="G4" i="15"/>
  <c r="I3" i="15" s="1"/>
  <c r="L3" i="15" s="1"/>
  <c r="N3" i="15" s="1"/>
  <c r="L12" i="15"/>
  <c r="L13" i="15"/>
  <c r="C5" i="14"/>
  <c r="C6" i="14"/>
  <c r="B5" i="14"/>
  <c r="I4" i="9"/>
  <c r="M4" i="9" s="1"/>
  <c r="B6" i="14"/>
  <c r="J3" i="12"/>
  <c r="J4" i="12"/>
  <c r="J5" i="12"/>
  <c r="J7" i="12"/>
  <c r="J8" i="12"/>
  <c r="J6" i="12"/>
  <c r="K5" i="12"/>
  <c r="L5" i="12" s="1"/>
  <c r="K11" i="12"/>
  <c r="K8" i="12"/>
  <c r="L8" i="12" s="1"/>
  <c r="K10" i="12"/>
  <c r="K4" i="12"/>
  <c r="K7" i="12"/>
  <c r="L7" i="12" s="1"/>
  <c r="I3" i="12"/>
  <c r="I9" i="12"/>
  <c r="H9" i="12"/>
  <c r="B4" i="14" s="1"/>
  <c r="L12" i="11"/>
  <c r="N12" i="11" s="1"/>
  <c r="L11" i="11"/>
  <c r="L13" i="11"/>
  <c r="L7" i="11"/>
  <c r="L9" i="11"/>
  <c r="J7" i="11"/>
  <c r="J4" i="11"/>
  <c r="J8" i="11"/>
  <c r="L8" i="11"/>
  <c r="J13" i="11"/>
  <c r="J5" i="11"/>
  <c r="L4" i="11"/>
  <c r="J9" i="11"/>
  <c r="L5" i="11"/>
  <c r="L3" i="11"/>
  <c r="AA13" i="9"/>
  <c r="AA8" i="9"/>
  <c r="Y12" i="9"/>
  <c r="AA12" i="9"/>
  <c r="AA9" i="9"/>
  <c r="O4" i="9"/>
  <c r="S6" i="9" s="1"/>
  <c r="N41" i="19" l="1"/>
  <c r="N6" i="19"/>
  <c r="N45" i="19"/>
  <c r="N16" i="19"/>
  <c r="P49" i="19"/>
  <c r="N49" i="19"/>
  <c r="N35" i="19"/>
  <c r="N13" i="19"/>
  <c r="M4" i="19"/>
  <c r="N10" i="19"/>
  <c r="M10" i="19"/>
  <c r="P13" i="19"/>
  <c r="M13" i="19"/>
  <c r="P47" i="19"/>
  <c r="M47" i="19"/>
  <c r="M45" i="19"/>
  <c r="M16" i="19"/>
  <c r="M49" i="19"/>
  <c r="J3" i="19"/>
  <c r="P3" i="19" s="1"/>
  <c r="P8" i="19"/>
  <c r="L8" i="19"/>
  <c r="C7" i="20" s="1"/>
  <c r="C3" i="20"/>
  <c r="O3" i="19"/>
  <c r="Q3" i="19" s="1"/>
  <c r="P4" i="19"/>
  <c r="I2" i="19"/>
  <c r="J2" i="19"/>
  <c r="P16" i="19"/>
  <c r="P10" i="19"/>
  <c r="P6" i="19"/>
  <c r="C4" i="20"/>
  <c r="O4" i="19"/>
  <c r="P45" i="19"/>
  <c r="P41" i="19"/>
  <c r="J18" i="19"/>
  <c r="N18" i="19" s="1"/>
  <c r="J36" i="19"/>
  <c r="N36" i="19" s="1"/>
  <c r="J42" i="19"/>
  <c r="N42" i="19" s="1"/>
  <c r="C27" i="20"/>
  <c r="O28" i="19"/>
  <c r="C31" i="20"/>
  <c r="O32" i="19"/>
  <c r="C39" i="20"/>
  <c r="C25" i="20"/>
  <c r="O26" i="19"/>
  <c r="C43" i="20"/>
  <c r="O44" i="19"/>
  <c r="C36" i="20"/>
  <c r="C28" i="20"/>
  <c r="O29" i="19"/>
  <c r="C26" i="20"/>
  <c r="O27" i="19"/>
  <c r="C32" i="20"/>
  <c r="C13" i="20"/>
  <c r="O14" i="19"/>
  <c r="C16" i="20"/>
  <c r="O17" i="19"/>
  <c r="C37" i="20"/>
  <c r="C21" i="20"/>
  <c r="O22" i="19"/>
  <c r="C41" i="20"/>
  <c r="O42" i="19"/>
  <c r="C35" i="20"/>
  <c r="C17" i="20"/>
  <c r="O18" i="19"/>
  <c r="C48" i="20"/>
  <c r="O49" i="19"/>
  <c r="Q49" i="19" s="1"/>
  <c r="C5" i="20"/>
  <c r="C44" i="20"/>
  <c r="O45" i="19"/>
  <c r="Q45" i="19" s="1"/>
  <c r="I42" i="19"/>
  <c r="J22" i="19"/>
  <c r="N22" i="19" s="1"/>
  <c r="C29" i="20"/>
  <c r="O30" i="19"/>
  <c r="C34" i="20"/>
  <c r="C42" i="20"/>
  <c r="O43" i="19"/>
  <c r="C14" i="20"/>
  <c r="O15" i="19"/>
  <c r="C20" i="20"/>
  <c r="O21" i="19"/>
  <c r="C40" i="20"/>
  <c r="O41" i="19"/>
  <c r="Q41" i="19" s="1"/>
  <c r="C18" i="20"/>
  <c r="O19" i="19"/>
  <c r="C22" i="20"/>
  <c r="O23" i="19"/>
  <c r="C47" i="20"/>
  <c r="O48" i="19"/>
  <c r="C6" i="20"/>
  <c r="O7" i="19"/>
  <c r="C15" i="20"/>
  <c r="O16" i="19"/>
  <c r="Q16" i="19" s="1"/>
  <c r="C33" i="20"/>
  <c r="O34" i="19"/>
  <c r="C24" i="20"/>
  <c r="O25" i="19"/>
  <c r="C19" i="20"/>
  <c r="O20" i="19"/>
  <c r="C23" i="20"/>
  <c r="O24" i="19"/>
  <c r="C30" i="20"/>
  <c r="O31" i="19"/>
  <c r="C38" i="20"/>
  <c r="C45" i="20"/>
  <c r="O46" i="19"/>
  <c r="C46" i="20"/>
  <c r="O47" i="19"/>
  <c r="Q47" i="19" s="1"/>
  <c r="C10" i="20"/>
  <c r="O11" i="19"/>
  <c r="C11" i="20"/>
  <c r="O12" i="19"/>
  <c r="C9" i="20"/>
  <c r="O10" i="19"/>
  <c r="Q10" i="19" s="1"/>
  <c r="C12" i="20"/>
  <c r="O13" i="19"/>
  <c r="Q13" i="19" s="1"/>
  <c r="I22" i="19"/>
  <c r="M22" i="19" s="1"/>
  <c r="L9" i="19"/>
  <c r="N9" i="19" s="1"/>
  <c r="I7" i="19"/>
  <c r="J19" i="19"/>
  <c r="N19" i="19" s="1"/>
  <c r="I9" i="19"/>
  <c r="I19" i="19"/>
  <c r="M19" i="19" s="1"/>
  <c r="J33" i="19"/>
  <c r="N33" i="19" s="1"/>
  <c r="I25" i="19"/>
  <c r="M25" i="19" s="1"/>
  <c r="J14" i="19"/>
  <c r="N14" i="19" s="1"/>
  <c r="J34" i="19"/>
  <c r="N34" i="19" s="1"/>
  <c r="J26" i="19"/>
  <c r="N26" i="19" s="1"/>
  <c r="J43" i="19"/>
  <c r="J31" i="19"/>
  <c r="N31" i="19" s="1"/>
  <c r="J46" i="19"/>
  <c r="N46" i="19" s="1"/>
  <c r="I14" i="19"/>
  <c r="M14" i="19" s="1"/>
  <c r="I28" i="19"/>
  <c r="M28" i="19" s="1"/>
  <c r="I46" i="19"/>
  <c r="M46" i="19" s="1"/>
  <c r="J40" i="19"/>
  <c r="N40" i="19" s="1"/>
  <c r="J30" i="19"/>
  <c r="N30" i="19" s="1"/>
  <c r="I31" i="19"/>
  <c r="M31" i="19" s="1"/>
  <c r="J28" i="19"/>
  <c r="N28" i="19" s="1"/>
  <c r="I29" i="19"/>
  <c r="M29" i="19" s="1"/>
  <c r="K38" i="19"/>
  <c r="B37" i="20" s="1"/>
  <c r="I38" i="19"/>
  <c r="K36" i="19"/>
  <c r="B35" i="20" s="1"/>
  <c r="I36" i="19"/>
  <c r="K6" i="19"/>
  <c r="B5" i="20" s="1"/>
  <c r="I11" i="19"/>
  <c r="M11" i="19" s="1"/>
  <c r="I44" i="19"/>
  <c r="M44" i="19" s="1"/>
  <c r="I27" i="19"/>
  <c r="M27" i="19" s="1"/>
  <c r="I32" i="19"/>
  <c r="M32" i="19" s="1"/>
  <c r="J17" i="19"/>
  <c r="N17" i="19" s="1"/>
  <c r="J27" i="19"/>
  <c r="N27" i="19" s="1"/>
  <c r="J32" i="19"/>
  <c r="N32" i="19" s="1"/>
  <c r="J48" i="19"/>
  <c r="N48" i="19" s="1"/>
  <c r="I34" i="19"/>
  <c r="M34" i="19" s="1"/>
  <c r="J29" i="19"/>
  <c r="N29" i="19" s="1"/>
  <c r="J24" i="19"/>
  <c r="N24" i="19" s="1"/>
  <c r="I24" i="19"/>
  <c r="M24" i="19" s="1"/>
  <c r="J39" i="19"/>
  <c r="N39" i="19" s="1"/>
  <c r="J11" i="19"/>
  <c r="N11" i="19" s="1"/>
  <c r="J21" i="19"/>
  <c r="N21" i="19" s="1"/>
  <c r="K40" i="19"/>
  <c r="B39" i="20" s="1"/>
  <c r="I40" i="19"/>
  <c r="K39" i="19"/>
  <c r="B38" i="20" s="1"/>
  <c r="I39" i="19"/>
  <c r="M39" i="19" s="1"/>
  <c r="K33" i="19"/>
  <c r="B32" i="20" s="1"/>
  <c r="I33" i="19"/>
  <c r="K37" i="19"/>
  <c r="B36" i="20" s="1"/>
  <c r="I37" i="19"/>
  <c r="K35" i="19"/>
  <c r="B34" i="20" s="1"/>
  <c r="I35" i="19"/>
  <c r="I15" i="19"/>
  <c r="M15" i="19" s="1"/>
  <c r="J20" i="19"/>
  <c r="N20" i="19" s="1"/>
  <c r="J38" i="19"/>
  <c r="N38" i="19" s="1"/>
  <c r="J23" i="19"/>
  <c r="N23" i="19" s="1"/>
  <c r="I30" i="19"/>
  <c r="M30" i="19" s="1"/>
  <c r="I26" i="19"/>
  <c r="M26" i="19" s="1"/>
  <c r="J44" i="19"/>
  <c r="N44" i="19" s="1"/>
  <c r="I20" i="19"/>
  <c r="M20" i="19" s="1"/>
  <c r="I21" i="19"/>
  <c r="M21" i="19" s="1"/>
  <c r="I18" i="19"/>
  <c r="M18" i="19" s="1"/>
  <c r="J25" i="19"/>
  <c r="N25" i="19" s="1"/>
  <c r="I12" i="19"/>
  <c r="I17" i="19"/>
  <c r="M17" i="19" s="1"/>
  <c r="J15" i="19"/>
  <c r="N15" i="19" s="1"/>
  <c r="I48" i="19"/>
  <c r="I23" i="19"/>
  <c r="C2" i="20"/>
  <c r="O2" i="19"/>
  <c r="H11" i="16"/>
  <c r="D6" i="14" s="1"/>
  <c r="I8" i="16"/>
  <c r="J6" i="16"/>
  <c r="K11" i="16"/>
  <c r="E6" i="14"/>
  <c r="N11" i="11"/>
  <c r="J13" i="15"/>
  <c r="N13" i="15" s="1"/>
  <c r="J5" i="15"/>
  <c r="L5" i="15"/>
  <c r="J9" i="15"/>
  <c r="N9" i="15" s="1"/>
  <c r="L4" i="15"/>
  <c r="N4" i="15" s="1"/>
  <c r="N12" i="15"/>
  <c r="L11" i="16"/>
  <c r="M11" i="16"/>
  <c r="I6" i="16"/>
  <c r="K6" i="16" s="1"/>
  <c r="I9" i="16"/>
  <c r="H6" i="16"/>
  <c r="L6" i="16" s="1"/>
  <c r="H9" i="16"/>
  <c r="D4" i="14" s="1"/>
  <c r="U5" i="9"/>
  <c r="Y5" i="9" s="1"/>
  <c r="Q10" i="9"/>
  <c r="Y10" i="9" s="1"/>
  <c r="U4" i="9"/>
  <c r="Y4" i="9" s="1"/>
  <c r="Q6" i="9"/>
  <c r="Y6" i="9" s="1"/>
  <c r="U6" i="9"/>
  <c r="Q14" i="9"/>
  <c r="Y14" i="9" s="1"/>
  <c r="C4" i="14"/>
  <c r="L4" i="12"/>
  <c r="J11" i="12"/>
  <c r="L11" i="12" s="1"/>
  <c r="J10" i="12"/>
  <c r="L10" i="12" s="1"/>
  <c r="J9" i="12"/>
  <c r="K9" i="12"/>
  <c r="K3" i="12"/>
  <c r="L3" i="12" s="1"/>
  <c r="K6" i="12"/>
  <c r="L6" i="12" s="1"/>
  <c r="M7" i="12"/>
  <c r="N13" i="11"/>
  <c r="N4" i="11"/>
  <c r="N9" i="11"/>
  <c r="N7" i="11"/>
  <c r="N3" i="11"/>
  <c r="N8" i="11"/>
  <c r="N5" i="11"/>
  <c r="W6" i="9"/>
  <c r="AA6" i="9" s="1"/>
  <c r="W4" i="9"/>
  <c r="AA4" i="9" s="1"/>
  <c r="W5" i="9"/>
  <c r="AA5" i="9" s="1"/>
  <c r="S10" i="9"/>
  <c r="AA10" i="9" s="1"/>
  <c r="S14" i="9"/>
  <c r="AA14" i="9" s="1"/>
  <c r="P43" i="19" l="1"/>
  <c r="N43" i="19"/>
  <c r="N8" i="19"/>
  <c r="P7" i="19"/>
  <c r="Q7" i="19" s="1"/>
  <c r="M7" i="19"/>
  <c r="P42" i="19"/>
  <c r="M42" i="19"/>
  <c r="P37" i="19"/>
  <c r="M37" i="19"/>
  <c r="P36" i="19"/>
  <c r="M36" i="19"/>
  <c r="P9" i="19"/>
  <c r="M9" i="19"/>
  <c r="P48" i="19"/>
  <c r="M48" i="19"/>
  <c r="P23" i="19"/>
  <c r="Q23" i="19" s="1"/>
  <c r="M23" i="19"/>
  <c r="P12" i="19"/>
  <c r="M12" i="19"/>
  <c r="P35" i="19"/>
  <c r="M35" i="19"/>
  <c r="M33" i="19"/>
  <c r="M40" i="19"/>
  <c r="M38" i="19"/>
  <c r="M6" i="19"/>
  <c r="P17" i="19"/>
  <c r="O8" i="19"/>
  <c r="Q8" i="19" s="1"/>
  <c r="Q4" i="19"/>
  <c r="Q2" i="19"/>
  <c r="Q12" i="19"/>
  <c r="Q42" i="19"/>
  <c r="Q48" i="19"/>
  <c r="Q43" i="19"/>
  <c r="Q17" i="19"/>
  <c r="P21" i="19"/>
  <c r="Q21" i="19" s="1"/>
  <c r="P46" i="19"/>
  <c r="Q46" i="19" s="1"/>
  <c r="P22" i="19"/>
  <c r="Q22" i="19" s="1"/>
  <c r="P20" i="19"/>
  <c r="Q20" i="19" s="1"/>
  <c r="P40" i="19"/>
  <c r="P34" i="19"/>
  <c r="Q34" i="19" s="1"/>
  <c r="P28" i="19"/>
  <c r="Q28" i="19" s="1"/>
  <c r="P24" i="19"/>
  <c r="Q24" i="19" s="1"/>
  <c r="P32" i="19"/>
  <c r="Q32" i="19" s="1"/>
  <c r="P14" i="19"/>
  <c r="Q14" i="19" s="1"/>
  <c r="P11" i="19"/>
  <c r="Q11" i="19" s="1"/>
  <c r="P31" i="19"/>
  <c r="Q31" i="19" s="1"/>
  <c r="P30" i="19"/>
  <c r="Q30" i="19" s="1"/>
  <c r="P15" i="19"/>
  <c r="Q15" i="19" s="1"/>
  <c r="P44" i="19"/>
  <c r="Q44" i="19" s="1"/>
  <c r="O35" i="19"/>
  <c r="Q35" i="19" s="1"/>
  <c r="O6" i="19"/>
  <c r="Q6" i="19" s="1"/>
  <c r="P33" i="19"/>
  <c r="P38" i="19"/>
  <c r="P25" i="19"/>
  <c r="Q25" i="19" s="1"/>
  <c r="P18" i="19"/>
  <c r="Q18" i="19" s="1"/>
  <c r="P26" i="19"/>
  <c r="Q26" i="19" s="1"/>
  <c r="P39" i="19"/>
  <c r="P27" i="19"/>
  <c r="Q27" i="19" s="1"/>
  <c r="P29" i="19"/>
  <c r="Q29" i="19" s="1"/>
  <c r="P19" i="19"/>
  <c r="Q19" i="19" s="1"/>
  <c r="O38" i="19"/>
  <c r="O39" i="19"/>
  <c r="O37" i="19"/>
  <c r="Q37" i="19" s="1"/>
  <c r="C8" i="20"/>
  <c r="O9" i="19"/>
  <c r="Q9" i="19" s="1"/>
  <c r="O36" i="19"/>
  <c r="Q36" i="19" s="1"/>
  <c r="O33" i="19"/>
  <c r="O40" i="19"/>
  <c r="J8" i="16"/>
  <c r="K8" i="16"/>
  <c r="K9" i="16"/>
  <c r="E4" i="14"/>
  <c r="J9" i="16"/>
  <c r="J11" i="16"/>
  <c r="N5" i="15"/>
  <c r="M8" i="16"/>
  <c r="N8" i="16" s="1"/>
  <c r="L9" i="16"/>
  <c r="M6" i="16"/>
  <c r="M9" i="16"/>
  <c r="M9" i="12"/>
  <c r="F4" i="14" s="1"/>
  <c r="M10" i="12"/>
  <c r="L9" i="12"/>
  <c r="M3" i="12"/>
  <c r="F5" i="14" s="1"/>
  <c r="M11" i="12"/>
  <c r="M6" i="12"/>
  <c r="F6" i="14" s="1"/>
  <c r="M8" i="12"/>
  <c r="M5" i="12"/>
  <c r="M4" i="12"/>
  <c r="Q38" i="19" l="1"/>
  <c r="Q40" i="19"/>
  <c r="Q39" i="19"/>
  <c r="Q33" i="19"/>
  <c r="O8" i="16"/>
  <c r="N11" i="16"/>
  <c r="O11" i="16"/>
  <c r="N9" i="16"/>
  <c r="O9" i="16"/>
  <c r="G4" i="14" s="1"/>
  <c r="N6" i="16"/>
  <c r="O6" i="16"/>
  <c r="G6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<sst xmlns="http://schemas.openxmlformats.org/spreadsheetml/2006/main" count="293" uniqueCount="69">
  <si>
    <t>Sequence</t>
  </si>
  <si>
    <t>Membrane</t>
  </si>
  <si>
    <t>ELIC5</t>
  </si>
  <si>
    <t>POPE</t>
  </si>
  <si>
    <t>POPC</t>
  </si>
  <si>
    <t xml:space="preserve">WT </t>
  </si>
  <si>
    <t>2:1:1 PC:PE:PG</t>
  </si>
  <si>
    <t>100% POPC</t>
  </si>
  <si>
    <t>by POPE</t>
  </si>
  <si>
    <t>by POPC</t>
  </si>
  <si>
    <t>by POPG</t>
  </si>
  <si>
    <t>Delta G</t>
  </si>
  <si>
    <t>Relative Occupancy Probability</t>
  </si>
  <si>
    <t>by BOB</t>
  </si>
  <si>
    <t>beta lipid</t>
  </si>
  <si>
    <t>alpha lipid</t>
  </si>
  <si>
    <t>PC</t>
  </si>
  <si>
    <t>PE</t>
  </si>
  <si>
    <t>PG</t>
  </si>
  <si>
    <t>BOB</t>
  </si>
  <si>
    <t>fraction of sites occupied by beta lipid</t>
  </si>
  <si>
    <t>POPG</t>
  </si>
  <si>
    <t>Ratio</t>
  </si>
  <si>
    <t>LHS</t>
  </si>
  <si>
    <t>B = ELIC5; A = WT</t>
  </si>
  <si>
    <t>RHS</t>
  </si>
  <si>
    <t>LN(LHS /RHS)</t>
  </si>
  <si>
    <t>2:1:1</t>
  </si>
  <si>
    <t>LHS (B = ELIC5; A = WT)</t>
  </si>
  <si>
    <t>RHS (B = ELIC5; A = WT)</t>
  </si>
  <si>
    <t>ln (LHS /RHS)</t>
  </si>
  <si>
    <t>xalpha/xbeta</t>
  </si>
  <si>
    <t>Unoccupied</t>
  </si>
  <si>
    <t>fraction of sites occupied by beta lipid for conformation X</t>
  </si>
  <si>
    <t>Relative Occupancy Probability for conformation X</t>
  </si>
  <si>
    <t>Mol fraction ratio ratio</t>
  </si>
  <si>
    <t xml:space="preserve">Does this lipid stabilize state B? </t>
  </si>
  <si>
    <t>numerator</t>
  </si>
  <si>
    <t>denominator</t>
  </si>
  <si>
    <t>Ntotal</t>
  </si>
  <si>
    <t>POPC mol fraction</t>
  </si>
  <si>
    <t>trace mol fraction</t>
  </si>
  <si>
    <t>128:1 PC:PG</t>
  </si>
  <si>
    <t xml:space="preserve">Absolute fraction of sites occupied by  lipid </t>
  </si>
  <si>
    <t>Stabilization score</t>
  </si>
  <si>
    <t>pPC/pPG (WT)</t>
  </si>
  <si>
    <t>pPC/pPG (ELIC5)</t>
  </si>
  <si>
    <t>WT</t>
  </si>
  <si>
    <t>pPE/pPG (ELIC5)</t>
  </si>
  <si>
    <t>Log PG Fraction</t>
  </si>
  <si>
    <t>Log(PC Fraction)</t>
  </si>
  <si>
    <t>NPG</t>
  </si>
  <si>
    <t>NPC</t>
  </si>
  <si>
    <t>NPE</t>
  </si>
  <si>
    <t>pPE/pPG (WT)</t>
  </si>
  <si>
    <t>ternary WT</t>
  </si>
  <si>
    <t>ternary ELIC5</t>
  </si>
  <si>
    <t>binary WT</t>
  </si>
  <si>
    <t>binary ELIC5</t>
  </si>
  <si>
    <t>stabilization score LHS</t>
  </si>
  <si>
    <t>stabilization score RHS</t>
  </si>
  <si>
    <t>fPG WT</t>
  </si>
  <si>
    <t>fpG ELIC5</t>
  </si>
  <si>
    <t>fpC WT</t>
  </si>
  <si>
    <t>fpC ELIC5</t>
  </si>
  <si>
    <t>score</t>
  </si>
  <si>
    <t>SOMETHING WRONG THIS COLUMN</t>
  </si>
  <si>
    <t>fPE WT</t>
  </si>
  <si>
    <t>fPE ELIC5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</si>
</sst>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E+00"/>
    <numFmt numFmtId="165" formatCode="0E+00"/>
    <numFmt numFmtId="166" formatCode="0.0"/>
    <numFmt numFmtId="167" formatCode="0.0000"/>
    <numFmt numFmtId="168" formatCode="0.0E+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165" fontId="0" fillId="0" borderId="4" xfId="0" applyNumberForma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165" fontId="0" fillId="0" borderId="0" xfId="0" applyNumberFormat="1" applyBorder="1" applyAlignment="1">
      <alignment vertical="center" wrapText="1"/>
    </xf>
    <xf numFmtId="0" fontId="0" fillId="0" borderId="7" xfId="0" applyBorder="1"/>
    <xf numFmtId="165" fontId="0" fillId="0" borderId="8" xfId="0" applyNumberFormat="1" applyBorder="1" applyAlignment="1">
      <alignment vertical="center" wrapText="1"/>
    </xf>
    <xf numFmtId="0" fontId="0" fillId="0" borderId="4" xfId="0" applyBorder="1"/>
    <xf numFmtId="0" fontId="0" fillId="0" borderId="8" xfId="0" applyBorder="1"/>
    <xf numFmtId="0" fontId="0" fillId="0" borderId="8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165" fontId="0" fillId="0" borderId="14" xfId="0" applyNumberFormat="1" applyBorder="1" applyAlignment="1">
      <alignment vertical="center" wrapText="1"/>
    </xf>
    <xf numFmtId="0" fontId="0" fillId="0" borderId="15" xfId="0" applyBorder="1"/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2" fontId="0" fillId="0" borderId="4" xfId="0" applyNumberFormat="1" applyBorder="1" applyAlignment="1">
      <alignment vertical="center"/>
    </xf>
    <xf numFmtId="165" fontId="0" fillId="0" borderId="0" xfId="0" applyNumberFormat="1" applyBorder="1" applyAlignment="1">
      <alignment horizontal="center" vertical="center" wrapText="1"/>
    </xf>
    <xf numFmtId="165" fontId="0" fillId="0" borderId="14" xfId="0" applyNumberFormat="1" applyBorder="1" applyAlignment="1">
      <alignment horizontal="center" vertical="center" wrapText="1"/>
    </xf>
    <xf numFmtId="165" fontId="0" fillId="0" borderId="8" xfId="0" applyNumberFormat="1" applyBorder="1" applyAlignment="1">
      <alignment horizontal="center" vertical="center" wrapText="1"/>
    </xf>
    <xf numFmtId="166" fontId="0" fillId="0" borderId="20" xfId="0" applyNumberFormat="1" applyBorder="1" applyAlignment="1">
      <alignment vertical="center" wrapText="1"/>
    </xf>
    <xf numFmtId="166" fontId="0" fillId="0" borderId="6" xfId="0" applyNumberFormat="1" applyBorder="1" applyAlignment="1">
      <alignment vertical="center" wrapText="1"/>
    </xf>
    <xf numFmtId="166" fontId="0" fillId="0" borderId="3" xfId="0" applyNumberFormat="1" applyFill="1" applyBorder="1" applyAlignment="1">
      <alignment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2" fontId="0" fillId="0" borderId="23" xfId="0" applyNumberForma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 wrapText="1"/>
    </xf>
    <xf numFmtId="0" fontId="0" fillId="0" borderId="7" xfId="0" applyBorder="1" applyAlignment="1">
      <alignment vertical="top" wrapText="1"/>
    </xf>
    <xf numFmtId="2" fontId="0" fillId="0" borderId="0" xfId="0" applyNumberFormat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4" xfId="0" applyBorder="1" applyAlignment="1">
      <alignment horizontal="center" vertical="center"/>
    </xf>
    <xf numFmtId="2" fontId="0" fillId="0" borderId="19" xfId="0" applyNumberFormat="1" applyBorder="1" applyAlignment="1"/>
    <xf numFmtId="2" fontId="0" fillId="0" borderId="8" xfId="0" applyNumberFormat="1" applyBorder="1" applyAlignment="1"/>
    <xf numFmtId="166" fontId="0" fillId="0" borderId="21" xfId="0" applyNumberFormat="1" applyFill="1" applyBorder="1" applyAlignment="1">
      <alignment vertical="center" wrapText="1"/>
    </xf>
    <xf numFmtId="166" fontId="0" fillId="0" borderId="6" xfId="0" applyNumberFormat="1" applyFill="1" applyBorder="1" applyAlignment="1">
      <alignment vertical="center" wrapText="1"/>
    </xf>
    <xf numFmtId="0" fontId="0" fillId="0" borderId="19" xfId="0" applyBorder="1"/>
    <xf numFmtId="165" fontId="0" fillId="0" borderId="6" xfId="0" applyNumberFormat="1" applyBorder="1" applyAlignment="1">
      <alignment vertical="center" wrapText="1"/>
    </xf>
    <xf numFmtId="0" fontId="0" fillId="0" borderId="8" xfId="0" applyBorder="1" applyAlignment="1"/>
    <xf numFmtId="2" fontId="0" fillId="0" borderId="3" xfId="0" applyNumberFormat="1" applyBorder="1" applyAlignment="1">
      <alignment vertical="center"/>
    </xf>
    <xf numFmtId="0" fontId="0" fillId="0" borderId="24" xfId="0" applyBorder="1" applyAlignment="1">
      <alignment vertical="center" wrapText="1"/>
    </xf>
    <xf numFmtId="2" fontId="0" fillId="0" borderId="6" xfId="0" applyNumberFormat="1" applyBorder="1" applyAlignment="1"/>
    <xf numFmtId="0" fontId="0" fillId="0" borderId="4" xfId="0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2" fontId="0" fillId="0" borderId="20" xfId="0" applyNumberFormat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 wrapText="1"/>
    </xf>
    <xf numFmtId="165" fontId="0" fillId="0" borderId="7" xfId="0" applyNumberFormat="1" applyBorder="1" applyAlignment="1">
      <alignment horizontal="center" vertical="center" wrapText="1"/>
    </xf>
    <xf numFmtId="165" fontId="0" fillId="0" borderId="4" xfId="0" applyNumberFormat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165" fontId="0" fillId="0" borderId="6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/>
    </xf>
    <xf numFmtId="166" fontId="0" fillId="0" borderId="14" xfId="0" applyNumberFormat="1" applyBorder="1" applyAlignment="1">
      <alignment horizontal="center" vertical="center" wrapText="1"/>
    </xf>
    <xf numFmtId="166" fontId="0" fillId="0" borderId="8" xfId="0" applyNumberFormat="1" applyBorder="1" applyAlignment="1">
      <alignment horizontal="center" vertical="center" wrapText="1"/>
    </xf>
    <xf numFmtId="166" fontId="0" fillId="0" borderId="4" xfId="0" applyNumberFormat="1" applyBorder="1" applyAlignment="1">
      <alignment horizontal="center" vertical="center" wrapText="1"/>
    </xf>
    <xf numFmtId="166" fontId="0" fillId="0" borderId="20" xfId="0" applyNumberFormat="1" applyBorder="1" applyAlignment="1">
      <alignment horizontal="center" vertical="center" wrapText="1"/>
    </xf>
    <xf numFmtId="166" fontId="0" fillId="0" borderId="6" xfId="0" applyNumberFormat="1" applyBorder="1" applyAlignment="1">
      <alignment horizontal="center" vertical="center" wrapText="1"/>
    </xf>
    <xf numFmtId="166" fontId="0" fillId="0" borderId="3" xfId="0" applyNumberFormat="1" applyBorder="1" applyAlignment="1">
      <alignment horizontal="center" vertical="center" wrapText="1"/>
    </xf>
    <xf numFmtId="167" fontId="0" fillId="0" borderId="20" xfId="0" applyNumberFormat="1" applyBorder="1" applyAlignment="1">
      <alignment horizontal="center" vertical="center"/>
    </xf>
    <xf numFmtId="167" fontId="0" fillId="0" borderId="14" xfId="0" applyNumberFormat="1" applyBorder="1" applyAlignment="1">
      <alignment horizontal="center" vertical="center"/>
    </xf>
    <xf numFmtId="167" fontId="0" fillId="0" borderId="6" xfId="0" applyNumberFormat="1" applyBorder="1" applyAlignment="1">
      <alignment horizontal="center" vertical="center"/>
    </xf>
    <xf numFmtId="167" fontId="0" fillId="0" borderId="8" xfId="0" applyNumberFormat="1" applyBorder="1" applyAlignment="1">
      <alignment horizontal="center" vertical="center"/>
    </xf>
    <xf numFmtId="167" fontId="0" fillId="0" borderId="3" xfId="0" applyNumberFormat="1" applyBorder="1" applyAlignment="1">
      <alignment horizontal="center" vertical="center"/>
    </xf>
    <xf numFmtId="167" fontId="0" fillId="0" borderId="4" xfId="0" applyNumberFormat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167" fontId="0" fillId="0" borderId="7" xfId="0" applyNumberFormat="1" applyBorder="1" applyAlignment="1">
      <alignment horizontal="center" vertical="center"/>
    </xf>
    <xf numFmtId="167" fontId="0" fillId="0" borderId="21" xfId="0" applyNumberFormat="1" applyBorder="1" applyAlignment="1">
      <alignment vertical="center"/>
    </xf>
    <xf numFmtId="167" fontId="0" fillId="0" borderId="19" xfId="0" applyNumberFormat="1" applyBorder="1" applyAlignment="1">
      <alignment vertical="center"/>
    </xf>
    <xf numFmtId="167" fontId="0" fillId="0" borderId="6" xfId="0" applyNumberFormat="1" applyBorder="1" applyAlignment="1">
      <alignment vertical="center"/>
    </xf>
    <xf numFmtId="167" fontId="0" fillId="0" borderId="8" xfId="0" applyNumberFormat="1" applyBorder="1" applyAlignment="1">
      <alignment vertical="center"/>
    </xf>
    <xf numFmtId="167" fontId="0" fillId="0" borderId="3" xfId="0" applyNumberFormat="1" applyBorder="1" applyAlignment="1">
      <alignment vertical="center"/>
    </xf>
    <xf numFmtId="167" fontId="0" fillId="0" borderId="4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 wrapText="1"/>
    </xf>
    <xf numFmtId="165" fontId="0" fillId="0" borderId="21" xfId="0" applyNumberFormat="1" applyBorder="1" applyAlignment="1">
      <alignment horizontal="center" vertical="center" wrapText="1"/>
    </xf>
    <xf numFmtId="0" fontId="0" fillId="0" borderId="6" xfId="0" applyBorder="1" applyAlignment="1"/>
    <xf numFmtId="0" fontId="0" fillId="0" borderId="0" xfId="0" applyAlignment="1">
      <alignment wrapText="1"/>
    </xf>
    <xf numFmtId="165" fontId="0" fillId="0" borderId="3" xfId="0" applyNumberFormat="1" applyFill="1" applyBorder="1" applyAlignment="1">
      <alignment vertical="center" wrapText="1"/>
    </xf>
    <xf numFmtId="165" fontId="0" fillId="0" borderId="15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11" fontId="0" fillId="0" borderId="8" xfId="0" applyNumberFormat="1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0" fillId="0" borderId="29" xfId="0" applyBorder="1" applyAlignment="1">
      <alignment horizontal="center" vertical="center" wrapText="1"/>
    </xf>
    <xf numFmtId="0" fontId="0" fillId="0" borderId="0" xfId="0" applyBorder="1" applyAlignment="1">
      <alignment horizontal="right" vertical="center"/>
    </xf>
    <xf numFmtId="11" fontId="0" fillId="0" borderId="0" xfId="0" applyNumberFormat="1" applyBorder="1" applyAlignment="1">
      <alignment horizontal="center" vertical="center"/>
    </xf>
    <xf numFmtId="11" fontId="0" fillId="0" borderId="30" xfId="0" applyNumberFormat="1" applyBorder="1" applyAlignment="1">
      <alignment horizontal="center" vertical="center"/>
    </xf>
    <xf numFmtId="167" fontId="0" fillId="0" borderId="23" xfId="0" applyNumberFormat="1" applyBorder="1" applyAlignment="1">
      <alignment horizontal="center" vertical="center"/>
    </xf>
    <xf numFmtId="166" fontId="0" fillId="0" borderId="30" xfId="0" applyNumberFormat="1" applyBorder="1" applyAlignment="1">
      <alignment horizontal="center" vertical="center"/>
    </xf>
    <xf numFmtId="167" fontId="0" fillId="0" borderId="31" xfId="0" applyNumberFormat="1" applyBorder="1" applyAlignment="1">
      <alignment horizontal="center" vertical="center"/>
    </xf>
    <xf numFmtId="166" fontId="0" fillId="0" borderId="31" xfId="0" applyNumberFormat="1" applyBorder="1" applyAlignment="1">
      <alignment horizontal="center" vertical="center"/>
    </xf>
    <xf numFmtId="166" fontId="0" fillId="0" borderId="34" xfId="0" applyNumberFormat="1" applyBorder="1" applyAlignment="1">
      <alignment horizontal="center" vertical="center"/>
    </xf>
    <xf numFmtId="166" fontId="0" fillId="0" borderId="32" xfId="0" applyNumberFormat="1" applyBorder="1" applyAlignment="1">
      <alignment horizontal="center" vertical="center"/>
    </xf>
    <xf numFmtId="11" fontId="0" fillId="0" borderId="0" xfId="0" applyNumberFormat="1"/>
    <xf numFmtId="168" fontId="0" fillId="0" borderId="0" xfId="0" applyNumberFormat="1"/>
    <xf numFmtId="2" fontId="0" fillId="0" borderId="0" xfId="0" applyNumberFormat="1"/>
    <xf numFmtId="11" fontId="0" fillId="0" borderId="6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0" borderId="25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49" fontId="0" fillId="0" borderId="26" xfId="0" applyNumberFormat="1" applyFill="1" applyBorder="1" applyAlignment="1">
      <alignment horizontal="center" vertical="center" wrapText="1"/>
    </xf>
    <xf numFmtId="49" fontId="0" fillId="0" borderId="27" xfId="0" applyNumberForma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2" fontId="0" fillId="0" borderId="15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15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 wrapText="1"/>
    </xf>
    <xf numFmtId="2" fontId="0" fillId="0" borderId="19" xfId="0" applyNumberFormat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8" xfId="0" applyNumberForma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 wrapText="1"/>
    </xf>
    <xf numFmtId="2" fontId="0" fillId="0" borderId="17" xfId="0" applyNumberForma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65" fontId="0" fillId="0" borderId="18" xfId="0" applyNumberFormat="1" applyBorder="1" applyAlignment="1">
      <alignment horizontal="center" vertical="center" wrapText="1"/>
    </xf>
    <xf numFmtId="165" fontId="0" fillId="0" borderId="19" xfId="0" applyNumberFormat="1" applyBorder="1" applyAlignment="1">
      <alignment horizontal="center" vertical="center" wrapText="1"/>
    </xf>
    <xf numFmtId="11" fontId="0" fillId="0" borderId="19" xfId="0" applyNumberFormat="1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2" fontId="0" fillId="0" borderId="16" xfId="0" applyNumberForma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11" fontId="0" fillId="0" borderId="16" xfId="0" applyNumberFormat="1" applyBorder="1" applyAlignment="1">
      <alignment horizontal="center" vertical="center"/>
    </xf>
    <xf numFmtId="11" fontId="0" fillId="0" borderId="17" xfId="0" applyNumberFormat="1" applyBorder="1" applyAlignment="1">
      <alignment horizontal="center" vertical="center"/>
    </xf>
    <xf numFmtId="11" fontId="0" fillId="0" borderId="15" xfId="0" applyNumberFormat="1" applyBorder="1" applyAlignment="1">
      <alignment horizontal="center" vertical="center"/>
    </xf>
    <xf numFmtId="11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 wrapText="1"/>
    </xf>
    <xf numFmtId="165" fontId="0" fillId="0" borderId="14" xfId="0" applyNumberFormat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 vertical="top" wrapText="1"/>
    </xf>
    <xf numFmtId="2" fontId="0" fillId="0" borderId="23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164" fontId="0" fillId="0" borderId="0" xfId="0" applyNumberFormat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164" fontId="0" fillId="0" borderId="17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0" fillId="0" borderId="7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0" fillId="0" borderId="7" xfId="0" applyBorder="1" applyAlignment="1">
      <alignment horizontal="center" vertical="top"/>
    </xf>
    <xf numFmtId="164" fontId="0" fillId="0" borderId="23" xfId="0" applyNumberFormat="1" applyBorder="1" applyAlignment="1">
      <alignment horizontal="center" vertical="center" wrapText="1"/>
    </xf>
    <xf numFmtId="164" fontId="0" fillId="0" borderId="14" xfId="0" applyNumberFormat="1" applyBorder="1" applyAlignment="1">
      <alignment horizontal="center" vertical="center" wrapText="1"/>
    </xf>
    <xf numFmtId="164" fontId="0" fillId="0" borderId="16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78937007874017"/>
          <c:y val="4.1666666666666664E-2"/>
          <c:w val="0.8376550743657043"/>
          <c:h val="0.65846456692913391"/>
        </c:manualLayout>
      </c:layout>
      <c:barChart>
        <c:barDir val="col"/>
        <c:grouping val="percentStacked"/>
        <c:varyColors val="0"/>
        <c:ser>
          <c:idx val="2"/>
          <c:order val="0"/>
          <c:tx>
            <c:strRef>
              <c:f>' Summary Table'!$A$6</c:f>
              <c:strCache>
                <c:ptCount val="1"/>
                <c:pt idx="0">
                  <c:v>PG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 Summary Table'!$B$2:$E$3</c:f>
              <c:multiLvlStrCache>
                <c:ptCount val="4"/>
                <c:lvl>
                  <c:pt idx="0">
                    <c:v>WT </c:v>
                  </c:pt>
                  <c:pt idx="1">
                    <c:v>ELIC5</c:v>
                  </c:pt>
                  <c:pt idx="2">
                    <c:v>WT </c:v>
                  </c:pt>
                  <c:pt idx="3">
                    <c:v>ELIC5</c:v>
                  </c:pt>
                </c:lvl>
                <c:lvl>
                  <c:pt idx="0">
                    <c:v>2:1:1 PC:PE:PG</c:v>
                  </c:pt>
                  <c:pt idx="2">
                    <c:v>128:1 PC:PG</c:v>
                  </c:pt>
                </c:lvl>
              </c:multiLvlStrCache>
            </c:multiLvlStrRef>
          </c:cat>
          <c:val>
            <c:numRef>
              <c:f>' Summary Table'!$B$6:$E$6</c:f>
              <c:numCache>
                <c:formatCode>0.0000</c:formatCode>
                <c:ptCount val="4"/>
                <c:pt idx="0">
                  <c:v>0.96738518250694205</c:v>
                </c:pt>
                <c:pt idx="1">
                  <c:v>0.99977726910815867</c:v>
                </c:pt>
                <c:pt idx="2">
                  <c:v>0.99983594339176063</c:v>
                </c:pt>
                <c:pt idx="3">
                  <c:v>0.87385406428187196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2F-454B-93B9-1178988DED4D}"/>
            </c:ext>
          </c:extLst>
        </c:ser>
        <c:ser>
          <c:idx val="1"/>
          <c:order val="1"/>
          <c:tx>
            <c:strRef>
              <c:f>' Summary Table'!$A$5</c:f>
              <c:strCache>
                <c:ptCount val="1"/>
                <c:pt idx="0">
                  <c:v>PE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multiLvlStrRef>
              <c:f>' Summary Table'!$B$2:$E$3</c:f>
              <c:multiLvlStrCache>
                <c:ptCount val="4"/>
                <c:lvl>
                  <c:pt idx="0">
                    <c:v>WT </c:v>
                  </c:pt>
                  <c:pt idx="1">
                    <c:v>ELIC5</c:v>
                  </c:pt>
                  <c:pt idx="2">
                    <c:v>WT </c:v>
                  </c:pt>
                  <c:pt idx="3">
                    <c:v>ELIC5</c:v>
                  </c:pt>
                </c:lvl>
                <c:lvl>
                  <c:pt idx="0">
                    <c:v>2:1:1 PC:PE:PG</c:v>
                  </c:pt>
                  <c:pt idx="2">
                    <c:v>128:1 PC:PG</c:v>
                  </c:pt>
                </c:lvl>
              </c:multiLvlStrCache>
            </c:multiLvlStrRef>
          </c:cat>
          <c:val>
            <c:numRef>
              <c:f>' Summary Table'!$B$5:$E$5</c:f>
              <c:numCache>
                <c:formatCode>0.0000</c:formatCode>
                <c:ptCount val="4"/>
                <c:pt idx="0">
                  <c:v>3.261480201866352E-2</c:v>
                </c:pt>
                <c:pt idx="1">
                  <c:v>2.0866112635764067E-4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2F-454B-93B9-1178988DED4D}"/>
            </c:ext>
          </c:extLst>
        </c:ser>
        <c:ser>
          <c:idx val="0"/>
          <c:order val="2"/>
          <c:tx>
            <c:strRef>
              <c:f>' Summary Table'!$A$4</c:f>
              <c:strCache>
                <c:ptCount val="1"/>
                <c:pt idx="0">
                  <c:v>PC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multiLvlStrRef>
              <c:f>' Summary Table'!$B$2:$E$3</c:f>
              <c:multiLvlStrCache>
                <c:ptCount val="4"/>
                <c:lvl>
                  <c:pt idx="0">
                    <c:v>WT </c:v>
                  </c:pt>
                  <c:pt idx="1">
                    <c:v>ELIC5</c:v>
                  </c:pt>
                  <c:pt idx="2">
                    <c:v>WT </c:v>
                  </c:pt>
                  <c:pt idx="3">
                    <c:v>ELIC5</c:v>
                  </c:pt>
                </c:lvl>
                <c:lvl>
                  <c:pt idx="0">
                    <c:v>2:1:1 PC:PE:PG</c:v>
                  </c:pt>
                  <c:pt idx="2">
                    <c:v>128:1 PC:PG</c:v>
                  </c:pt>
                </c:lvl>
              </c:multiLvlStrCache>
            </c:multiLvlStrRef>
          </c:cat>
          <c:val>
            <c:numRef>
              <c:f>' Summary Table'!$B$4:$E$4</c:f>
              <c:numCache>
                <c:formatCode>0.00E+00</c:formatCode>
                <c:ptCount val="4"/>
                <c:pt idx="0">
                  <c:v>1.5474394425479026E-8</c:v>
                </c:pt>
                <c:pt idx="1">
                  <c:v>1.4069765483712997E-5</c:v>
                </c:pt>
                <c:pt idx="2" formatCode="0.0000">
                  <c:v>1.6405660823941911E-4</c:v>
                </c:pt>
                <c:pt idx="3" formatCode="0.0000">
                  <c:v>0.12614593571812802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2F-454B-93B9-1178988DE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5"/>
        <c:overlap val="100"/>
        <c:axId val="1417073839"/>
        <c:axId val="1505268559"/>
      </c:barChart>
      <c:catAx>
        <c:axId val="141707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268559"/>
        <c:crosses val="autoZero"/>
        <c:auto val="1"/>
        <c:lblAlgn val="ctr"/>
        <c:lblOffset val="100"/>
        <c:noMultiLvlLbl val="0"/>
      </c:catAx>
      <c:valAx>
        <c:axId val="150526855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Fractional Occupancy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07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'ternary PG titration'!$K$1</c:f>
              <c:strCache>
                <c:ptCount val="1"/>
                <c:pt idx="0">
                  <c:v>fPG WT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'ternary PG titration'!$D$2:$D$49</c:f>
              <c:numCache>
                <c:formatCode>0.00E+00</c:formatCode>
                <c:ptCount val="48"/>
                <c:pt idx="0">
                  <c:v>-0.32735893438633035</c:v>
                </c:pt>
                <c:pt idx="1">
                  <c:v>-0.3979400086720376</c:v>
                </c:pt>
                <c:pt idx="2">
                  <c:v>-0.51188336097887432</c:v>
                </c:pt>
                <c:pt idx="3">
                  <c:v>-0.6020599913279624</c:v>
                </c:pt>
                <c:pt idx="4">
                  <c:v>-0.64097805735833202</c:v>
                </c:pt>
                <c:pt idx="5">
                  <c:v>-0.78265175161032008</c:v>
                </c:pt>
                <c:pt idx="6">
                  <c:v>-1.0930932133337166</c:v>
                </c:pt>
                <c:pt idx="7">
                  <c:v>-1.2573410257061035</c:v>
                </c:pt>
                <c:pt idx="8">
                  <c:v>-1.4253533286866067</c:v>
                </c:pt>
                <c:pt idx="9">
                  <c:v>-1.5959738965301762</c:v>
                </c:pt>
                <c:pt idx="10">
                  <c:v>-1.7683793641857297</c:v>
                </c:pt>
                <c:pt idx="11">
                  <c:v>-1.941995935261688</c:v>
                </c:pt>
                <c:pt idx="12">
                  <c:v>-2.116429533438609</c:v>
                </c:pt>
                <c:pt idx="13">
                  <c:v>-2.2914121596990307</c:v>
                </c:pt>
                <c:pt idx="14">
                  <c:v>-2.4667627548571525</c:v>
                </c:pt>
                <c:pt idx="15">
                  <c:v>-2.6423595352939424</c:v>
                </c:pt>
                <c:pt idx="16">
                  <c:v>-2.8181208288803297</c:v>
                </c:pt>
                <c:pt idx="17">
                  <c:v>-2.9939919715968806</c:v>
                </c:pt>
                <c:pt idx="18">
                  <c:v>-3.1699364244225778</c:v>
                </c:pt>
                <c:pt idx="19">
                  <c:v>-3.3459297850813119</c:v>
                </c:pt>
                <c:pt idx="20">
                  <c:v>-3.5219557662767689</c:v>
                </c:pt>
                <c:pt idx="21">
                  <c:v>-3.6980035013073449</c:v>
                </c:pt>
                <c:pt idx="22">
                  <c:v>-3.8740657419228333</c:v>
                </c:pt>
                <c:pt idx="23">
                  <c:v>-4.0501376542744758</c:v>
                </c:pt>
                <c:pt idx="24">
                  <c:v>-4.226216015048645</c:v>
                </c:pt>
                <c:pt idx="25">
                  <c:v>-4.4022986750371622</c:v>
                </c:pt>
                <c:pt idx="26">
                  <c:v>-4.5783842012868092</c:v>
                </c:pt>
                <c:pt idx="27">
                  <c:v>-4.7544716384297594</c:v>
                </c:pt>
                <c:pt idx="28">
                  <c:v>-4.9305603495249342</c:v>
                </c:pt>
                <c:pt idx="29">
                  <c:v>-5.1066499099319724</c:v>
                </c:pt>
                <c:pt idx="30">
                  <c:v>-5.2827400365515347</c:v>
                </c:pt>
                <c:pt idx="31">
                  <c:v>-5.4588305406481625</c:v>
                </c:pt>
                <c:pt idx="32">
                  <c:v>-5.6349212963970787</c:v>
                </c:pt>
                <c:pt idx="33">
                  <c:v>-5.811012219914593</c:v>
                </c:pt>
                <c:pt idx="34">
                  <c:v>-5.9871032552780186</c:v>
                </c:pt>
                <c:pt idx="35">
                  <c:v>-6.1631943652054657</c:v>
                </c:pt>
                <c:pt idx="36">
                  <c:v>-6.3392855248422952</c:v>
                </c:pt>
                <c:pt idx="37">
                  <c:v>-6.5153767176187296</c:v>
                </c:pt>
                <c:pt idx="38">
                  <c:v>-6.6914679324882416</c:v>
                </c:pt>
                <c:pt idx="39">
                  <c:v>-6.8675591620864731</c:v>
                </c:pt>
                <c:pt idx="40">
                  <c:v>-7.0436504015038537</c:v>
                </c:pt>
                <c:pt idx="41">
                  <c:v>-7.2197416474673339</c:v>
                </c:pt>
                <c:pt idx="42">
                  <c:v>-7.3958328977948806</c:v>
                </c:pt>
                <c:pt idx="43">
                  <c:v>-7.5719241510318058</c:v>
                </c:pt>
                <c:pt idx="44">
                  <c:v>-7.7480154062083164</c:v>
                </c:pt>
                <c:pt idx="45">
                  <c:v>-7.9241066626778842</c:v>
                </c:pt>
                <c:pt idx="46">
                  <c:v>-8.1001979200094887</c:v>
                </c:pt>
                <c:pt idx="47">
                  <c:v>-8.2762891779157854</c:v>
                </c:pt>
              </c:numCache>
            </c:numRef>
          </c:xVal>
          <c:yVal>
            <c:numRef>
              <c:f>'ternary PG titration'!$K$2:$K$49</c:f>
              <c:numCache>
                <c:formatCode>0.00E+00</c:formatCode>
                <c:ptCount val="48"/>
                <c:pt idx="0">
                  <c:v>0.98751494481749813</c:v>
                </c:pt>
                <c:pt idx="1">
                  <c:v>0.9834222511264934</c:v>
                </c:pt>
                <c:pt idx="2">
                  <c:v>0.97533779858063907</c:v>
                </c:pt>
                <c:pt idx="3">
                  <c:v>0.96738518250694205</c:v>
                </c:pt>
                <c:pt idx="4">
                  <c:v>0.96345730946811015</c:v>
                </c:pt>
                <c:pt idx="5">
                  <c:v>0.94616951949726258</c:v>
                </c:pt>
                <c:pt idx="6">
                  <c:v>0.88651744448397352</c:v>
                </c:pt>
                <c:pt idx="7">
                  <c:v>0.83891626374699069</c:v>
                </c:pt>
                <c:pt idx="8">
                  <c:v>0.77638478294371327</c:v>
                </c:pt>
                <c:pt idx="9">
                  <c:v>0.6983085715446069</c:v>
                </c:pt>
                <c:pt idx="10">
                  <c:v>0.60677861759534291</c:v>
                </c:pt>
                <c:pt idx="11">
                  <c:v>0.50708105991069241</c:v>
                </c:pt>
                <c:pt idx="12">
                  <c:v>0.40681712650675</c:v>
                </c:pt>
                <c:pt idx="13">
                  <c:v>0.31375891817358087</c:v>
                </c:pt>
                <c:pt idx="14">
                  <c:v>0.23360443729067759</c:v>
                </c:pt>
                <c:pt idx="15">
                  <c:v>0.16888722671452858</c:v>
                </c:pt>
                <c:pt idx="16">
                  <c:v>0.11930801789893876</c:v>
                </c:pt>
                <c:pt idx="17">
                  <c:v>8.2832887820182888E-2</c:v>
                </c:pt>
                <c:pt idx="18">
                  <c:v>5.6789950410682521E-2</c:v>
                </c:pt>
                <c:pt idx="19">
                  <c:v>3.8590484167860699E-2</c:v>
                </c:pt>
                <c:pt idx="20">
                  <c:v>2.6062240944084353E-2</c:v>
                </c:pt>
                <c:pt idx="21">
                  <c:v>1.7527092397762813E-2</c:v>
                </c:pt>
                <c:pt idx="22">
                  <c:v>1.1753395883722368E-2</c:v>
                </c:pt>
                <c:pt idx="23">
                  <c:v>7.8664162907654232E-3</c:v>
                </c:pt>
                <c:pt idx="24">
                  <c:v>5.2580649029805174E-3</c:v>
                </c:pt>
                <c:pt idx="25">
                  <c:v>3.5115312216778202E-3</c:v>
                </c:pt>
                <c:pt idx="26">
                  <c:v>2.3437642148574547E-3</c:v>
                </c:pt>
                <c:pt idx="27">
                  <c:v>1.5637311489411516E-3</c:v>
                </c:pt>
                <c:pt idx="28">
                  <c:v>1.0430311060373762E-3</c:v>
                </c:pt>
                <c:pt idx="29">
                  <c:v>6.9559591341655943E-4</c:v>
                </c:pt>
                <c:pt idx="30">
                  <c:v>4.6383815691985298E-4</c:v>
                </c:pt>
                <c:pt idx="31">
                  <c:v>3.0927325552551122E-4</c:v>
                </c:pt>
                <c:pt idx="32">
                  <c:v>2.0620342808550895E-4</c:v>
                </c:pt>
                <c:pt idx="33">
                  <c:v>1.3747840156290263E-4</c:v>
                </c:pt>
                <c:pt idx="34">
                  <c:v>9.1656467970171584E-5</c:v>
                </c:pt>
                <c:pt idx="35">
                  <c:v>6.1106178905624264E-5</c:v>
                </c:pt>
                <c:pt idx="36">
                  <c:v>4.0738282390673537E-5</c:v>
                </c:pt>
                <c:pt idx="37">
                  <c:v>2.7159223733824346E-5</c:v>
                </c:pt>
                <c:pt idx="38">
                  <c:v>1.8106313073685485E-5</c:v>
                </c:pt>
                <c:pt idx="39">
                  <c:v>1.2070948235912943E-5</c:v>
                </c:pt>
                <c:pt idx="40">
                  <c:v>8.0473312035814278E-6</c:v>
                </c:pt>
                <c:pt idx="41">
                  <c:v>5.3649018601016656E-6</c:v>
                </c:pt>
                <c:pt idx="42">
                  <c:v>3.5766076361174301E-6</c:v>
                </c:pt>
                <c:pt idx="43">
                  <c:v>2.3844079334421608E-6</c:v>
                </c:pt>
                <c:pt idx="44">
                  <c:v>1.5896065523849323E-6</c:v>
                </c:pt>
                <c:pt idx="45">
                  <c:v>1.0597382631122505E-6</c:v>
                </c:pt>
                <c:pt idx="46">
                  <c:v>7.0649242497385207E-7</c:v>
                </c:pt>
                <c:pt idx="47">
                  <c:v>4.7099506090071561E-7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19-4140-8DE1-996AFB79FCC5}"/>
            </c:ext>
          </c:extLst>
        </c:ser>
        <c:ser>
          <c:idx val="1"/>
          <c:order val="1"/>
          <c:tx>
            <c:strRef>
              <c:f>'ternary PG titration'!$L$1</c:f>
              <c:strCache>
                <c:ptCount val="1"/>
                <c:pt idx="0">
                  <c:v>fpG ELIC5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'ternary PG titration'!$D$2:$D$49</c:f>
              <c:numCache>
                <c:formatCode>0.00E+00</c:formatCode>
                <c:ptCount val="48"/>
                <c:pt idx="0">
                  <c:v>-0.32735893438633035</c:v>
                </c:pt>
                <c:pt idx="1">
                  <c:v>-0.3979400086720376</c:v>
                </c:pt>
                <c:pt idx="2">
                  <c:v>-0.51188336097887432</c:v>
                </c:pt>
                <c:pt idx="3">
                  <c:v>-0.6020599913279624</c:v>
                </c:pt>
                <c:pt idx="4">
                  <c:v>-0.64097805735833202</c:v>
                </c:pt>
                <c:pt idx="5">
                  <c:v>-0.78265175161032008</c:v>
                </c:pt>
                <c:pt idx="6">
                  <c:v>-1.0930932133337166</c:v>
                </c:pt>
                <c:pt idx="7">
                  <c:v>-1.2573410257061035</c:v>
                </c:pt>
                <c:pt idx="8">
                  <c:v>-1.4253533286866067</c:v>
                </c:pt>
                <c:pt idx="9">
                  <c:v>-1.5959738965301762</c:v>
                </c:pt>
                <c:pt idx="10">
                  <c:v>-1.7683793641857297</c:v>
                </c:pt>
                <c:pt idx="11">
                  <c:v>-1.941995935261688</c:v>
                </c:pt>
                <c:pt idx="12">
                  <c:v>-2.116429533438609</c:v>
                </c:pt>
                <c:pt idx="13">
                  <c:v>-2.2914121596990307</c:v>
                </c:pt>
                <c:pt idx="14">
                  <c:v>-2.4667627548571525</c:v>
                </c:pt>
                <c:pt idx="15">
                  <c:v>-2.6423595352939424</c:v>
                </c:pt>
                <c:pt idx="16">
                  <c:v>-2.8181208288803297</c:v>
                </c:pt>
                <c:pt idx="17">
                  <c:v>-2.9939919715968806</c:v>
                </c:pt>
                <c:pt idx="18">
                  <c:v>-3.1699364244225778</c:v>
                </c:pt>
                <c:pt idx="19">
                  <c:v>-3.3459297850813119</c:v>
                </c:pt>
                <c:pt idx="20">
                  <c:v>-3.5219557662767689</c:v>
                </c:pt>
                <c:pt idx="21">
                  <c:v>-3.6980035013073449</c:v>
                </c:pt>
                <c:pt idx="22">
                  <c:v>-3.8740657419228333</c:v>
                </c:pt>
                <c:pt idx="23">
                  <c:v>-4.0501376542744758</c:v>
                </c:pt>
                <c:pt idx="24">
                  <c:v>-4.226216015048645</c:v>
                </c:pt>
                <c:pt idx="25">
                  <c:v>-4.4022986750371622</c:v>
                </c:pt>
                <c:pt idx="26">
                  <c:v>-4.5783842012868092</c:v>
                </c:pt>
                <c:pt idx="27">
                  <c:v>-4.7544716384297594</c:v>
                </c:pt>
                <c:pt idx="28">
                  <c:v>-4.9305603495249342</c:v>
                </c:pt>
                <c:pt idx="29">
                  <c:v>-5.1066499099319724</c:v>
                </c:pt>
                <c:pt idx="30">
                  <c:v>-5.2827400365515347</c:v>
                </c:pt>
                <c:pt idx="31">
                  <c:v>-5.4588305406481625</c:v>
                </c:pt>
                <c:pt idx="32">
                  <c:v>-5.6349212963970787</c:v>
                </c:pt>
                <c:pt idx="33">
                  <c:v>-5.811012219914593</c:v>
                </c:pt>
                <c:pt idx="34">
                  <c:v>-5.9871032552780186</c:v>
                </c:pt>
                <c:pt idx="35">
                  <c:v>-6.1631943652054657</c:v>
                </c:pt>
                <c:pt idx="36">
                  <c:v>-6.3392855248422952</c:v>
                </c:pt>
                <c:pt idx="37">
                  <c:v>-6.5153767176187296</c:v>
                </c:pt>
                <c:pt idx="38">
                  <c:v>-6.6914679324882416</c:v>
                </c:pt>
                <c:pt idx="39">
                  <c:v>-6.8675591620864731</c:v>
                </c:pt>
                <c:pt idx="40">
                  <c:v>-7.0436504015038537</c:v>
                </c:pt>
                <c:pt idx="41">
                  <c:v>-7.2197416474673339</c:v>
                </c:pt>
                <c:pt idx="42">
                  <c:v>-7.3958328977948806</c:v>
                </c:pt>
                <c:pt idx="43">
                  <c:v>-7.5719241510318058</c:v>
                </c:pt>
                <c:pt idx="44">
                  <c:v>-7.7480154062083164</c:v>
                </c:pt>
                <c:pt idx="45">
                  <c:v>-7.9241066626778842</c:v>
                </c:pt>
                <c:pt idx="46">
                  <c:v>-8.1001979200094887</c:v>
                </c:pt>
                <c:pt idx="47">
                  <c:v>-8.2762891779157854</c:v>
                </c:pt>
              </c:numCache>
            </c:numRef>
          </c:xVal>
          <c:yVal>
            <c:numRef>
              <c:f>'ternary PG titration'!$L$2:$L$49</c:f>
              <c:numCache>
                <c:formatCode>0.00E+00</c:formatCode>
                <c:ptCount val="48"/>
                <c:pt idx="0">
                  <c:v>0.99991646428681935</c:v>
                </c:pt>
                <c:pt idx="1">
                  <c:v>0.99988862215043539</c:v>
                </c:pt>
                <c:pt idx="2">
                  <c:v>0.9998329425289042</c:v>
                </c:pt>
                <c:pt idx="3">
                  <c:v>0.99977726910815867</c:v>
                </c:pt>
                <c:pt idx="4">
                  <c:v>0.9997494347227569</c:v>
                </c:pt>
                <c:pt idx="5">
                  <c:v>0.99962419916545564</c:v>
                </c:pt>
                <c:pt idx="6">
                  <c:v>0.99915484513465458</c:v>
                </c:pt>
                <c:pt idx="7">
                  <c:v>0.9987328031907563</c:v>
                </c:pt>
                <c:pt idx="8">
                  <c:v>0.9981004083643642</c:v>
                </c:pt>
                <c:pt idx="9">
                  <c:v>0.99715331631480508</c:v>
                </c:pt>
                <c:pt idx="10">
                  <c:v>0.99573604353985246</c:v>
                </c:pt>
                <c:pt idx="11">
                  <c:v>0.99361767229350606</c:v>
                </c:pt>
                <c:pt idx="12">
                  <c:v>0.99045696183868992</c:v>
                </c:pt>
                <c:pt idx="13">
                  <c:v>0.98575342058355453</c:v>
                </c:pt>
                <c:pt idx="14">
                  <c:v>0.97878127797952141</c:v>
                </c:pt>
                <c:pt idx="15">
                  <c:v>0.96850604767909421</c:v>
                </c:pt>
                <c:pt idx="16">
                  <c:v>0.95349144069330083</c:v>
                </c:pt>
                <c:pt idx="17">
                  <c:v>0.93182257787997469</c:v>
                </c:pt>
                <c:pt idx="18">
                  <c:v>0.90110506759598208</c:v>
                </c:pt>
                <c:pt idx="19">
                  <c:v>0.8586471420595414</c:v>
                </c:pt>
                <c:pt idx="20">
                  <c:v>0.80196697977687226</c:v>
                </c:pt>
                <c:pt idx="21">
                  <c:v>0.7297133140388059</c:v>
                </c:pt>
                <c:pt idx="22">
                  <c:v>0.64283803323267064</c:v>
                </c:pt>
                <c:pt idx="23">
                  <c:v>0.54543390933315861</c:v>
                </c:pt>
                <c:pt idx="24">
                  <c:v>0.44442389341814664</c:v>
                </c:pt>
                <c:pt idx="25">
                  <c:v>0.34780720658135639</c:v>
                </c:pt>
                <c:pt idx="26">
                  <c:v>0.26227897718780635</c:v>
                </c:pt>
                <c:pt idx="27">
                  <c:v>0.19160387417297381</c:v>
                </c:pt>
                <c:pt idx="28">
                  <c:v>0.13645074668129278</c:v>
                </c:pt>
                <c:pt idx="29">
                  <c:v>9.5301833221938359E-2</c:v>
                </c:pt>
                <c:pt idx="30">
                  <c:v>6.5619095513561543E-2</c:v>
                </c:pt>
                <c:pt idx="31">
                  <c:v>4.4724320154370611E-2</c:v>
                </c:pt>
                <c:pt idx="32">
                  <c:v>3.0267443717268916E-2</c:v>
                </c:pt>
                <c:pt idx="33">
                  <c:v>2.0383952523425362E-2</c:v>
                </c:pt>
                <c:pt idx="34">
                  <c:v>1.3682267915484249E-2</c:v>
                </c:pt>
                <c:pt idx="35">
                  <c:v>9.1633035349749752E-3</c:v>
                </c:pt>
                <c:pt idx="36">
                  <c:v>6.1275853314260902E-3</c:v>
                </c:pt>
                <c:pt idx="37">
                  <c:v>4.093417809926561E-3</c:v>
                </c:pt>
                <c:pt idx="38">
                  <c:v>2.7326738652406063E-3</c:v>
                </c:pt>
                <c:pt idx="39">
                  <c:v>1.8234435356586161E-3</c:v>
                </c:pt>
                <c:pt idx="40">
                  <c:v>1.2163683501074053E-3</c:v>
                </c:pt>
                <c:pt idx="41">
                  <c:v>8.1124115609379596E-4</c:v>
                </c:pt>
                <c:pt idx="42">
                  <c:v>5.4097372411231897E-4</c:v>
                </c:pt>
                <c:pt idx="43">
                  <c:v>3.6071419504202337E-4</c:v>
                </c:pt>
                <c:pt idx="44">
                  <c:v>2.4050504788959991E-4</c:v>
                </c:pt>
                <c:pt idx="45">
                  <c:v>1.6034955355208531E-4</c:v>
                </c:pt>
                <c:pt idx="46">
                  <c:v>1.0690541644665673E-4</c:v>
                </c:pt>
                <c:pt idx="47">
                  <c:v>7.127281744784801E-5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C19-4140-8DE1-996AFB79F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969183"/>
        <c:axId val="1502486175"/>
      </c:scatterChart>
      <c:valAx>
        <c:axId val="1550969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xPG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486175"/>
        <c:crosses val="autoZero"/>
        <c:crossBetween val="midCat"/>
      </c:valAx>
      <c:valAx>
        <c:axId val="1502486175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Fractional Occupancy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9183"/>
        <c:crossesAt val="-9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'ternary PG titration'!$K$1</c:f>
              <c:strCache>
                <c:ptCount val="1"/>
                <c:pt idx="0">
                  <c:v>fPG WT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'ternary PG titration'!$D$2:$D$49</c:f>
              <c:numCache>
                <c:formatCode>0.00E+00</c:formatCode>
                <c:ptCount val="48"/>
                <c:pt idx="0">
                  <c:v>-0.32735893438633035</c:v>
                </c:pt>
                <c:pt idx="1">
                  <c:v>-0.3979400086720376</c:v>
                </c:pt>
                <c:pt idx="2">
                  <c:v>-0.51188336097887432</c:v>
                </c:pt>
                <c:pt idx="3">
                  <c:v>-0.6020599913279624</c:v>
                </c:pt>
                <c:pt idx="4">
                  <c:v>-0.64097805735833202</c:v>
                </c:pt>
                <c:pt idx="5">
                  <c:v>-0.78265175161032008</c:v>
                </c:pt>
                <c:pt idx="6">
                  <c:v>-1.0930932133337166</c:v>
                </c:pt>
                <c:pt idx="7">
                  <c:v>-1.2573410257061035</c:v>
                </c:pt>
                <c:pt idx="8">
                  <c:v>-1.4253533286866067</c:v>
                </c:pt>
                <c:pt idx="9">
                  <c:v>-1.5959738965301762</c:v>
                </c:pt>
                <c:pt idx="10">
                  <c:v>-1.7683793641857297</c:v>
                </c:pt>
                <c:pt idx="11">
                  <c:v>-1.941995935261688</c:v>
                </c:pt>
                <c:pt idx="12">
                  <c:v>-2.116429533438609</c:v>
                </c:pt>
                <c:pt idx="13">
                  <c:v>-2.2914121596990307</c:v>
                </c:pt>
                <c:pt idx="14">
                  <c:v>-2.4667627548571525</c:v>
                </c:pt>
                <c:pt idx="15">
                  <c:v>-2.6423595352939424</c:v>
                </c:pt>
                <c:pt idx="16">
                  <c:v>-2.8181208288803297</c:v>
                </c:pt>
                <c:pt idx="17">
                  <c:v>-2.9939919715968806</c:v>
                </c:pt>
                <c:pt idx="18">
                  <c:v>-3.1699364244225778</c:v>
                </c:pt>
                <c:pt idx="19">
                  <c:v>-3.3459297850813119</c:v>
                </c:pt>
                <c:pt idx="20">
                  <c:v>-3.5219557662767689</c:v>
                </c:pt>
                <c:pt idx="21">
                  <c:v>-3.6980035013073449</c:v>
                </c:pt>
                <c:pt idx="22">
                  <c:v>-3.8740657419228333</c:v>
                </c:pt>
                <c:pt idx="23">
                  <c:v>-4.0501376542744758</c:v>
                </c:pt>
                <c:pt idx="24">
                  <c:v>-4.226216015048645</c:v>
                </c:pt>
                <c:pt idx="25">
                  <c:v>-4.4022986750371622</c:v>
                </c:pt>
                <c:pt idx="26">
                  <c:v>-4.5783842012868092</c:v>
                </c:pt>
                <c:pt idx="27">
                  <c:v>-4.7544716384297594</c:v>
                </c:pt>
                <c:pt idx="28">
                  <c:v>-4.9305603495249342</c:v>
                </c:pt>
                <c:pt idx="29">
                  <c:v>-5.1066499099319724</c:v>
                </c:pt>
                <c:pt idx="30">
                  <c:v>-5.2827400365515347</c:v>
                </c:pt>
                <c:pt idx="31">
                  <c:v>-5.4588305406481625</c:v>
                </c:pt>
                <c:pt idx="32">
                  <c:v>-5.6349212963970787</c:v>
                </c:pt>
                <c:pt idx="33">
                  <c:v>-5.811012219914593</c:v>
                </c:pt>
                <c:pt idx="34">
                  <c:v>-5.9871032552780186</c:v>
                </c:pt>
                <c:pt idx="35">
                  <c:v>-6.1631943652054657</c:v>
                </c:pt>
                <c:pt idx="36">
                  <c:v>-6.3392855248422952</c:v>
                </c:pt>
                <c:pt idx="37">
                  <c:v>-6.5153767176187296</c:v>
                </c:pt>
                <c:pt idx="38">
                  <c:v>-6.6914679324882416</c:v>
                </c:pt>
                <c:pt idx="39">
                  <c:v>-6.8675591620864731</c:v>
                </c:pt>
                <c:pt idx="40">
                  <c:v>-7.0436504015038537</c:v>
                </c:pt>
                <c:pt idx="41">
                  <c:v>-7.2197416474673339</c:v>
                </c:pt>
                <c:pt idx="42">
                  <c:v>-7.3958328977948806</c:v>
                </c:pt>
                <c:pt idx="43">
                  <c:v>-7.5719241510318058</c:v>
                </c:pt>
                <c:pt idx="44">
                  <c:v>-7.7480154062083164</c:v>
                </c:pt>
                <c:pt idx="45">
                  <c:v>-7.9241066626778842</c:v>
                </c:pt>
                <c:pt idx="46">
                  <c:v>-8.1001979200094887</c:v>
                </c:pt>
                <c:pt idx="47">
                  <c:v>-8.2762891779157854</c:v>
                </c:pt>
              </c:numCache>
            </c:numRef>
          </c:xVal>
          <c:yVal>
            <c:numRef>
              <c:f>'ternary PG titration'!$K$2:$K$49</c:f>
              <c:numCache>
                <c:formatCode>0.00E+00</c:formatCode>
                <c:ptCount val="48"/>
                <c:pt idx="0">
                  <c:v>0.98751494481749813</c:v>
                </c:pt>
                <c:pt idx="1">
                  <c:v>0.9834222511264934</c:v>
                </c:pt>
                <c:pt idx="2">
                  <c:v>0.97533779858063907</c:v>
                </c:pt>
                <c:pt idx="3">
                  <c:v>0.96738518250694205</c:v>
                </c:pt>
                <c:pt idx="4">
                  <c:v>0.96345730946811015</c:v>
                </c:pt>
                <c:pt idx="5">
                  <c:v>0.94616951949726258</c:v>
                </c:pt>
                <c:pt idx="6">
                  <c:v>0.88651744448397352</c:v>
                </c:pt>
                <c:pt idx="7">
                  <c:v>0.83891626374699069</c:v>
                </c:pt>
                <c:pt idx="8">
                  <c:v>0.77638478294371327</c:v>
                </c:pt>
                <c:pt idx="9">
                  <c:v>0.6983085715446069</c:v>
                </c:pt>
                <c:pt idx="10">
                  <c:v>0.60677861759534291</c:v>
                </c:pt>
                <c:pt idx="11">
                  <c:v>0.50708105991069241</c:v>
                </c:pt>
                <c:pt idx="12">
                  <c:v>0.40681712650675</c:v>
                </c:pt>
                <c:pt idx="13">
                  <c:v>0.31375891817358087</c:v>
                </c:pt>
                <c:pt idx="14">
                  <c:v>0.23360443729067759</c:v>
                </c:pt>
                <c:pt idx="15">
                  <c:v>0.16888722671452858</c:v>
                </c:pt>
                <c:pt idx="16">
                  <c:v>0.11930801789893876</c:v>
                </c:pt>
                <c:pt idx="17">
                  <c:v>8.2832887820182888E-2</c:v>
                </c:pt>
                <c:pt idx="18">
                  <c:v>5.6789950410682521E-2</c:v>
                </c:pt>
                <c:pt idx="19">
                  <c:v>3.8590484167860699E-2</c:v>
                </c:pt>
                <c:pt idx="20">
                  <c:v>2.6062240944084353E-2</c:v>
                </c:pt>
                <c:pt idx="21">
                  <c:v>1.7527092397762813E-2</c:v>
                </c:pt>
                <c:pt idx="22">
                  <c:v>1.1753395883722368E-2</c:v>
                </c:pt>
                <c:pt idx="23">
                  <c:v>7.8664162907654232E-3</c:v>
                </c:pt>
                <c:pt idx="24">
                  <c:v>5.2580649029805174E-3</c:v>
                </c:pt>
                <c:pt idx="25">
                  <c:v>3.5115312216778202E-3</c:v>
                </c:pt>
                <c:pt idx="26">
                  <c:v>2.3437642148574547E-3</c:v>
                </c:pt>
                <c:pt idx="27">
                  <c:v>1.5637311489411516E-3</c:v>
                </c:pt>
                <c:pt idx="28">
                  <c:v>1.0430311060373762E-3</c:v>
                </c:pt>
                <c:pt idx="29">
                  <c:v>6.9559591341655943E-4</c:v>
                </c:pt>
                <c:pt idx="30">
                  <c:v>4.6383815691985298E-4</c:v>
                </c:pt>
                <c:pt idx="31">
                  <c:v>3.0927325552551122E-4</c:v>
                </c:pt>
                <c:pt idx="32">
                  <c:v>2.0620342808550895E-4</c:v>
                </c:pt>
                <c:pt idx="33">
                  <c:v>1.3747840156290263E-4</c:v>
                </c:pt>
                <c:pt idx="34">
                  <c:v>9.1656467970171584E-5</c:v>
                </c:pt>
                <c:pt idx="35">
                  <c:v>6.1106178905624264E-5</c:v>
                </c:pt>
                <c:pt idx="36">
                  <c:v>4.0738282390673537E-5</c:v>
                </c:pt>
                <c:pt idx="37">
                  <c:v>2.7159223733824346E-5</c:v>
                </c:pt>
                <c:pt idx="38">
                  <c:v>1.8106313073685485E-5</c:v>
                </c:pt>
                <c:pt idx="39">
                  <c:v>1.2070948235912943E-5</c:v>
                </c:pt>
                <c:pt idx="40">
                  <c:v>8.0473312035814278E-6</c:v>
                </c:pt>
                <c:pt idx="41">
                  <c:v>5.3649018601016656E-6</c:v>
                </c:pt>
                <c:pt idx="42">
                  <c:v>3.5766076361174301E-6</c:v>
                </c:pt>
                <c:pt idx="43">
                  <c:v>2.3844079334421608E-6</c:v>
                </c:pt>
                <c:pt idx="44">
                  <c:v>1.5896065523849323E-6</c:v>
                </c:pt>
                <c:pt idx="45">
                  <c:v>1.0597382631122505E-6</c:v>
                </c:pt>
                <c:pt idx="46">
                  <c:v>7.0649242497385207E-7</c:v>
                </c:pt>
                <c:pt idx="47">
                  <c:v>4.7099506090071561E-7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FE-F44D-9930-D8905381F0AD}"/>
            </c:ext>
          </c:extLst>
        </c:ser>
        <c:ser>
          <c:idx val="2"/>
          <c:order val="1"/>
          <c:tx>
            <c:strRef>
              <c:f>'ternary PG titration'!$I$1</c:f>
              <c:strCache>
                <c:ptCount val="1"/>
                <c:pt idx="0">
                  <c:v>fpC WT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'ternary PG titration'!$D$2:$D$49</c:f>
              <c:numCache>
                <c:formatCode>0.00E+00</c:formatCode>
                <c:ptCount val="48"/>
                <c:pt idx="0">
                  <c:v>-0.32735893438633035</c:v>
                </c:pt>
                <c:pt idx="1">
                  <c:v>-0.3979400086720376</c:v>
                </c:pt>
                <c:pt idx="2">
                  <c:v>-0.51188336097887432</c:v>
                </c:pt>
                <c:pt idx="3">
                  <c:v>-0.6020599913279624</c:v>
                </c:pt>
                <c:pt idx="4">
                  <c:v>-0.64097805735833202</c:v>
                </c:pt>
                <c:pt idx="5">
                  <c:v>-0.78265175161032008</c:v>
                </c:pt>
                <c:pt idx="6">
                  <c:v>-1.0930932133337166</c:v>
                </c:pt>
                <c:pt idx="7">
                  <c:v>-1.2573410257061035</c:v>
                </c:pt>
                <c:pt idx="8">
                  <c:v>-1.4253533286866067</c:v>
                </c:pt>
                <c:pt idx="9">
                  <c:v>-1.5959738965301762</c:v>
                </c:pt>
                <c:pt idx="10">
                  <c:v>-1.7683793641857297</c:v>
                </c:pt>
                <c:pt idx="11">
                  <c:v>-1.941995935261688</c:v>
                </c:pt>
                <c:pt idx="12">
                  <c:v>-2.116429533438609</c:v>
                </c:pt>
                <c:pt idx="13">
                  <c:v>-2.2914121596990307</c:v>
                </c:pt>
                <c:pt idx="14">
                  <c:v>-2.4667627548571525</c:v>
                </c:pt>
                <c:pt idx="15">
                  <c:v>-2.6423595352939424</c:v>
                </c:pt>
                <c:pt idx="16">
                  <c:v>-2.8181208288803297</c:v>
                </c:pt>
                <c:pt idx="17">
                  <c:v>-2.9939919715968806</c:v>
                </c:pt>
                <c:pt idx="18">
                  <c:v>-3.1699364244225778</c:v>
                </c:pt>
                <c:pt idx="19">
                  <c:v>-3.3459297850813119</c:v>
                </c:pt>
                <c:pt idx="20">
                  <c:v>-3.5219557662767689</c:v>
                </c:pt>
                <c:pt idx="21">
                  <c:v>-3.6980035013073449</c:v>
                </c:pt>
                <c:pt idx="22">
                  <c:v>-3.8740657419228333</c:v>
                </c:pt>
                <c:pt idx="23">
                  <c:v>-4.0501376542744758</c:v>
                </c:pt>
                <c:pt idx="24">
                  <c:v>-4.226216015048645</c:v>
                </c:pt>
                <c:pt idx="25">
                  <c:v>-4.4022986750371622</c:v>
                </c:pt>
                <c:pt idx="26">
                  <c:v>-4.5783842012868092</c:v>
                </c:pt>
                <c:pt idx="27">
                  <c:v>-4.7544716384297594</c:v>
                </c:pt>
                <c:pt idx="28">
                  <c:v>-4.9305603495249342</c:v>
                </c:pt>
                <c:pt idx="29">
                  <c:v>-5.1066499099319724</c:v>
                </c:pt>
                <c:pt idx="30">
                  <c:v>-5.2827400365515347</c:v>
                </c:pt>
                <c:pt idx="31">
                  <c:v>-5.4588305406481625</c:v>
                </c:pt>
                <c:pt idx="32">
                  <c:v>-5.6349212963970787</c:v>
                </c:pt>
                <c:pt idx="33">
                  <c:v>-5.811012219914593</c:v>
                </c:pt>
                <c:pt idx="34">
                  <c:v>-5.9871032552780186</c:v>
                </c:pt>
                <c:pt idx="35">
                  <c:v>-6.1631943652054657</c:v>
                </c:pt>
                <c:pt idx="36">
                  <c:v>-6.3392855248422952</c:v>
                </c:pt>
                <c:pt idx="37">
                  <c:v>-6.5153767176187296</c:v>
                </c:pt>
                <c:pt idx="38">
                  <c:v>-6.6914679324882416</c:v>
                </c:pt>
                <c:pt idx="39">
                  <c:v>-6.8675591620864731</c:v>
                </c:pt>
                <c:pt idx="40">
                  <c:v>-7.0436504015038537</c:v>
                </c:pt>
                <c:pt idx="41">
                  <c:v>-7.2197416474673339</c:v>
                </c:pt>
                <c:pt idx="42">
                  <c:v>-7.3958328977948806</c:v>
                </c:pt>
                <c:pt idx="43">
                  <c:v>-7.5719241510318058</c:v>
                </c:pt>
                <c:pt idx="44">
                  <c:v>-7.7480154062083164</c:v>
                </c:pt>
                <c:pt idx="45">
                  <c:v>-7.9241066626778842</c:v>
                </c:pt>
                <c:pt idx="46">
                  <c:v>-8.1001979200094887</c:v>
                </c:pt>
                <c:pt idx="47">
                  <c:v>-8.2762891779157854</c:v>
                </c:pt>
              </c:numCache>
            </c:numRef>
          </c:xVal>
          <c:yVal>
            <c:numRef>
              <c:f>'ternary PG titration'!$I$2:$I$49</c:f>
              <c:numCache>
                <c:formatCode>0.00E+00</c:formatCode>
                <c:ptCount val="48"/>
                <c:pt idx="0">
                  <c:v>7.4892057454181407E-11</c:v>
                </c:pt>
                <c:pt idx="1">
                  <c:v>1.3258963940342786E-10</c:v>
                </c:pt>
                <c:pt idx="2">
                  <c:v>2.9587422544948217E-10</c:v>
                </c:pt>
                <c:pt idx="3">
                  <c:v>5.2170978759913158E-10</c:v>
                </c:pt>
                <c:pt idx="4">
                  <c:v>6.5760798053754194E-10</c:v>
                </c:pt>
                <c:pt idx="5">
                  <c:v>1.4530684517911059E-9</c:v>
                </c:pt>
                <c:pt idx="6">
                  <c:v>6.8923837912613527E-9</c:v>
                </c:pt>
                <c:pt idx="7">
                  <c:v>1.4675175547970727E-8</c:v>
                </c:pt>
                <c:pt idx="8">
                  <c:v>3.0557950980077589E-8</c:v>
                </c:pt>
                <c:pt idx="9">
                  <c:v>6.1841086150043494E-8</c:v>
                </c:pt>
                <c:pt idx="10">
                  <c:v>1.2090451390811489E-7</c:v>
                </c:pt>
                <c:pt idx="11">
                  <c:v>2.2733804921479979E-7</c:v>
                </c:pt>
                <c:pt idx="12">
                  <c:v>4.103707771781061E-7</c:v>
                </c:pt>
                <c:pt idx="13">
                  <c:v>7.121241006462225E-7</c:v>
                </c:pt>
                <c:pt idx="14">
                  <c:v>1.1929521350912885E-6</c:v>
                </c:pt>
                <c:pt idx="15">
                  <c:v>1.9405325947893345E-6</c:v>
                </c:pt>
                <c:pt idx="16">
                  <c:v>3.0844362595958678E-6</c:v>
                </c:pt>
                <c:pt idx="17">
                  <c:v>4.8182656906972622E-6</c:v>
                </c:pt>
                <c:pt idx="18">
                  <c:v>7.432600998660165E-6</c:v>
                </c:pt>
                <c:pt idx="19">
                  <c:v>1.1363977672906662E-5</c:v>
                </c:pt>
                <c:pt idx="20">
                  <c:v>1.7267992702900878E-5</c:v>
                </c:pt>
                <c:pt idx="21">
                  <c:v>2.6128750911289842E-5</c:v>
                </c:pt>
                <c:pt idx="22">
                  <c:v>3.9422928523910391E-5</c:v>
                </c:pt>
                <c:pt idx="23">
                  <c:v>5.9365796776176028E-5</c:v>
                </c:pt>
                <c:pt idx="24">
                  <c:v>8.9280136189342653E-5</c:v>
                </c:pt>
                <c:pt idx="25">
                  <c:v>1.3414931690694211E-4</c:v>
                </c:pt>
                <c:pt idx="26">
                  <c:v>2.0144622680827058E-4</c:v>
                </c:pt>
                <c:pt idx="27">
                  <c:v>3.0237506853287948E-4</c:v>
                </c:pt>
                <c:pt idx="28">
                  <c:v>4.53730437151617E-4</c:v>
                </c:pt>
                <c:pt idx="29">
                  <c:v>6.8067778238102019E-4</c:v>
                </c:pt>
                <c:pt idx="30">
                  <c:v>1.020905771247951E-3</c:v>
                </c:pt>
                <c:pt idx="31">
                  <c:v>1.5308136903540569E-3</c:v>
                </c:pt>
                <c:pt idx="32">
                  <c:v>2.2947003572978894E-3</c:v>
                </c:pt>
                <c:pt idx="33">
                  <c:v>3.4383413447807536E-3</c:v>
                </c:pt>
                <c:pt idx="34">
                  <c:v>5.1488953301122653E-3</c:v>
                </c:pt>
                <c:pt idx="35">
                  <c:v>7.7037442629710384E-3</c:v>
                </c:pt>
                <c:pt idx="36">
                  <c:v>1.1511508205345774E-2</c:v>
                </c:pt>
                <c:pt idx="37">
                  <c:v>1.7168674098709643E-2</c:v>
                </c:pt>
                <c:pt idx="38">
                  <c:v>2.5534045488346327E-2</c:v>
                </c:pt>
                <c:pt idx="39">
                  <c:v>3.7818461497336239E-2</c:v>
                </c:pt>
                <c:pt idx="40">
                  <c:v>5.5675133838622076E-2</c:v>
                </c:pt>
                <c:pt idx="41">
                  <c:v>8.1251074355357583E-2</c:v>
                </c:pt>
                <c:pt idx="42">
                  <c:v>0.11711879019398438</c:v>
                </c:pt>
                <c:pt idx="43">
                  <c:v>0.16595985146384612</c:v>
                </c:pt>
                <c:pt idx="44">
                  <c:v>0.22986569155928482</c:v>
                </c:pt>
                <c:pt idx="45">
                  <c:v>0.30925509535568613</c:v>
                </c:pt>
                <c:pt idx="46">
                  <c:v>0.40175963408897919</c:v>
                </c:pt>
                <c:pt idx="47">
                  <c:v>0.50183166814875102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FFE-F44D-9930-D8905381F0AD}"/>
            </c:ext>
          </c:extLst>
        </c:ser>
        <c:ser>
          <c:idx val="4"/>
          <c:order val="2"/>
          <c:tx>
            <c:strRef>
              <c:f>'ternary PG titration'!$M$1</c:f>
              <c:strCache>
                <c:ptCount val="1"/>
                <c:pt idx="0">
                  <c:v>fPE WT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'ternary PG titration'!$D$2:$D$49</c:f>
              <c:numCache>
                <c:formatCode>0.00E+00</c:formatCode>
                <c:ptCount val="48"/>
                <c:pt idx="0">
                  <c:v>-0.32735893438633035</c:v>
                </c:pt>
                <c:pt idx="1">
                  <c:v>-0.3979400086720376</c:v>
                </c:pt>
                <c:pt idx="2">
                  <c:v>-0.51188336097887432</c:v>
                </c:pt>
                <c:pt idx="3">
                  <c:v>-0.6020599913279624</c:v>
                </c:pt>
                <c:pt idx="4">
                  <c:v>-0.64097805735833202</c:v>
                </c:pt>
                <c:pt idx="5">
                  <c:v>-0.78265175161032008</c:v>
                </c:pt>
                <c:pt idx="6">
                  <c:v>-1.0930932133337166</c:v>
                </c:pt>
                <c:pt idx="7">
                  <c:v>-1.2573410257061035</c:v>
                </c:pt>
                <c:pt idx="8">
                  <c:v>-1.4253533286866067</c:v>
                </c:pt>
                <c:pt idx="9">
                  <c:v>-1.5959738965301762</c:v>
                </c:pt>
                <c:pt idx="10">
                  <c:v>-1.7683793641857297</c:v>
                </c:pt>
                <c:pt idx="11">
                  <c:v>-1.941995935261688</c:v>
                </c:pt>
                <c:pt idx="12">
                  <c:v>-2.116429533438609</c:v>
                </c:pt>
                <c:pt idx="13">
                  <c:v>-2.2914121596990307</c:v>
                </c:pt>
                <c:pt idx="14">
                  <c:v>-2.4667627548571525</c:v>
                </c:pt>
                <c:pt idx="15">
                  <c:v>-2.6423595352939424</c:v>
                </c:pt>
                <c:pt idx="16">
                  <c:v>-2.8181208288803297</c:v>
                </c:pt>
                <c:pt idx="17">
                  <c:v>-2.9939919715968806</c:v>
                </c:pt>
                <c:pt idx="18">
                  <c:v>-3.1699364244225778</c:v>
                </c:pt>
                <c:pt idx="19">
                  <c:v>-3.3459297850813119</c:v>
                </c:pt>
                <c:pt idx="20">
                  <c:v>-3.5219557662767689</c:v>
                </c:pt>
                <c:pt idx="21">
                  <c:v>-3.6980035013073449</c:v>
                </c:pt>
                <c:pt idx="22">
                  <c:v>-3.8740657419228333</c:v>
                </c:pt>
                <c:pt idx="23">
                  <c:v>-4.0501376542744758</c:v>
                </c:pt>
                <c:pt idx="24">
                  <c:v>-4.226216015048645</c:v>
                </c:pt>
                <c:pt idx="25">
                  <c:v>-4.4022986750371622</c:v>
                </c:pt>
                <c:pt idx="26">
                  <c:v>-4.5783842012868092</c:v>
                </c:pt>
                <c:pt idx="27">
                  <c:v>-4.7544716384297594</c:v>
                </c:pt>
                <c:pt idx="28">
                  <c:v>-4.9305603495249342</c:v>
                </c:pt>
                <c:pt idx="29">
                  <c:v>-5.1066499099319724</c:v>
                </c:pt>
                <c:pt idx="30">
                  <c:v>-5.2827400365515347</c:v>
                </c:pt>
                <c:pt idx="31">
                  <c:v>-5.4588305406481625</c:v>
                </c:pt>
                <c:pt idx="32">
                  <c:v>-5.6349212963970787</c:v>
                </c:pt>
                <c:pt idx="33">
                  <c:v>-5.811012219914593</c:v>
                </c:pt>
                <c:pt idx="34">
                  <c:v>-5.9871032552780186</c:v>
                </c:pt>
                <c:pt idx="35">
                  <c:v>-6.1631943652054657</c:v>
                </c:pt>
                <c:pt idx="36">
                  <c:v>-6.3392855248422952</c:v>
                </c:pt>
                <c:pt idx="37">
                  <c:v>-6.5153767176187296</c:v>
                </c:pt>
                <c:pt idx="38">
                  <c:v>-6.6914679324882416</c:v>
                </c:pt>
                <c:pt idx="39">
                  <c:v>-6.8675591620864731</c:v>
                </c:pt>
                <c:pt idx="40">
                  <c:v>-7.0436504015038537</c:v>
                </c:pt>
                <c:pt idx="41">
                  <c:v>-7.2197416474673339</c:v>
                </c:pt>
                <c:pt idx="42">
                  <c:v>-7.3958328977948806</c:v>
                </c:pt>
                <c:pt idx="43">
                  <c:v>-7.5719241510318058</c:v>
                </c:pt>
                <c:pt idx="44">
                  <c:v>-7.7480154062083164</c:v>
                </c:pt>
                <c:pt idx="45">
                  <c:v>-7.9241066626778842</c:v>
                </c:pt>
                <c:pt idx="46">
                  <c:v>-8.1001979200094887</c:v>
                </c:pt>
                <c:pt idx="47">
                  <c:v>-8.2762891779157854</c:v>
                </c:pt>
              </c:numCache>
            </c:numRef>
          </c:xVal>
          <c:yVal>
            <c:numRef>
              <c:f>'ternary PG titration'!$M$2:$M$49</c:f>
              <c:numCache>
                <c:formatCode>0.00E+00</c:formatCode>
                <c:ptCount val="48"/>
                <c:pt idx="0">
                  <c:v>1.2485055107609777E-2</c:v>
                </c:pt>
                <c:pt idx="1">
                  <c:v>1.6577748740916998E-2</c:v>
                </c:pt>
                <c:pt idx="2">
                  <c:v>2.4662201123486716E-2</c:v>
                </c:pt>
                <c:pt idx="3">
                  <c:v>3.2614816971348159E-2</c:v>
                </c:pt>
                <c:pt idx="4">
                  <c:v>3.6542689874281886E-2</c:v>
                </c:pt>
                <c:pt idx="5">
                  <c:v>5.3830479049668978E-2</c:v>
                </c:pt>
                <c:pt idx="6">
                  <c:v>0.11348254862364271</c:v>
                </c:pt>
                <c:pt idx="7">
                  <c:v>0.16108372157783379</c:v>
                </c:pt>
                <c:pt idx="8">
                  <c:v>0.22361518649833578</c:v>
                </c:pt>
                <c:pt idx="9">
                  <c:v>0.30169136661430696</c:v>
                </c:pt>
                <c:pt idx="10">
                  <c:v>0.39322126150014314</c:v>
                </c:pt>
                <c:pt idx="11">
                  <c:v>0.49291871275125843</c:v>
                </c:pt>
                <c:pt idx="12">
                  <c:v>0.5931824631224728</c:v>
                </c:pt>
                <c:pt idx="13">
                  <c:v>0.6862403697023185</c:v>
                </c:pt>
                <c:pt idx="14">
                  <c:v>0.76639436975718733</c:v>
                </c:pt>
                <c:pt idx="15">
                  <c:v>0.83111083275287667</c:v>
                </c:pt>
                <c:pt idx="16">
                  <c:v>0.88068889766480163</c:v>
                </c:pt>
                <c:pt idx="17">
                  <c:v>0.9171622939141264</c:v>
                </c:pt>
                <c:pt idx="18">
                  <c:v>0.94320261698831886</c:v>
                </c:pt>
                <c:pt idx="19">
                  <c:v>0.96139815185446642</c:v>
                </c:pt>
                <c:pt idx="20">
                  <c:v>0.97392049106321277</c:v>
                </c:pt>
                <c:pt idx="21">
                  <c:v>0.98244677885132592</c:v>
                </c:pt>
                <c:pt idx="22">
                  <c:v>0.98820718118775375</c:v>
                </c:pt>
                <c:pt idx="23">
                  <c:v>0.99207421791245842</c:v>
                </c:pt>
                <c:pt idx="24">
                  <c:v>0.99465265496083011</c:v>
                </c:pt>
                <c:pt idx="25">
                  <c:v>0.99635431946141528</c:v>
                </c:pt>
                <c:pt idx="26">
                  <c:v>0.99745478955833422</c:v>
                </c:pt>
                <c:pt idx="27">
                  <c:v>0.99813389378252593</c:v>
                </c:pt>
                <c:pt idx="28">
                  <c:v>0.99850323845681099</c:v>
                </c:pt>
                <c:pt idx="29">
                  <c:v>0.99862372630420237</c:v>
                </c:pt>
                <c:pt idx="30">
                  <c:v>0.99851525607183222</c:v>
                </c:pt>
                <c:pt idx="31">
                  <c:v>0.99815991305412044</c:v>
                </c:pt>
                <c:pt idx="32">
                  <c:v>0.99749909621461663</c:v>
                </c:pt>
                <c:pt idx="33">
                  <c:v>0.99642418025365631</c:v>
                </c:pt>
                <c:pt idx="34">
                  <c:v>0.99475944820191753</c:v>
                </c:pt>
                <c:pt idx="35">
                  <c:v>0.99223514955812331</c:v>
                </c:pt>
                <c:pt idx="36">
                  <c:v>0.98844775351226355</c:v>
                </c:pt>
                <c:pt idx="37">
                  <c:v>0.98280416667755655</c:v>
                </c:pt>
                <c:pt idx="38">
                  <c:v>0.97444784819857999</c:v>
                </c:pt>
                <c:pt idx="39">
                  <c:v>0.96216946755442789</c:v>
                </c:pt>
                <c:pt idx="40">
                  <c:v>0.94431681883017438</c:v>
                </c:pt>
                <c:pt idx="41">
                  <c:v>0.91874356074278229</c:v>
                </c:pt>
                <c:pt idx="42">
                  <c:v>0.88287763319837953</c:v>
                </c:pt>
                <c:pt idx="43">
                  <c:v>0.83403776412822039</c:v>
                </c:pt>
                <c:pt idx="44">
                  <c:v>0.77013271883416279</c:v>
                </c:pt>
                <c:pt idx="45">
                  <c:v>0.69074384490605079</c:v>
                </c:pt>
                <c:pt idx="46">
                  <c:v>0.59823965941859591</c:v>
                </c:pt>
                <c:pt idx="47">
                  <c:v>0.49816786085618803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FFE-F44D-9930-D8905381F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969183"/>
        <c:axId val="1502486175"/>
      </c:scatterChart>
      <c:valAx>
        <c:axId val="1550969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xPG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486175"/>
        <c:crosses val="autoZero"/>
        <c:crossBetween val="midCat"/>
      </c:valAx>
      <c:valAx>
        <c:axId val="1502486175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Fractional Occupancy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9183"/>
        <c:crossesAt val="-9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'ternary PG titration'!$L$1</c:f>
              <c:strCache>
                <c:ptCount val="1"/>
                <c:pt idx="0">
                  <c:v>fpG ELIC5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'ternary PG titration'!$D$2:$D$49</c:f>
              <c:numCache>
                <c:formatCode>0.00E+00</c:formatCode>
                <c:ptCount val="48"/>
                <c:pt idx="0">
                  <c:v>-0.32735893438633035</c:v>
                </c:pt>
                <c:pt idx="1">
                  <c:v>-0.3979400086720376</c:v>
                </c:pt>
                <c:pt idx="2">
                  <c:v>-0.51188336097887432</c:v>
                </c:pt>
                <c:pt idx="3">
                  <c:v>-0.6020599913279624</c:v>
                </c:pt>
                <c:pt idx="4">
                  <c:v>-0.64097805735833202</c:v>
                </c:pt>
                <c:pt idx="5">
                  <c:v>-0.78265175161032008</c:v>
                </c:pt>
                <c:pt idx="6">
                  <c:v>-1.0930932133337166</c:v>
                </c:pt>
                <c:pt idx="7">
                  <c:v>-1.2573410257061035</c:v>
                </c:pt>
                <c:pt idx="8">
                  <c:v>-1.4253533286866067</c:v>
                </c:pt>
                <c:pt idx="9">
                  <c:v>-1.5959738965301762</c:v>
                </c:pt>
                <c:pt idx="10">
                  <c:v>-1.7683793641857297</c:v>
                </c:pt>
                <c:pt idx="11">
                  <c:v>-1.941995935261688</c:v>
                </c:pt>
                <c:pt idx="12">
                  <c:v>-2.116429533438609</c:v>
                </c:pt>
                <c:pt idx="13">
                  <c:v>-2.2914121596990307</c:v>
                </c:pt>
                <c:pt idx="14">
                  <c:v>-2.4667627548571525</c:v>
                </c:pt>
                <c:pt idx="15">
                  <c:v>-2.6423595352939424</c:v>
                </c:pt>
                <c:pt idx="16">
                  <c:v>-2.8181208288803297</c:v>
                </c:pt>
                <c:pt idx="17">
                  <c:v>-2.9939919715968806</c:v>
                </c:pt>
                <c:pt idx="18">
                  <c:v>-3.1699364244225778</c:v>
                </c:pt>
                <c:pt idx="19">
                  <c:v>-3.3459297850813119</c:v>
                </c:pt>
                <c:pt idx="20">
                  <c:v>-3.5219557662767689</c:v>
                </c:pt>
                <c:pt idx="21">
                  <c:v>-3.6980035013073449</c:v>
                </c:pt>
                <c:pt idx="22">
                  <c:v>-3.8740657419228333</c:v>
                </c:pt>
                <c:pt idx="23">
                  <c:v>-4.0501376542744758</c:v>
                </c:pt>
                <c:pt idx="24">
                  <c:v>-4.226216015048645</c:v>
                </c:pt>
                <c:pt idx="25">
                  <c:v>-4.4022986750371622</c:v>
                </c:pt>
                <c:pt idx="26">
                  <c:v>-4.5783842012868092</c:v>
                </c:pt>
                <c:pt idx="27">
                  <c:v>-4.7544716384297594</c:v>
                </c:pt>
                <c:pt idx="28">
                  <c:v>-4.9305603495249342</c:v>
                </c:pt>
                <c:pt idx="29">
                  <c:v>-5.1066499099319724</c:v>
                </c:pt>
                <c:pt idx="30">
                  <c:v>-5.2827400365515347</c:v>
                </c:pt>
                <c:pt idx="31">
                  <c:v>-5.4588305406481625</c:v>
                </c:pt>
                <c:pt idx="32">
                  <c:v>-5.6349212963970787</c:v>
                </c:pt>
                <c:pt idx="33">
                  <c:v>-5.811012219914593</c:v>
                </c:pt>
                <c:pt idx="34">
                  <c:v>-5.9871032552780186</c:v>
                </c:pt>
                <c:pt idx="35">
                  <c:v>-6.1631943652054657</c:v>
                </c:pt>
                <c:pt idx="36">
                  <c:v>-6.3392855248422952</c:v>
                </c:pt>
                <c:pt idx="37">
                  <c:v>-6.5153767176187296</c:v>
                </c:pt>
                <c:pt idx="38">
                  <c:v>-6.6914679324882416</c:v>
                </c:pt>
                <c:pt idx="39">
                  <c:v>-6.8675591620864731</c:v>
                </c:pt>
                <c:pt idx="40">
                  <c:v>-7.0436504015038537</c:v>
                </c:pt>
                <c:pt idx="41">
                  <c:v>-7.2197416474673339</c:v>
                </c:pt>
                <c:pt idx="42">
                  <c:v>-7.3958328977948806</c:v>
                </c:pt>
                <c:pt idx="43">
                  <c:v>-7.5719241510318058</c:v>
                </c:pt>
                <c:pt idx="44">
                  <c:v>-7.7480154062083164</c:v>
                </c:pt>
                <c:pt idx="45">
                  <c:v>-7.9241066626778842</c:v>
                </c:pt>
                <c:pt idx="46">
                  <c:v>-8.1001979200094887</c:v>
                </c:pt>
                <c:pt idx="47">
                  <c:v>-8.2762891779157854</c:v>
                </c:pt>
              </c:numCache>
            </c:numRef>
          </c:xVal>
          <c:yVal>
            <c:numRef>
              <c:f>'ternary PG titration'!$L$2:$L$49</c:f>
              <c:numCache>
                <c:formatCode>0.00E+00</c:formatCode>
                <c:ptCount val="48"/>
                <c:pt idx="0">
                  <c:v>0.99991646428681935</c:v>
                </c:pt>
                <c:pt idx="1">
                  <c:v>0.99988862215043539</c:v>
                </c:pt>
                <c:pt idx="2">
                  <c:v>0.9998329425289042</c:v>
                </c:pt>
                <c:pt idx="3">
                  <c:v>0.99977726910815867</c:v>
                </c:pt>
                <c:pt idx="4">
                  <c:v>0.9997494347227569</c:v>
                </c:pt>
                <c:pt idx="5">
                  <c:v>0.99962419916545564</c:v>
                </c:pt>
                <c:pt idx="6">
                  <c:v>0.99915484513465458</c:v>
                </c:pt>
                <c:pt idx="7">
                  <c:v>0.9987328031907563</c:v>
                </c:pt>
                <c:pt idx="8">
                  <c:v>0.9981004083643642</c:v>
                </c:pt>
                <c:pt idx="9">
                  <c:v>0.99715331631480508</c:v>
                </c:pt>
                <c:pt idx="10">
                  <c:v>0.99573604353985246</c:v>
                </c:pt>
                <c:pt idx="11">
                  <c:v>0.99361767229350606</c:v>
                </c:pt>
                <c:pt idx="12">
                  <c:v>0.99045696183868992</c:v>
                </c:pt>
                <c:pt idx="13">
                  <c:v>0.98575342058355453</c:v>
                </c:pt>
                <c:pt idx="14">
                  <c:v>0.97878127797952141</c:v>
                </c:pt>
                <c:pt idx="15">
                  <c:v>0.96850604767909421</c:v>
                </c:pt>
                <c:pt idx="16">
                  <c:v>0.95349144069330083</c:v>
                </c:pt>
                <c:pt idx="17">
                  <c:v>0.93182257787997469</c:v>
                </c:pt>
                <c:pt idx="18">
                  <c:v>0.90110506759598208</c:v>
                </c:pt>
                <c:pt idx="19">
                  <c:v>0.8586471420595414</c:v>
                </c:pt>
                <c:pt idx="20">
                  <c:v>0.80196697977687226</c:v>
                </c:pt>
                <c:pt idx="21">
                  <c:v>0.7297133140388059</c:v>
                </c:pt>
                <c:pt idx="22">
                  <c:v>0.64283803323267064</c:v>
                </c:pt>
                <c:pt idx="23">
                  <c:v>0.54543390933315861</c:v>
                </c:pt>
                <c:pt idx="24">
                  <c:v>0.44442389341814664</c:v>
                </c:pt>
                <c:pt idx="25">
                  <c:v>0.34780720658135639</c:v>
                </c:pt>
                <c:pt idx="26">
                  <c:v>0.26227897718780635</c:v>
                </c:pt>
                <c:pt idx="27">
                  <c:v>0.19160387417297381</c:v>
                </c:pt>
                <c:pt idx="28">
                  <c:v>0.13645074668129278</c:v>
                </c:pt>
                <c:pt idx="29">
                  <c:v>9.5301833221938359E-2</c:v>
                </c:pt>
                <c:pt idx="30">
                  <c:v>6.5619095513561543E-2</c:v>
                </c:pt>
                <c:pt idx="31">
                  <c:v>4.4724320154370611E-2</c:v>
                </c:pt>
                <c:pt idx="32">
                  <c:v>3.0267443717268916E-2</c:v>
                </c:pt>
                <c:pt idx="33">
                  <c:v>2.0383952523425362E-2</c:v>
                </c:pt>
                <c:pt idx="34">
                  <c:v>1.3682267915484249E-2</c:v>
                </c:pt>
                <c:pt idx="35">
                  <c:v>9.1633035349749752E-3</c:v>
                </c:pt>
                <c:pt idx="36">
                  <c:v>6.1275853314260902E-3</c:v>
                </c:pt>
                <c:pt idx="37">
                  <c:v>4.093417809926561E-3</c:v>
                </c:pt>
                <c:pt idx="38">
                  <c:v>2.7326738652406063E-3</c:v>
                </c:pt>
                <c:pt idx="39">
                  <c:v>1.8234435356586161E-3</c:v>
                </c:pt>
                <c:pt idx="40">
                  <c:v>1.2163683501074053E-3</c:v>
                </c:pt>
                <c:pt idx="41">
                  <c:v>8.1124115609379596E-4</c:v>
                </c:pt>
                <c:pt idx="42">
                  <c:v>5.4097372411231897E-4</c:v>
                </c:pt>
                <c:pt idx="43">
                  <c:v>3.6071419504202337E-4</c:v>
                </c:pt>
                <c:pt idx="44">
                  <c:v>2.4050504788959991E-4</c:v>
                </c:pt>
                <c:pt idx="45">
                  <c:v>1.6034955355208531E-4</c:v>
                </c:pt>
                <c:pt idx="46">
                  <c:v>1.0690541644665673E-4</c:v>
                </c:pt>
                <c:pt idx="47">
                  <c:v>7.127281744784801E-5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18F-6643-932C-2FC77922C7A3}"/>
            </c:ext>
          </c:extLst>
        </c:ser>
        <c:ser>
          <c:idx val="3"/>
          <c:order val="1"/>
          <c:tx>
            <c:strRef>
              <c:f>'ternary PG titration'!$J$1</c:f>
              <c:strCache>
                <c:ptCount val="1"/>
                <c:pt idx="0">
                  <c:v>fpC ELIC5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'ternary PG titration'!$D$2:$D$49</c:f>
              <c:numCache>
                <c:formatCode>0.00E+00</c:formatCode>
                <c:ptCount val="48"/>
                <c:pt idx="0">
                  <c:v>-0.32735893438633035</c:v>
                </c:pt>
                <c:pt idx="1">
                  <c:v>-0.3979400086720376</c:v>
                </c:pt>
                <c:pt idx="2">
                  <c:v>-0.51188336097887432</c:v>
                </c:pt>
                <c:pt idx="3">
                  <c:v>-0.6020599913279624</c:v>
                </c:pt>
                <c:pt idx="4">
                  <c:v>-0.64097805735833202</c:v>
                </c:pt>
                <c:pt idx="5">
                  <c:v>-0.78265175161032008</c:v>
                </c:pt>
                <c:pt idx="6">
                  <c:v>-1.0930932133337166</c:v>
                </c:pt>
                <c:pt idx="7">
                  <c:v>-1.2573410257061035</c:v>
                </c:pt>
                <c:pt idx="8">
                  <c:v>-1.4253533286866067</c:v>
                </c:pt>
                <c:pt idx="9">
                  <c:v>-1.5959738965301762</c:v>
                </c:pt>
                <c:pt idx="10">
                  <c:v>-1.7683793641857297</c:v>
                </c:pt>
                <c:pt idx="11">
                  <c:v>-1.941995935261688</c:v>
                </c:pt>
                <c:pt idx="12">
                  <c:v>-2.116429533438609</c:v>
                </c:pt>
                <c:pt idx="13">
                  <c:v>-2.2914121596990307</c:v>
                </c:pt>
                <c:pt idx="14">
                  <c:v>-2.4667627548571525</c:v>
                </c:pt>
                <c:pt idx="15">
                  <c:v>-2.6423595352939424</c:v>
                </c:pt>
                <c:pt idx="16">
                  <c:v>-2.8181208288803297</c:v>
                </c:pt>
                <c:pt idx="17">
                  <c:v>-2.9939919715968806</c:v>
                </c:pt>
                <c:pt idx="18">
                  <c:v>-3.1699364244225778</c:v>
                </c:pt>
                <c:pt idx="19">
                  <c:v>-3.3459297850813119</c:v>
                </c:pt>
                <c:pt idx="20">
                  <c:v>-3.5219557662767689</c:v>
                </c:pt>
                <c:pt idx="21">
                  <c:v>-3.6980035013073449</c:v>
                </c:pt>
                <c:pt idx="22">
                  <c:v>-3.8740657419228333</c:v>
                </c:pt>
                <c:pt idx="23">
                  <c:v>-4.0501376542744758</c:v>
                </c:pt>
                <c:pt idx="24">
                  <c:v>-4.226216015048645</c:v>
                </c:pt>
                <c:pt idx="25">
                  <c:v>-4.4022986750371622</c:v>
                </c:pt>
                <c:pt idx="26">
                  <c:v>-4.5783842012868092</c:v>
                </c:pt>
                <c:pt idx="27">
                  <c:v>-4.7544716384297594</c:v>
                </c:pt>
                <c:pt idx="28">
                  <c:v>-4.9305603495249342</c:v>
                </c:pt>
                <c:pt idx="29">
                  <c:v>-5.1066499099319724</c:v>
                </c:pt>
                <c:pt idx="30">
                  <c:v>-5.2827400365515347</c:v>
                </c:pt>
                <c:pt idx="31">
                  <c:v>-5.4588305406481625</c:v>
                </c:pt>
                <c:pt idx="32">
                  <c:v>-5.6349212963970787</c:v>
                </c:pt>
                <c:pt idx="33">
                  <c:v>-5.811012219914593</c:v>
                </c:pt>
                <c:pt idx="34">
                  <c:v>-5.9871032552780186</c:v>
                </c:pt>
                <c:pt idx="35">
                  <c:v>-6.1631943652054657</c:v>
                </c:pt>
                <c:pt idx="36">
                  <c:v>-6.3392855248422952</c:v>
                </c:pt>
                <c:pt idx="37">
                  <c:v>-6.5153767176187296</c:v>
                </c:pt>
                <c:pt idx="38">
                  <c:v>-6.6914679324882416</c:v>
                </c:pt>
                <c:pt idx="39">
                  <c:v>-6.8675591620864731</c:v>
                </c:pt>
                <c:pt idx="40">
                  <c:v>-7.0436504015038537</c:v>
                </c:pt>
                <c:pt idx="41">
                  <c:v>-7.2197416474673339</c:v>
                </c:pt>
                <c:pt idx="42">
                  <c:v>-7.3958328977948806</c:v>
                </c:pt>
                <c:pt idx="43">
                  <c:v>-7.5719241510318058</c:v>
                </c:pt>
                <c:pt idx="44">
                  <c:v>-7.7480154062083164</c:v>
                </c:pt>
                <c:pt idx="45">
                  <c:v>-7.9241066626778842</c:v>
                </c:pt>
                <c:pt idx="46">
                  <c:v>-8.1001979200094887</c:v>
                </c:pt>
                <c:pt idx="47">
                  <c:v>-8.2762891779157854</c:v>
                </c:pt>
              </c:numCache>
            </c:numRef>
          </c:xVal>
          <c:yVal>
            <c:numRef>
              <c:f>'ternary PG titration'!$J$2:$J$49</c:f>
              <c:numCache>
                <c:formatCode>0.00E+00</c:formatCode>
                <c:ptCount val="48"/>
                <c:pt idx="0">
                  <c:v>4.1300036507218303E-10</c:v>
                </c:pt>
                <c:pt idx="1">
                  <c:v>7.3420371826450325E-10</c:v>
                </c:pt>
                <c:pt idx="2">
                  <c:v>1.6518721839977453E-9</c:v>
                </c:pt>
                <c:pt idx="3">
                  <c:v>2.9365084627302382E-9</c:v>
                </c:pt>
                <c:pt idx="4">
                  <c:v>3.7164215847912988E-9</c:v>
                </c:pt>
                <c:pt idx="5">
                  <c:v>8.3609671962632305E-9</c:v>
                </c:pt>
                <c:pt idx="6">
                  <c:v>4.2308775425760412E-8</c:v>
                </c:pt>
                <c:pt idx="7">
                  <c:v>9.515706655406684E-8</c:v>
                </c:pt>
                <c:pt idx="8">
                  <c:v>2.1397635325252738E-7</c:v>
                </c:pt>
                <c:pt idx="9">
                  <c:v>4.8101860557254967E-7</c:v>
                </c:pt>
                <c:pt idx="10">
                  <c:v>1.0808497164075988E-6</c:v>
                </c:pt>
                <c:pt idx="11">
                  <c:v>2.4270597094440713E-6</c:v>
                </c:pt>
                <c:pt idx="12">
                  <c:v>5.4445842819704181E-6</c:v>
                </c:pt>
                <c:pt idx="13">
                  <c:v>1.2195683059544318E-5</c:v>
                </c:pt>
                <c:pt idx="14">
                  <c:v>2.7257809740535007E-5</c:v>
                </c:pt>
                <c:pt idx="15">
                  <c:v>6.072366621859984E-5</c:v>
                </c:pt>
                <c:pt idx="16">
                  <c:v>1.3462812414399901E-4</c:v>
                </c:pt>
                <c:pt idx="17">
                  <c:v>2.9638833240316941E-4</c:v>
                </c:pt>
                <c:pt idx="18">
                  <c:v>6.459235657300216E-4</c:v>
                </c:pt>
                <c:pt idx="19">
                  <c:v>1.3875678426761974E-3</c:v>
                </c:pt>
                <c:pt idx="20">
                  <c:v>2.922015271429477E-3</c:v>
                </c:pt>
                <c:pt idx="21">
                  <c:v>5.9914748842538204E-3</c:v>
                </c:pt>
                <c:pt idx="22">
                  <c:v>1.1871900122013493E-2</c:v>
                </c:pt>
                <c:pt idx="23">
                  <c:v>2.256119841626909E-2</c:v>
                </c:pt>
                <c:pt idx="24">
                  <c:v>4.0856072032436408E-2</c:v>
                </c:pt>
                <c:pt idx="25">
                  <c:v>7.0185674778887E-2</c:v>
                </c:pt>
                <c:pt idx="26">
                  <c:v>0.11410299311852838</c:v>
                </c:pt>
                <c:pt idx="27">
                  <c:v>0.17539644434990809</c:v>
                </c:pt>
                <c:pt idx="28">
                  <c:v>0.25488770869209404</c:v>
                </c:pt>
                <c:pt idx="29">
                  <c:v>0.35024938558637853</c:v>
                </c:pt>
                <c:pt idx="30">
                  <c:v>0.45556637635454167</c:v>
                </c:pt>
                <c:pt idx="31">
                  <c:v>0.56236847249138278</c:v>
                </c:pt>
                <c:pt idx="32">
                  <c:v>0.66200405747155899</c:v>
                </c:pt>
                <c:pt idx="33">
                  <c:v>0.74810077461517976</c:v>
                </c:pt>
                <c:pt idx="34">
                  <c:v>0.81775977741873473</c:v>
                </c:pt>
                <c:pt idx="35">
                  <c:v>0.87119696059321372</c:v>
                </c:pt>
                <c:pt idx="36">
                  <c:v>0.91054539602435491</c:v>
                </c:pt>
                <c:pt idx="37">
                  <c:v>0.93865643872588755</c:v>
                </c:pt>
                <c:pt idx="38">
                  <c:v>0.95830886285150685</c:v>
                </c:pt>
                <c:pt idx="39">
                  <c:v>0.97184083809809574</c:v>
                </c:pt>
                <c:pt idx="40">
                  <c:v>0.98106140805529618</c:v>
                </c:pt>
                <c:pt idx="41">
                  <c:v>0.98729948996050565</c:v>
                </c:pt>
                <c:pt idx="42">
                  <c:v>0.99149942918359246</c:v>
                </c:pt>
                <c:pt idx="43">
                  <c:v>0.99431793710596938</c:v>
                </c:pt>
                <c:pt idx="44">
                  <c:v>0.99620525506588764</c:v>
                </c:pt>
                <c:pt idx="45">
                  <c:v>0.99746718218058039</c:v>
                </c:pt>
                <c:pt idx="46">
                  <c:v>0.99831012424551213</c:v>
                </c:pt>
                <c:pt idx="47">
                  <c:v>0.99887282403891964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18F-6643-932C-2FC77922C7A3}"/>
            </c:ext>
          </c:extLst>
        </c:ser>
        <c:ser>
          <c:idx val="5"/>
          <c:order val="2"/>
          <c:tx>
            <c:strRef>
              <c:f>'ternary PG titration'!$N$1</c:f>
              <c:strCache>
                <c:ptCount val="1"/>
                <c:pt idx="0">
                  <c:v>fPE ELIC5</c:v>
                </c:pt>
              </c:strCache>
            </c:strRef>
          </c:tx>
          <c:spPr>
            <a:ln w="1905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'ternary PG titration'!$D$2:$D$49</c:f>
              <c:numCache>
                <c:formatCode>0.00E+00</c:formatCode>
                <c:ptCount val="48"/>
                <c:pt idx="0">
                  <c:v>-0.32735893438633035</c:v>
                </c:pt>
                <c:pt idx="1">
                  <c:v>-0.3979400086720376</c:v>
                </c:pt>
                <c:pt idx="2">
                  <c:v>-0.51188336097887432</c:v>
                </c:pt>
                <c:pt idx="3">
                  <c:v>-0.6020599913279624</c:v>
                </c:pt>
                <c:pt idx="4">
                  <c:v>-0.64097805735833202</c:v>
                </c:pt>
                <c:pt idx="5">
                  <c:v>-0.78265175161032008</c:v>
                </c:pt>
                <c:pt idx="6">
                  <c:v>-1.0930932133337166</c:v>
                </c:pt>
                <c:pt idx="7">
                  <c:v>-1.2573410257061035</c:v>
                </c:pt>
                <c:pt idx="8">
                  <c:v>-1.4253533286866067</c:v>
                </c:pt>
                <c:pt idx="9">
                  <c:v>-1.5959738965301762</c:v>
                </c:pt>
                <c:pt idx="10">
                  <c:v>-1.7683793641857297</c:v>
                </c:pt>
                <c:pt idx="11">
                  <c:v>-1.941995935261688</c:v>
                </c:pt>
                <c:pt idx="12">
                  <c:v>-2.116429533438609</c:v>
                </c:pt>
                <c:pt idx="13">
                  <c:v>-2.2914121596990307</c:v>
                </c:pt>
                <c:pt idx="14">
                  <c:v>-2.4667627548571525</c:v>
                </c:pt>
                <c:pt idx="15">
                  <c:v>-2.6423595352939424</c:v>
                </c:pt>
                <c:pt idx="16">
                  <c:v>-2.8181208288803297</c:v>
                </c:pt>
                <c:pt idx="17">
                  <c:v>-2.9939919715968806</c:v>
                </c:pt>
                <c:pt idx="18">
                  <c:v>-3.1699364244225778</c:v>
                </c:pt>
                <c:pt idx="19">
                  <c:v>-3.3459297850813119</c:v>
                </c:pt>
                <c:pt idx="20">
                  <c:v>-3.5219557662767689</c:v>
                </c:pt>
                <c:pt idx="21">
                  <c:v>-3.6980035013073449</c:v>
                </c:pt>
                <c:pt idx="22">
                  <c:v>-3.8740657419228333</c:v>
                </c:pt>
                <c:pt idx="23">
                  <c:v>-4.0501376542744758</c:v>
                </c:pt>
                <c:pt idx="24">
                  <c:v>-4.226216015048645</c:v>
                </c:pt>
                <c:pt idx="25">
                  <c:v>-4.4022986750371622</c:v>
                </c:pt>
                <c:pt idx="26">
                  <c:v>-4.5783842012868092</c:v>
                </c:pt>
                <c:pt idx="27">
                  <c:v>-4.7544716384297594</c:v>
                </c:pt>
                <c:pt idx="28">
                  <c:v>-4.9305603495249342</c:v>
                </c:pt>
                <c:pt idx="29">
                  <c:v>-5.1066499099319724</c:v>
                </c:pt>
                <c:pt idx="30">
                  <c:v>-5.2827400365515347</c:v>
                </c:pt>
                <c:pt idx="31">
                  <c:v>-5.4588305406481625</c:v>
                </c:pt>
                <c:pt idx="32">
                  <c:v>-5.6349212963970787</c:v>
                </c:pt>
                <c:pt idx="33">
                  <c:v>-5.811012219914593</c:v>
                </c:pt>
                <c:pt idx="34">
                  <c:v>-5.9871032552780186</c:v>
                </c:pt>
                <c:pt idx="35">
                  <c:v>-6.1631943652054657</c:v>
                </c:pt>
                <c:pt idx="36">
                  <c:v>-6.3392855248422952</c:v>
                </c:pt>
                <c:pt idx="37">
                  <c:v>-6.5153767176187296</c:v>
                </c:pt>
                <c:pt idx="38">
                  <c:v>-6.6914679324882416</c:v>
                </c:pt>
                <c:pt idx="39">
                  <c:v>-6.8675591620864731</c:v>
                </c:pt>
                <c:pt idx="40">
                  <c:v>-7.0436504015038537</c:v>
                </c:pt>
                <c:pt idx="41">
                  <c:v>-7.2197416474673339</c:v>
                </c:pt>
                <c:pt idx="42">
                  <c:v>-7.3958328977948806</c:v>
                </c:pt>
                <c:pt idx="43">
                  <c:v>-7.5719241510318058</c:v>
                </c:pt>
                <c:pt idx="44">
                  <c:v>-7.7480154062083164</c:v>
                </c:pt>
                <c:pt idx="45">
                  <c:v>-7.9241066626778842</c:v>
                </c:pt>
                <c:pt idx="46">
                  <c:v>-8.1001979200094887</c:v>
                </c:pt>
                <c:pt idx="47">
                  <c:v>-8.2762891779157854</c:v>
                </c:pt>
              </c:numCache>
            </c:numRef>
          </c:xVal>
          <c:yVal>
            <c:numRef>
              <c:f>'ternary PG titration'!$N$2:$N$49</c:f>
              <c:numCache>
                <c:formatCode>0.00E+00</c:formatCode>
                <c:ptCount val="48"/>
                <c:pt idx="0">
                  <c:v>8.3535300180237471E-5</c:v>
                </c:pt>
                <c:pt idx="1">
                  <c:v>1.1137711536091111E-4</c:v>
                </c:pt>
                <c:pt idx="2">
                  <c:v>1.6705581922360491E-4</c:v>
                </c:pt>
                <c:pt idx="3">
                  <c:v>2.2272795533284651E-4</c:v>
                </c:pt>
                <c:pt idx="4">
                  <c:v>2.5056156082148284E-4</c:v>
                </c:pt>
                <c:pt idx="5">
                  <c:v>3.757924735772189E-4</c:v>
                </c:pt>
                <c:pt idx="6">
                  <c:v>8.4511255657004902E-4</c:v>
                </c:pt>
                <c:pt idx="7">
                  <c:v>1.2671016521771383E-3</c:v>
                </c:pt>
                <c:pt idx="8">
                  <c:v>1.8993776592824974E-3</c:v>
                </c:pt>
                <c:pt idx="9">
                  <c:v>2.8462026665893037E-3</c:v>
                </c:pt>
                <c:pt idx="10">
                  <c:v>4.2628756104311494E-3</c:v>
                </c:pt>
                <c:pt idx="11">
                  <c:v>6.3799006467845087E-3</c:v>
                </c:pt>
                <c:pt idx="12">
                  <c:v>9.5375935770281028E-3</c:v>
                </c:pt>
                <c:pt idx="13">
                  <c:v>1.4234383733385925E-2</c:v>
                </c:pt>
                <c:pt idx="14">
                  <c:v>2.1191464210738031E-2</c:v>
                </c:pt>
                <c:pt idx="15">
                  <c:v>3.1433228654687229E-2</c:v>
                </c:pt>
                <c:pt idx="16">
                  <c:v>4.6373931182555173E-2</c:v>
                </c:pt>
                <c:pt idx="17">
                  <c:v>6.7881033787622114E-2</c:v>
                </c:pt>
                <c:pt idx="18">
                  <c:v>9.824900883828791E-2</c:v>
                </c:pt>
                <c:pt idx="19">
                  <c:v>0.13996529009778236</c:v>
                </c:pt>
                <c:pt idx="20">
                  <c:v>0.19511100495169831</c:v>
                </c:pt>
                <c:pt idx="21">
                  <c:v>0.26429521107694032</c:v>
                </c:pt>
                <c:pt idx="22">
                  <c:v>0.34529006664531592</c:v>
                </c:pt>
                <c:pt idx="23">
                  <c:v>0.43200489225057226</c:v>
                </c:pt>
                <c:pt idx="24">
                  <c:v>0.51472003454941695</c:v>
                </c:pt>
                <c:pt idx="25">
                  <c:v>0.58200711863975663</c:v>
                </c:pt>
                <c:pt idx="26">
                  <c:v>0.62361802969366531</c:v>
                </c:pt>
                <c:pt idx="27">
                  <c:v>0.63299968147711816</c:v>
                </c:pt>
                <c:pt idx="28">
                  <c:v>0.60866154462661315</c:v>
                </c:pt>
                <c:pt idx="29">
                  <c:v>0.55444878119168317</c:v>
                </c:pt>
                <c:pt idx="30">
                  <c:v>0.47881452813189673</c:v>
                </c:pt>
                <c:pt idx="31">
                  <c:v>0.39290720735424656</c:v>
                </c:pt>
                <c:pt idx="32">
                  <c:v>0.30772849881117215</c:v>
                </c:pt>
                <c:pt idx="33">
                  <c:v>0.23151527286139484</c:v>
                </c:pt>
                <c:pt idx="34">
                  <c:v>0.16855795466578105</c:v>
                </c:pt>
                <c:pt idx="35">
                  <c:v>0.11963973587181131</c:v>
                </c:pt>
                <c:pt idx="36">
                  <c:v>8.3327018644218986E-2</c:v>
                </c:pt>
                <c:pt idx="37">
                  <c:v>5.7250143464185888E-2</c:v>
                </c:pt>
                <c:pt idx="38">
                  <c:v>3.8958463283252587E-2</c:v>
                </c:pt>
                <c:pt idx="39">
                  <c:v>2.6335718366245597E-2</c:v>
                </c:pt>
                <c:pt idx="40">
                  <c:v>1.7722223594596409E-2</c:v>
                </c:pt>
                <c:pt idx="41">
                  <c:v>1.1889268883400583E-2</c:v>
                </c:pt>
                <c:pt idx="42">
                  <c:v>7.959597092295212E-3</c:v>
                </c:pt>
                <c:pt idx="43">
                  <c:v>5.3213486989885928E-3</c:v>
                </c:pt>
                <c:pt idx="44">
                  <c:v>3.5542398862227209E-3</c:v>
                </c:pt>
                <c:pt idx="45">
                  <c:v>2.3724682658675667E-3</c:v>
                </c:pt>
                <c:pt idx="46">
                  <c:v>1.582970338041223E-3</c:v>
                </c:pt>
                <c:pt idx="47">
                  <c:v>1.055903143632464E-3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18F-6643-932C-2FC77922C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969183"/>
        <c:axId val="1502486175"/>
      </c:scatterChart>
      <c:valAx>
        <c:axId val="1550969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xPG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486175"/>
        <c:crosses val="autoZero"/>
        <c:crossBetween val="midCat"/>
      </c:valAx>
      <c:valAx>
        <c:axId val="1502486175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Fractional Occupancy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9183"/>
        <c:crossesAt val="-9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'ternary PG titration'!$K$1</c:f>
              <c:strCache>
                <c:ptCount val="1"/>
                <c:pt idx="0">
                  <c:v>fPG WT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'ternary PG titration'!$D$2:$D$49</c:f>
              <c:numCache>
                <c:formatCode>0.00E+00</c:formatCode>
                <c:ptCount val="48"/>
                <c:pt idx="0">
                  <c:v>-0.32735893438633035</c:v>
                </c:pt>
                <c:pt idx="1">
                  <c:v>-0.3979400086720376</c:v>
                </c:pt>
                <c:pt idx="2">
                  <c:v>-0.51188336097887432</c:v>
                </c:pt>
                <c:pt idx="3">
                  <c:v>-0.6020599913279624</c:v>
                </c:pt>
                <c:pt idx="4">
                  <c:v>-0.64097805735833202</c:v>
                </c:pt>
                <c:pt idx="5">
                  <c:v>-0.78265175161032008</c:v>
                </c:pt>
                <c:pt idx="6">
                  <c:v>-1.0930932133337166</c:v>
                </c:pt>
                <c:pt idx="7">
                  <c:v>-1.2573410257061035</c:v>
                </c:pt>
                <c:pt idx="8">
                  <c:v>-1.4253533286866067</c:v>
                </c:pt>
                <c:pt idx="9">
                  <c:v>-1.5959738965301762</c:v>
                </c:pt>
                <c:pt idx="10">
                  <c:v>-1.7683793641857297</c:v>
                </c:pt>
                <c:pt idx="11">
                  <c:v>-1.941995935261688</c:v>
                </c:pt>
                <c:pt idx="12">
                  <c:v>-2.116429533438609</c:v>
                </c:pt>
                <c:pt idx="13">
                  <c:v>-2.2914121596990307</c:v>
                </c:pt>
                <c:pt idx="14">
                  <c:v>-2.4667627548571525</c:v>
                </c:pt>
                <c:pt idx="15">
                  <c:v>-2.6423595352939424</c:v>
                </c:pt>
                <c:pt idx="16">
                  <c:v>-2.8181208288803297</c:v>
                </c:pt>
                <c:pt idx="17">
                  <c:v>-2.9939919715968806</c:v>
                </c:pt>
                <c:pt idx="18">
                  <c:v>-3.1699364244225778</c:v>
                </c:pt>
                <c:pt idx="19">
                  <c:v>-3.3459297850813119</c:v>
                </c:pt>
                <c:pt idx="20">
                  <c:v>-3.5219557662767689</c:v>
                </c:pt>
                <c:pt idx="21">
                  <c:v>-3.6980035013073449</c:v>
                </c:pt>
                <c:pt idx="22">
                  <c:v>-3.8740657419228333</c:v>
                </c:pt>
                <c:pt idx="23">
                  <c:v>-4.0501376542744758</c:v>
                </c:pt>
                <c:pt idx="24">
                  <c:v>-4.226216015048645</c:v>
                </c:pt>
                <c:pt idx="25">
                  <c:v>-4.4022986750371622</c:v>
                </c:pt>
                <c:pt idx="26">
                  <c:v>-4.5783842012868092</c:v>
                </c:pt>
                <c:pt idx="27">
                  <c:v>-4.7544716384297594</c:v>
                </c:pt>
                <c:pt idx="28">
                  <c:v>-4.9305603495249342</c:v>
                </c:pt>
                <c:pt idx="29">
                  <c:v>-5.1066499099319724</c:v>
                </c:pt>
                <c:pt idx="30">
                  <c:v>-5.2827400365515347</c:v>
                </c:pt>
                <c:pt idx="31">
                  <c:v>-5.4588305406481625</c:v>
                </c:pt>
                <c:pt idx="32">
                  <c:v>-5.6349212963970787</c:v>
                </c:pt>
                <c:pt idx="33">
                  <c:v>-5.811012219914593</c:v>
                </c:pt>
                <c:pt idx="34">
                  <c:v>-5.9871032552780186</c:v>
                </c:pt>
                <c:pt idx="35">
                  <c:v>-6.1631943652054657</c:v>
                </c:pt>
                <c:pt idx="36">
                  <c:v>-6.3392855248422952</c:v>
                </c:pt>
                <c:pt idx="37">
                  <c:v>-6.5153767176187296</c:v>
                </c:pt>
                <c:pt idx="38">
                  <c:v>-6.6914679324882416</c:v>
                </c:pt>
                <c:pt idx="39">
                  <c:v>-6.8675591620864731</c:v>
                </c:pt>
                <c:pt idx="40">
                  <c:v>-7.0436504015038537</c:v>
                </c:pt>
                <c:pt idx="41">
                  <c:v>-7.2197416474673339</c:v>
                </c:pt>
                <c:pt idx="42">
                  <c:v>-7.3958328977948806</c:v>
                </c:pt>
                <c:pt idx="43">
                  <c:v>-7.5719241510318058</c:v>
                </c:pt>
                <c:pt idx="44">
                  <c:v>-7.7480154062083164</c:v>
                </c:pt>
                <c:pt idx="45">
                  <c:v>-7.9241066626778842</c:v>
                </c:pt>
                <c:pt idx="46">
                  <c:v>-8.1001979200094887</c:v>
                </c:pt>
                <c:pt idx="47">
                  <c:v>-8.2762891779157854</c:v>
                </c:pt>
              </c:numCache>
            </c:numRef>
          </c:xVal>
          <c:yVal>
            <c:numRef>
              <c:f>'ternary PG titration'!$K$2:$K$49</c:f>
              <c:numCache>
                <c:formatCode>0.00E+00</c:formatCode>
                <c:ptCount val="48"/>
                <c:pt idx="0">
                  <c:v>0.98751494481749813</c:v>
                </c:pt>
                <c:pt idx="1">
                  <c:v>0.9834222511264934</c:v>
                </c:pt>
                <c:pt idx="2">
                  <c:v>0.97533779858063907</c:v>
                </c:pt>
                <c:pt idx="3">
                  <c:v>0.96738518250694205</c:v>
                </c:pt>
                <c:pt idx="4">
                  <c:v>0.96345730946811015</c:v>
                </c:pt>
                <c:pt idx="5">
                  <c:v>0.94616951949726258</c:v>
                </c:pt>
                <c:pt idx="6">
                  <c:v>0.88651744448397352</c:v>
                </c:pt>
                <c:pt idx="7">
                  <c:v>0.83891626374699069</c:v>
                </c:pt>
                <c:pt idx="8">
                  <c:v>0.77638478294371327</c:v>
                </c:pt>
                <c:pt idx="9">
                  <c:v>0.6983085715446069</c:v>
                </c:pt>
                <c:pt idx="10">
                  <c:v>0.60677861759534291</c:v>
                </c:pt>
                <c:pt idx="11">
                  <c:v>0.50708105991069241</c:v>
                </c:pt>
                <c:pt idx="12">
                  <c:v>0.40681712650675</c:v>
                </c:pt>
                <c:pt idx="13">
                  <c:v>0.31375891817358087</c:v>
                </c:pt>
                <c:pt idx="14">
                  <c:v>0.23360443729067759</c:v>
                </c:pt>
                <c:pt idx="15">
                  <c:v>0.16888722671452858</c:v>
                </c:pt>
                <c:pt idx="16">
                  <c:v>0.11930801789893876</c:v>
                </c:pt>
                <c:pt idx="17">
                  <c:v>8.2832887820182888E-2</c:v>
                </c:pt>
                <c:pt idx="18">
                  <c:v>5.6789950410682521E-2</c:v>
                </c:pt>
                <c:pt idx="19">
                  <c:v>3.8590484167860699E-2</c:v>
                </c:pt>
                <c:pt idx="20">
                  <c:v>2.6062240944084353E-2</c:v>
                </c:pt>
                <c:pt idx="21">
                  <c:v>1.7527092397762813E-2</c:v>
                </c:pt>
                <c:pt idx="22">
                  <c:v>1.1753395883722368E-2</c:v>
                </c:pt>
                <c:pt idx="23">
                  <c:v>7.8664162907654232E-3</c:v>
                </c:pt>
                <c:pt idx="24">
                  <c:v>5.2580649029805174E-3</c:v>
                </c:pt>
                <c:pt idx="25">
                  <c:v>3.5115312216778202E-3</c:v>
                </c:pt>
                <c:pt idx="26">
                  <c:v>2.3437642148574547E-3</c:v>
                </c:pt>
                <c:pt idx="27">
                  <c:v>1.5637311489411516E-3</c:v>
                </c:pt>
                <c:pt idx="28">
                  <c:v>1.0430311060373762E-3</c:v>
                </c:pt>
                <c:pt idx="29">
                  <c:v>6.9559591341655943E-4</c:v>
                </c:pt>
                <c:pt idx="30">
                  <c:v>4.6383815691985298E-4</c:v>
                </c:pt>
                <c:pt idx="31">
                  <c:v>3.0927325552551122E-4</c:v>
                </c:pt>
                <c:pt idx="32">
                  <c:v>2.0620342808550895E-4</c:v>
                </c:pt>
                <c:pt idx="33">
                  <c:v>1.3747840156290263E-4</c:v>
                </c:pt>
                <c:pt idx="34">
                  <c:v>9.1656467970171584E-5</c:v>
                </c:pt>
                <c:pt idx="35">
                  <c:v>6.1106178905624264E-5</c:v>
                </c:pt>
                <c:pt idx="36">
                  <c:v>4.0738282390673537E-5</c:v>
                </c:pt>
                <c:pt idx="37">
                  <c:v>2.7159223733824346E-5</c:v>
                </c:pt>
                <c:pt idx="38">
                  <c:v>1.8106313073685485E-5</c:v>
                </c:pt>
                <c:pt idx="39">
                  <c:v>1.2070948235912943E-5</c:v>
                </c:pt>
                <c:pt idx="40">
                  <c:v>8.0473312035814278E-6</c:v>
                </c:pt>
                <c:pt idx="41">
                  <c:v>5.3649018601016656E-6</c:v>
                </c:pt>
                <c:pt idx="42">
                  <c:v>3.5766076361174301E-6</c:v>
                </c:pt>
                <c:pt idx="43">
                  <c:v>2.3844079334421608E-6</c:v>
                </c:pt>
                <c:pt idx="44">
                  <c:v>1.5896065523849323E-6</c:v>
                </c:pt>
                <c:pt idx="45">
                  <c:v>1.0597382631122505E-6</c:v>
                </c:pt>
                <c:pt idx="46">
                  <c:v>7.0649242497385207E-7</c:v>
                </c:pt>
                <c:pt idx="47">
                  <c:v>4.7099506090071561E-7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E6-D44D-9CD0-652A3A47FFB0}"/>
            </c:ext>
          </c:extLst>
        </c:ser>
        <c:ser>
          <c:idx val="1"/>
          <c:order val="1"/>
          <c:tx>
            <c:strRef>
              <c:f>'ternary PG titration'!$L$1</c:f>
              <c:strCache>
                <c:ptCount val="1"/>
                <c:pt idx="0">
                  <c:v>fpG ELIC5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'ternary PG titration'!$D$2:$D$49</c:f>
              <c:numCache>
                <c:formatCode>0.00E+00</c:formatCode>
                <c:ptCount val="48"/>
                <c:pt idx="0">
                  <c:v>-0.32735893438633035</c:v>
                </c:pt>
                <c:pt idx="1">
                  <c:v>-0.3979400086720376</c:v>
                </c:pt>
                <c:pt idx="2">
                  <c:v>-0.51188336097887432</c:v>
                </c:pt>
                <c:pt idx="3">
                  <c:v>-0.6020599913279624</c:v>
                </c:pt>
                <c:pt idx="4">
                  <c:v>-0.64097805735833202</c:v>
                </c:pt>
                <c:pt idx="5">
                  <c:v>-0.78265175161032008</c:v>
                </c:pt>
                <c:pt idx="6">
                  <c:v>-1.0930932133337166</c:v>
                </c:pt>
                <c:pt idx="7">
                  <c:v>-1.2573410257061035</c:v>
                </c:pt>
                <c:pt idx="8">
                  <c:v>-1.4253533286866067</c:v>
                </c:pt>
                <c:pt idx="9">
                  <c:v>-1.5959738965301762</c:v>
                </c:pt>
                <c:pt idx="10">
                  <c:v>-1.7683793641857297</c:v>
                </c:pt>
                <c:pt idx="11">
                  <c:v>-1.941995935261688</c:v>
                </c:pt>
                <c:pt idx="12">
                  <c:v>-2.116429533438609</c:v>
                </c:pt>
                <c:pt idx="13">
                  <c:v>-2.2914121596990307</c:v>
                </c:pt>
                <c:pt idx="14">
                  <c:v>-2.4667627548571525</c:v>
                </c:pt>
                <c:pt idx="15">
                  <c:v>-2.6423595352939424</c:v>
                </c:pt>
                <c:pt idx="16">
                  <c:v>-2.8181208288803297</c:v>
                </c:pt>
                <c:pt idx="17">
                  <c:v>-2.9939919715968806</c:v>
                </c:pt>
                <c:pt idx="18">
                  <c:v>-3.1699364244225778</c:v>
                </c:pt>
                <c:pt idx="19">
                  <c:v>-3.3459297850813119</c:v>
                </c:pt>
                <c:pt idx="20">
                  <c:v>-3.5219557662767689</c:v>
                </c:pt>
                <c:pt idx="21">
                  <c:v>-3.6980035013073449</c:v>
                </c:pt>
                <c:pt idx="22">
                  <c:v>-3.8740657419228333</c:v>
                </c:pt>
                <c:pt idx="23">
                  <c:v>-4.0501376542744758</c:v>
                </c:pt>
                <c:pt idx="24">
                  <c:v>-4.226216015048645</c:v>
                </c:pt>
                <c:pt idx="25">
                  <c:v>-4.4022986750371622</c:v>
                </c:pt>
                <c:pt idx="26">
                  <c:v>-4.5783842012868092</c:v>
                </c:pt>
                <c:pt idx="27">
                  <c:v>-4.7544716384297594</c:v>
                </c:pt>
                <c:pt idx="28">
                  <c:v>-4.9305603495249342</c:v>
                </c:pt>
                <c:pt idx="29">
                  <c:v>-5.1066499099319724</c:v>
                </c:pt>
                <c:pt idx="30">
                  <c:v>-5.2827400365515347</c:v>
                </c:pt>
                <c:pt idx="31">
                  <c:v>-5.4588305406481625</c:v>
                </c:pt>
                <c:pt idx="32">
                  <c:v>-5.6349212963970787</c:v>
                </c:pt>
                <c:pt idx="33">
                  <c:v>-5.811012219914593</c:v>
                </c:pt>
                <c:pt idx="34">
                  <c:v>-5.9871032552780186</c:v>
                </c:pt>
                <c:pt idx="35">
                  <c:v>-6.1631943652054657</c:v>
                </c:pt>
                <c:pt idx="36">
                  <c:v>-6.3392855248422952</c:v>
                </c:pt>
                <c:pt idx="37">
                  <c:v>-6.5153767176187296</c:v>
                </c:pt>
                <c:pt idx="38">
                  <c:v>-6.6914679324882416</c:v>
                </c:pt>
                <c:pt idx="39">
                  <c:v>-6.8675591620864731</c:v>
                </c:pt>
                <c:pt idx="40">
                  <c:v>-7.0436504015038537</c:v>
                </c:pt>
                <c:pt idx="41">
                  <c:v>-7.2197416474673339</c:v>
                </c:pt>
                <c:pt idx="42">
                  <c:v>-7.3958328977948806</c:v>
                </c:pt>
                <c:pt idx="43">
                  <c:v>-7.5719241510318058</c:v>
                </c:pt>
                <c:pt idx="44">
                  <c:v>-7.7480154062083164</c:v>
                </c:pt>
                <c:pt idx="45">
                  <c:v>-7.9241066626778842</c:v>
                </c:pt>
                <c:pt idx="46">
                  <c:v>-8.1001979200094887</c:v>
                </c:pt>
                <c:pt idx="47">
                  <c:v>-8.2762891779157854</c:v>
                </c:pt>
              </c:numCache>
            </c:numRef>
          </c:xVal>
          <c:yVal>
            <c:numRef>
              <c:f>'ternary PG titration'!$L$2:$L$49</c:f>
              <c:numCache>
                <c:formatCode>0.00E+00</c:formatCode>
                <c:ptCount val="48"/>
                <c:pt idx="0">
                  <c:v>0.99991646428681935</c:v>
                </c:pt>
                <c:pt idx="1">
                  <c:v>0.99988862215043539</c:v>
                </c:pt>
                <c:pt idx="2">
                  <c:v>0.9998329425289042</c:v>
                </c:pt>
                <c:pt idx="3">
                  <c:v>0.99977726910815867</c:v>
                </c:pt>
                <c:pt idx="4">
                  <c:v>0.9997494347227569</c:v>
                </c:pt>
                <c:pt idx="5">
                  <c:v>0.99962419916545564</c:v>
                </c:pt>
                <c:pt idx="6">
                  <c:v>0.99915484513465458</c:v>
                </c:pt>
                <c:pt idx="7">
                  <c:v>0.9987328031907563</c:v>
                </c:pt>
                <c:pt idx="8">
                  <c:v>0.9981004083643642</c:v>
                </c:pt>
                <c:pt idx="9">
                  <c:v>0.99715331631480508</c:v>
                </c:pt>
                <c:pt idx="10">
                  <c:v>0.99573604353985246</c:v>
                </c:pt>
                <c:pt idx="11">
                  <c:v>0.99361767229350606</c:v>
                </c:pt>
                <c:pt idx="12">
                  <c:v>0.99045696183868992</c:v>
                </c:pt>
                <c:pt idx="13">
                  <c:v>0.98575342058355453</c:v>
                </c:pt>
                <c:pt idx="14">
                  <c:v>0.97878127797952141</c:v>
                </c:pt>
                <c:pt idx="15">
                  <c:v>0.96850604767909421</c:v>
                </c:pt>
                <c:pt idx="16">
                  <c:v>0.95349144069330083</c:v>
                </c:pt>
                <c:pt idx="17">
                  <c:v>0.93182257787997469</c:v>
                </c:pt>
                <c:pt idx="18">
                  <c:v>0.90110506759598208</c:v>
                </c:pt>
                <c:pt idx="19">
                  <c:v>0.8586471420595414</c:v>
                </c:pt>
                <c:pt idx="20">
                  <c:v>0.80196697977687226</c:v>
                </c:pt>
                <c:pt idx="21">
                  <c:v>0.7297133140388059</c:v>
                </c:pt>
                <c:pt idx="22">
                  <c:v>0.64283803323267064</c:v>
                </c:pt>
                <c:pt idx="23">
                  <c:v>0.54543390933315861</c:v>
                </c:pt>
                <c:pt idx="24">
                  <c:v>0.44442389341814664</c:v>
                </c:pt>
                <c:pt idx="25">
                  <c:v>0.34780720658135639</c:v>
                </c:pt>
                <c:pt idx="26">
                  <c:v>0.26227897718780635</c:v>
                </c:pt>
                <c:pt idx="27">
                  <c:v>0.19160387417297381</c:v>
                </c:pt>
                <c:pt idx="28">
                  <c:v>0.13645074668129278</c:v>
                </c:pt>
                <c:pt idx="29">
                  <c:v>9.5301833221938359E-2</c:v>
                </c:pt>
                <c:pt idx="30">
                  <c:v>6.5619095513561543E-2</c:v>
                </c:pt>
                <c:pt idx="31">
                  <c:v>4.4724320154370611E-2</c:v>
                </c:pt>
                <c:pt idx="32">
                  <c:v>3.0267443717268916E-2</c:v>
                </c:pt>
                <c:pt idx="33">
                  <c:v>2.0383952523425362E-2</c:v>
                </c:pt>
                <c:pt idx="34">
                  <c:v>1.3682267915484249E-2</c:v>
                </c:pt>
                <c:pt idx="35">
                  <c:v>9.1633035349749752E-3</c:v>
                </c:pt>
                <c:pt idx="36">
                  <c:v>6.1275853314260902E-3</c:v>
                </c:pt>
                <c:pt idx="37">
                  <c:v>4.093417809926561E-3</c:v>
                </c:pt>
                <c:pt idx="38">
                  <c:v>2.7326738652406063E-3</c:v>
                </c:pt>
                <c:pt idx="39">
                  <c:v>1.8234435356586161E-3</c:v>
                </c:pt>
                <c:pt idx="40">
                  <c:v>1.2163683501074053E-3</c:v>
                </c:pt>
                <c:pt idx="41">
                  <c:v>8.1124115609379596E-4</c:v>
                </c:pt>
                <c:pt idx="42">
                  <c:v>5.4097372411231897E-4</c:v>
                </c:pt>
                <c:pt idx="43">
                  <c:v>3.6071419504202337E-4</c:v>
                </c:pt>
                <c:pt idx="44">
                  <c:v>2.4050504788959991E-4</c:v>
                </c:pt>
                <c:pt idx="45">
                  <c:v>1.6034955355208531E-4</c:v>
                </c:pt>
                <c:pt idx="46">
                  <c:v>1.0690541644665673E-4</c:v>
                </c:pt>
                <c:pt idx="47">
                  <c:v>7.127281744784801E-5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0E6-D44D-9CD0-652A3A47FFB0}"/>
            </c:ext>
          </c:extLst>
        </c:ser>
        <c:ser>
          <c:idx val="2"/>
          <c:order val="2"/>
          <c:tx>
            <c:strRef>
              <c:f>'ternary PG titration'!$I$1</c:f>
              <c:strCache>
                <c:ptCount val="1"/>
                <c:pt idx="0">
                  <c:v>fpC WT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'ternary PG titration'!$D$2:$D$49</c:f>
              <c:numCache>
                <c:formatCode>0.00E+00</c:formatCode>
                <c:ptCount val="48"/>
                <c:pt idx="0">
                  <c:v>-0.32735893438633035</c:v>
                </c:pt>
                <c:pt idx="1">
                  <c:v>-0.3979400086720376</c:v>
                </c:pt>
                <c:pt idx="2">
                  <c:v>-0.51188336097887432</c:v>
                </c:pt>
                <c:pt idx="3">
                  <c:v>-0.6020599913279624</c:v>
                </c:pt>
                <c:pt idx="4">
                  <c:v>-0.64097805735833202</c:v>
                </c:pt>
                <c:pt idx="5">
                  <c:v>-0.78265175161032008</c:v>
                </c:pt>
                <c:pt idx="6">
                  <c:v>-1.0930932133337166</c:v>
                </c:pt>
                <c:pt idx="7">
                  <c:v>-1.2573410257061035</c:v>
                </c:pt>
                <c:pt idx="8">
                  <c:v>-1.4253533286866067</c:v>
                </c:pt>
                <c:pt idx="9">
                  <c:v>-1.5959738965301762</c:v>
                </c:pt>
                <c:pt idx="10">
                  <c:v>-1.7683793641857297</c:v>
                </c:pt>
                <c:pt idx="11">
                  <c:v>-1.941995935261688</c:v>
                </c:pt>
                <c:pt idx="12">
                  <c:v>-2.116429533438609</c:v>
                </c:pt>
                <c:pt idx="13">
                  <c:v>-2.2914121596990307</c:v>
                </c:pt>
                <c:pt idx="14">
                  <c:v>-2.4667627548571525</c:v>
                </c:pt>
                <c:pt idx="15">
                  <c:v>-2.6423595352939424</c:v>
                </c:pt>
                <c:pt idx="16">
                  <c:v>-2.8181208288803297</c:v>
                </c:pt>
                <c:pt idx="17">
                  <c:v>-2.9939919715968806</c:v>
                </c:pt>
                <c:pt idx="18">
                  <c:v>-3.1699364244225778</c:v>
                </c:pt>
                <c:pt idx="19">
                  <c:v>-3.3459297850813119</c:v>
                </c:pt>
                <c:pt idx="20">
                  <c:v>-3.5219557662767689</c:v>
                </c:pt>
                <c:pt idx="21">
                  <c:v>-3.6980035013073449</c:v>
                </c:pt>
                <c:pt idx="22">
                  <c:v>-3.8740657419228333</c:v>
                </c:pt>
                <c:pt idx="23">
                  <c:v>-4.0501376542744758</c:v>
                </c:pt>
                <c:pt idx="24">
                  <c:v>-4.226216015048645</c:v>
                </c:pt>
                <c:pt idx="25">
                  <c:v>-4.4022986750371622</c:v>
                </c:pt>
                <c:pt idx="26">
                  <c:v>-4.5783842012868092</c:v>
                </c:pt>
                <c:pt idx="27">
                  <c:v>-4.7544716384297594</c:v>
                </c:pt>
                <c:pt idx="28">
                  <c:v>-4.9305603495249342</c:v>
                </c:pt>
                <c:pt idx="29">
                  <c:v>-5.1066499099319724</c:v>
                </c:pt>
                <c:pt idx="30">
                  <c:v>-5.2827400365515347</c:v>
                </c:pt>
                <c:pt idx="31">
                  <c:v>-5.4588305406481625</c:v>
                </c:pt>
                <c:pt idx="32">
                  <c:v>-5.6349212963970787</c:v>
                </c:pt>
                <c:pt idx="33">
                  <c:v>-5.811012219914593</c:v>
                </c:pt>
                <c:pt idx="34">
                  <c:v>-5.9871032552780186</c:v>
                </c:pt>
                <c:pt idx="35">
                  <c:v>-6.1631943652054657</c:v>
                </c:pt>
                <c:pt idx="36">
                  <c:v>-6.3392855248422952</c:v>
                </c:pt>
                <c:pt idx="37">
                  <c:v>-6.5153767176187296</c:v>
                </c:pt>
                <c:pt idx="38">
                  <c:v>-6.6914679324882416</c:v>
                </c:pt>
                <c:pt idx="39">
                  <c:v>-6.8675591620864731</c:v>
                </c:pt>
                <c:pt idx="40">
                  <c:v>-7.0436504015038537</c:v>
                </c:pt>
                <c:pt idx="41">
                  <c:v>-7.2197416474673339</c:v>
                </c:pt>
                <c:pt idx="42">
                  <c:v>-7.3958328977948806</c:v>
                </c:pt>
                <c:pt idx="43">
                  <c:v>-7.5719241510318058</c:v>
                </c:pt>
                <c:pt idx="44">
                  <c:v>-7.7480154062083164</c:v>
                </c:pt>
                <c:pt idx="45">
                  <c:v>-7.9241066626778842</c:v>
                </c:pt>
                <c:pt idx="46">
                  <c:v>-8.1001979200094887</c:v>
                </c:pt>
                <c:pt idx="47">
                  <c:v>-8.2762891779157854</c:v>
                </c:pt>
              </c:numCache>
            </c:numRef>
          </c:xVal>
          <c:yVal>
            <c:numRef>
              <c:f>'ternary PG titration'!$I$2:$I$49</c:f>
              <c:numCache>
                <c:formatCode>0.00E+00</c:formatCode>
                <c:ptCount val="48"/>
                <c:pt idx="0">
                  <c:v>7.4892057454181407E-11</c:v>
                </c:pt>
                <c:pt idx="1">
                  <c:v>1.3258963940342786E-10</c:v>
                </c:pt>
                <c:pt idx="2">
                  <c:v>2.9587422544948217E-10</c:v>
                </c:pt>
                <c:pt idx="3">
                  <c:v>5.2170978759913158E-10</c:v>
                </c:pt>
                <c:pt idx="4">
                  <c:v>6.5760798053754194E-10</c:v>
                </c:pt>
                <c:pt idx="5">
                  <c:v>1.4530684517911059E-9</c:v>
                </c:pt>
                <c:pt idx="6">
                  <c:v>6.8923837912613527E-9</c:v>
                </c:pt>
                <c:pt idx="7">
                  <c:v>1.4675175547970727E-8</c:v>
                </c:pt>
                <c:pt idx="8">
                  <c:v>3.0557950980077589E-8</c:v>
                </c:pt>
                <c:pt idx="9">
                  <c:v>6.1841086150043494E-8</c:v>
                </c:pt>
                <c:pt idx="10">
                  <c:v>1.2090451390811489E-7</c:v>
                </c:pt>
                <c:pt idx="11">
                  <c:v>2.2733804921479979E-7</c:v>
                </c:pt>
                <c:pt idx="12">
                  <c:v>4.103707771781061E-7</c:v>
                </c:pt>
                <c:pt idx="13">
                  <c:v>7.121241006462225E-7</c:v>
                </c:pt>
                <c:pt idx="14">
                  <c:v>1.1929521350912885E-6</c:v>
                </c:pt>
                <c:pt idx="15">
                  <c:v>1.9405325947893345E-6</c:v>
                </c:pt>
                <c:pt idx="16">
                  <c:v>3.0844362595958678E-6</c:v>
                </c:pt>
                <c:pt idx="17">
                  <c:v>4.8182656906972622E-6</c:v>
                </c:pt>
                <c:pt idx="18">
                  <c:v>7.432600998660165E-6</c:v>
                </c:pt>
                <c:pt idx="19">
                  <c:v>1.1363977672906662E-5</c:v>
                </c:pt>
                <c:pt idx="20">
                  <c:v>1.7267992702900878E-5</c:v>
                </c:pt>
                <c:pt idx="21">
                  <c:v>2.6128750911289842E-5</c:v>
                </c:pt>
                <c:pt idx="22">
                  <c:v>3.9422928523910391E-5</c:v>
                </c:pt>
                <c:pt idx="23">
                  <c:v>5.9365796776176028E-5</c:v>
                </c:pt>
                <c:pt idx="24">
                  <c:v>8.9280136189342653E-5</c:v>
                </c:pt>
                <c:pt idx="25">
                  <c:v>1.3414931690694211E-4</c:v>
                </c:pt>
                <c:pt idx="26">
                  <c:v>2.0144622680827058E-4</c:v>
                </c:pt>
                <c:pt idx="27">
                  <c:v>3.0237506853287948E-4</c:v>
                </c:pt>
                <c:pt idx="28">
                  <c:v>4.53730437151617E-4</c:v>
                </c:pt>
                <c:pt idx="29">
                  <c:v>6.8067778238102019E-4</c:v>
                </c:pt>
                <c:pt idx="30">
                  <c:v>1.020905771247951E-3</c:v>
                </c:pt>
                <c:pt idx="31">
                  <c:v>1.5308136903540569E-3</c:v>
                </c:pt>
                <c:pt idx="32">
                  <c:v>2.2947003572978894E-3</c:v>
                </c:pt>
                <c:pt idx="33">
                  <c:v>3.4383413447807536E-3</c:v>
                </c:pt>
                <c:pt idx="34">
                  <c:v>5.1488953301122653E-3</c:v>
                </c:pt>
                <c:pt idx="35">
                  <c:v>7.7037442629710384E-3</c:v>
                </c:pt>
                <c:pt idx="36">
                  <c:v>1.1511508205345774E-2</c:v>
                </c:pt>
                <c:pt idx="37">
                  <c:v>1.7168674098709643E-2</c:v>
                </c:pt>
                <c:pt idx="38">
                  <c:v>2.5534045488346327E-2</c:v>
                </c:pt>
                <c:pt idx="39">
                  <c:v>3.7818461497336239E-2</c:v>
                </c:pt>
                <c:pt idx="40">
                  <c:v>5.5675133838622076E-2</c:v>
                </c:pt>
                <c:pt idx="41">
                  <c:v>8.1251074355357583E-2</c:v>
                </c:pt>
                <c:pt idx="42">
                  <c:v>0.11711879019398438</c:v>
                </c:pt>
                <c:pt idx="43">
                  <c:v>0.16595985146384612</c:v>
                </c:pt>
                <c:pt idx="44">
                  <c:v>0.22986569155928482</c:v>
                </c:pt>
                <c:pt idx="45">
                  <c:v>0.30925509535568613</c:v>
                </c:pt>
                <c:pt idx="46">
                  <c:v>0.40175963408897919</c:v>
                </c:pt>
                <c:pt idx="47">
                  <c:v>0.50183166814875102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0E6-D44D-9CD0-652A3A47FFB0}"/>
            </c:ext>
          </c:extLst>
        </c:ser>
        <c:ser>
          <c:idx val="3"/>
          <c:order val="3"/>
          <c:tx>
            <c:strRef>
              <c:f>'ternary PG titration'!$J$1</c:f>
              <c:strCache>
                <c:ptCount val="1"/>
                <c:pt idx="0">
                  <c:v>fpC ELIC5</c:v>
                </c:pt>
              </c:strCache>
            </c:strRef>
          </c:tx>
          <c:spPr>
            <a:ln w="19050" cap="rnd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'ternary PG titration'!$D$2:$D$49</c:f>
              <c:numCache>
                <c:formatCode>0.00E+00</c:formatCode>
                <c:ptCount val="48"/>
                <c:pt idx="0">
                  <c:v>-0.32735893438633035</c:v>
                </c:pt>
                <c:pt idx="1">
                  <c:v>-0.3979400086720376</c:v>
                </c:pt>
                <c:pt idx="2">
                  <c:v>-0.51188336097887432</c:v>
                </c:pt>
                <c:pt idx="3">
                  <c:v>-0.6020599913279624</c:v>
                </c:pt>
                <c:pt idx="4">
                  <c:v>-0.64097805735833202</c:v>
                </c:pt>
                <c:pt idx="5">
                  <c:v>-0.78265175161032008</c:v>
                </c:pt>
                <c:pt idx="6">
                  <c:v>-1.0930932133337166</c:v>
                </c:pt>
                <c:pt idx="7">
                  <c:v>-1.2573410257061035</c:v>
                </c:pt>
                <c:pt idx="8">
                  <c:v>-1.4253533286866067</c:v>
                </c:pt>
                <c:pt idx="9">
                  <c:v>-1.5959738965301762</c:v>
                </c:pt>
                <c:pt idx="10">
                  <c:v>-1.7683793641857297</c:v>
                </c:pt>
                <c:pt idx="11">
                  <c:v>-1.941995935261688</c:v>
                </c:pt>
                <c:pt idx="12">
                  <c:v>-2.116429533438609</c:v>
                </c:pt>
                <c:pt idx="13">
                  <c:v>-2.2914121596990307</c:v>
                </c:pt>
                <c:pt idx="14">
                  <c:v>-2.4667627548571525</c:v>
                </c:pt>
                <c:pt idx="15">
                  <c:v>-2.6423595352939424</c:v>
                </c:pt>
                <c:pt idx="16">
                  <c:v>-2.8181208288803297</c:v>
                </c:pt>
                <c:pt idx="17">
                  <c:v>-2.9939919715968806</c:v>
                </c:pt>
                <c:pt idx="18">
                  <c:v>-3.1699364244225778</c:v>
                </c:pt>
                <c:pt idx="19">
                  <c:v>-3.3459297850813119</c:v>
                </c:pt>
                <c:pt idx="20">
                  <c:v>-3.5219557662767689</c:v>
                </c:pt>
                <c:pt idx="21">
                  <c:v>-3.6980035013073449</c:v>
                </c:pt>
                <c:pt idx="22">
                  <c:v>-3.8740657419228333</c:v>
                </c:pt>
                <c:pt idx="23">
                  <c:v>-4.0501376542744758</c:v>
                </c:pt>
                <c:pt idx="24">
                  <c:v>-4.226216015048645</c:v>
                </c:pt>
                <c:pt idx="25">
                  <c:v>-4.4022986750371622</c:v>
                </c:pt>
                <c:pt idx="26">
                  <c:v>-4.5783842012868092</c:v>
                </c:pt>
                <c:pt idx="27">
                  <c:v>-4.7544716384297594</c:v>
                </c:pt>
                <c:pt idx="28">
                  <c:v>-4.9305603495249342</c:v>
                </c:pt>
                <c:pt idx="29">
                  <c:v>-5.1066499099319724</c:v>
                </c:pt>
                <c:pt idx="30">
                  <c:v>-5.2827400365515347</c:v>
                </c:pt>
                <c:pt idx="31">
                  <c:v>-5.4588305406481625</c:v>
                </c:pt>
                <c:pt idx="32">
                  <c:v>-5.6349212963970787</c:v>
                </c:pt>
                <c:pt idx="33">
                  <c:v>-5.811012219914593</c:v>
                </c:pt>
                <c:pt idx="34">
                  <c:v>-5.9871032552780186</c:v>
                </c:pt>
                <c:pt idx="35">
                  <c:v>-6.1631943652054657</c:v>
                </c:pt>
                <c:pt idx="36">
                  <c:v>-6.3392855248422952</c:v>
                </c:pt>
                <c:pt idx="37">
                  <c:v>-6.5153767176187296</c:v>
                </c:pt>
                <c:pt idx="38">
                  <c:v>-6.6914679324882416</c:v>
                </c:pt>
                <c:pt idx="39">
                  <c:v>-6.8675591620864731</c:v>
                </c:pt>
                <c:pt idx="40">
                  <c:v>-7.0436504015038537</c:v>
                </c:pt>
                <c:pt idx="41">
                  <c:v>-7.2197416474673339</c:v>
                </c:pt>
                <c:pt idx="42">
                  <c:v>-7.3958328977948806</c:v>
                </c:pt>
                <c:pt idx="43">
                  <c:v>-7.5719241510318058</c:v>
                </c:pt>
                <c:pt idx="44">
                  <c:v>-7.7480154062083164</c:v>
                </c:pt>
                <c:pt idx="45">
                  <c:v>-7.9241066626778842</c:v>
                </c:pt>
                <c:pt idx="46">
                  <c:v>-8.1001979200094887</c:v>
                </c:pt>
                <c:pt idx="47">
                  <c:v>-8.2762891779157854</c:v>
                </c:pt>
              </c:numCache>
            </c:numRef>
          </c:xVal>
          <c:yVal>
            <c:numRef>
              <c:f>'ternary PG titration'!$J$2:$J$49</c:f>
              <c:numCache>
                <c:formatCode>0.00E+00</c:formatCode>
                <c:ptCount val="48"/>
                <c:pt idx="0">
                  <c:v>4.1300036507218303E-10</c:v>
                </c:pt>
                <c:pt idx="1">
                  <c:v>7.3420371826450325E-10</c:v>
                </c:pt>
                <c:pt idx="2">
                  <c:v>1.6518721839977453E-9</c:v>
                </c:pt>
                <c:pt idx="3">
                  <c:v>2.9365084627302382E-9</c:v>
                </c:pt>
                <c:pt idx="4">
                  <c:v>3.7164215847912988E-9</c:v>
                </c:pt>
                <c:pt idx="5">
                  <c:v>8.3609671962632305E-9</c:v>
                </c:pt>
                <c:pt idx="6">
                  <c:v>4.2308775425760412E-8</c:v>
                </c:pt>
                <c:pt idx="7">
                  <c:v>9.515706655406684E-8</c:v>
                </c:pt>
                <c:pt idx="8">
                  <c:v>2.1397635325252738E-7</c:v>
                </c:pt>
                <c:pt idx="9">
                  <c:v>4.8101860557254967E-7</c:v>
                </c:pt>
                <c:pt idx="10">
                  <c:v>1.0808497164075988E-6</c:v>
                </c:pt>
                <c:pt idx="11">
                  <c:v>2.4270597094440713E-6</c:v>
                </c:pt>
                <c:pt idx="12">
                  <c:v>5.4445842819704181E-6</c:v>
                </c:pt>
                <c:pt idx="13">
                  <c:v>1.2195683059544318E-5</c:v>
                </c:pt>
                <c:pt idx="14">
                  <c:v>2.7257809740535007E-5</c:v>
                </c:pt>
                <c:pt idx="15">
                  <c:v>6.072366621859984E-5</c:v>
                </c:pt>
                <c:pt idx="16">
                  <c:v>1.3462812414399901E-4</c:v>
                </c:pt>
                <c:pt idx="17">
                  <c:v>2.9638833240316941E-4</c:v>
                </c:pt>
                <c:pt idx="18">
                  <c:v>6.459235657300216E-4</c:v>
                </c:pt>
                <c:pt idx="19">
                  <c:v>1.3875678426761974E-3</c:v>
                </c:pt>
                <c:pt idx="20">
                  <c:v>2.922015271429477E-3</c:v>
                </c:pt>
                <c:pt idx="21">
                  <c:v>5.9914748842538204E-3</c:v>
                </c:pt>
                <c:pt idx="22">
                  <c:v>1.1871900122013493E-2</c:v>
                </c:pt>
                <c:pt idx="23">
                  <c:v>2.256119841626909E-2</c:v>
                </c:pt>
                <c:pt idx="24">
                  <c:v>4.0856072032436408E-2</c:v>
                </c:pt>
                <c:pt idx="25">
                  <c:v>7.0185674778887E-2</c:v>
                </c:pt>
                <c:pt idx="26">
                  <c:v>0.11410299311852838</c:v>
                </c:pt>
                <c:pt idx="27">
                  <c:v>0.17539644434990809</c:v>
                </c:pt>
                <c:pt idx="28">
                  <c:v>0.25488770869209404</c:v>
                </c:pt>
                <c:pt idx="29">
                  <c:v>0.35024938558637853</c:v>
                </c:pt>
                <c:pt idx="30">
                  <c:v>0.45556637635454167</c:v>
                </c:pt>
                <c:pt idx="31">
                  <c:v>0.56236847249138278</c:v>
                </c:pt>
                <c:pt idx="32">
                  <c:v>0.66200405747155899</c:v>
                </c:pt>
                <c:pt idx="33">
                  <c:v>0.74810077461517976</c:v>
                </c:pt>
                <c:pt idx="34">
                  <c:v>0.81775977741873473</c:v>
                </c:pt>
                <c:pt idx="35">
                  <c:v>0.87119696059321372</c:v>
                </c:pt>
                <c:pt idx="36">
                  <c:v>0.91054539602435491</c:v>
                </c:pt>
                <c:pt idx="37">
                  <c:v>0.93865643872588755</c:v>
                </c:pt>
                <c:pt idx="38">
                  <c:v>0.95830886285150685</c:v>
                </c:pt>
                <c:pt idx="39">
                  <c:v>0.97184083809809574</c:v>
                </c:pt>
                <c:pt idx="40">
                  <c:v>0.98106140805529618</c:v>
                </c:pt>
                <c:pt idx="41">
                  <c:v>0.98729948996050565</c:v>
                </c:pt>
                <c:pt idx="42">
                  <c:v>0.99149942918359246</c:v>
                </c:pt>
                <c:pt idx="43">
                  <c:v>0.99431793710596938</c:v>
                </c:pt>
                <c:pt idx="44">
                  <c:v>0.99620525506588764</c:v>
                </c:pt>
                <c:pt idx="45">
                  <c:v>0.99746718218058039</c:v>
                </c:pt>
                <c:pt idx="46">
                  <c:v>0.99831012424551213</c:v>
                </c:pt>
                <c:pt idx="47">
                  <c:v>0.99887282403891964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0E6-D44D-9CD0-652A3A47FFB0}"/>
            </c:ext>
          </c:extLst>
        </c:ser>
        <c:ser>
          <c:idx val="4"/>
          <c:order val="4"/>
          <c:tx>
            <c:strRef>
              <c:f>'ternary PG titration'!$M$1</c:f>
              <c:strCache>
                <c:ptCount val="1"/>
                <c:pt idx="0">
                  <c:v>fPE WT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'ternary PG titration'!$D$2:$D$49</c:f>
              <c:numCache>
                <c:formatCode>0.00E+00</c:formatCode>
                <c:ptCount val="48"/>
                <c:pt idx="0">
                  <c:v>-0.32735893438633035</c:v>
                </c:pt>
                <c:pt idx="1">
                  <c:v>-0.3979400086720376</c:v>
                </c:pt>
                <c:pt idx="2">
                  <c:v>-0.51188336097887432</c:v>
                </c:pt>
                <c:pt idx="3">
                  <c:v>-0.6020599913279624</c:v>
                </c:pt>
                <c:pt idx="4">
                  <c:v>-0.64097805735833202</c:v>
                </c:pt>
                <c:pt idx="5">
                  <c:v>-0.78265175161032008</c:v>
                </c:pt>
                <c:pt idx="6">
                  <c:v>-1.0930932133337166</c:v>
                </c:pt>
                <c:pt idx="7">
                  <c:v>-1.2573410257061035</c:v>
                </c:pt>
                <c:pt idx="8">
                  <c:v>-1.4253533286866067</c:v>
                </c:pt>
                <c:pt idx="9">
                  <c:v>-1.5959738965301762</c:v>
                </c:pt>
                <c:pt idx="10">
                  <c:v>-1.7683793641857297</c:v>
                </c:pt>
                <c:pt idx="11">
                  <c:v>-1.941995935261688</c:v>
                </c:pt>
                <c:pt idx="12">
                  <c:v>-2.116429533438609</c:v>
                </c:pt>
                <c:pt idx="13">
                  <c:v>-2.2914121596990307</c:v>
                </c:pt>
                <c:pt idx="14">
                  <c:v>-2.4667627548571525</c:v>
                </c:pt>
                <c:pt idx="15">
                  <c:v>-2.6423595352939424</c:v>
                </c:pt>
                <c:pt idx="16">
                  <c:v>-2.8181208288803297</c:v>
                </c:pt>
                <c:pt idx="17">
                  <c:v>-2.9939919715968806</c:v>
                </c:pt>
                <c:pt idx="18">
                  <c:v>-3.1699364244225778</c:v>
                </c:pt>
                <c:pt idx="19">
                  <c:v>-3.3459297850813119</c:v>
                </c:pt>
                <c:pt idx="20">
                  <c:v>-3.5219557662767689</c:v>
                </c:pt>
                <c:pt idx="21">
                  <c:v>-3.6980035013073449</c:v>
                </c:pt>
                <c:pt idx="22">
                  <c:v>-3.8740657419228333</c:v>
                </c:pt>
                <c:pt idx="23">
                  <c:v>-4.0501376542744758</c:v>
                </c:pt>
                <c:pt idx="24">
                  <c:v>-4.226216015048645</c:v>
                </c:pt>
                <c:pt idx="25">
                  <c:v>-4.4022986750371622</c:v>
                </c:pt>
                <c:pt idx="26">
                  <c:v>-4.5783842012868092</c:v>
                </c:pt>
                <c:pt idx="27">
                  <c:v>-4.7544716384297594</c:v>
                </c:pt>
                <c:pt idx="28">
                  <c:v>-4.9305603495249342</c:v>
                </c:pt>
                <c:pt idx="29">
                  <c:v>-5.1066499099319724</c:v>
                </c:pt>
                <c:pt idx="30">
                  <c:v>-5.2827400365515347</c:v>
                </c:pt>
                <c:pt idx="31">
                  <c:v>-5.4588305406481625</c:v>
                </c:pt>
                <c:pt idx="32">
                  <c:v>-5.6349212963970787</c:v>
                </c:pt>
                <c:pt idx="33">
                  <c:v>-5.811012219914593</c:v>
                </c:pt>
                <c:pt idx="34">
                  <c:v>-5.9871032552780186</c:v>
                </c:pt>
                <c:pt idx="35">
                  <c:v>-6.1631943652054657</c:v>
                </c:pt>
                <c:pt idx="36">
                  <c:v>-6.3392855248422952</c:v>
                </c:pt>
                <c:pt idx="37">
                  <c:v>-6.5153767176187296</c:v>
                </c:pt>
                <c:pt idx="38">
                  <c:v>-6.6914679324882416</c:v>
                </c:pt>
                <c:pt idx="39">
                  <c:v>-6.8675591620864731</c:v>
                </c:pt>
                <c:pt idx="40">
                  <c:v>-7.0436504015038537</c:v>
                </c:pt>
                <c:pt idx="41">
                  <c:v>-7.2197416474673339</c:v>
                </c:pt>
                <c:pt idx="42">
                  <c:v>-7.3958328977948806</c:v>
                </c:pt>
                <c:pt idx="43">
                  <c:v>-7.5719241510318058</c:v>
                </c:pt>
                <c:pt idx="44">
                  <c:v>-7.7480154062083164</c:v>
                </c:pt>
                <c:pt idx="45">
                  <c:v>-7.9241066626778842</c:v>
                </c:pt>
                <c:pt idx="46">
                  <c:v>-8.1001979200094887</c:v>
                </c:pt>
                <c:pt idx="47">
                  <c:v>-8.2762891779157854</c:v>
                </c:pt>
              </c:numCache>
            </c:numRef>
          </c:xVal>
          <c:yVal>
            <c:numRef>
              <c:f>'ternary PG titration'!$M$2:$M$49</c:f>
              <c:numCache>
                <c:formatCode>0.00E+00</c:formatCode>
                <c:ptCount val="48"/>
                <c:pt idx="0">
                  <c:v>1.2485055107609777E-2</c:v>
                </c:pt>
                <c:pt idx="1">
                  <c:v>1.6577748740916998E-2</c:v>
                </c:pt>
                <c:pt idx="2">
                  <c:v>2.4662201123486716E-2</c:v>
                </c:pt>
                <c:pt idx="3">
                  <c:v>3.2614816971348159E-2</c:v>
                </c:pt>
                <c:pt idx="4">
                  <c:v>3.6542689874281886E-2</c:v>
                </c:pt>
                <c:pt idx="5">
                  <c:v>5.3830479049668978E-2</c:v>
                </c:pt>
                <c:pt idx="6">
                  <c:v>0.11348254862364271</c:v>
                </c:pt>
                <c:pt idx="7">
                  <c:v>0.16108372157783379</c:v>
                </c:pt>
                <c:pt idx="8">
                  <c:v>0.22361518649833578</c:v>
                </c:pt>
                <c:pt idx="9">
                  <c:v>0.30169136661430696</c:v>
                </c:pt>
                <c:pt idx="10">
                  <c:v>0.39322126150014314</c:v>
                </c:pt>
                <c:pt idx="11">
                  <c:v>0.49291871275125843</c:v>
                </c:pt>
                <c:pt idx="12">
                  <c:v>0.5931824631224728</c:v>
                </c:pt>
                <c:pt idx="13">
                  <c:v>0.6862403697023185</c:v>
                </c:pt>
                <c:pt idx="14">
                  <c:v>0.76639436975718733</c:v>
                </c:pt>
                <c:pt idx="15">
                  <c:v>0.83111083275287667</c:v>
                </c:pt>
                <c:pt idx="16">
                  <c:v>0.88068889766480163</c:v>
                </c:pt>
                <c:pt idx="17">
                  <c:v>0.9171622939141264</c:v>
                </c:pt>
                <c:pt idx="18">
                  <c:v>0.94320261698831886</c:v>
                </c:pt>
                <c:pt idx="19">
                  <c:v>0.96139815185446642</c:v>
                </c:pt>
                <c:pt idx="20">
                  <c:v>0.97392049106321277</c:v>
                </c:pt>
                <c:pt idx="21">
                  <c:v>0.98244677885132592</c:v>
                </c:pt>
                <c:pt idx="22">
                  <c:v>0.98820718118775375</c:v>
                </c:pt>
                <c:pt idx="23">
                  <c:v>0.99207421791245842</c:v>
                </c:pt>
                <c:pt idx="24">
                  <c:v>0.99465265496083011</c:v>
                </c:pt>
                <c:pt idx="25">
                  <c:v>0.99635431946141528</c:v>
                </c:pt>
                <c:pt idx="26">
                  <c:v>0.99745478955833422</c:v>
                </c:pt>
                <c:pt idx="27">
                  <c:v>0.99813389378252593</c:v>
                </c:pt>
                <c:pt idx="28">
                  <c:v>0.99850323845681099</c:v>
                </c:pt>
                <c:pt idx="29">
                  <c:v>0.99862372630420237</c:v>
                </c:pt>
                <c:pt idx="30">
                  <c:v>0.99851525607183222</c:v>
                </c:pt>
                <c:pt idx="31">
                  <c:v>0.99815991305412044</c:v>
                </c:pt>
                <c:pt idx="32">
                  <c:v>0.99749909621461663</c:v>
                </c:pt>
                <c:pt idx="33">
                  <c:v>0.99642418025365631</c:v>
                </c:pt>
                <c:pt idx="34">
                  <c:v>0.99475944820191753</c:v>
                </c:pt>
                <c:pt idx="35">
                  <c:v>0.99223514955812331</c:v>
                </c:pt>
                <c:pt idx="36">
                  <c:v>0.98844775351226355</c:v>
                </c:pt>
                <c:pt idx="37">
                  <c:v>0.98280416667755655</c:v>
                </c:pt>
                <c:pt idx="38">
                  <c:v>0.97444784819857999</c:v>
                </c:pt>
                <c:pt idx="39">
                  <c:v>0.96216946755442789</c:v>
                </c:pt>
                <c:pt idx="40">
                  <c:v>0.94431681883017438</c:v>
                </c:pt>
                <c:pt idx="41">
                  <c:v>0.91874356074278229</c:v>
                </c:pt>
                <c:pt idx="42">
                  <c:v>0.88287763319837953</c:v>
                </c:pt>
                <c:pt idx="43">
                  <c:v>0.83403776412822039</c:v>
                </c:pt>
                <c:pt idx="44">
                  <c:v>0.77013271883416279</c:v>
                </c:pt>
                <c:pt idx="45">
                  <c:v>0.69074384490605079</c:v>
                </c:pt>
                <c:pt idx="46">
                  <c:v>0.59823965941859591</c:v>
                </c:pt>
                <c:pt idx="47">
                  <c:v>0.49816786085618803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0E6-D44D-9CD0-652A3A47FFB0}"/>
            </c:ext>
          </c:extLst>
        </c:ser>
        <c:ser>
          <c:idx val="5"/>
          <c:order val="5"/>
          <c:tx>
            <c:strRef>
              <c:f>'ternary PG titration'!$N$1</c:f>
              <c:strCache>
                <c:ptCount val="1"/>
                <c:pt idx="0">
                  <c:v>fPE ELIC5</c:v>
                </c:pt>
              </c:strCache>
            </c:strRef>
          </c:tx>
          <c:spPr>
            <a:ln w="1905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'ternary PG titration'!$D$2:$D$49</c:f>
              <c:numCache>
                <c:formatCode>0.00E+00</c:formatCode>
                <c:ptCount val="48"/>
                <c:pt idx="0">
                  <c:v>-0.32735893438633035</c:v>
                </c:pt>
                <c:pt idx="1">
                  <c:v>-0.3979400086720376</c:v>
                </c:pt>
                <c:pt idx="2">
                  <c:v>-0.51188336097887432</c:v>
                </c:pt>
                <c:pt idx="3">
                  <c:v>-0.6020599913279624</c:v>
                </c:pt>
                <c:pt idx="4">
                  <c:v>-0.64097805735833202</c:v>
                </c:pt>
                <c:pt idx="5">
                  <c:v>-0.78265175161032008</c:v>
                </c:pt>
                <c:pt idx="6">
                  <c:v>-1.0930932133337166</c:v>
                </c:pt>
                <c:pt idx="7">
                  <c:v>-1.2573410257061035</c:v>
                </c:pt>
                <c:pt idx="8">
                  <c:v>-1.4253533286866067</c:v>
                </c:pt>
                <c:pt idx="9">
                  <c:v>-1.5959738965301762</c:v>
                </c:pt>
                <c:pt idx="10">
                  <c:v>-1.7683793641857297</c:v>
                </c:pt>
                <c:pt idx="11">
                  <c:v>-1.941995935261688</c:v>
                </c:pt>
                <c:pt idx="12">
                  <c:v>-2.116429533438609</c:v>
                </c:pt>
                <c:pt idx="13">
                  <c:v>-2.2914121596990307</c:v>
                </c:pt>
                <c:pt idx="14">
                  <c:v>-2.4667627548571525</c:v>
                </c:pt>
                <c:pt idx="15">
                  <c:v>-2.6423595352939424</c:v>
                </c:pt>
                <c:pt idx="16">
                  <c:v>-2.8181208288803297</c:v>
                </c:pt>
                <c:pt idx="17">
                  <c:v>-2.9939919715968806</c:v>
                </c:pt>
                <c:pt idx="18">
                  <c:v>-3.1699364244225778</c:v>
                </c:pt>
                <c:pt idx="19">
                  <c:v>-3.3459297850813119</c:v>
                </c:pt>
                <c:pt idx="20">
                  <c:v>-3.5219557662767689</c:v>
                </c:pt>
                <c:pt idx="21">
                  <c:v>-3.6980035013073449</c:v>
                </c:pt>
                <c:pt idx="22">
                  <c:v>-3.8740657419228333</c:v>
                </c:pt>
                <c:pt idx="23">
                  <c:v>-4.0501376542744758</c:v>
                </c:pt>
                <c:pt idx="24">
                  <c:v>-4.226216015048645</c:v>
                </c:pt>
                <c:pt idx="25">
                  <c:v>-4.4022986750371622</c:v>
                </c:pt>
                <c:pt idx="26">
                  <c:v>-4.5783842012868092</c:v>
                </c:pt>
                <c:pt idx="27">
                  <c:v>-4.7544716384297594</c:v>
                </c:pt>
                <c:pt idx="28">
                  <c:v>-4.9305603495249342</c:v>
                </c:pt>
                <c:pt idx="29">
                  <c:v>-5.1066499099319724</c:v>
                </c:pt>
                <c:pt idx="30">
                  <c:v>-5.2827400365515347</c:v>
                </c:pt>
                <c:pt idx="31">
                  <c:v>-5.4588305406481625</c:v>
                </c:pt>
                <c:pt idx="32">
                  <c:v>-5.6349212963970787</c:v>
                </c:pt>
                <c:pt idx="33">
                  <c:v>-5.811012219914593</c:v>
                </c:pt>
                <c:pt idx="34">
                  <c:v>-5.9871032552780186</c:v>
                </c:pt>
                <c:pt idx="35">
                  <c:v>-6.1631943652054657</c:v>
                </c:pt>
                <c:pt idx="36">
                  <c:v>-6.3392855248422952</c:v>
                </c:pt>
                <c:pt idx="37">
                  <c:v>-6.5153767176187296</c:v>
                </c:pt>
                <c:pt idx="38">
                  <c:v>-6.6914679324882416</c:v>
                </c:pt>
                <c:pt idx="39">
                  <c:v>-6.8675591620864731</c:v>
                </c:pt>
                <c:pt idx="40">
                  <c:v>-7.0436504015038537</c:v>
                </c:pt>
                <c:pt idx="41">
                  <c:v>-7.2197416474673339</c:v>
                </c:pt>
                <c:pt idx="42">
                  <c:v>-7.3958328977948806</c:v>
                </c:pt>
                <c:pt idx="43">
                  <c:v>-7.5719241510318058</c:v>
                </c:pt>
                <c:pt idx="44">
                  <c:v>-7.7480154062083164</c:v>
                </c:pt>
                <c:pt idx="45">
                  <c:v>-7.9241066626778842</c:v>
                </c:pt>
                <c:pt idx="46">
                  <c:v>-8.1001979200094887</c:v>
                </c:pt>
                <c:pt idx="47">
                  <c:v>-8.2762891779157854</c:v>
                </c:pt>
              </c:numCache>
            </c:numRef>
          </c:xVal>
          <c:yVal>
            <c:numRef>
              <c:f>'ternary PG titration'!$N$2:$N$49</c:f>
              <c:numCache>
                <c:formatCode>0.00E+00</c:formatCode>
                <c:ptCount val="48"/>
                <c:pt idx="0">
                  <c:v>8.3535300180237471E-5</c:v>
                </c:pt>
                <c:pt idx="1">
                  <c:v>1.1137711536091111E-4</c:v>
                </c:pt>
                <c:pt idx="2">
                  <c:v>1.6705581922360491E-4</c:v>
                </c:pt>
                <c:pt idx="3">
                  <c:v>2.2272795533284651E-4</c:v>
                </c:pt>
                <c:pt idx="4">
                  <c:v>2.5056156082148284E-4</c:v>
                </c:pt>
                <c:pt idx="5">
                  <c:v>3.757924735772189E-4</c:v>
                </c:pt>
                <c:pt idx="6">
                  <c:v>8.4511255657004902E-4</c:v>
                </c:pt>
                <c:pt idx="7">
                  <c:v>1.2671016521771383E-3</c:v>
                </c:pt>
                <c:pt idx="8">
                  <c:v>1.8993776592824974E-3</c:v>
                </c:pt>
                <c:pt idx="9">
                  <c:v>2.8462026665893037E-3</c:v>
                </c:pt>
                <c:pt idx="10">
                  <c:v>4.2628756104311494E-3</c:v>
                </c:pt>
                <c:pt idx="11">
                  <c:v>6.3799006467845087E-3</c:v>
                </c:pt>
                <c:pt idx="12">
                  <c:v>9.5375935770281028E-3</c:v>
                </c:pt>
                <c:pt idx="13">
                  <c:v>1.4234383733385925E-2</c:v>
                </c:pt>
                <c:pt idx="14">
                  <c:v>2.1191464210738031E-2</c:v>
                </c:pt>
                <c:pt idx="15">
                  <c:v>3.1433228654687229E-2</c:v>
                </c:pt>
                <c:pt idx="16">
                  <c:v>4.6373931182555173E-2</c:v>
                </c:pt>
                <c:pt idx="17">
                  <c:v>6.7881033787622114E-2</c:v>
                </c:pt>
                <c:pt idx="18">
                  <c:v>9.824900883828791E-2</c:v>
                </c:pt>
                <c:pt idx="19">
                  <c:v>0.13996529009778236</c:v>
                </c:pt>
                <c:pt idx="20">
                  <c:v>0.19511100495169831</c:v>
                </c:pt>
                <c:pt idx="21">
                  <c:v>0.26429521107694032</c:v>
                </c:pt>
                <c:pt idx="22">
                  <c:v>0.34529006664531592</c:v>
                </c:pt>
                <c:pt idx="23">
                  <c:v>0.43200489225057226</c:v>
                </c:pt>
                <c:pt idx="24">
                  <c:v>0.51472003454941695</c:v>
                </c:pt>
                <c:pt idx="25">
                  <c:v>0.58200711863975663</c:v>
                </c:pt>
                <c:pt idx="26">
                  <c:v>0.62361802969366531</c:v>
                </c:pt>
                <c:pt idx="27">
                  <c:v>0.63299968147711816</c:v>
                </c:pt>
                <c:pt idx="28">
                  <c:v>0.60866154462661315</c:v>
                </c:pt>
                <c:pt idx="29">
                  <c:v>0.55444878119168317</c:v>
                </c:pt>
                <c:pt idx="30">
                  <c:v>0.47881452813189673</c:v>
                </c:pt>
                <c:pt idx="31">
                  <c:v>0.39290720735424656</c:v>
                </c:pt>
                <c:pt idx="32">
                  <c:v>0.30772849881117215</c:v>
                </c:pt>
                <c:pt idx="33">
                  <c:v>0.23151527286139484</c:v>
                </c:pt>
                <c:pt idx="34">
                  <c:v>0.16855795466578105</c:v>
                </c:pt>
                <c:pt idx="35">
                  <c:v>0.11963973587181131</c:v>
                </c:pt>
                <c:pt idx="36">
                  <c:v>8.3327018644218986E-2</c:v>
                </c:pt>
                <c:pt idx="37">
                  <c:v>5.7250143464185888E-2</c:v>
                </c:pt>
                <c:pt idx="38">
                  <c:v>3.8958463283252587E-2</c:v>
                </c:pt>
                <c:pt idx="39">
                  <c:v>2.6335718366245597E-2</c:v>
                </c:pt>
                <c:pt idx="40">
                  <c:v>1.7722223594596409E-2</c:v>
                </c:pt>
                <c:pt idx="41">
                  <c:v>1.1889268883400583E-2</c:v>
                </c:pt>
                <c:pt idx="42">
                  <c:v>7.959597092295212E-3</c:v>
                </c:pt>
                <c:pt idx="43">
                  <c:v>5.3213486989885928E-3</c:v>
                </c:pt>
                <c:pt idx="44">
                  <c:v>3.5542398862227209E-3</c:v>
                </c:pt>
                <c:pt idx="45">
                  <c:v>2.3724682658675667E-3</c:v>
                </c:pt>
                <c:pt idx="46">
                  <c:v>1.582970338041223E-3</c:v>
                </c:pt>
                <c:pt idx="47">
                  <c:v>1.055903143632464E-3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0E6-D44D-9CD0-652A3A47F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969183"/>
        <c:axId val="1502486175"/>
      </c:scatterChart>
      <c:valAx>
        <c:axId val="1550969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xPG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486175"/>
        <c:crosses val="autoZero"/>
        <c:crossBetween val="midCat"/>
      </c:valAx>
      <c:valAx>
        <c:axId val="1502486175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Fractional Occupancy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9183"/>
        <c:crossesAt val="-9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'binary PG titration'!$E$1</c:f>
              <c:strCache>
                <c:ptCount val="1"/>
                <c:pt idx="0">
                  <c:v>WT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'binary PG titration'!$A$2:$A$48</c:f>
              <c:numCache>
                <c:formatCode>0.00E+00</c:formatCode>
                <c:ptCount val="47"/>
                <c:pt idx="0">
                  <c:v>-0.32735893438633035</c:v>
                </c:pt>
                <c:pt idx="1">
                  <c:v>-0.3979400086720376</c:v>
                </c:pt>
                <c:pt idx="2">
                  <c:v>-0.51188336097887432</c:v>
                </c:pt>
                <c:pt idx="3">
                  <c:v>-0.64097805735833202</c:v>
                </c:pt>
                <c:pt idx="4">
                  <c:v>-0.78265175161032008</c:v>
                </c:pt>
                <c:pt idx="5">
                  <c:v>-0.9341827155103567</c:v>
                </c:pt>
                <c:pt idx="6">
                  <c:v>-1.0930932133337166</c:v>
                </c:pt>
                <c:pt idx="7">
                  <c:v>-1.2573410257061035</c:v>
                </c:pt>
                <c:pt idx="8">
                  <c:v>-1.4253533286866067</c:v>
                </c:pt>
                <c:pt idx="9">
                  <c:v>-1.5959738965301762</c:v>
                </c:pt>
                <c:pt idx="10">
                  <c:v>-1.7683793641857297</c:v>
                </c:pt>
                <c:pt idx="11">
                  <c:v>-1.941995935261688</c:v>
                </c:pt>
                <c:pt idx="12">
                  <c:v>-2.116429533438609</c:v>
                </c:pt>
                <c:pt idx="13">
                  <c:v>-2.2914121596990307</c:v>
                </c:pt>
                <c:pt idx="14">
                  <c:v>-2.4667627548571525</c:v>
                </c:pt>
                <c:pt idx="15">
                  <c:v>-2.6423595352939424</c:v>
                </c:pt>
                <c:pt idx="16">
                  <c:v>-2.8181208288803297</c:v>
                </c:pt>
                <c:pt idx="17">
                  <c:v>-2.9939919715968806</c:v>
                </c:pt>
                <c:pt idx="18">
                  <c:v>-3.1699364244225778</c:v>
                </c:pt>
                <c:pt idx="19">
                  <c:v>-3.3459297850813119</c:v>
                </c:pt>
                <c:pt idx="20">
                  <c:v>-3.5219557662767689</c:v>
                </c:pt>
                <c:pt idx="21">
                  <c:v>-3.6980035013073449</c:v>
                </c:pt>
                <c:pt idx="22">
                  <c:v>-3.8740657419228333</c:v>
                </c:pt>
                <c:pt idx="23">
                  <c:v>-4.0501376542744758</c:v>
                </c:pt>
                <c:pt idx="24">
                  <c:v>-4.226216015048645</c:v>
                </c:pt>
                <c:pt idx="25">
                  <c:v>-4.4022986750371622</c:v>
                </c:pt>
                <c:pt idx="26">
                  <c:v>-4.5783842012868092</c:v>
                </c:pt>
                <c:pt idx="27">
                  <c:v>-4.7544716384297594</c:v>
                </c:pt>
                <c:pt idx="28">
                  <c:v>-4.9305603495249342</c:v>
                </c:pt>
                <c:pt idx="29">
                  <c:v>-5.1066499099319724</c:v>
                </c:pt>
                <c:pt idx="30">
                  <c:v>-5.2827400365515347</c:v>
                </c:pt>
                <c:pt idx="31">
                  <c:v>-5.4588305406481625</c:v>
                </c:pt>
                <c:pt idx="32">
                  <c:v>-5.6349212963970787</c:v>
                </c:pt>
                <c:pt idx="33">
                  <c:v>-5.811012219914593</c:v>
                </c:pt>
                <c:pt idx="34">
                  <c:v>-5.9871032552780186</c:v>
                </c:pt>
                <c:pt idx="35">
                  <c:v>-6.1631943652054657</c:v>
                </c:pt>
                <c:pt idx="36">
                  <c:v>-6.3392855248422952</c:v>
                </c:pt>
                <c:pt idx="37">
                  <c:v>-6.5153767176187296</c:v>
                </c:pt>
                <c:pt idx="38">
                  <c:v>-6.6914679324882416</c:v>
                </c:pt>
                <c:pt idx="39">
                  <c:v>-6.8675591620864731</c:v>
                </c:pt>
                <c:pt idx="40">
                  <c:v>-7.0436504015038537</c:v>
                </c:pt>
                <c:pt idx="41">
                  <c:v>-7.2197416474673339</c:v>
                </c:pt>
                <c:pt idx="42">
                  <c:v>-7.3958328977948806</c:v>
                </c:pt>
                <c:pt idx="43">
                  <c:v>-7.5719241510318058</c:v>
                </c:pt>
                <c:pt idx="44">
                  <c:v>-7.7480154062083164</c:v>
                </c:pt>
                <c:pt idx="45">
                  <c:v>-7.9241066626778842</c:v>
                </c:pt>
                <c:pt idx="46">
                  <c:v>-8.1001979200094887</c:v>
                </c:pt>
              </c:numCache>
            </c:numRef>
          </c:xVal>
          <c:yVal>
            <c:numRef>
              <c:f>'binary PG titration'!$E$2:$E$48</c:f>
              <c:numCache>
                <c:formatCode>0.0E+00</c:formatCode>
                <c:ptCount val="47"/>
                <c:pt idx="0">
                  <c:v>0.99999854650630049</c:v>
                </c:pt>
                <c:pt idx="1">
                  <c:v>0.99999806200933972</c:v>
                </c:pt>
                <c:pt idx="2">
                  <c:v>0.99999709301682649</c:v>
                </c:pt>
                <c:pt idx="3">
                  <c:v>0.99999563953157755</c:v>
                </c:pt>
                <c:pt idx="4">
                  <c:v>0.99999345931162664</c:v>
                </c:pt>
                <c:pt idx="5">
                  <c:v>0.99999018899952541</c:v>
                </c:pt>
                <c:pt idx="6">
                  <c:v>0.99998528357147942</c:v>
                </c:pt>
                <c:pt idx="7">
                  <c:v>0.99997792551964804</c:v>
                </c:pt>
                <c:pt idx="8">
                  <c:v>0.99996688864493</c:v>
                </c:pt>
                <c:pt idx="9">
                  <c:v>0.9999503337896527</c:v>
                </c:pt>
                <c:pt idx="10">
                  <c:v>0.99992550253448254</c:v>
                </c:pt>
                <c:pt idx="11">
                  <c:v>0.99988825796397296</c:v>
                </c:pt>
                <c:pt idx="12">
                  <c:v>0.99983239631014831</c:v>
                </c:pt>
                <c:pt idx="13">
                  <c:v>0.99974861553170469</c:v>
                </c:pt>
                <c:pt idx="14">
                  <c:v>0.99962297068721373</c:v>
                </c:pt>
                <c:pt idx="15">
                  <c:v>0.99943456262405317</c:v>
                </c:pt>
                <c:pt idx="16">
                  <c:v>0.99915208365787567</c:v>
                </c:pt>
                <c:pt idx="17">
                  <c:v>0.99872866447989539</c:v>
                </c:pt>
                <c:pt idx="18">
                  <c:v>0.99809420817026662</c:v>
                </c:pt>
                <c:pt idx="19">
                  <c:v>0.99714403369402604</c:v>
                </c:pt>
                <c:pt idx="20">
                  <c:v>0.99572215922559593</c:v>
                </c:pt>
                <c:pt idx="21">
                  <c:v>0.99359693448576292</c:v>
                </c:pt>
                <c:pt idx="22">
                  <c:v>0.99042605303347275</c:v>
                </c:pt>
                <c:pt idx="23">
                  <c:v>0.98570749738125452</c:v>
                </c:pt>
                <c:pt idx="24">
                  <c:v>0.97871336571004841</c:v>
                </c:pt>
                <c:pt idx="25">
                  <c:v>0.96840631022512647</c:v>
                </c:pt>
                <c:pt idx="26">
                  <c:v>0.95334644432021087</c:v>
                </c:pt>
                <c:pt idx="27">
                  <c:v>0.93161487118767383</c:v>
                </c:pt>
                <c:pt idx="28">
                  <c:v>0.90081373938576936</c:v>
                </c:pt>
                <c:pt idx="29">
                  <c:v>0.85825041473183772</c:v>
                </c:pt>
                <c:pt idx="30">
                  <c:v>0.80144795697427773</c:v>
                </c:pt>
                <c:pt idx="31">
                  <c:v>0.72906889742878012</c:v>
                </c:pt>
                <c:pt idx="32">
                  <c:v>0.64208808149512364</c:v>
                </c:pt>
                <c:pt idx="33">
                  <c:v>0.54462431480669027</c:v>
                </c:pt>
                <c:pt idx="34">
                  <c:v>0.44361790995239259</c:v>
                </c:pt>
                <c:pt idx="35">
                  <c:v>0.34706698320213253</c:v>
                </c:pt>
                <c:pt idx="36">
                  <c:v>0.26164775439452936</c:v>
                </c:pt>
                <c:pt idx="37">
                  <c:v>0.19109868338846731</c:v>
                </c:pt>
                <c:pt idx="38">
                  <c:v>0.13606649849770819</c:v>
                </c:pt>
                <c:pt idx="39">
                  <c:v>9.5020710799558775E-2</c:v>
                </c:pt>
                <c:pt idx="40">
                  <c:v>6.5419200166285468E-2</c:v>
                </c:pt>
                <c:pt idx="41">
                  <c:v>4.458503931463903E-2</c:v>
                </c:pt>
                <c:pt idx="42">
                  <c:v>3.0171762617253448E-2</c:v>
                </c:pt>
                <c:pt idx="43">
                  <c:v>2.0318860355266307E-2</c:v>
                </c:pt>
                <c:pt idx="44">
                  <c:v>1.363827832778707E-2</c:v>
                </c:pt>
                <c:pt idx="45">
                  <c:v>9.1337082368912262E-3</c:v>
                </c:pt>
                <c:pt idx="46">
                  <c:v>6.1077342454563107E-3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8F-B64F-9141-3DFFD92AC12E}"/>
            </c:ext>
          </c:extLst>
        </c:ser>
        <c:ser>
          <c:idx val="1"/>
          <c:order val="1"/>
          <c:tx>
            <c:strRef>
              <c:f>'binary PG titration'!$F$1</c:f>
              <c:strCache>
                <c:ptCount val="1"/>
                <c:pt idx="0">
                  <c:v>ELIC5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'binary PG titration'!$A$2:$A$48</c:f>
              <c:numCache>
                <c:formatCode>0.00E+00</c:formatCode>
                <c:ptCount val="47"/>
                <c:pt idx="0">
                  <c:v>-0.32735893438633035</c:v>
                </c:pt>
                <c:pt idx="1">
                  <c:v>-0.3979400086720376</c:v>
                </c:pt>
                <c:pt idx="2">
                  <c:v>-0.51188336097887432</c:v>
                </c:pt>
                <c:pt idx="3">
                  <c:v>-0.64097805735833202</c:v>
                </c:pt>
                <c:pt idx="4">
                  <c:v>-0.78265175161032008</c:v>
                </c:pt>
                <c:pt idx="5">
                  <c:v>-0.9341827155103567</c:v>
                </c:pt>
                <c:pt idx="6">
                  <c:v>-1.0930932133337166</c:v>
                </c:pt>
                <c:pt idx="7">
                  <c:v>-1.2573410257061035</c:v>
                </c:pt>
                <c:pt idx="8">
                  <c:v>-1.4253533286866067</c:v>
                </c:pt>
                <c:pt idx="9">
                  <c:v>-1.5959738965301762</c:v>
                </c:pt>
                <c:pt idx="10">
                  <c:v>-1.7683793641857297</c:v>
                </c:pt>
                <c:pt idx="11">
                  <c:v>-1.941995935261688</c:v>
                </c:pt>
                <c:pt idx="12">
                  <c:v>-2.116429533438609</c:v>
                </c:pt>
                <c:pt idx="13">
                  <c:v>-2.2914121596990307</c:v>
                </c:pt>
                <c:pt idx="14">
                  <c:v>-2.4667627548571525</c:v>
                </c:pt>
                <c:pt idx="15">
                  <c:v>-2.6423595352939424</c:v>
                </c:pt>
                <c:pt idx="16">
                  <c:v>-2.8181208288803297</c:v>
                </c:pt>
                <c:pt idx="17">
                  <c:v>-2.9939919715968806</c:v>
                </c:pt>
                <c:pt idx="18">
                  <c:v>-3.1699364244225778</c:v>
                </c:pt>
                <c:pt idx="19">
                  <c:v>-3.3459297850813119</c:v>
                </c:pt>
                <c:pt idx="20">
                  <c:v>-3.5219557662767689</c:v>
                </c:pt>
                <c:pt idx="21">
                  <c:v>-3.6980035013073449</c:v>
                </c:pt>
                <c:pt idx="22">
                  <c:v>-3.8740657419228333</c:v>
                </c:pt>
                <c:pt idx="23">
                  <c:v>-4.0501376542744758</c:v>
                </c:pt>
                <c:pt idx="24">
                  <c:v>-4.226216015048645</c:v>
                </c:pt>
                <c:pt idx="25">
                  <c:v>-4.4022986750371622</c:v>
                </c:pt>
                <c:pt idx="26">
                  <c:v>-4.5783842012868092</c:v>
                </c:pt>
                <c:pt idx="27">
                  <c:v>-4.7544716384297594</c:v>
                </c:pt>
                <c:pt idx="28">
                  <c:v>-4.9305603495249342</c:v>
                </c:pt>
                <c:pt idx="29">
                  <c:v>-5.1066499099319724</c:v>
                </c:pt>
                <c:pt idx="30">
                  <c:v>-5.2827400365515347</c:v>
                </c:pt>
                <c:pt idx="31">
                  <c:v>-5.4588305406481625</c:v>
                </c:pt>
                <c:pt idx="32">
                  <c:v>-5.6349212963970787</c:v>
                </c:pt>
                <c:pt idx="33">
                  <c:v>-5.811012219914593</c:v>
                </c:pt>
                <c:pt idx="34">
                  <c:v>-5.9871032552780186</c:v>
                </c:pt>
                <c:pt idx="35">
                  <c:v>-6.1631943652054657</c:v>
                </c:pt>
                <c:pt idx="36">
                  <c:v>-6.3392855248422952</c:v>
                </c:pt>
                <c:pt idx="37">
                  <c:v>-6.5153767176187296</c:v>
                </c:pt>
                <c:pt idx="38">
                  <c:v>-6.6914679324882416</c:v>
                </c:pt>
                <c:pt idx="39">
                  <c:v>-6.8675591620864731</c:v>
                </c:pt>
                <c:pt idx="40">
                  <c:v>-7.0436504015038537</c:v>
                </c:pt>
                <c:pt idx="41">
                  <c:v>-7.2197416474673339</c:v>
                </c:pt>
                <c:pt idx="42">
                  <c:v>-7.3958328977948806</c:v>
                </c:pt>
                <c:pt idx="43">
                  <c:v>-7.5719241510318058</c:v>
                </c:pt>
                <c:pt idx="44">
                  <c:v>-7.7480154062083164</c:v>
                </c:pt>
                <c:pt idx="45">
                  <c:v>-7.9241066626778842</c:v>
                </c:pt>
                <c:pt idx="46">
                  <c:v>-8.1001979200094887</c:v>
                </c:pt>
              </c:numCache>
            </c:numRef>
          </c:xVal>
          <c:yVal>
            <c:numRef>
              <c:f>'binary PG titration'!$F$2:$F$48</c:f>
              <c:numCache>
                <c:formatCode>0.0E+00</c:formatCode>
                <c:ptCount val="47"/>
                <c:pt idx="0">
                  <c:v>0.99872289043524498</c:v>
                </c:pt>
                <c:pt idx="1">
                  <c:v>0.9982979118313533</c:v>
                </c:pt>
                <c:pt idx="2">
                  <c:v>0.9974490387275301</c:v>
                </c:pt>
                <c:pt idx="3">
                  <c:v>0.99617843242673509</c:v>
                </c:pt>
                <c:pt idx="4">
                  <c:v>0.99427858103469813</c:v>
                </c:pt>
                <c:pt idx="5">
                  <c:v>0.99144235249541246</c:v>
                </c:pt>
                <c:pt idx="6">
                  <c:v>0.98721821972814272</c:v>
                </c:pt>
                <c:pt idx="7">
                  <c:v>0.98094908191667318</c:v>
                </c:pt>
                <c:pt idx="8">
                  <c:v>0.97169325759043501</c:v>
                </c:pt>
                <c:pt idx="9">
                  <c:v>0.95813245331531438</c:v>
                </c:pt>
                <c:pt idx="10">
                  <c:v>0.93848639190235728</c:v>
                </c:pt>
                <c:pt idx="11">
                  <c:v>0.91048284931612866</c:v>
                </c:pt>
                <c:pt idx="12">
                  <c:v>0.87147678976278264</c:v>
                </c:pt>
                <c:pt idx="13">
                  <c:v>0.81885580159180837</c:v>
                </c:pt>
                <c:pt idx="14">
                  <c:v>0.75084976242232215</c:v>
                </c:pt>
                <c:pt idx="15">
                  <c:v>0.66767417300765364</c:v>
                </c:pt>
                <c:pt idx="16">
                  <c:v>0.57253936416650131</c:v>
                </c:pt>
                <c:pt idx="17">
                  <c:v>0.47171876298617088</c:v>
                </c:pt>
                <c:pt idx="18">
                  <c:v>0.3731537109719022</c:v>
                </c:pt>
                <c:pt idx="19">
                  <c:v>0.28410776262813964</c:v>
                </c:pt>
                <c:pt idx="20">
                  <c:v>0.20921873019753376</c:v>
                </c:pt>
                <c:pt idx="21">
                  <c:v>0.14993559865215988</c:v>
                </c:pt>
                <c:pt idx="22">
                  <c:v>0.10521558641359338</c:v>
                </c:pt>
                <c:pt idx="23">
                  <c:v>7.2693210533933725E-2</c:v>
                </c:pt>
                <c:pt idx="24">
                  <c:v>4.9665590771367597E-2</c:v>
                </c:pt>
                <c:pt idx="25">
                  <c:v>3.3667770416813639E-2</c:v>
                </c:pt>
                <c:pt idx="26">
                  <c:v>2.2699932314422161E-2</c:v>
                </c:pt>
                <c:pt idx="27">
                  <c:v>1.5248669464524659E-2</c:v>
                </c:pt>
                <c:pt idx="28">
                  <c:v>1.0217715163419662E-2</c:v>
                </c:pt>
                <c:pt idx="29">
                  <c:v>6.8350897757614906E-3</c:v>
                </c:pt>
                <c:pt idx="30">
                  <c:v>4.5671321031552732E-3</c:v>
                </c:pt>
                <c:pt idx="31">
                  <c:v>3.0493970685191458E-3</c:v>
                </c:pt>
                <c:pt idx="32">
                  <c:v>2.0349998865756185E-3</c:v>
                </c:pt>
                <c:pt idx="33">
                  <c:v>1.3575874878450048E-3</c:v>
                </c:pt>
                <c:pt idx="34">
                  <c:v>9.0546807594018186E-4</c:v>
                </c:pt>
                <c:pt idx="35">
                  <c:v>6.0382763284175798E-4</c:v>
                </c:pt>
                <c:pt idx="36">
                  <c:v>4.0263279549710947E-4</c:v>
                </c:pt>
                <c:pt idx="37">
                  <c:v>2.6845789364880371E-4</c:v>
                </c:pt>
                <c:pt idx="38">
                  <c:v>1.7898794600819325E-4</c:v>
                </c:pt>
                <c:pt idx="39">
                  <c:v>1.1933241702686773E-4</c:v>
                </c:pt>
                <c:pt idx="40">
                  <c:v>7.9558109305070881E-5</c:v>
                </c:pt>
                <c:pt idx="41">
                  <c:v>5.3040146127961694E-5</c:v>
                </c:pt>
                <c:pt idx="42">
                  <c:v>3.5360722597939086E-5</c:v>
                </c:pt>
                <c:pt idx="43">
                  <c:v>2.3574092930946194E-5</c:v>
                </c:pt>
                <c:pt idx="44">
                  <c:v>1.5716185452236263E-5</c:v>
                </c:pt>
                <c:pt idx="45">
                  <c:v>1.0477511856997325E-5</c:v>
                </c:pt>
                <c:pt idx="46">
                  <c:v>6.9850322999178013E-6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8F-B64F-9141-3DFFD92AC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969183"/>
        <c:axId val="1502486175"/>
      </c:scatterChart>
      <c:valAx>
        <c:axId val="1550969183"/>
        <c:scaling>
          <c:orientation val="minMax"/>
          <c:min val="-9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xPG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486175"/>
        <c:crosses val="autoZero"/>
        <c:crossBetween val="midCat"/>
      </c:valAx>
      <c:valAx>
        <c:axId val="1502486175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Fractional Occupancy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9183"/>
        <c:crossesAt val="-9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84668192219678"/>
          <c:y val="2.9629629629629631E-2"/>
          <c:w val="0.8610526315789474"/>
          <c:h val="0.7681028871391075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'combined PG titration'!$B$1</c:f>
              <c:strCache>
                <c:ptCount val="1"/>
                <c:pt idx="0">
                  <c:v>ternary WT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'combined PG titration'!$A$2:$A$48</c:f>
              <c:numCache>
                <c:formatCode>0.00E+00</c:formatCode>
                <c:ptCount val="47"/>
                <c:pt idx="0">
                  <c:v>-0.32735893438633035</c:v>
                </c:pt>
                <c:pt idx="1">
                  <c:v>-0.3979400086720376</c:v>
                </c:pt>
                <c:pt idx="2">
                  <c:v>-0.51188336097887432</c:v>
                </c:pt>
                <c:pt idx="3">
                  <c:v>-0.64097805735833202</c:v>
                </c:pt>
                <c:pt idx="4">
                  <c:v>-0.78265175161032008</c:v>
                </c:pt>
                <c:pt idx="5">
                  <c:v>-1.0930932133337166</c:v>
                </c:pt>
                <c:pt idx="6">
                  <c:v>-1.2573410257061035</c:v>
                </c:pt>
                <c:pt idx="7">
                  <c:v>-1.4253533286866067</c:v>
                </c:pt>
                <c:pt idx="8">
                  <c:v>-1.5959738965301762</c:v>
                </c:pt>
                <c:pt idx="9">
                  <c:v>-1.7683793641857297</c:v>
                </c:pt>
                <c:pt idx="10">
                  <c:v>-1.941995935261688</c:v>
                </c:pt>
                <c:pt idx="11">
                  <c:v>-2.116429533438609</c:v>
                </c:pt>
                <c:pt idx="12">
                  <c:v>-2.2914121596990307</c:v>
                </c:pt>
                <c:pt idx="13">
                  <c:v>-2.4667627548571525</c:v>
                </c:pt>
                <c:pt idx="14">
                  <c:v>-2.6423595352939424</c:v>
                </c:pt>
                <c:pt idx="15">
                  <c:v>-2.8181208288803297</c:v>
                </c:pt>
                <c:pt idx="16">
                  <c:v>-2.9939919715968806</c:v>
                </c:pt>
                <c:pt idx="17">
                  <c:v>-3.1699364244225778</c:v>
                </c:pt>
                <c:pt idx="18">
                  <c:v>-3.3459297850813119</c:v>
                </c:pt>
                <c:pt idx="19">
                  <c:v>-3.5219557662767689</c:v>
                </c:pt>
                <c:pt idx="20">
                  <c:v>-3.6980035013073449</c:v>
                </c:pt>
                <c:pt idx="21">
                  <c:v>-3.8740657419228333</c:v>
                </c:pt>
                <c:pt idx="22">
                  <c:v>-4.0501376542744758</c:v>
                </c:pt>
                <c:pt idx="23">
                  <c:v>-4.226216015048645</c:v>
                </c:pt>
                <c:pt idx="24">
                  <c:v>-4.4022986750371622</c:v>
                </c:pt>
                <c:pt idx="25">
                  <c:v>-4.5783842012868092</c:v>
                </c:pt>
                <c:pt idx="26">
                  <c:v>-4.7544716384297594</c:v>
                </c:pt>
                <c:pt idx="27">
                  <c:v>-4.9305603495249342</c:v>
                </c:pt>
                <c:pt idx="28">
                  <c:v>-5.1066499099319724</c:v>
                </c:pt>
                <c:pt idx="29">
                  <c:v>-5.2827400365515347</c:v>
                </c:pt>
                <c:pt idx="30">
                  <c:v>-5.4588305406481625</c:v>
                </c:pt>
                <c:pt idx="31">
                  <c:v>-5.6349212963970787</c:v>
                </c:pt>
                <c:pt idx="32">
                  <c:v>-5.811012219914593</c:v>
                </c:pt>
                <c:pt idx="33">
                  <c:v>-5.9871032552780186</c:v>
                </c:pt>
                <c:pt idx="34">
                  <c:v>-6.1631943652054657</c:v>
                </c:pt>
                <c:pt idx="35">
                  <c:v>-6.3392855248422952</c:v>
                </c:pt>
                <c:pt idx="36">
                  <c:v>-6.5153767176187296</c:v>
                </c:pt>
                <c:pt idx="37">
                  <c:v>-6.6914679324882416</c:v>
                </c:pt>
                <c:pt idx="38">
                  <c:v>-6.8675591620864731</c:v>
                </c:pt>
                <c:pt idx="39">
                  <c:v>-7.0436504015038537</c:v>
                </c:pt>
                <c:pt idx="40">
                  <c:v>-7.2197416474673339</c:v>
                </c:pt>
                <c:pt idx="41">
                  <c:v>-7.3958328977948806</c:v>
                </c:pt>
                <c:pt idx="42">
                  <c:v>-7.5719241510318058</c:v>
                </c:pt>
                <c:pt idx="43">
                  <c:v>-7.7480154062083164</c:v>
                </c:pt>
                <c:pt idx="44">
                  <c:v>-7.9241066626778842</c:v>
                </c:pt>
                <c:pt idx="45">
                  <c:v>-8.1001979200094887</c:v>
                </c:pt>
                <c:pt idx="46">
                  <c:v>-8.2762891779157854</c:v>
                </c:pt>
              </c:numCache>
            </c:numRef>
          </c:xVal>
          <c:yVal>
            <c:numRef>
              <c:f>'combined PG titration'!$B$2:$B$48</c:f>
              <c:numCache>
                <c:formatCode>0.00E+00</c:formatCode>
                <c:ptCount val="47"/>
                <c:pt idx="0">
                  <c:v>0.98751494481749813</c:v>
                </c:pt>
                <c:pt idx="1">
                  <c:v>0.9834222511264934</c:v>
                </c:pt>
                <c:pt idx="2">
                  <c:v>0.97533779858063907</c:v>
                </c:pt>
                <c:pt idx="3">
                  <c:v>0.96345730946811015</c:v>
                </c:pt>
                <c:pt idx="4">
                  <c:v>0.94616951949726258</c:v>
                </c:pt>
                <c:pt idx="5">
                  <c:v>0.88651744448397352</c:v>
                </c:pt>
                <c:pt idx="6">
                  <c:v>0.83891626374699069</c:v>
                </c:pt>
                <c:pt idx="7">
                  <c:v>0.77638478294371327</c:v>
                </c:pt>
                <c:pt idx="8">
                  <c:v>0.6983085715446069</c:v>
                </c:pt>
                <c:pt idx="9">
                  <c:v>0.60677861759534291</c:v>
                </c:pt>
                <c:pt idx="10">
                  <c:v>0.50708105991069241</c:v>
                </c:pt>
                <c:pt idx="11">
                  <c:v>0.40681712650675</c:v>
                </c:pt>
                <c:pt idx="12">
                  <c:v>0.31375891817358087</c:v>
                </c:pt>
                <c:pt idx="13">
                  <c:v>0.23360443729067759</c:v>
                </c:pt>
                <c:pt idx="14">
                  <c:v>0.16888722671452858</c:v>
                </c:pt>
                <c:pt idx="15">
                  <c:v>0.11930801789893876</c:v>
                </c:pt>
                <c:pt idx="16">
                  <c:v>8.2832887820182888E-2</c:v>
                </c:pt>
                <c:pt idx="17">
                  <c:v>5.6789950410682521E-2</c:v>
                </c:pt>
                <c:pt idx="18">
                  <c:v>3.8590484167860699E-2</c:v>
                </c:pt>
                <c:pt idx="19">
                  <c:v>2.6062240944084353E-2</c:v>
                </c:pt>
                <c:pt idx="20">
                  <c:v>1.7527092397762813E-2</c:v>
                </c:pt>
                <c:pt idx="21">
                  <c:v>1.1753395883722368E-2</c:v>
                </c:pt>
                <c:pt idx="22">
                  <c:v>7.8664162907654232E-3</c:v>
                </c:pt>
                <c:pt idx="23">
                  <c:v>5.2580649029805174E-3</c:v>
                </c:pt>
                <c:pt idx="24">
                  <c:v>3.5115312216778202E-3</c:v>
                </c:pt>
                <c:pt idx="25">
                  <c:v>2.3437642148574547E-3</c:v>
                </c:pt>
                <c:pt idx="26">
                  <c:v>1.5637311489411516E-3</c:v>
                </c:pt>
                <c:pt idx="27">
                  <c:v>1.0430311060373762E-3</c:v>
                </c:pt>
                <c:pt idx="28">
                  <c:v>6.9559591341655943E-4</c:v>
                </c:pt>
                <c:pt idx="29">
                  <c:v>4.6383815691985298E-4</c:v>
                </c:pt>
                <c:pt idx="30">
                  <c:v>3.0927325552551122E-4</c:v>
                </c:pt>
                <c:pt idx="31">
                  <c:v>2.0620342808550895E-4</c:v>
                </c:pt>
                <c:pt idx="32">
                  <c:v>1.3747840156290263E-4</c:v>
                </c:pt>
                <c:pt idx="33">
                  <c:v>9.1656467970171584E-5</c:v>
                </c:pt>
                <c:pt idx="34">
                  <c:v>6.1106178905624264E-5</c:v>
                </c:pt>
                <c:pt idx="35">
                  <c:v>4.0738282390673537E-5</c:v>
                </c:pt>
                <c:pt idx="36">
                  <c:v>2.7159223733824346E-5</c:v>
                </c:pt>
                <c:pt idx="37">
                  <c:v>1.8106313073685485E-5</c:v>
                </c:pt>
                <c:pt idx="38">
                  <c:v>1.2070948235912943E-5</c:v>
                </c:pt>
                <c:pt idx="39">
                  <c:v>8.0473312035814278E-6</c:v>
                </c:pt>
                <c:pt idx="40">
                  <c:v>5.3649018601016656E-6</c:v>
                </c:pt>
                <c:pt idx="41">
                  <c:v>3.5766076361174301E-6</c:v>
                </c:pt>
                <c:pt idx="42">
                  <c:v>2.3844079334421608E-6</c:v>
                </c:pt>
                <c:pt idx="43">
                  <c:v>1.5896065523849323E-6</c:v>
                </c:pt>
                <c:pt idx="44">
                  <c:v>1.0597382631122505E-6</c:v>
                </c:pt>
                <c:pt idx="45">
                  <c:v>7.0649242497385207E-7</c:v>
                </c:pt>
                <c:pt idx="46">
                  <c:v>4.7099506090071561E-7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57-F947-ACDD-A16CDEEB3C51}"/>
            </c:ext>
          </c:extLst>
        </c:ser>
        <c:ser>
          <c:idx val="1"/>
          <c:order val="1"/>
          <c:tx>
            <c:strRef>
              <c:f>'combined PG titration'!$C$1</c:f>
              <c:strCache>
                <c:ptCount val="1"/>
                <c:pt idx="0">
                  <c:v>ternary ELIC5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'combined PG titration'!$A$2:$A$48</c:f>
              <c:numCache>
                <c:formatCode>0.00E+00</c:formatCode>
                <c:ptCount val="47"/>
                <c:pt idx="0">
                  <c:v>-0.32735893438633035</c:v>
                </c:pt>
                <c:pt idx="1">
                  <c:v>-0.3979400086720376</c:v>
                </c:pt>
                <c:pt idx="2">
                  <c:v>-0.51188336097887432</c:v>
                </c:pt>
                <c:pt idx="3">
                  <c:v>-0.64097805735833202</c:v>
                </c:pt>
                <c:pt idx="4">
                  <c:v>-0.78265175161032008</c:v>
                </c:pt>
                <c:pt idx="5">
                  <c:v>-1.0930932133337166</c:v>
                </c:pt>
                <c:pt idx="6">
                  <c:v>-1.2573410257061035</c:v>
                </c:pt>
                <c:pt idx="7">
                  <c:v>-1.4253533286866067</c:v>
                </c:pt>
                <c:pt idx="8">
                  <c:v>-1.5959738965301762</c:v>
                </c:pt>
                <c:pt idx="9">
                  <c:v>-1.7683793641857297</c:v>
                </c:pt>
                <c:pt idx="10">
                  <c:v>-1.941995935261688</c:v>
                </c:pt>
                <c:pt idx="11">
                  <c:v>-2.116429533438609</c:v>
                </c:pt>
                <c:pt idx="12">
                  <c:v>-2.2914121596990307</c:v>
                </c:pt>
                <c:pt idx="13">
                  <c:v>-2.4667627548571525</c:v>
                </c:pt>
                <c:pt idx="14">
                  <c:v>-2.6423595352939424</c:v>
                </c:pt>
                <c:pt idx="15">
                  <c:v>-2.8181208288803297</c:v>
                </c:pt>
                <c:pt idx="16">
                  <c:v>-2.9939919715968806</c:v>
                </c:pt>
                <c:pt idx="17">
                  <c:v>-3.1699364244225778</c:v>
                </c:pt>
                <c:pt idx="18">
                  <c:v>-3.3459297850813119</c:v>
                </c:pt>
                <c:pt idx="19">
                  <c:v>-3.5219557662767689</c:v>
                </c:pt>
                <c:pt idx="20">
                  <c:v>-3.6980035013073449</c:v>
                </c:pt>
                <c:pt idx="21">
                  <c:v>-3.8740657419228333</c:v>
                </c:pt>
                <c:pt idx="22">
                  <c:v>-4.0501376542744758</c:v>
                </c:pt>
                <c:pt idx="23">
                  <c:v>-4.226216015048645</c:v>
                </c:pt>
                <c:pt idx="24">
                  <c:v>-4.4022986750371622</c:v>
                </c:pt>
                <c:pt idx="25">
                  <c:v>-4.5783842012868092</c:v>
                </c:pt>
                <c:pt idx="26">
                  <c:v>-4.7544716384297594</c:v>
                </c:pt>
                <c:pt idx="27">
                  <c:v>-4.9305603495249342</c:v>
                </c:pt>
                <c:pt idx="28">
                  <c:v>-5.1066499099319724</c:v>
                </c:pt>
                <c:pt idx="29">
                  <c:v>-5.2827400365515347</c:v>
                </c:pt>
                <c:pt idx="30">
                  <c:v>-5.4588305406481625</c:v>
                </c:pt>
                <c:pt idx="31">
                  <c:v>-5.6349212963970787</c:v>
                </c:pt>
                <c:pt idx="32">
                  <c:v>-5.811012219914593</c:v>
                </c:pt>
                <c:pt idx="33">
                  <c:v>-5.9871032552780186</c:v>
                </c:pt>
                <c:pt idx="34">
                  <c:v>-6.1631943652054657</c:v>
                </c:pt>
                <c:pt idx="35">
                  <c:v>-6.3392855248422952</c:v>
                </c:pt>
                <c:pt idx="36">
                  <c:v>-6.5153767176187296</c:v>
                </c:pt>
                <c:pt idx="37">
                  <c:v>-6.6914679324882416</c:v>
                </c:pt>
                <c:pt idx="38">
                  <c:v>-6.8675591620864731</c:v>
                </c:pt>
                <c:pt idx="39">
                  <c:v>-7.0436504015038537</c:v>
                </c:pt>
                <c:pt idx="40">
                  <c:v>-7.2197416474673339</c:v>
                </c:pt>
                <c:pt idx="41">
                  <c:v>-7.3958328977948806</c:v>
                </c:pt>
                <c:pt idx="42">
                  <c:v>-7.5719241510318058</c:v>
                </c:pt>
                <c:pt idx="43">
                  <c:v>-7.7480154062083164</c:v>
                </c:pt>
                <c:pt idx="44">
                  <c:v>-7.9241066626778842</c:v>
                </c:pt>
                <c:pt idx="45">
                  <c:v>-8.1001979200094887</c:v>
                </c:pt>
                <c:pt idx="46">
                  <c:v>-8.2762891779157854</c:v>
                </c:pt>
              </c:numCache>
            </c:numRef>
          </c:xVal>
          <c:yVal>
            <c:numRef>
              <c:f>'combined PG titration'!$C$2:$C$48</c:f>
              <c:numCache>
                <c:formatCode>0.00E+00</c:formatCode>
                <c:ptCount val="47"/>
                <c:pt idx="0">
                  <c:v>0.99991646428681935</c:v>
                </c:pt>
                <c:pt idx="1">
                  <c:v>0.99988862215043539</c:v>
                </c:pt>
                <c:pt idx="2">
                  <c:v>0.9998329425289042</c:v>
                </c:pt>
                <c:pt idx="3">
                  <c:v>0.9997494347227569</c:v>
                </c:pt>
                <c:pt idx="4">
                  <c:v>0.99962419916545564</c:v>
                </c:pt>
                <c:pt idx="5">
                  <c:v>0.99915484513465458</c:v>
                </c:pt>
                <c:pt idx="6">
                  <c:v>0.9987328031907563</c:v>
                </c:pt>
                <c:pt idx="7">
                  <c:v>0.9981004083643642</c:v>
                </c:pt>
                <c:pt idx="8">
                  <c:v>0.99715331631480508</c:v>
                </c:pt>
                <c:pt idx="9">
                  <c:v>0.99573604353985246</c:v>
                </c:pt>
                <c:pt idx="10">
                  <c:v>0.99361767229350606</c:v>
                </c:pt>
                <c:pt idx="11">
                  <c:v>0.99045696183868992</c:v>
                </c:pt>
                <c:pt idx="12">
                  <c:v>0.98575342058355453</c:v>
                </c:pt>
                <c:pt idx="13">
                  <c:v>0.97878127797952141</c:v>
                </c:pt>
                <c:pt idx="14">
                  <c:v>0.96850604767909421</c:v>
                </c:pt>
                <c:pt idx="15">
                  <c:v>0.95349144069330083</c:v>
                </c:pt>
                <c:pt idx="16">
                  <c:v>0.93182257787997469</c:v>
                </c:pt>
                <c:pt idx="17">
                  <c:v>0.90110506759598208</c:v>
                </c:pt>
                <c:pt idx="18">
                  <c:v>0.8586471420595414</c:v>
                </c:pt>
                <c:pt idx="19">
                  <c:v>0.80196697977687226</c:v>
                </c:pt>
                <c:pt idx="20">
                  <c:v>0.7297133140388059</c:v>
                </c:pt>
                <c:pt idx="21">
                  <c:v>0.64283803323267064</c:v>
                </c:pt>
                <c:pt idx="22">
                  <c:v>0.54543390933315861</c:v>
                </c:pt>
                <c:pt idx="23">
                  <c:v>0.44442389341814664</c:v>
                </c:pt>
                <c:pt idx="24">
                  <c:v>0.34780720658135639</c:v>
                </c:pt>
                <c:pt idx="25">
                  <c:v>0.26227897718780635</c:v>
                </c:pt>
                <c:pt idx="26">
                  <c:v>0.19160387417297381</c:v>
                </c:pt>
                <c:pt idx="27">
                  <c:v>0.13645074668129278</c:v>
                </c:pt>
                <c:pt idx="28">
                  <c:v>9.5301833221938359E-2</c:v>
                </c:pt>
                <c:pt idx="29">
                  <c:v>6.5619095513561543E-2</c:v>
                </c:pt>
                <c:pt idx="30">
                  <c:v>4.4724320154370611E-2</c:v>
                </c:pt>
                <c:pt idx="31">
                  <c:v>3.0267443717268916E-2</c:v>
                </c:pt>
                <c:pt idx="32">
                  <c:v>2.0383952523425362E-2</c:v>
                </c:pt>
                <c:pt idx="33">
                  <c:v>1.3682267915484249E-2</c:v>
                </c:pt>
                <c:pt idx="34">
                  <c:v>9.1633035349749752E-3</c:v>
                </c:pt>
                <c:pt idx="35">
                  <c:v>6.1275853314260902E-3</c:v>
                </c:pt>
                <c:pt idx="36">
                  <c:v>4.093417809926561E-3</c:v>
                </c:pt>
                <c:pt idx="37">
                  <c:v>2.7326738652406063E-3</c:v>
                </c:pt>
                <c:pt idx="38">
                  <c:v>1.8234435356586161E-3</c:v>
                </c:pt>
                <c:pt idx="39">
                  <c:v>1.2163683501074053E-3</c:v>
                </c:pt>
                <c:pt idx="40">
                  <c:v>8.1124115609379596E-4</c:v>
                </c:pt>
                <c:pt idx="41">
                  <c:v>5.4097372411231897E-4</c:v>
                </c:pt>
                <c:pt idx="42">
                  <c:v>3.6071419504202337E-4</c:v>
                </c:pt>
                <c:pt idx="43">
                  <c:v>2.4050504788959991E-4</c:v>
                </c:pt>
                <c:pt idx="44">
                  <c:v>1.6034955355208531E-4</c:v>
                </c:pt>
                <c:pt idx="45">
                  <c:v>1.0690541644665673E-4</c:v>
                </c:pt>
                <c:pt idx="46">
                  <c:v>7.127281744784801E-5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C57-F947-ACDD-A16CDEEB3C51}"/>
            </c:ext>
          </c:extLst>
        </c:ser>
        <c:ser>
          <c:idx val="2"/>
          <c:order val="2"/>
          <c:tx>
            <c:strRef>
              <c:f>'combined PG titration'!$D$1</c:f>
              <c:strCache>
                <c:ptCount val="1"/>
                <c:pt idx="0">
                  <c:v>binary WT</c:v>
                </c:pt>
              </c:strCache>
            </c:strRef>
          </c:tx>
          <c:spPr>
            <a:ln w="1905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'combined PG titration'!$A$2:$A$48</c:f>
              <c:numCache>
                <c:formatCode>0.00E+00</c:formatCode>
                <c:ptCount val="47"/>
                <c:pt idx="0">
                  <c:v>-0.32735893438633035</c:v>
                </c:pt>
                <c:pt idx="1">
                  <c:v>-0.3979400086720376</c:v>
                </c:pt>
                <c:pt idx="2">
                  <c:v>-0.51188336097887432</c:v>
                </c:pt>
                <c:pt idx="3">
                  <c:v>-0.64097805735833202</c:v>
                </c:pt>
                <c:pt idx="4">
                  <c:v>-0.78265175161032008</c:v>
                </c:pt>
                <c:pt idx="5">
                  <c:v>-1.0930932133337166</c:v>
                </c:pt>
                <c:pt idx="6">
                  <c:v>-1.2573410257061035</c:v>
                </c:pt>
                <c:pt idx="7">
                  <c:v>-1.4253533286866067</c:v>
                </c:pt>
                <c:pt idx="8">
                  <c:v>-1.5959738965301762</c:v>
                </c:pt>
                <c:pt idx="9">
                  <c:v>-1.7683793641857297</c:v>
                </c:pt>
                <c:pt idx="10">
                  <c:v>-1.941995935261688</c:v>
                </c:pt>
                <c:pt idx="11">
                  <c:v>-2.116429533438609</c:v>
                </c:pt>
                <c:pt idx="12">
                  <c:v>-2.2914121596990307</c:v>
                </c:pt>
                <c:pt idx="13">
                  <c:v>-2.4667627548571525</c:v>
                </c:pt>
                <c:pt idx="14">
                  <c:v>-2.6423595352939424</c:v>
                </c:pt>
                <c:pt idx="15">
                  <c:v>-2.8181208288803297</c:v>
                </c:pt>
                <c:pt idx="16">
                  <c:v>-2.9939919715968806</c:v>
                </c:pt>
                <c:pt idx="17">
                  <c:v>-3.1699364244225778</c:v>
                </c:pt>
                <c:pt idx="18">
                  <c:v>-3.3459297850813119</c:v>
                </c:pt>
                <c:pt idx="19">
                  <c:v>-3.5219557662767689</c:v>
                </c:pt>
                <c:pt idx="20">
                  <c:v>-3.6980035013073449</c:v>
                </c:pt>
                <c:pt idx="21">
                  <c:v>-3.8740657419228333</c:v>
                </c:pt>
                <c:pt idx="22">
                  <c:v>-4.0501376542744758</c:v>
                </c:pt>
                <c:pt idx="23">
                  <c:v>-4.226216015048645</c:v>
                </c:pt>
                <c:pt idx="24">
                  <c:v>-4.4022986750371622</c:v>
                </c:pt>
                <c:pt idx="25">
                  <c:v>-4.5783842012868092</c:v>
                </c:pt>
                <c:pt idx="26">
                  <c:v>-4.7544716384297594</c:v>
                </c:pt>
                <c:pt idx="27">
                  <c:v>-4.9305603495249342</c:v>
                </c:pt>
                <c:pt idx="28">
                  <c:v>-5.1066499099319724</c:v>
                </c:pt>
                <c:pt idx="29">
                  <c:v>-5.2827400365515347</c:v>
                </c:pt>
                <c:pt idx="30">
                  <c:v>-5.4588305406481625</c:v>
                </c:pt>
                <c:pt idx="31">
                  <c:v>-5.6349212963970787</c:v>
                </c:pt>
                <c:pt idx="32">
                  <c:v>-5.811012219914593</c:v>
                </c:pt>
                <c:pt idx="33">
                  <c:v>-5.9871032552780186</c:v>
                </c:pt>
                <c:pt idx="34">
                  <c:v>-6.1631943652054657</c:v>
                </c:pt>
                <c:pt idx="35">
                  <c:v>-6.3392855248422952</c:v>
                </c:pt>
                <c:pt idx="36">
                  <c:v>-6.5153767176187296</c:v>
                </c:pt>
                <c:pt idx="37">
                  <c:v>-6.6914679324882416</c:v>
                </c:pt>
                <c:pt idx="38">
                  <c:v>-6.8675591620864731</c:v>
                </c:pt>
                <c:pt idx="39">
                  <c:v>-7.0436504015038537</c:v>
                </c:pt>
                <c:pt idx="40">
                  <c:v>-7.2197416474673339</c:v>
                </c:pt>
                <c:pt idx="41">
                  <c:v>-7.3958328977948806</c:v>
                </c:pt>
                <c:pt idx="42">
                  <c:v>-7.5719241510318058</c:v>
                </c:pt>
                <c:pt idx="43">
                  <c:v>-7.7480154062083164</c:v>
                </c:pt>
                <c:pt idx="44">
                  <c:v>-7.9241066626778842</c:v>
                </c:pt>
                <c:pt idx="45">
                  <c:v>-8.1001979200094887</c:v>
                </c:pt>
                <c:pt idx="46">
                  <c:v>-8.2762891779157854</c:v>
                </c:pt>
              </c:numCache>
            </c:numRef>
          </c:xVal>
          <c:yVal>
            <c:numRef>
              <c:f>'combined PG titration'!$D$2:$D$48</c:f>
              <c:numCache>
                <c:formatCode>General</c:formatCode>
                <c:ptCount val="47"/>
                <c:pt idx="0">
                  <c:v>0.99999854650630049</c:v>
                </c:pt>
                <c:pt idx="1">
                  <c:v>0.99999806200933972</c:v>
                </c:pt>
                <c:pt idx="2">
                  <c:v>0.99999709301682649</c:v>
                </c:pt>
                <c:pt idx="3">
                  <c:v>0.99999563953157755</c:v>
                </c:pt>
                <c:pt idx="4">
                  <c:v>0.99999345931162664</c:v>
                </c:pt>
                <c:pt idx="5">
                  <c:v>0.99999018899952541</c:v>
                </c:pt>
                <c:pt idx="6">
                  <c:v>0.99998528357147942</c:v>
                </c:pt>
                <c:pt idx="7">
                  <c:v>0.99997792551964804</c:v>
                </c:pt>
                <c:pt idx="8">
                  <c:v>0.99996688864493</c:v>
                </c:pt>
                <c:pt idx="9">
                  <c:v>0.9999503337896527</c:v>
                </c:pt>
                <c:pt idx="10">
                  <c:v>0.99992550253448254</c:v>
                </c:pt>
                <c:pt idx="11">
                  <c:v>0.99988825796397296</c:v>
                </c:pt>
                <c:pt idx="12">
                  <c:v>0.99983239631014831</c:v>
                </c:pt>
                <c:pt idx="13">
                  <c:v>0.99974861553170469</c:v>
                </c:pt>
                <c:pt idx="14">
                  <c:v>0.99962297068721373</c:v>
                </c:pt>
                <c:pt idx="15">
                  <c:v>0.99943456262405317</c:v>
                </c:pt>
                <c:pt idx="16">
                  <c:v>0.99915208365787567</c:v>
                </c:pt>
                <c:pt idx="17">
                  <c:v>0.99872866447989539</c:v>
                </c:pt>
                <c:pt idx="18">
                  <c:v>0.99809420817026662</c:v>
                </c:pt>
                <c:pt idx="19">
                  <c:v>0.99714403369402604</c:v>
                </c:pt>
                <c:pt idx="20">
                  <c:v>0.99572215922559593</c:v>
                </c:pt>
                <c:pt idx="21">
                  <c:v>0.99359693448576292</c:v>
                </c:pt>
                <c:pt idx="22">
                  <c:v>0.99042605303347275</c:v>
                </c:pt>
                <c:pt idx="23">
                  <c:v>0.98570749738125452</c:v>
                </c:pt>
                <c:pt idx="24">
                  <c:v>0.97871336571004841</c:v>
                </c:pt>
                <c:pt idx="25">
                  <c:v>0.96840631022512647</c:v>
                </c:pt>
                <c:pt idx="26">
                  <c:v>0.95334644432021087</c:v>
                </c:pt>
                <c:pt idx="27">
                  <c:v>0.93161487118767383</c:v>
                </c:pt>
                <c:pt idx="28">
                  <c:v>0.90081373938576936</c:v>
                </c:pt>
                <c:pt idx="29">
                  <c:v>0.85825041473183772</c:v>
                </c:pt>
                <c:pt idx="30">
                  <c:v>0.80144795697427773</c:v>
                </c:pt>
                <c:pt idx="31">
                  <c:v>0.72906889742878012</c:v>
                </c:pt>
                <c:pt idx="32">
                  <c:v>0.64208808149512364</c:v>
                </c:pt>
                <c:pt idx="33">
                  <c:v>0.54462431480669027</c:v>
                </c:pt>
                <c:pt idx="34">
                  <c:v>0.44361790995239259</c:v>
                </c:pt>
                <c:pt idx="35">
                  <c:v>0.34706698320213253</c:v>
                </c:pt>
                <c:pt idx="36">
                  <c:v>0.26164775439452936</c:v>
                </c:pt>
                <c:pt idx="37">
                  <c:v>0.19109868338846731</c:v>
                </c:pt>
                <c:pt idx="38">
                  <c:v>0.13606649849770819</c:v>
                </c:pt>
                <c:pt idx="39">
                  <c:v>9.5020710799558775E-2</c:v>
                </c:pt>
                <c:pt idx="40">
                  <c:v>6.5419200166285468E-2</c:v>
                </c:pt>
                <c:pt idx="41">
                  <c:v>4.458503931463903E-2</c:v>
                </c:pt>
                <c:pt idx="42">
                  <c:v>3.0171762617253448E-2</c:v>
                </c:pt>
                <c:pt idx="43">
                  <c:v>2.0318860355266307E-2</c:v>
                </c:pt>
                <c:pt idx="44">
                  <c:v>1.363827832778707E-2</c:v>
                </c:pt>
                <c:pt idx="45">
                  <c:v>9.1337082368912262E-3</c:v>
                </c:pt>
                <c:pt idx="46">
                  <c:v>6.1077342454563107E-3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C57-F947-ACDD-A16CDEEB3C51}"/>
            </c:ext>
          </c:extLst>
        </c:ser>
        <c:ser>
          <c:idx val="3"/>
          <c:order val="3"/>
          <c:tx>
            <c:strRef>
              <c:f>'combined PG titration'!$E$1</c:f>
              <c:strCache>
                <c:ptCount val="1"/>
                <c:pt idx="0">
                  <c:v>binary ELIC5</c:v>
                </c:pt>
              </c:strCache>
            </c:strRef>
          </c:tx>
          <c:spPr>
            <a:ln w="19050" cap="rnd">
              <a:solidFill>
                <a:srgbClr val="C0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'combined PG titration'!$A$2:$A$48</c:f>
              <c:numCache>
                <c:formatCode>0.00E+00</c:formatCode>
                <c:ptCount val="47"/>
                <c:pt idx="0">
                  <c:v>-0.32735893438633035</c:v>
                </c:pt>
                <c:pt idx="1">
                  <c:v>-0.3979400086720376</c:v>
                </c:pt>
                <c:pt idx="2">
                  <c:v>-0.51188336097887432</c:v>
                </c:pt>
                <c:pt idx="3">
                  <c:v>-0.64097805735833202</c:v>
                </c:pt>
                <c:pt idx="4">
                  <c:v>-0.78265175161032008</c:v>
                </c:pt>
                <c:pt idx="5">
                  <c:v>-1.0930932133337166</c:v>
                </c:pt>
                <c:pt idx="6">
                  <c:v>-1.2573410257061035</c:v>
                </c:pt>
                <c:pt idx="7">
                  <c:v>-1.4253533286866067</c:v>
                </c:pt>
                <c:pt idx="8">
                  <c:v>-1.5959738965301762</c:v>
                </c:pt>
                <c:pt idx="9">
                  <c:v>-1.7683793641857297</c:v>
                </c:pt>
                <c:pt idx="10">
                  <c:v>-1.941995935261688</c:v>
                </c:pt>
                <c:pt idx="11">
                  <c:v>-2.116429533438609</c:v>
                </c:pt>
                <c:pt idx="12">
                  <c:v>-2.2914121596990307</c:v>
                </c:pt>
                <c:pt idx="13">
                  <c:v>-2.4667627548571525</c:v>
                </c:pt>
                <c:pt idx="14">
                  <c:v>-2.6423595352939424</c:v>
                </c:pt>
                <c:pt idx="15">
                  <c:v>-2.8181208288803297</c:v>
                </c:pt>
                <c:pt idx="16">
                  <c:v>-2.9939919715968806</c:v>
                </c:pt>
                <c:pt idx="17">
                  <c:v>-3.1699364244225778</c:v>
                </c:pt>
                <c:pt idx="18">
                  <c:v>-3.3459297850813119</c:v>
                </c:pt>
                <c:pt idx="19">
                  <c:v>-3.5219557662767689</c:v>
                </c:pt>
                <c:pt idx="20">
                  <c:v>-3.6980035013073449</c:v>
                </c:pt>
                <c:pt idx="21">
                  <c:v>-3.8740657419228333</c:v>
                </c:pt>
                <c:pt idx="22">
                  <c:v>-4.0501376542744758</c:v>
                </c:pt>
                <c:pt idx="23">
                  <c:v>-4.226216015048645</c:v>
                </c:pt>
                <c:pt idx="24">
                  <c:v>-4.4022986750371622</c:v>
                </c:pt>
                <c:pt idx="25">
                  <c:v>-4.5783842012868092</c:v>
                </c:pt>
                <c:pt idx="26">
                  <c:v>-4.7544716384297594</c:v>
                </c:pt>
                <c:pt idx="27">
                  <c:v>-4.9305603495249342</c:v>
                </c:pt>
                <c:pt idx="28">
                  <c:v>-5.1066499099319724</c:v>
                </c:pt>
                <c:pt idx="29">
                  <c:v>-5.2827400365515347</c:v>
                </c:pt>
                <c:pt idx="30">
                  <c:v>-5.4588305406481625</c:v>
                </c:pt>
                <c:pt idx="31">
                  <c:v>-5.6349212963970787</c:v>
                </c:pt>
                <c:pt idx="32">
                  <c:v>-5.811012219914593</c:v>
                </c:pt>
                <c:pt idx="33">
                  <c:v>-5.9871032552780186</c:v>
                </c:pt>
                <c:pt idx="34">
                  <c:v>-6.1631943652054657</c:v>
                </c:pt>
                <c:pt idx="35">
                  <c:v>-6.3392855248422952</c:v>
                </c:pt>
                <c:pt idx="36">
                  <c:v>-6.5153767176187296</c:v>
                </c:pt>
                <c:pt idx="37">
                  <c:v>-6.6914679324882416</c:v>
                </c:pt>
                <c:pt idx="38">
                  <c:v>-6.8675591620864731</c:v>
                </c:pt>
                <c:pt idx="39">
                  <c:v>-7.0436504015038537</c:v>
                </c:pt>
                <c:pt idx="40">
                  <c:v>-7.2197416474673339</c:v>
                </c:pt>
                <c:pt idx="41">
                  <c:v>-7.3958328977948806</c:v>
                </c:pt>
                <c:pt idx="42">
                  <c:v>-7.5719241510318058</c:v>
                </c:pt>
                <c:pt idx="43">
                  <c:v>-7.7480154062083164</c:v>
                </c:pt>
                <c:pt idx="44">
                  <c:v>-7.9241066626778842</c:v>
                </c:pt>
                <c:pt idx="45">
                  <c:v>-8.1001979200094887</c:v>
                </c:pt>
                <c:pt idx="46">
                  <c:v>-8.2762891779157854</c:v>
                </c:pt>
              </c:numCache>
            </c:numRef>
          </c:xVal>
          <c:yVal>
            <c:numRef>
              <c:f>'combined PG titration'!$E$2:$E$48</c:f>
              <c:numCache>
                <c:formatCode>General</c:formatCode>
                <c:ptCount val="47"/>
                <c:pt idx="0">
                  <c:v>0.99872289043524498</c:v>
                </c:pt>
                <c:pt idx="1">
                  <c:v>0.9982979118313533</c:v>
                </c:pt>
                <c:pt idx="2">
                  <c:v>0.9974490387275301</c:v>
                </c:pt>
                <c:pt idx="3">
                  <c:v>0.99617843242673509</c:v>
                </c:pt>
                <c:pt idx="4">
                  <c:v>0.99427858103469813</c:v>
                </c:pt>
                <c:pt idx="5">
                  <c:v>0.99144235249541246</c:v>
                </c:pt>
                <c:pt idx="6">
                  <c:v>0.98721821972814272</c:v>
                </c:pt>
                <c:pt idx="7">
                  <c:v>0.98094908191667318</c:v>
                </c:pt>
                <c:pt idx="8">
                  <c:v>0.97169325759043501</c:v>
                </c:pt>
                <c:pt idx="9">
                  <c:v>0.95813245331531438</c:v>
                </c:pt>
                <c:pt idx="10">
                  <c:v>0.93848639190235728</c:v>
                </c:pt>
                <c:pt idx="11">
                  <c:v>0.91048284931612866</c:v>
                </c:pt>
                <c:pt idx="12">
                  <c:v>0.87147678976278264</c:v>
                </c:pt>
                <c:pt idx="13">
                  <c:v>0.81885580159180837</c:v>
                </c:pt>
                <c:pt idx="14">
                  <c:v>0.75084976242232215</c:v>
                </c:pt>
                <c:pt idx="15">
                  <c:v>0.66767417300765364</c:v>
                </c:pt>
                <c:pt idx="16">
                  <c:v>0.57253936416650131</c:v>
                </c:pt>
                <c:pt idx="17">
                  <c:v>0.47171876298617088</c:v>
                </c:pt>
                <c:pt idx="18">
                  <c:v>0.3731537109719022</c:v>
                </c:pt>
                <c:pt idx="19">
                  <c:v>0.28410776262813964</c:v>
                </c:pt>
                <c:pt idx="20">
                  <c:v>0.20921873019753376</c:v>
                </c:pt>
                <c:pt idx="21">
                  <c:v>0.14993559865215988</c:v>
                </c:pt>
                <c:pt idx="22">
                  <c:v>0.10521558641359338</c:v>
                </c:pt>
                <c:pt idx="23">
                  <c:v>7.2693210533933725E-2</c:v>
                </c:pt>
                <c:pt idx="24">
                  <c:v>4.9665590771367597E-2</c:v>
                </c:pt>
                <c:pt idx="25">
                  <c:v>3.3667770416813639E-2</c:v>
                </c:pt>
                <c:pt idx="26">
                  <c:v>2.2699932314422161E-2</c:v>
                </c:pt>
                <c:pt idx="27">
                  <c:v>1.5248669464524659E-2</c:v>
                </c:pt>
                <c:pt idx="28">
                  <c:v>1.0217715163419662E-2</c:v>
                </c:pt>
                <c:pt idx="29">
                  <c:v>6.8350897757614906E-3</c:v>
                </c:pt>
                <c:pt idx="30">
                  <c:v>4.5671321031552732E-3</c:v>
                </c:pt>
                <c:pt idx="31">
                  <c:v>3.0493970685191458E-3</c:v>
                </c:pt>
                <c:pt idx="32">
                  <c:v>2.0349998865756185E-3</c:v>
                </c:pt>
                <c:pt idx="33">
                  <c:v>1.3575874878450048E-3</c:v>
                </c:pt>
                <c:pt idx="34">
                  <c:v>9.0546807594018186E-4</c:v>
                </c:pt>
                <c:pt idx="35">
                  <c:v>6.0382763284175798E-4</c:v>
                </c:pt>
                <c:pt idx="36">
                  <c:v>4.0263279549710947E-4</c:v>
                </c:pt>
                <c:pt idx="37">
                  <c:v>2.6845789364880371E-4</c:v>
                </c:pt>
                <c:pt idx="38">
                  <c:v>1.7898794600819325E-4</c:v>
                </c:pt>
                <c:pt idx="39">
                  <c:v>1.1933241702686773E-4</c:v>
                </c:pt>
                <c:pt idx="40">
                  <c:v>7.9558109305070881E-5</c:v>
                </c:pt>
                <c:pt idx="41">
                  <c:v>5.3040146127961694E-5</c:v>
                </c:pt>
                <c:pt idx="42">
                  <c:v>3.5360722597939086E-5</c:v>
                </c:pt>
                <c:pt idx="43">
                  <c:v>2.3574092930946194E-5</c:v>
                </c:pt>
                <c:pt idx="44">
                  <c:v>1.5716185452236263E-5</c:v>
                </c:pt>
                <c:pt idx="45">
                  <c:v>1.0477511856997325E-5</c:v>
                </c:pt>
                <c:pt idx="46">
                  <c:v>6.9850322999178013E-6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C57-F947-ACDD-A16CDEEB3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969183"/>
        <c:axId val="1502486175"/>
      </c:scatterChart>
      <c:valAx>
        <c:axId val="1550969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xPG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486175"/>
        <c:crosses val="autoZero"/>
        <c:crossBetween val="midCat"/>
      </c:valAx>
      <c:valAx>
        <c:axId val="1502486175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Fractional Occupancy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9183"/>
        <c:crossesAt val="-9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'ternary and POPC together'!$B$4</c:f>
              <c:strCache>
                <c:ptCount val="1"/>
                <c:pt idx="0">
                  <c:v>POPE</c:v>
                </c:pt>
              </c:strCache>
            </c:strRef>
          </c:tx>
          <c:spPr>
            <a:solidFill>
              <a:schemeClr val="bg2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'ternary and POPC together'!$E$2:$H$3</c:f>
              <c:multiLvlStrCache>
                <c:ptCount val="4"/>
                <c:lvl>
                  <c:pt idx="0">
                    <c:v>WT </c:v>
                  </c:pt>
                  <c:pt idx="1">
                    <c:v>ELIC5</c:v>
                  </c:pt>
                  <c:pt idx="2">
                    <c:v>WT </c:v>
                  </c:pt>
                  <c:pt idx="3">
                    <c:v>ELIC5</c:v>
                  </c:pt>
                </c:lvl>
                <c:lvl>
                  <c:pt idx="0">
                    <c:v>2:1:1 PC:PE:PG</c:v>
                  </c:pt>
                  <c:pt idx="2">
                    <c:v>100% POPC</c:v>
                  </c:pt>
                </c:lvl>
              </c:multiLvlStrCache>
            </c:multiLvlStrRef>
          </c:cat>
          <c:val>
            <c:numRef>
              <c:f>'ternary and POPC together'!$E$4:$H$4</c:f>
              <c:numCache>
                <c:formatCode>General</c:formatCode>
                <c:ptCount val="4"/>
                <c:pt idx="0">
                  <c:v>-9</c:v>
                </c:pt>
                <c:pt idx="1">
                  <c:v>-2</c:v>
                </c:pt>
                <c:pt idx="2">
                  <c:v>-8</c:v>
                </c:pt>
                <c:pt idx="3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4-5F4F-A610-F08377120C70}"/>
            </c:ext>
          </c:extLst>
        </c:ser>
        <c:ser>
          <c:idx val="1"/>
          <c:order val="1"/>
          <c:tx>
            <c:strRef>
              <c:f>'ternary and POPC together'!$B$5</c:f>
              <c:strCache>
                <c:ptCount val="1"/>
                <c:pt idx="0">
                  <c:v>POPG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'ternary and POPC together'!$E$2:$H$3</c:f>
              <c:multiLvlStrCache>
                <c:ptCount val="4"/>
                <c:lvl>
                  <c:pt idx="0">
                    <c:v>WT </c:v>
                  </c:pt>
                  <c:pt idx="1">
                    <c:v>ELIC5</c:v>
                  </c:pt>
                  <c:pt idx="2">
                    <c:v>WT </c:v>
                  </c:pt>
                  <c:pt idx="3">
                    <c:v>ELIC5</c:v>
                  </c:pt>
                </c:lvl>
                <c:lvl>
                  <c:pt idx="0">
                    <c:v>2:1:1 PC:PE:PG</c:v>
                  </c:pt>
                  <c:pt idx="2">
                    <c:v>100% POPC</c:v>
                  </c:pt>
                </c:lvl>
              </c:multiLvlStrCache>
            </c:multiLvlStrRef>
          </c:cat>
          <c:val>
            <c:numRef>
              <c:f>'ternary and POPC together'!$E$5:$H$5</c:f>
              <c:numCache>
                <c:formatCode>General</c:formatCode>
                <c:ptCount val="4"/>
                <c:pt idx="0">
                  <c:v>-11</c:v>
                </c:pt>
                <c:pt idx="1">
                  <c:v>-7</c:v>
                </c:pt>
                <c:pt idx="2">
                  <c:v>-8</c:v>
                </c:pt>
                <c:pt idx="3">
                  <c:v>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A4-5F4F-A610-F08377120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8"/>
        <c:overlap val="7"/>
        <c:axId val="821268063"/>
        <c:axId val="839134575"/>
      </c:barChart>
      <c:catAx>
        <c:axId val="8212680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high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39134575"/>
        <c:crossesAt val="0"/>
        <c:auto val="1"/>
        <c:lblAlgn val="ctr"/>
        <c:lblOffset val="100"/>
        <c:noMultiLvlLbl val="0"/>
      </c:catAx>
      <c:valAx>
        <c:axId val="8391345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latin typeface="Arial" panose="020B0604020202020204" pitchFamily="34" charset="0"/>
                    <a:cs typeface="Arial" panose="020B0604020202020204" pitchFamily="34" charset="0"/>
                  </a:rPr>
                  <a:t>POPC</a:t>
                </a:r>
                <a:r>
                  <a:rPr lang="en-US" sz="1400" baseline="0">
                    <a:latin typeface="Arial" panose="020B0604020202020204" pitchFamily="34" charset="0"/>
                    <a:cs typeface="Arial" panose="020B0604020202020204" pitchFamily="34" charset="0"/>
                  </a:rPr>
                  <a:t> Displacement Free Energy (kcal/mol)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21268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9669777764265948"/>
          <c:y val="0.74114441416893728"/>
          <c:w val="0.1602723983826346"/>
          <c:h val="0.196910038833701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'POPC Reference'!$A$4</c:f>
              <c:strCache>
                <c:ptCount val="1"/>
                <c:pt idx="0">
                  <c:v>by POPE</c:v>
                </c:pt>
              </c:strCache>
            </c:strRef>
          </c:tx>
          <c:spPr>
            <a:solidFill>
              <a:schemeClr val="bg2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'POPC Reference'!$B$2:$E$3</c:f>
              <c:multiLvlStrCache>
                <c:ptCount val="4"/>
                <c:lvl>
                  <c:pt idx="0">
                    <c:v>WT </c:v>
                  </c:pt>
                  <c:pt idx="1">
                    <c:v>ELIC5</c:v>
                  </c:pt>
                  <c:pt idx="2">
                    <c:v>WT </c:v>
                  </c:pt>
                  <c:pt idx="3">
                    <c:v>ELIC5</c:v>
                  </c:pt>
                </c:lvl>
                <c:lvl>
                  <c:pt idx="0">
                    <c:v>2:1:1 PC:PE:PG</c:v>
                  </c:pt>
                  <c:pt idx="2">
                    <c:v>100% POPC</c:v>
                  </c:pt>
                </c:lvl>
              </c:multiLvlStrCache>
            </c:multiLvlStrRef>
          </c:cat>
          <c:val>
            <c:numRef>
              <c:f>'POPC Reference'!$B$4:$E$4</c:f>
              <c:numCache>
                <c:formatCode>General</c:formatCode>
                <c:ptCount val="4"/>
                <c:pt idx="0">
                  <c:v>-9</c:v>
                </c:pt>
                <c:pt idx="1">
                  <c:v>-2</c:v>
                </c:pt>
                <c:pt idx="2">
                  <c:v>-8</c:v>
                </c:pt>
                <c:pt idx="3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C0-614D-9559-253CFE9B7CB6}"/>
            </c:ext>
          </c:extLst>
        </c:ser>
        <c:ser>
          <c:idx val="1"/>
          <c:order val="1"/>
          <c:tx>
            <c:strRef>
              <c:f>'POPC Reference'!$A$5</c:f>
              <c:strCache>
                <c:ptCount val="1"/>
                <c:pt idx="0">
                  <c:v>by POPG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'POPC Reference'!$B$2:$E$3</c:f>
              <c:multiLvlStrCache>
                <c:ptCount val="4"/>
                <c:lvl>
                  <c:pt idx="0">
                    <c:v>WT </c:v>
                  </c:pt>
                  <c:pt idx="1">
                    <c:v>ELIC5</c:v>
                  </c:pt>
                  <c:pt idx="2">
                    <c:v>WT </c:v>
                  </c:pt>
                  <c:pt idx="3">
                    <c:v>ELIC5</c:v>
                  </c:pt>
                </c:lvl>
                <c:lvl>
                  <c:pt idx="0">
                    <c:v>2:1:1 PC:PE:PG</c:v>
                  </c:pt>
                  <c:pt idx="2">
                    <c:v>100% POPC</c:v>
                  </c:pt>
                </c:lvl>
              </c:multiLvlStrCache>
            </c:multiLvlStrRef>
          </c:cat>
          <c:val>
            <c:numRef>
              <c:f>'POPC Reference'!$B$5:$E$5</c:f>
              <c:numCache>
                <c:formatCode>General</c:formatCode>
                <c:ptCount val="4"/>
                <c:pt idx="0">
                  <c:v>-11</c:v>
                </c:pt>
                <c:pt idx="1">
                  <c:v>-7</c:v>
                </c:pt>
                <c:pt idx="2">
                  <c:v>-8</c:v>
                </c:pt>
                <c:pt idx="3">
                  <c:v>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C0-614D-9559-253CFE9B7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8"/>
        <c:overlap val="7"/>
        <c:axId val="821268063"/>
        <c:axId val="839134575"/>
      </c:barChart>
      <c:catAx>
        <c:axId val="8212680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high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39134575"/>
        <c:crossesAt val="0"/>
        <c:auto val="1"/>
        <c:lblAlgn val="ctr"/>
        <c:lblOffset val="100"/>
        <c:noMultiLvlLbl val="0"/>
      </c:catAx>
      <c:valAx>
        <c:axId val="8391345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latin typeface="Arial" panose="020B0604020202020204" pitchFamily="34" charset="0"/>
                    <a:cs typeface="Arial" panose="020B0604020202020204" pitchFamily="34" charset="0"/>
                  </a:rPr>
                  <a:t>POPC</a:t>
                </a:r>
                <a:r>
                  <a:rPr lang="en-US" sz="1400" baseline="0">
                    <a:latin typeface="Arial" panose="020B0604020202020204" pitchFamily="34" charset="0"/>
                    <a:cs typeface="Arial" panose="020B0604020202020204" pitchFamily="34" charset="0"/>
                  </a:rPr>
                  <a:t> Displacement Free Energy (kcal/mol)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21268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9669777764265948"/>
          <c:y val="0.74114441416893728"/>
          <c:w val="0.1602723983826346"/>
          <c:h val="0.196910038833701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'POPE Reference'!$A$4</c:f>
              <c:strCache>
                <c:ptCount val="1"/>
                <c:pt idx="0">
                  <c:v>by POPE</c:v>
                </c:pt>
              </c:strCache>
            </c:strRef>
          </c:tx>
          <c:spPr>
            <a:solidFill>
              <a:schemeClr val="bg2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'POPE Reference'!$B$2:$E$3</c:f>
              <c:multiLvlStrCache>
                <c:ptCount val="4"/>
                <c:lvl>
                  <c:pt idx="0">
                    <c:v>WT </c:v>
                  </c:pt>
                  <c:pt idx="1">
                    <c:v>ELIC5</c:v>
                  </c:pt>
                  <c:pt idx="2">
                    <c:v>WT </c:v>
                  </c:pt>
                  <c:pt idx="3">
                    <c:v>ELIC5</c:v>
                  </c:pt>
                </c:lvl>
                <c:lvl>
                  <c:pt idx="0">
                    <c:v>2:1:1 PC:PE:PG</c:v>
                  </c:pt>
                  <c:pt idx="2">
                    <c:v>100% POPC</c:v>
                  </c:pt>
                </c:lvl>
              </c:multiLvlStrCache>
            </c:multiLvlStrRef>
          </c:cat>
          <c:val>
            <c:numRef>
              <c:f>'POPE Reference'!$B$4:$E$4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1A-9C4A-8692-A69901EA71F9}"/>
            </c:ext>
          </c:extLst>
        </c:ser>
        <c:ser>
          <c:idx val="1"/>
          <c:order val="1"/>
          <c:tx>
            <c:strRef>
              <c:f>'POPE Reference'!$A$5</c:f>
              <c:strCache>
                <c:ptCount val="1"/>
                <c:pt idx="0">
                  <c:v>by POPG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'POPE Reference'!$B$2:$E$3</c:f>
              <c:multiLvlStrCache>
                <c:ptCount val="4"/>
                <c:lvl>
                  <c:pt idx="0">
                    <c:v>WT </c:v>
                  </c:pt>
                  <c:pt idx="1">
                    <c:v>ELIC5</c:v>
                  </c:pt>
                  <c:pt idx="2">
                    <c:v>WT </c:v>
                  </c:pt>
                  <c:pt idx="3">
                    <c:v>ELIC5</c:v>
                  </c:pt>
                </c:lvl>
                <c:lvl>
                  <c:pt idx="0">
                    <c:v>2:1:1 PC:PE:PG</c:v>
                  </c:pt>
                  <c:pt idx="2">
                    <c:v>100% POPC</c:v>
                  </c:pt>
                </c:lvl>
              </c:multiLvlStrCache>
            </c:multiLvlStrRef>
          </c:cat>
          <c:val>
            <c:numRef>
              <c:f>'POPE Reference'!$B$5:$E$5</c:f>
              <c:numCache>
                <c:formatCode>General</c:formatCode>
                <c:ptCount val="4"/>
                <c:pt idx="0">
                  <c:v>-2</c:v>
                </c:pt>
                <c:pt idx="1">
                  <c:v>-5</c:v>
                </c:pt>
                <c:pt idx="2">
                  <c:v>0</c:v>
                </c:pt>
                <c:pt idx="3">
                  <c:v>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1A-9C4A-8692-A69901EA71F9}"/>
            </c:ext>
          </c:extLst>
        </c:ser>
        <c:ser>
          <c:idx val="2"/>
          <c:order val="2"/>
          <c:tx>
            <c:strRef>
              <c:f>'POPE Reference'!$A$6</c:f>
              <c:strCache>
                <c:ptCount val="1"/>
                <c:pt idx="0">
                  <c:v>by POPC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'POPE Reference'!$B$2:$E$3</c:f>
              <c:multiLvlStrCache>
                <c:ptCount val="4"/>
                <c:lvl>
                  <c:pt idx="0">
                    <c:v>WT </c:v>
                  </c:pt>
                  <c:pt idx="1">
                    <c:v>ELIC5</c:v>
                  </c:pt>
                  <c:pt idx="2">
                    <c:v>WT </c:v>
                  </c:pt>
                  <c:pt idx="3">
                    <c:v>ELIC5</c:v>
                  </c:pt>
                </c:lvl>
                <c:lvl>
                  <c:pt idx="0">
                    <c:v>2:1:1 PC:PE:PG</c:v>
                  </c:pt>
                  <c:pt idx="2">
                    <c:v>100% POPC</c:v>
                  </c:pt>
                </c:lvl>
              </c:multiLvlStrCache>
            </c:multiLvlStrRef>
          </c:cat>
          <c:val>
            <c:numRef>
              <c:f>'POPE Reference'!$B$6:$E$6</c:f>
              <c:numCache>
                <c:formatCode>General</c:formatCode>
                <c:ptCount val="4"/>
                <c:pt idx="0">
                  <c:v>9</c:v>
                </c:pt>
                <c:pt idx="1">
                  <c:v>2</c:v>
                </c:pt>
                <c:pt idx="2">
                  <c:v>8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1A-9C4A-8692-A69901EA7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8"/>
        <c:axId val="821268063"/>
        <c:axId val="839134575"/>
      </c:barChart>
      <c:catAx>
        <c:axId val="8212680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high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39134575"/>
        <c:crossesAt val="0"/>
        <c:auto val="1"/>
        <c:lblAlgn val="ctr"/>
        <c:lblOffset val="100"/>
        <c:noMultiLvlLbl val="0"/>
      </c:catAx>
      <c:valAx>
        <c:axId val="8391345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latin typeface="Arial" panose="020B0604020202020204" pitchFamily="34" charset="0"/>
                    <a:cs typeface="Arial" panose="020B0604020202020204" pitchFamily="34" charset="0"/>
                  </a:rPr>
                  <a:t>POPC</a:t>
                </a:r>
                <a:r>
                  <a:rPr lang="en-US" sz="1400" baseline="0">
                    <a:latin typeface="Arial" panose="020B0604020202020204" pitchFamily="34" charset="0"/>
                    <a:cs typeface="Arial" panose="020B0604020202020204" pitchFamily="34" charset="0"/>
                  </a:rPr>
                  <a:t> Displacement Free Energy (kcal/mol)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21268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6580974675462865"/>
          <c:y val="0.9073569482288828"/>
          <c:w val="0.23419025324537135"/>
          <c:h val="6.4567358235533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'POPG Reference'!$A$4</c:f>
              <c:strCache>
                <c:ptCount val="1"/>
                <c:pt idx="0">
                  <c:v>by POPE</c:v>
                </c:pt>
              </c:strCache>
            </c:strRef>
          </c:tx>
          <c:spPr>
            <a:solidFill>
              <a:schemeClr val="bg2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'POPG Reference'!$B$2:$E$3</c:f>
              <c:multiLvlStrCache>
                <c:ptCount val="4"/>
                <c:lvl>
                  <c:pt idx="0">
                    <c:v>WT </c:v>
                  </c:pt>
                  <c:pt idx="1">
                    <c:v>ELIC5</c:v>
                  </c:pt>
                  <c:pt idx="2">
                    <c:v>WT </c:v>
                  </c:pt>
                  <c:pt idx="3">
                    <c:v>ELIC5</c:v>
                  </c:pt>
                </c:lvl>
                <c:lvl>
                  <c:pt idx="0">
                    <c:v>2:1:1 PC:PE:PG</c:v>
                  </c:pt>
                  <c:pt idx="2">
                    <c:v>100% POPC</c:v>
                  </c:pt>
                </c:lvl>
              </c:multiLvlStrCache>
            </c:multiLvlStrRef>
          </c:cat>
          <c:val>
            <c:numRef>
              <c:f>'POPG Reference'!$B$4:$E$4</c:f>
              <c:numCache>
                <c:formatCode>General</c:formatCode>
                <c:ptCount val="4"/>
                <c:pt idx="0">
                  <c:v>2</c:v>
                </c:pt>
                <c:pt idx="1">
                  <c:v>5</c:v>
                </c:pt>
                <c:pt idx="2">
                  <c:v>0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C5-3343-B0DF-3CAFBC8288D0}"/>
            </c:ext>
          </c:extLst>
        </c:ser>
        <c:ser>
          <c:idx val="1"/>
          <c:order val="1"/>
          <c:tx>
            <c:strRef>
              <c:f>'POPG Reference'!$A$6</c:f>
              <c:strCache>
                <c:ptCount val="1"/>
                <c:pt idx="0">
                  <c:v>by POPC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'POPG Reference'!$B$2:$E$3</c:f>
              <c:multiLvlStrCache>
                <c:ptCount val="4"/>
                <c:lvl>
                  <c:pt idx="0">
                    <c:v>WT </c:v>
                  </c:pt>
                  <c:pt idx="1">
                    <c:v>ELIC5</c:v>
                  </c:pt>
                  <c:pt idx="2">
                    <c:v>WT </c:v>
                  </c:pt>
                  <c:pt idx="3">
                    <c:v>ELIC5</c:v>
                  </c:pt>
                </c:lvl>
                <c:lvl>
                  <c:pt idx="0">
                    <c:v>2:1:1 PC:PE:PG</c:v>
                  </c:pt>
                  <c:pt idx="2">
                    <c:v>100% POPC</c:v>
                  </c:pt>
                </c:lvl>
              </c:multiLvlStrCache>
            </c:multiLvlStrRef>
          </c:cat>
          <c:val>
            <c:numRef>
              <c:f>'POPG Reference'!$B$6:$E$6</c:f>
              <c:numCache>
                <c:formatCode>General</c:formatCode>
                <c:ptCount val="4"/>
                <c:pt idx="0">
                  <c:v>11</c:v>
                </c:pt>
                <c:pt idx="1">
                  <c:v>7</c:v>
                </c:pt>
                <c:pt idx="2">
                  <c:v>8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C5-3343-B0DF-3CAFBC828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8"/>
        <c:overlap val="7"/>
        <c:axId val="821268063"/>
        <c:axId val="839134575"/>
      </c:barChart>
      <c:catAx>
        <c:axId val="8212680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39134575"/>
        <c:crossesAt val="0"/>
        <c:auto val="1"/>
        <c:lblAlgn val="ctr"/>
        <c:lblOffset val="100"/>
        <c:noMultiLvlLbl val="0"/>
      </c:catAx>
      <c:valAx>
        <c:axId val="8391345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latin typeface="Arial" panose="020B0604020202020204" pitchFamily="34" charset="0"/>
                    <a:cs typeface="Arial" panose="020B0604020202020204" pitchFamily="34" charset="0"/>
                  </a:rPr>
                  <a:t>POPG</a:t>
                </a:r>
                <a:r>
                  <a:rPr lang="en-US" sz="1400" baseline="0">
                    <a:latin typeface="Arial" panose="020B0604020202020204" pitchFamily="34" charset="0"/>
                    <a:cs typeface="Arial" panose="020B0604020202020204" pitchFamily="34" charset="0"/>
                  </a:rPr>
                  <a:t> Displacement Free Energy (kcal/mol)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21268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8743136837625038"/>
          <c:y val="0.10354223433242507"/>
          <c:w val="0.1602723983826346"/>
          <c:h val="0.196910038833701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8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8.png"/><Relationship Id="rId1" Type="http://schemas.openxmlformats.org/officeDocument/2006/relationships/chart" Target="../charts/chart8.xml"/><Relationship Id="rId4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6</xdr:row>
      <xdr:rowOff>209550</xdr:rowOff>
    </xdr:from>
    <xdr:to>
      <xdr:col>6</xdr:col>
      <xdr:colOff>419100</xdr:colOff>
      <xdr:row>18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CD26531-F2C1-6846-B4E4-254CFC7CDA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273050</xdr:colOff>
      <xdr:row>0</xdr:row>
      <xdr:rowOff>787400</xdr:rowOff>
    </xdr:from>
    <xdr:to>
      <xdr:col>9</xdr:col>
      <xdr:colOff>510117</xdr:colOff>
      <xdr:row>0</xdr:row>
      <xdr:rowOff>1219200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9568898-39EC-E54D-94E1-7A8A6841C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4650" y="787400"/>
          <a:ext cx="237067" cy="431800"/>
        </a:xfrm>
        <a:prstGeom prst="rect">
          <a:avLst/>
        </a:prstGeom>
      </xdr:spPr>
    </xdr:pic>
    <xdr:clientData/>
  </xdr:twoCellAnchor>
  <xdr:twoCellAnchor editAs="oneCell">
    <xdr:from>
      <xdr:col>10</xdr:col>
      <xdr:colOff>82550</xdr:colOff>
      <xdr:row>0</xdr:row>
      <xdr:rowOff>596900</xdr:rowOff>
    </xdr:from>
    <xdr:to>
      <xdr:col>10</xdr:col>
      <xdr:colOff>908050</xdr:colOff>
      <xdr:row>0</xdr:row>
      <xdr:rowOff>1318595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5412B69-B1C2-3749-937F-DA507A927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46950" y="596900"/>
          <a:ext cx="825500" cy="721695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0</xdr:row>
      <xdr:rowOff>869950</xdr:rowOff>
    </xdr:from>
    <xdr:to>
      <xdr:col>8</xdr:col>
      <xdr:colOff>367274</xdr:colOff>
      <xdr:row>0</xdr:row>
      <xdr:rowOff>1339850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11C49DD-4FA1-8C49-927C-9167F2EC9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10200" y="869950"/>
          <a:ext cx="773674" cy="46990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0</xdr:row>
      <xdr:rowOff>673101</xdr:rowOff>
    </xdr:from>
    <xdr:to>
      <xdr:col>6</xdr:col>
      <xdr:colOff>613767</xdr:colOff>
      <xdr:row>0</xdr:row>
      <xdr:rowOff>1022350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834BEDE-AB59-904A-83B4-1B2F1CD26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24300" y="673101"/>
          <a:ext cx="1236067" cy="349249"/>
        </a:xfrm>
        <a:prstGeom prst="rect">
          <a:avLst/>
        </a:prstGeom>
      </xdr:spPr>
    </xdr:pic>
    <xdr:clientData/>
  </xdr:twoCellAnchor>
  <xdr:twoCellAnchor editAs="oneCell">
    <xdr:from>
      <xdr:col>2</xdr:col>
      <xdr:colOff>215899</xdr:colOff>
      <xdr:row>0</xdr:row>
      <xdr:rowOff>463550</xdr:rowOff>
    </xdr:from>
    <xdr:to>
      <xdr:col>2</xdr:col>
      <xdr:colOff>617386</xdr:colOff>
      <xdr:row>0</xdr:row>
      <xdr:rowOff>1181100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9CA1A34-5394-1042-994E-87C549F65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04999" y="463550"/>
          <a:ext cx="401487" cy="717550"/>
        </a:xfrm>
        <a:prstGeom prst="rect">
          <a:avLst/>
        </a:prstGeom>
      </xdr:spPr>
    </xdr:pic>
    <xdr:clientData/>
  </xdr:twoCellAnchor>
  <xdr:twoCellAnchor editAs="oneCell">
    <xdr:from>
      <xdr:col>3</xdr:col>
      <xdr:colOff>82550</xdr:colOff>
      <xdr:row>0</xdr:row>
      <xdr:rowOff>609600</xdr:rowOff>
    </xdr:from>
    <xdr:to>
      <xdr:col>4</xdr:col>
      <xdr:colOff>451931</xdr:colOff>
      <xdr:row>0</xdr:row>
      <xdr:rowOff>1009650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C963275-3455-D44D-8AF8-279FEE8CC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24150" y="609600"/>
          <a:ext cx="1004381" cy="400050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0</xdr:row>
      <xdr:rowOff>660400</xdr:rowOff>
    </xdr:from>
    <xdr:to>
      <xdr:col>11</xdr:col>
      <xdr:colOff>1252855</xdr:colOff>
      <xdr:row>0</xdr:row>
      <xdr:rowOff>1352550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BE40592-0926-2C4E-8F3F-4972CF045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382000" y="660400"/>
          <a:ext cx="1176655" cy="6921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273050</xdr:colOff>
      <xdr:row>0</xdr:row>
      <xdr:rowOff>787400</xdr:rowOff>
    </xdr:from>
    <xdr:to>
      <xdr:col>9</xdr:col>
      <xdr:colOff>510117</xdr:colOff>
      <xdr:row>0</xdr:row>
      <xdr:rowOff>1219200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818398-7728-0B44-9462-FDCDA4362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4650" y="787400"/>
          <a:ext cx="237067" cy="431800"/>
        </a:xfrm>
        <a:prstGeom prst="rect">
          <a:avLst/>
        </a:prstGeom>
      </xdr:spPr>
    </xdr:pic>
    <xdr:clientData/>
  </xdr:twoCellAnchor>
  <xdr:twoCellAnchor editAs="oneCell">
    <xdr:from>
      <xdr:col>12</xdr:col>
      <xdr:colOff>82550</xdr:colOff>
      <xdr:row>0</xdr:row>
      <xdr:rowOff>596900</xdr:rowOff>
    </xdr:from>
    <xdr:to>
      <xdr:col>12</xdr:col>
      <xdr:colOff>908050</xdr:colOff>
      <xdr:row>0</xdr:row>
      <xdr:rowOff>1318595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D79AEB-B6F5-1D4C-B319-A8248F9F2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72550" y="596900"/>
          <a:ext cx="825500" cy="721695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0</xdr:row>
      <xdr:rowOff>869950</xdr:rowOff>
    </xdr:from>
    <xdr:to>
      <xdr:col>8</xdr:col>
      <xdr:colOff>367274</xdr:colOff>
      <xdr:row>0</xdr:row>
      <xdr:rowOff>1339850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C183F89-9E2D-404C-8AE9-483F26BA3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10200" y="869950"/>
          <a:ext cx="773674" cy="46990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0</xdr:row>
      <xdr:rowOff>673101</xdr:rowOff>
    </xdr:from>
    <xdr:to>
      <xdr:col>6</xdr:col>
      <xdr:colOff>613767</xdr:colOff>
      <xdr:row>0</xdr:row>
      <xdr:rowOff>1022350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7B458B5-4455-3D4C-8148-B4C67E250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24300" y="673101"/>
          <a:ext cx="1236067" cy="349249"/>
        </a:xfrm>
        <a:prstGeom prst="rect">
          <a:avLst/>
        </a:prstGeom>
      </xdr:spPr>
    </xdr:pic>
    <xdr:clientData/>
  </xdr:twoCellAnchor>
  <xdr:twoCellAnchor editAs="oneCell">
    <xdr:from>
      <xdr:col>2</xdr:col>
      <xdr:colOff>215899</xdr:colOff>
      <xdr:row>0</xdr:row>
      <xdr:rowOff>463550</xdr:rowOff>
    </xdr:from>
    <xdr:to>
      <xdr:col>2</xdr:col>
      <xdr:colOff>617386</xdr:colOff>
      <xdr:row>0</xdr:row>
      <xdr:rowOff>1181100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BD131E8-B68A-964F-95A9-3B170C862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04999" y="463550"/>
          <a:ext cx="401487" cy="717550"/>
        </a:xfrm>
        <a:prstGeom prst="rect">
          <a:avLst/>
        </a:prstGeom>
      </xdr:spPr>
    </xdr:pic>
    <xdr:clientData/>
  </xdr:twoCellAnchor>
  <xdr:twoCellAnchor editAs="oneCell">
    <xdr:from>
      <xdr:col>3</xdr:col>
      <xdr:colOff>82550</xdr:colOff>
      <xdr:row>0</xdr:row>
      <xdr:rowOff>609600</xdr:rowOff>
    </xdr:from>
    <xdr:to>
      <xdr:col>4</xdr:col>
      <xdr:colOff>451931</xdr:colOff>
      <xdr:row>0</xdr:row>
      <xdr:rowOff>1009650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9636BFD-A520-8A44-96CB-146EC89CB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24150" y="609600"/>
          <a:ext cx="1004381" cy="400050"/>
        </a:xfrm>
        <a:prstGeom prst="rect">
          <a:avLst/>
        </a:prstGeom>
      </xdr:spPr>
    </xdr:pic>
    <xdr:clientData/>
  </xdr:twoCellAnchor>
  <xdr:twoCellAnchor editAs="oneCell">
    <xdr:from>
      <xdr:col>13</xdr:col>
      <xdr:colOff>76200</xdr:colOff>
      <xdr:row>0</xdr:row>
      <xdr:rowOff>660400</xdr:rowOff>
    </xdr:from>
    <xdr:to>
      <xdr:col>13</xdr:col>
      <xdr:colOff>1252855</xdr:colOff>
      <xdr:row>0</xdr:row>
      <xdr:rowOff>1352550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91C9876-9F1A-344B-854D-DA64ABDC6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007600" y="660400"/>
          <a:ext cx="1176655" cy="6921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808566</xdr:colOff>
      <xdr:row>16</xdr:row>
      <xdr:rowOff>196850</xdr:rowOff>
    </xdr:from>
    <xdr:to>
      <xdr:col>25</xdr:col>
      <xdr:colOff>575733</xdr:colOff>
      <xdr:row>38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F6CBA9-5E08-4D45-BEC2-556A0525B6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347134</xdr:colOff>
      <xdr:row>0</xdr:row>
      <xdr:rowOff>76199</xdr:rowOff>
    </xdr:from>
    <xdr:to>
      <xdr:col>9</xdr:col>
      <xdr:colOff>1181101</xdr:colOff>
      <xdr:row>21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DCA6DB-5F00-4448-A247-BAA1F94F49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465667</xdr:colOff>
      <xdr:row>2</xdr:row>
      <xdr:rowOff>76200</xdr:rowOff>
    </xdr:from>
    <xdr:to>
      <xdr:col>15</xdr:col>
      <xdr:colOff>1011767</xdr:colOff>
      <xdr:row>23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9C1981-DA48-7042-B6C6-9ADA90DAB7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601134</xdr:colOff>
      <xdr:row>24</xdr:row>
      <xdr:rowOff>84667</xdr:rowOff>
    </xdr:from>
    <xdr:to>
      <xdr:col>15</xdr:col>
      <xdr:colOff>1147234</xdr:colOff>
      <xdr:row>45</xdr:row>
      <xdr:rowOff>103717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56A5E16-5BBE-9248-9271-4D9A55DDF2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406400</xdr:colOff>
      <xdr:row>1</xdr:row>
      <xdr:rowOff>19050</xdr:rowOff>
    </xdr:from>
    <xdr:to>
      <xdr:col>13</xdr:col>
      <xdr:colOff>177800</xdr:colOff>
      <xdr:row>22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13BD11-C5C0-E049-80F9-5B2B944824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0</xdr:row>
      <xdr:rowOff>76200</xdr:rowOff>
    </xdr:from>
    <xdr:to>
      <xdr:col>16</xdr:col>
      <xdr:colOff>190500</xdr:colOff>
      <xdr:row>21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817D98-8C7D-B445-A297-C7E6604E52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571500</xdr:colOff>
      <xdr:row>1</xdr:row>
      <xdr:rowOff>25400</xdr:rowOff>
    </xdr:from>
    <xdr:to>
      <xdr:col>15</xdr:col>
      <xdr:colOff>571500</xdr:colOff>
      <xdr:row>17</xdr:row>
      <xdr:rowOff>50800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E4CD02D-4288-694F-9B06-02B06D72A281}"/>
            </a:ext>
          </a:extLst>
        </xdr:cNvPr>
        <xdr:cNvCxnSpPr/>
      </xdr:nvCxnSpPr>
      <xdr:spPr>
        <a:xfrm flipV="1">
          <a:off x="16027400" y="228600"/>
          <a:ext cx="0" cy="3276600"/>
        </a:xfrm>
        <a:prstGeom prst="line">
          <a:avLst/>
        </a:prstGeom>
        <a:ln w="12700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0.77803</cdr:x>
      <cdr:y>0.03259</cdr:y>
    </cdr:from>
    <cdr:to>
      <cdr:x>0.77803</cdr:x>
      <cdr:y>0.8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BC1E8AC4-1EF6-E143-A6B7-7FDFD214C631}"/>
            </a:ext>
          </a:extLst>
        </cdr:cNvPr>
        <cdr:cNvCxnSpPr/>
      </cdr:nvCxnSpPr>
      <cdr:spPr>
        <a:xfrm xmlns:a="http://schemas.openxmlformats.org/drawingml/2006/main" flipV="1">
          <a:off x="4318000" y="139700"/>
          <a:ext cx="0" cy="328930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rgbClr val="C00000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76199</xdr:colOff>
      <xdr:row>0</xdr:row>
      <xdr:rowOff>685800</xdr:rowOff>
    </xdr:from>
    <xdr:to>
      <xdr:col>8</xdr:col>
      <xdr:colOff>577460</xdr:colOff>
      <xdr:row>0</xdr:row>
      <xdr:rowOff>1092200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8830A7-F03D-234C-BA42-929A933CD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599" y="685800"/>
          <a:ext cx="1136261" cy="406400"/>
        </a:xfrm>
        <a:prstGeom prst="rect">
          <a:avLst/>
        </a:prstGeom>
      </xdr:spPr>
    </xdr:pic>
    <xdr:clientData/>
  </xdr:twoCellAnchor>
  <xdr:twoCellAnchor editAs="oneCell">
    <xdr:from>
      <xdr:col>9</xdr:col>
      <xdr:colOff>279400</xdr:colOff>
      <xdr:row>0</xdr:row>
      <xdr:rowOff>533400</xdr:rowOff>
    </xdr:from>
    <xdr:to>
      <xdr:col>9</xdr:col>
      <xdr:colOff>609600</xdr:colOff>
      <xdr:row>0</xdr:row>
      <xdr:rowOff>1134836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79F1E5-BFF7-894F-BEBB-E0AFB74BB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54800" y="533400"/>
          <a:ext cx="330200" cy="601436"/>
        </a:xfrm>
        <a:prstGeom prst="rect">
          <a:avLst/>
        </a:prstGeom>
      </xdr:spPr>
    </xdr:pic>
    <xdr:clientData/>
  </xdr:twoCellAnchor>
  <xdr:twoCellAnchor editAs="oneCell">
    <xdr:from>
      <xdr:col>11</xdr:col>
      <xdr:colOff>431800</xdr:colOff>
      <xdr:row>0</xdr:row>
      <xdr:rowOff>412750</xdr:rowOff>
    </xdr:from>
    <xdr:to>
      <xdr:col>12</xdr:col>
      <xdr:colOff>431800</xdr:colOff>
      <xdr:row>0</xdr:row>
      <xdr:rowOff>1134445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74AD79F-1DE2-2243-B224-08AB9B948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47000" y="412750"/>
          <a:ext cx="825500" cy="72169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76199</xdr:colOff>
      <xdr:row>0</xdr:row>
      <xdr:rowOff>685800</xdr:rowOff>
    </xdr:from>
    <xdr:to>
      <xdr:col>8</xdr:col>
      <xdr:colOff>577460</xdr:colOff>
      <xdr:row>0</xdr:row>
      <xdr:rowOff>1092200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A842F0-4191-8147-9BD4-BFF58863E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599" y="685800"/>
          <a:ext cx="1136261" cy="406400"/>
        </a:xfrm>
        <a:prstGeom prst="rect">
          <a:avLst/>
        </a:prstGeom>
      </xdr:spPr>
    </xdr:pic>
    <xdr:clientData/>
  </xdr:twoCellAnchor>
  <xdr:twoCellAnchor editAs="oneCell">
    <xdr:from>
      <xdr:col>9</xdr:col>
      <xdr:colOff>279400</xdr:colOff>
      <xdr:row>0</xdr:row>
      <xdr:rowOff>533400</xdr:rowOff>
    </xdr:from>
    <xdr:to>
      <xdr:col>9</xdr:col>
      <xdr:colOff>609600</xdr:colOff>
      <xdr:row>0</xdr:row>
      <xdr:rowOff>1134836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15E85B-2068-9C44-9D3D-FB68DDEEA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54800" y="533400"/>
          <a:ext cx="330200" cy="601436"/>
        </a:xfrm>
        <a:prstGeom prst="rect">
          <a:avLst/>
        </a:prstGeom>
      </xdr:spPr>
    </xdr:pic>
    <xdr:clientData/>
  </xdr:twoCellAnchor>
  <xdr:twoCellAnchor editAs="oneCell">
    <xdr:from>
      <xdr:col>11</xdr:col>
      <xdr:colOff>431800</xdr:colOff>
      <xdr:row>0</xdr:row>
      <xdr:rowOff>412750</xdr:rowOff>
    </xdr:from>
    <xdr:to>
      <xdr:col>12</xdr:col>
      <xdr:colOff>431800</xdr:colOff>
      <xdr:row>0</xdr:row>
      <xdr:rowOff>1134445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531CD83-6DA8-364B-8CFB-2831AB4AE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47000" y="412750"/>
          <a:ext cx="825500" cy="72169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69850</xdr:colOff>
      <xdr:row>28</xdr:row>
      <xdr:rowOff>12700</xdr:rowOff>
    </xdr:from>
    <xdr:to>
      <xdr:col>15</xdr:col>
      <xdr:colOff>38100</xdr:colOff>
      <xdr:row>51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333248-A6F9-CD49-8BE3-19760539C8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63499</xdr:colOff>
      <xdr:row>0</xdr:row>
      <xdr:rowOff>292100</xdr:rowOff>
    </xdr:from>
    <xdr:to>
      <xdr:col>14</xdr:col>
      <xdr:colOff>564760</xdr:colOff>
      <xdr:row>0</xdr:row>
      <xdr:rowOff>698500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FDF35D6-D948-234A-90EB-F95C06EF6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75599" y="292100"/>
          <a:ext cx="1136261" cy="406400"/>
        </a:xfrm>
        <a:prstGeom prst="rect">
          <a:avLst/>
        </a:prstGeom>
      </xdr:spPr>
    </xdr:pic>
    <xdr:clientData/>
  </xdr:twoCellAnchor>
  <xdr:twoCellAnchor editAs="oneCell">
    <xdr:from>
      <xdr:col>17</xdr:col>
      <xdr:colOff>666750</xdr:colOff>
      <xdr:row>0</xdr:row>
      <xdr:rowOff>171450</xdr:rowOff>
    </xdr:from>
    <xdr:to>
      <xdr:col>18</xdr:col>
      <xdr:colOff>323850</xdr:colOff>
      <xdr:row>0</xdr:row>
      <xdr:rowOff>772886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6F2E5F1-F224-8B4F-A8AD-890C74AD4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09350" y="171450"/>
          <a:ext cx="330200" cy="601436"/>
        </a:xfrm>
        <a:prstGeom prst="rect">
          <a:avLst/>
        </a:prstGeom>
      </xdr:spPr>
    </xdr:pic>
    <xdr:clientData/>
  </xdr:twoCellAnchor>
  <xdr:twoCellAnchor editAs="oneCell">
    <xdr:from>
      <xdr:col>22</xdr:col>
      <xdr:colOff>393700</xdr:colOff>
      <xdr:row>0</xdr:row>
      <xdr:rowOff>12700</xdr:rowOff>
    </xdr:from>
    <xdr:to>
      <xdr:col>23</xdr:col>
      <xdr:colOff>393700</xdr:colOff>
      <xdr:row>0</xdr:row>
      <xdr:rowOff>734395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944103B-04E2-C140-AC47-3E303599C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88500" y="12700"/>
          <a:ext cx="825500" cy="72169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69850</xdr:colOff>
      <xdr:row>25</xdr:row>
      <xdr:rowOff>12700</xdr:rowOff>
    </xdr:from>
    <xdr:to>
      <xdr:col>12</xdr:col>
      <xdr:colOff>38100</xdr:colOff>
      <xdr:row>48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02A866-262F-C04B-91C5-EB9A9A2CEC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603250</xdr:colOff>
      <xdr:row>19</xdr:row>
      <xdr:rowOff>44450</xdr:rowOff>
    </xdr:from>
    <xdr:to>
      <xdr:col>12</xdr:col>
      <xdr:colOff>571500</xdr:colOff>
      <xdr:row>42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67E4CE-3EBE-6647-B9C5-E74F6A69BC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18</xdr:row>
      <xdr:rowOff>6350</xdr:rowOff>
    </xdr:from>
    <xdr:to>
      <xdr:col>12</xdr:col>
      <xdr:colOff>311150</xdr:colOff>
      <xdr:row>41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02701C-F0C1-8347-8BCD-3B9830AAFB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4CDB-8FEE-DB4E-B32C-719310FB75F6}">
  <sheetPr>
    <pageSetUpPr fitToPage="1"/>
  </sheetPr>
  <dimension ref="A1:H7"/>
  <sheetViews>
    <sheetView tabSelected="1" zoomScale="236" zoomScaleNormal="236" workbookViewId="0">
      <pane xSplit="1" topLeftCell="B1" activePane="topRight" state="frozen"/>
      <selection activeCell="G6" sqref="G6"/>
      <selection pane="topRight" activeCell="H13" sqref="H13"/>
    </sheetView>
  </sheetViews>
  <sheetFormatPr baseColWidth="10" defaultRowHeight="16" x14ac:dyDescent="0.2"/>
  <cols>
    <col min="1" max="1" width="5.1640625" customWidth="1"/>
    <col min="2" max="5" width="9.5" customWidth="1"/>
    <col min="6" max="7" width="9.6640625" customWidth="1"/>
  </cols>
  <sheetData>
    <row r="1" spans="1:8" ht="22" customHeight="1" x14ac:dyDescent="0.2">
      <c r="A1" s="99"/>
      <c r="B1" s="116" t="s">
        <v>43</v>
      </c>
      <c r="C1" s="116"/>
      <c r="D1" s="116"/>
      <c r="E1" s="117"/>
      <c r="F1" s="116" t="s">
        <v>44</v>
      </c>
      <c r="G1" s="116"/>
      <c r="H1" s="8"/>
    </row>
    <row r="2" spans="1:8" ht="13" customHeight="1" x14ac:dyDescent="0.2">
      <c r="A2" s="99"/>
      <c r="B2" s="122" t="s">
        <v>6</v>
      </c>
      <c r="C2" s="123"/>
      <c r="D2" s="114" t="s">
        <v>42</v>
      </c>
      <c r="E2" s="115"/>
      <c r="F2" s="118" t="s">
        <v>6</v>
      </c>
      <c r="G2" s="120" t="s">
        <v>42</v>
      </c>
      <c r="H2" s="8"/>
    </row>
    <row r="3" spans="1:8" ht="17" customHeight="1" thickBot="1" x14ac:dyDescent="0.25">
      <c r="A3" s="101"/>
      <c r="B3" s="24" t="s">
        <v>5</v>
      </c>
      <c r="C3" s="100" t="s">
        <v>2</v>
      </c>
      <c r="D3" s="24" t="s">
        <v>5</v>
      </c>
      <c r="E3" s="23" t="s">
        <v>2</v>
      </c>
      <c r="F3" s="119"/>
      <c r="G3" s="121"/>
      <c r="H3" s="8"/>
    </row>
    <row r="4" spans="1:8" ht="17" customHeight="1" thickTop="1" x14ac:dyDescent="0.2">
      <c r="A4" s="101" t="s">
        <v>16</v>
      </c>
      <c r="B4" s="102">
        <f>'ternary breakdown reorganized'!H9</f>
        <v>1.5474394425479026E-8</v>
      </c>
      <c r="C4" s="103">
        <f>'ternary breakdown reorganized'!I9</f>
        <v>1.4069765483712997E-5</v>
      </c>
      <c r="D4" s="104">
        <f>'binary PC-PG reorg'!H$9</f>
        <v>1.6405660823941911E-4</v>
      </c>
      <c r="E4" s="78">
        <f>'binary PC-PG reorg'!I$9</f>
        <v>0.12614593571812802</v>
      </c>
      <c r="F4" s="105">
        <f>'ternary breakdown reorganized'!M9</f>
        <v>2.9586793000178528</v>
      </c>
      <c r="G4" s="108">
        <f>'binary PC-PG reorg'!O$9</f>
        <v>2.88587953403339</v>
      </c>
      <c r="H4" s="8"/>
    </row>
    <row r="5" spans="1:8" ht="17" customHeight="1" x14ac:dyDescent="0.2">
      <c r="A5" s="101" t="s">
        <v>17</v>
      </c>
      <c r="B5" s="83">
        <f>'ternary breakdown reorganized'!H10</f>
        <v>3.261480201866352E-2</v>
      </c>
      <c r="C5" s="106">
        <f>'ternary breakdown reorganized'!I10</f>
        <v>2.0866112635764067E-4</v>
      </c>
      <c r="D5" s="83"/>
      <c r="E5" s="80"/>
      <c r="F5" s="107">
        <f>'ternary breakdown reorganized'!M3</f>
        <v>-2.2082831314194737</v>
      </c>
      <c r="G5" s="109"/>
      <c r="H5" s="8"/>
    </row>
    <row r="6" spans="1:8" ht="17" customHeight="1" x14ac:dyDescent="0.2">
      <c r="A6" s="101" t="s">
        <v>18</v>
      </c>
      <c r="B6" s="83">
        <f>'ternary breakdown reorganized'!H11</f>
        <v>0.96738518250694205</v>
      </c>
      <c r="C6" s="106">
        <f>'ternary breakdown reorganized'!I11</f>
        <v>0.99977726910815867</v>
      </c>
      <c r="D6" s="83">
        <f>'binary PC-PG reorg'!H$11</f>
        <v>0.99983594339176063</v>
      </c>
      <c r="E6" s="80">
        <f>'binary PC-PG reorg'!I$11</f>
        <v>0.87385406428187196</v>
      </c>
      <c r="F6" s="107">
        <f>'ternary breakdown reorganized'!M6</f>
        <v>2.17993832402956</v>
      </c>
      <c r="G6" s="109">
        <f>'binary PC-PG reorg'!O$6</f>
        <v>-5.8489834802216034E-2</v>
      </c>
      <c r="H6" s="8"/>
    </row>
    <row r="7" spans="1:8" ht="17" customHeight="1" x14ac:dyDescent="0.2">
      <c r="A7" s="8"/>
      <c r="D7" s="8"/>
    </row>
  </sheetData>
  <mergeCells count="6">
    <mergeCell ref="D2:E2"/>
    <mergeCell ref="B1:E1"/>
    <mergeCell ref="F1:G1"/>
    <mergeCell ref="F2:F3"/>
    <mergeCell ref="G2:G3"/>
    <mergeCell ref="B2:C2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2820-84A9-A440-A487-D122EFE1CB70}">
  <dimension ref="A1:M15"/>
  <sheetViews>
    <sheetView topLeftCell="A2" zoomScale="236" zoomScaleNormal="172" workbookViewId="0">
      <pane xSplit="2" topLeftCell="C1" activePane="topRight" state="frozen"/>
      <selection activeCell="G6" sqref="G6"/>
      <selection pane="topRight" activeCell="H7" sqref="H7"/>
    </sheetView>
  </sheetViews>
  <sheetFormatPr baseColWidth="10" defaultRowHeight="16" x14ac:dyDescent="0.2"/>
  <cols>
    <col min="2" max="2" width="11.33203125" customWidth="1"/>
    <col min="3" max="3" width="12.5" customWidth="1"/>
    <col min="4" max="9" width="8.33203125" customWidth="1"/>
    <col min="10" max="10" width="10.6640625" customWidth="1"/>
    <col min="11" max="11" width="13.6640625" customWidth="1"/>
    <col min="12" max="12" width="19" customWidth="1"/>
    <col min="13" max="13" width="7.1640625" customWidth="1"/>
  </cols>
  <sheetData>
    <row r="1" spans="1:13" ht="113" customHeight="1" thickBot="1" x14ac:dyDescent="0.25">
      <c r="A1" s="39"/>
      <c r="B1" s="39"/>
      <c r="C1" s="55" t="s">
        <v>35</v>
      </c>
      <c r="D1" s="126" t="s">
        <v>11</v>
      </c>
      <c r="E1" s="127"/>
      <c r="F1" s="126" t="s">
        <v>34</v>
      </c>
      <c r="G1" s="127"/>
      <c r="H1" s="126" t="s">
        <v>33</v>
      </c>
      <c r="I1" s="127"/>
      <c r="J1" s="56" t="s">
        <v>28</v>
      </c>
      <c r="K1" s="56" t="s">
        <v>29</v>
      </c>
      <c r="L1" s="56" t="s">
        <v>36</v>
      </c>
      <c r="M1" s="56" t="s">
        <v>30</v>
      </c>
    </row>
    <row r="2" spans="1:13" ht="36" customHeight="1" thickBot="1" x14ac:dyDescent="0.25">
      <c r="A2" s="21" t="s">
        <v>15</v>
      </c>
      <c r="B2" s="44" t="s">
        <v>14</v>
      </c>
      <c r="C2" s="27" t="s">
        <v>31</v>
      </c>
      <c r="D2" s="22" t="s">
        <v>5</v>
      </c>
      <c r="E2" s="23" t="s">
        <v>2</v>
      </c>
      <c r="F2" s="24" t="s">
        <v>5</v>
      </c>
      <c r="G2" s="25" t="s">
        <v>2</v>
      </c>
      <c r="H2" s="22" t="s">
        <v>5</v>
      </c>
      <c r="I2" s="25" t="s">
        <v>2</v>
      </c>
      <c r="J2" s="17"/>
      <c r="K2" s="17"/>
      <c r="L2" s="53"/>
      <c r="M2" s="53"/>
    </row>
    <row r="3" spans="1:13" ht="19" customHeight="1" thickTop="1" x14ac:dyDescent="0.2">
      <c r="A3" s="128" t="s">
        <v>3</v>
      </c>
      <c r="B3" s="43" t="s">
        <v>16</v>
      </c>
      <c r="C3" s="71">
        <v>0.5</v>
      </c>
      <c r="D3" s="66">
        <f>('POPG Reference'!B4+'ternary breakdown reorganized'!D6)</f>
        <v>-9</v>
      </c>
      <c r="E3" s="67">
        <f>('POPG Reference'!C4+'ternary breakdown reorganized'!E6)</f>
        <v>-2</v>
      </c>
      <c r="F3" s="29">
        <f t="shared" ref="F3:F11" si="0">EXP(-D3/0.59)*$C3</f>
        <v>2107662.5761175086</v>
      </c>
      <c r="G3" s="29">
        <f t="shared" ref="G3:G11" si="1">EXP(-E3/0.59)*$C3</f>
        <v>14.830462284476917</v>
      </c>
      <c r="H3" s="77">
        <f t="shared" ref="H3:I5" si="2">1/(F3+F6+F9+F12)</f>
        <v>1.5474394425479026E-8</v>
      </c>
      <c r="I3" s="78">
        <f t="shared" si="2"/>
        <v>1.4069765483712997E-5</v>
      </c>
      <c r="J3" s="30">
        <f>I$4/H$4</f>
        <v>6.3977431547257669E-3</v>
      </c>
      <c r="K3" s="37">
        <f>(1-I3*G3)/(1-H3*F3)</f>
        <v>1.0334986941705626</v>
      </c>
      <c r="L3" s="57" t="str">
        <f t="shared" ref="L3:L11" si="3">IF(J3&gt;K3,"yes", "no")</f>
        <v>no</v>
      </c>
      <c r="M3" s="74">
        <f t="shared" ref="M3:M11" si="4">LOG(J3/K3)</f>
        <v>-2.2082831314194737</v>
      </c>
    </row>
    <row r="4" spans="1:13" ht="18" customHeight="1" x14ac:dyDescent="0.2">
      <c r="A4" s="129"/>
      <c r="B4" s="41" t="s">
        <v>17</v>
      </c>
      <c r="C4" s="72">
        <v>1</v>
      </c>
      <c r="D4" s="66">
        <v>0</v>
      </c>
      <c r="E4" s="67">
        <v>0</v>
      </c>
      <c r="F4" s="29">
        <f t="shared" si="0"/>
        <v>1</v>
      </c>
      <c r="G4" s="29">
        <f t="shared" si="1"/>
        <v>1</v>
      </c>
      <c r="H4" s="79">
        <f t="shared" si="2"/>
        <v>3.261480201866352E-2</v>
      </c>
      <c r="I4" s="80">
        <f t="shared" si="2"/>
        <v>2.0866112635764067E-4</v>
      </c>
      <c r="J4" s="31">
        <f>I$4/H$4</f>
        <v>6.3977431547257669E-3</v>
      </c>
      <c r="K4" s="40">
        <f>(1-I$4*G4)/(1-H$4*F4)</f>
        <v>1.0334986941705626</v>
      </c>
      <c r="L4" s="58" t="str">
        <f t="shared" si="3"/>
        <v>no</v>
      </c>
      <c r="M4" s="75">
        <f t="shared" si="4"/>
        <v>-2.2082831314194737</v>
      </c>
    </row>
    <row r="5" spans="1:13" ht="18" customHeight="1" thickBot="1" x14ac:dyDescent="0.25">
      <c r="A5" s="130"/>
      <c r="B5" s="42" t="s">
        <v>18</v>
      </c>
      <c r="C5" s="73">
        <v>1</v>
      </c>
      <c r="D5" s="68">
        <v>2</v>
      </c>
      <c r="E5" s="69">
        <v>5</v>
      </c>
      <c r="F5" s="96">
        <f t="shared" si="0"/>
        <v>3.3714390718848408E-2</v>
      </c>
      <c r="G5" s="59">
        <f t="shared" si="1"/>
        <v>2.0870761199019331E-4</v>
      </c>
      <c r="H5" s="81">
        <f t="shared" si="2"/>
        <v>0.96738518250694205</v>
      </c>
      <c r="I5" s="82">
        <f t="shared" si="2"/>
        <v>0.99977726910815867</v>
      </c>
      <c r="J5" s="60">
        <f>I$4/H$4</f>
        <v>6.3977431547257669E-3</v>
      </c>
      <c r="K5" s="62">
        <f>(1-I$5*G5)/(1-H$5*F5)</f>
        <v>1.0334986941705626</v>
      </c>
      <c r="L5" s="61" t="str">
        <f t="shared" si="3"/>
        <v>no</v>
      </c>
      <c r="M5" s="76">
        <f t="shared" si="4"/>
        <v>-2.2082831314194737</v>
      </c>
    </row>
    <row r="6" spans="1:13" ht="19" customHeight="1" x14ac:dyDescent="0.2">
      <c r="A6" s="129" t="s">
        <v>21</v>
      </c>
      <c r="B6" s="41" t="s">
        <v>16</v>
      </c>
      <c r="C6" s="72">
        <v>0.5</v>
      </c>
      <c r="D6" s="66">
        <f>-'POPG Reference'!B6</f>
        <v>-11</v>
      </c>
      <c r="E6" s="67">
        <f>-'POPG Reference'!C6</f>
        <v>-7</v>
      </c>
      <c r="F6" s="29">
        <f t="shared" si="0"/>
        <v>62515220.687028311</v>
      </c>
      <c r="G6" s="29">
        <f t="shared" si="1"/>
        <v>71058.559594720296</v>
      </c>
      <c r="H6" s="113">
        <f>1/(F3+F6+F9+F12)</f>
        <v>1.5474394425479026E-8</v>
      </c>
      <c r="I6" s="98">
        <f t="shared" ref="H6:I8" si="5">1/(G3+G6+G9+G12)</f>
        <v>1.4069765483712997E-5</v>
      </c>
      <c r="J6" s="31">
        <f>I$5/H$5</f>
        <v>1.0334841665832359</v>
      </c>
      <c r="K6" s="58">
        <f>(1-I$3*G6)/(1-H$3*F6)</f>
        <v>6.8291319394546595E-3</v>
      </c>
      <c r="L6" s="38" t="str">
        <f t="shared" si="3"/>
        <v>yes</v>
      </c>
      <c r="M6" s="72">
        <f t="shared" si="4"/>
        <v>2.17993832402956</v>
      </c>
    </row>
    <row r="7" spans="1:13" ht="18" customHeight="1" x14ac:dyDescent="0.2">
      <c r="A7" s="129"/>
      <c r="B7" s="41" t="s">
        <v>17</v>
      </c>
      <c r="C7" s="72">
        <v>1</v>
      </c>
      <c r="D7" s="66">
        <v>-2</v>
      </c>
      <c r="E7" s="67">
        <v>-5</v>
      </c>
      <c r="F7" s="29">
        <f t="shared" si="0"/>
        <v>29.660924568953835</v>
      </c>
      <c r="G7" s="29">
        <f t="shared" si="1"/>
        <v>4791.3920841899508</v>
      </c>
      <c r="H7" s="79">
        <f>1/(F4+F7+F10+F13)</f>
        <v>3.261480201866352E-2</v>
      </c>
      <c r="I7" s="80">
        <f t="shared" si="5"/>
        <v>2.0866112635764067E-4</v>
      </c>
      <c r="J7" s="31">
        <f>I$5/H$5</f>
        <v>1.0334841665832359</v>
      </c>
      <c r="K7" s="58">
        <f>(1-I$4*G7)/(1-H$4*F7)</f>
        <v>6.8291319394580639E-3</v>
      </c>
      <c r="L7" s="38" t="str">
        <f t="shared" si="3"/>
        <v>yes</v>
      </c>
      <c r="M7" s="72">
        <f t="shared" si="4"/>
        <v>2.1799383240293433</v>
      </c>
    </row>
    <row r="8" spans="1:13" ht="18" customHeight="1" thickBot="1" x14ac:dyDescent="0.25">
      <c r="A8" s="130"/>
      <c r="B8" s="42" t="s">
        <v>18</v>
      </c>
      <c r="C8" s="73">
        <v>1</v>
      </c>
      <c r="D8" s="68">
        <v>0</v>
      </c>
      <c r="E8" s="69">
        <v>0</v>
      </c>
      <c r="F8" s="96">
        <f t="shared" si="0"/>
        <v>1</v>
      </c>
      <c r="G8" s="59">
        <f t="shared" si="1"/>
        <v>1</v>
      </c>
      <c r="H8" s="81">
        <f t="shared" si="5"/>
        <v>0.96738518250694205</v>
      </c>
      <c r="I8" s="82">
        <f t="shared" si="5"/>
        <v>0.99977726910815867</v>
      </c>
      <c r="J8" s="60">
        <f>I$5/H$5</f>
        <v>1.0334841665832359</v>
      </c>
      <c r="K8" s="61">
        <f>(1-I$5*G8)/(1-H$5*F8)</f>
        <v>6.8291319394546829E-3</v>
      </c>
      <c r="L8" s="61" t="str">
        <f t="shared" si="3"/>
        <v>yes</v>
      </c>
      <c r="M8" s="73">
        <f t="shared" si="4"/>
        <v>2.1799383240295582</v>
      </c>
    </row>
    <row r="9" spans="1:13" ht="19" customHeight="1" x14ac:dyDescent="0.2">
      <c r="A9" s="124" t="s">
        <v>4</v>
      </c>
      <c r="B9" s="41" t="s">
        <v>16</v>
      </c>
      <c r="C9" s="72">
        <v>1</v>
      </c>
      <c r="D9" s="70">
        <v>0</v>
      </c>
      <c r="E9" s="26">
        <v>0</v>
      </c>
      <c r="F9" s="29">
        <f t="shared" si="0"/>
        <v>1</v>
      </c>
      <c r="G9" s="29">
        <f t="shared" si="1"/>
        <v>1</v>
      </c>
      <c r="H9" s="79">
        <f t="shared" ref="H9:I11" si="6">1/(F3+F6+F9+F12)</f>
        <v>1.5474394425479026E-8</v>
      </c>
      <c r="I9" s="83">
        <f t="shared" si="6"/>
        <v>1.4069765483712997E-5</v>
      </c>
      <c r="J9" s="63">
        <f>I$3/H$3</f>
        <v>909.22882646358892</v>
      </c>
      <c r="K9" s="38">
        <f>(1-I$3*G9)/(1-H$3*F9)</f>
        <v>0.99998594570869326</v>
      </c>
      <c r="L9" s="38" t="str">
        <f t="shared" si="3"/>
        <v>yes</v>
      </c>
      <c r="M9" s="72">
        <f t="shared" si="4"/>
        <v>2.9586793000178528</v>
      </c>
    </row>
    <row r="10" spans="1:13" ht="18" customHeight="1" x14ac:dyDescent="0.2">
      <c r="A10" s="124"/>
      <c r="B10" s="41" t="s">
        <v>17</v>
      </c>
      <c r="C10" s="72">
        <v>2</v>
      </c>
      <c r="D10" s="70">
        <v>9</v>
      </c>
      <c r="E10" s="26">
        <v>2</v>
      </c>
      <c r="F10" s="29">
        <f t="shared" si="0"/>
        <v>4.7445924757182151E-7</v>
      </c>
      <c r="G10" s="29">
        <f t="shared" si="1"/>
        <v>6.7428781437696816E-2</v>
      </c>
      <c r="H10" s="79">
        <f t="shared" si="6"/>
        <v>3.261480201866352E-2</v>
      </c>
      <c r="I10" s="83">
        <f t="shared" si="6"/>
        <v>2.0866112635764067E-4</v>
      </c>
      <c r="J10" s="63">
        <f>I$3/H$3</f>
        <v>909.22882646358892</v>
      </c>
      <c r="K10" s="40">
        <f>(1-I$4*G10)/(1-H$4*F10)</f>
        <v>0.99998594570869326</v>
      </c>
      <c r="L10" s="58" t="str">
        <f t="shared" si="3"/>
        <v>yes</v>
      </c>
      <c r="M10" s="75">
        <f t="shared" si="4"/>
        <v>2.9586793000178528</v>
      </c>
    </row>
    <row r="11" spans="1:13" ht="18" customHeight="1" thickBot="1" x14ac:dyDescent="0.25">
      <c r="A11" s="125"/>
      <c r="B11" s="42" t="s">
        <v>18</v>
      </c>
      <c r="C11" s="73">
        <v>2</v>
      </c>
      <c r="D11" s="68">
        <v>11</v>
      </c>
      <c r="E11" s="69">
        <v>7</v>
      </c>
      <c r="F11" s="96">
        <f t="shared" si="0"/>
        <v>1.5996104452807227E-8</v>
      </c>
      <c r="G11" s="60">
        <f t="shared" si="1"/>
        <v>1.4072899953270385E-5</v>
      </c>
      <c r="H11" s="81">
        <f t="shared" si="6"/>
        <v>0.96738518250694205</v>
      </c>
      <c r="I11" s="84">
        <f t="shared" si="6"/>
        <v>0.99977726910815867</v>
      </c>
      <c r="J11" s="64">
        <f>I$3/H$3</f>
        <v>909.22882646358892</v>
      </c>
      <c r="K11" s="65">
        <f>(1-I$5*G11)/(1-H$5*F11)</f>
        <v>0.99998594570869326</v>
      </c>
      <c r="L11" s="61" t="str">
        <f t="shared" si="3"/>
        <v>yes</v>
      </c>
      <c r="M11" s="76">
        <f t="shared" si="4"/>
        <v>2.9586793000178528</v>
      </c>
    </row>
    <row r="12" spans="1:13" ht="19" customHeight="1" x14ac:dyDescent="0.2">
      <c r="A12" s="124" t="s">
        <v>32</v>
      </c>
      <c r="B12" s="41" t="s">
        <v>16</v>
      </c>
      <c r="C12" s="47"/>
      <c r="D12" s="8"/>
      <c r="E12" s="49"/>
      <c r="F12" s="8">
        <v>0</v>
      </c>
      <c r="G12" s="14">
        <v>0</v>
      </c>
      <c r="H12" s="85"/>
      <c r="I12" s="86"/>
      <c r="J12" s="51"/>
      <c r="K12" s="45"/>
      <c r="L12" s="54"/>
      <c r="M12" s="54"/>
    </row>
    <row r="13" spans="1:13" x14ac:dyDescent="0.2">
      <c r="A13" s="124"/>
      <c r="B13" s="41" t="s">
        <v>17</v>
      </c>
      <c r="C13" s="48"/>
      <c r="D13" s="8"/>
      <c r="E13" s="14"/>
      <c r="F13" s="8">
        <v>0</v>
      </c>
      <c r="G13" s="14">
        <v>0</v>
      </c>
      <c r="H13" s="87"/>
      <c r="I13" s="88"/>
      <c r="J13" s="51"/>
      <c r="K13" s="46"/>
      <c r="L13" s="54"/>
      <c r="M13" s="54"/>
    </row>
    <row r="14" spans="1:13" ht="17" thickBot="1" x14ac:dyDescent="0.25">
      <c r="A14" s="125"/>
      <c r="B14" s="42" t="s">
        <v>18</v>
      </c>
      <c r="C14" s="34"/>
      <c r="D14" s="11"/>
      <c r="E14" s="13"/>
      <c r="F14" s="11">
        <v>0</v>
      </c>
      <c r="G14" s="13">
        <v>0</v>
      </c>
      <c r="H14" s="89"/>
      <c r="I14" s="90"/>
      <c r="J14" s="28"/>
      <c r="K14" s="28"/>
      <c r="L14" s="52"/>
      <c r="M14" s="52"/>
    </row>
    <row r="15" spans="1:13" x14ac:dyDescent="0.2"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</sheetData>
  <mergeCells count="7">
    <mergeCell ref="A12:A14"/>
    <mergeCell ref="D1:E1"/>
    <mergeCell ref="F1:G1"/>
    <mergeCell ref="H1:I1"/>
    <mergeCell ref="A3:A5"/>
    <mergeCell ref="A6:A8"/>
    <mergeCell ref="A9:A11"/>
  </mergeCells>
  <pageMargins left="0.7" right="0.7" top="0.75" bottom="0.75" header="0.3" footer="0.3"/>
  <pageSetup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B0D6D-4229-9B47-984D-25F605C4B42F}">
  <dimension ref="A1:O18"/>
  <sheetViews>
    <sheetView zoomScale="236" zoomScaleNormal="236" workbookViewId="0">
      <pane xSplit="2" topLeftCell="M1" activePane="topRight" state="frozen"/>
      <selection activeCell="G6" sqref="G6"/>
      <selection pane="topRight" activeCell="G6" sqref="G6"/>
    </sheetView>
  </sheetViews>
  <sheetFormatPr baseColWidth="10" defaultRowHeight="16" x14ac:dyDescent="0.2"/>
  <cols>
    <col min="2" max="2" width="11.33203125" customWidth="1"/>
    <col min="3" max="3" width="12.5" customWidth="1"/>
    <col min="4" max="9" width="8.33203125" customWidth="1"/>
    <col min="10" max="12" width="10.6640625" customWidth="1"/>
    <col min="13" max="13" width="13.6640625" customWidth="1"/>
    <col min="14" max="14" width="19" customWidth="1"/>
    <col min="15" max="15" width="7.1640625" customWidth="1"/>
  </cols>
  <sheetData>
    <row r="1" spans="1:15" ht="113" customHeight="1" thickBot="1" x14ac:dyDescent="0.25">
      <c r="A1" s="39"/>
      <c r="B1" s="39"/>
      <c r="C1" s="55" t="s">
        <v>35</v>
      </c>
      <c r="D1" s="126" t="s">
        <v>11</v>
      </c>
      <c r="E1" s="127"/>
      <c r="F1" s="126" t="s">
        <v>34</v>
      </c>
      <c r="G1" s="127"/>
      <c r="H1" s="126" t="s">
        <v>33</v>
      </c>
      <c r="I1" s="127"/>
      <c r="J1" s="56" t="s">
        <v>28</v>
      </c>
      <c r="K1" s="56" t="s">
        <v>37</v>
      </c>
      <c r="L1" s="56" t="s">
        <v>38</v>
      </c>
      <c r="M1" s="56" t="s">
        <v>29</v>
      </c>
      <c r="N1" s="56" t="s">
        <v>36</v>
      </c>
      <c r="O1" s="56" t="s">
        <v>30</v>
      </c>
    </row>
    <row r="2" spans="1:15" ht="36" customHeight="1" thickBot="1" x14ac:dyDescent="0.25">
      <c r="A2" s="21" t="s">
        <v>15</v>
      </c>
      <c r="B2" s="44" t="s">
        <v>14</v>
      </c>
      <c r="C2" s="27" t="s">
        <v>31</v>
      </c>
      <c r="D2" s="22" t="s">
        <v>5</v>
      </c>
      <c r="E2" s="23" t="s">
        <v>2</v>
      </c>
      <c r="F2" s="24" t="s">
        <v>5</v>
      </c>
      <c r="G2" s="25" t="s">
        <v>2</v>
      </c>
      <c r="H2" s="22" t="s">
        <v>5</v>
      </c>
      <c r="I2" s="25" t="s">
        <v>2</v>
      </c>
      <c r="J2" s="17"/>
      <c r="K2" s="17"/>
      <c r="L2" s="17"/>
      <c r="M2" s="17"/>
      <c r="N2" s="53"/>
      <c r="O2" s="53"/>
    </row>
    <row r="3" spans="1:15" ht="19" hidden="1" customHeight="1" thickTop="1" x14ac:dyDescent="0.2">
      <c r="A3" s="128"/>
      <c r="B3" s="43"/>
      <c r="C3" s="71"/>
      <c r="D3" s="66"/>
      <c r="E3" s="67"/>
      <c r="F3" s="29"/>
      <c r="G3" s="30"/>
      <c r="H3" s="77"/>
      <c r="I3" s="78"/>
      <c r="J3" s="30"/>
      <c r="K3" s="91"/>
      <c r="L3" s="91"/>
      <c r="M3" s="37"/>
      <c r="N3" s="57"/>
      <c r="O3" s="74"/>
    </row>
    <row r="4" spans="1:15" ht="18" hidden="1" customHeight="1" x14ac:dyDescent="0.2">
      <c r="A4" s="129"/>
      <c r="B4" s="41"/>
      <c r="C4" s="72"/>
      <c r="D4" s="66"/>
      <c r="E4" s="67"/>
      <c r="F4" s="29"/>
      <c r="G4" s="31"/>
      <c r="H4" s="79"/>
      <c r="I4" s="80"/>
      <c r="J4" s="31"/>
      <c r="K4" s="63"/>
      <c r="L4" s="63"/>
      <c r="M4" s="40"/>
      <c r="N4" s="58"/>
      <c r="O4" s="75"/>
    </row>
    <row r="5" spans="1:15" ht="18" hidden="1" customHeight="1" thickBot="1" x14ac:dyDescent="0.25">
      <c r="A5" s="130"/>
      <c r="B5" s="42"/>
      <c r="C5" s="73"/>
      <c r="D5" s="68"/>
      <c r="E5" s="69"/>
      <c r="F5" s="59"/>
      <c r="G5" s="60"/>
      <c r="H5" s="81"/>
      <c r="I5" s="82"/>
      <c r="J5" s="60"/>
      <c r="K5" s="64"/>
      <c r="L5" s="64"/>
      <c r="M5" s="62"/>
      <c r="N5" s="61"/>
      <c r="O5" s="76"/>
    </row>
    <row r="6" spans="1:15" ht="19" customHeight="1" thickTop="1" x14ac:dyDescent="0.2">
      <c r="A6" s="129" t="s">
        <v>21</v>
      </c>
      <c r="B6" s="41" t="s">
        <v>16</v>
      </c>
      <c r="C6" s="72">
        <f>B17/B18</f>
        <v>7.874015748031496E-3</v>
      </c>
      <c r="D6" s="66">
        <v>-8</v>
      </c>
      <c r="E6" s="67">
        <v>-4</v>
      </c>
      <c r="F6" s="29">
        <f>EXP(-D6/0.59)*$C6</f>
        <v>6094.4569933606763</v>
      </c>
      <c r="G6" s="29">
        <f>EXP(-E6/0.59)*$C6</f>
        <v>6.9273263487021195</v>
      </c>
      <c r="H6" s="79">
        <f>1/(F3+F6+F9+F12)</f>
        <v>1.6405660823941911E-4</v>
      </c>
      <c r="I6" s="80">
        <f>1/(G3+G6+G9+G12)</f>
        <v>0.12614593571812802</v>
      </c>
      <c r="J6" s="31">
        <f>I$8/H$8</f>
        <v>0.87399744933902035</v>
      </c>
      <c r="K6" s="63">
        <f t="shared" ref="K6:K11" si="0">1-(I6*G6)</f>
        <v>0.12614593571812793</v>
      </c>
      <c r="L6" s="29">
        <f t="shared" ref="L6:L11" si="1">1-(H6*F6)</f>
        <v>1.6405660823948232E-4</v>
      </c>
      <c r="M6" s="58">
        <f>(1-I$3*G6)/(1-H$3*F6)</f>
        <v>1</v>
      </c>
      <c r="N6" s="38" t="str">
        <f>IF(J6&gt;M6,"yes", "no")</f>
        <v>no</v>
      </c>
      <c r="O6" s="72">
        <f>LOG(J6/M6)</f>
        <v>-5.8489834802216034E-2</v>
      </c>
    </row>
    <row r="7" spans="1:15" ht="18" customHeight="1" x14ac:dyDescent="0.2">
      <c r="A7" s="129"/>
      <c r="B7" s="41"/>
      <c r="C7" s="72"/>
      <c r="D7" s="66"/>
      <c r="E7" s="67"/>
      <c r="F7" s="29"/>
      <c r="G7" s="31"/>
      <c r="H7" s="79"/>
      <c r="I7" s="80"/>
      <c r="J7" s="31"/>
      <c r="K7" s="63"/>
      <c r="L7" s="31"/>
      <c r="M7" s="58"/>
      <c r="N7" s="38"/>
      <c r="O7" s="72"/>
    </row>
    <row r="8" spans="1:15" ht="18" customHeight="1" thickBot="1" x14ac:dyDescent="0.25">
      <c r="A8" s="130"/>
      <c r="B8" s="42" t="s">
        <v>18</v>
      </c>
      <c r="C8" s="73">
        <v>1</v>
      </c>
      <c r="D8" s="68">
        <v>0</v>
      </c>
      <c r="E8" s="97">
        <v>0</v>
      </c>
      <c r="F8" s="59">
        <f>EXP(-D8/0.59)*$C8</f>
        <v>1</v>
      </c>
      <c r="G8" s="60">
        <f>EXP(-E8/0.59)*$C8</f>
        <v>1</v>
      </c>
      <c r="H8" s="81">
        <f>1/(F5+F8+F11+F14)</f>
        <v>0.99983594339176063</v>
      </c>
      <c r="I8" s="82">
        <f>1/(G5+G8+G11+G14)</f>
        <v>0.87385406428187196</v>
      </c>
      <c r="J8" s="60">
        <f>I$8/H$8</f>
        <v>0.87399744933902035</v>
      </c>
      <c r="K8" s="64">
        <f t="shared" si="0"/>
        <v>0.12614593571812804</v>
      </c>
      <c r="L8" s="60">
        <f t="shared" si="1"/>
        <v>1.6405660823937129E-4</v>
      </c>
      <c r="M8" s="61">
        <f>(1-I$5*G8)/(1-H$5*F8)</f>
        <v>1</v>
      </c>
      <c r="N8" s="61" t="str">
        <f>IF(J8&gt;M8,"yes", "no")</f>
        <v>no</v>
      </c>
      <c r="O8" s="73">
        <f>LOG(J8/M8)</f>
        <v>-5.8489834802216034E-2</v>
      </c>
    </row>
    <row r="9" spans="1:15" ht="19" customHeight="1" x14ac:dyDescent="0.2">
      <c r="A9" s="124" t="s">
        <v>4</v>
      </c>
      <c r="B9" s="41" t="s">
        <v>16</v>
      </c>
      <c r="C9" s="72">
        <v>1</v>
      </c>
      <c r="D9" s="70">
        <v>0</v>
      </c>
      <c r="E9" s="26">
        <v>0</v>
      </c>
      <c r="F9" s="29">
        <f>EXP(-D9/0.59)*$C9</f>
        <v>1</v>
      </c>
      <c r="G9" s="29">
        <f>EXP(-E9/0.59)*$C9</f>
        <v>1</v>
      </c>
      <c r="H9" s="79">
        <f>1/(F3+F6+F9+F12)</f>
        <v>1.6405660823941911E-4</v>
      </c>
      <c r="I9" s="83">
        <f>1/(G3+G6+G9+G12)</f>
        <v>0.12614593571812802</v>
      </c>
      <c r="J9" s="63">
        <f>I$9/H$9</f>
        <v>768.91712605708983</v>
      </c>
      <c r="K9" s="63">
        <f t="shared" si="0"/>
        <v>0.87385406428187196</v>
      </c>
      <c r="L9" s="92">
        <f t="shared" si="1"/>
        <v>0.99983594339176063</v>
      </c>
      <c r="M9" s="38">
        <f>(1-I$3*G9)/(1-H$3*F9)</f>
        <v>1</v>
      </c>
      <c r="N9" s="38" t="str">
        <f>IF(J9&gt;M9,"yes", "no")</f>
        <v>yes</v>
      </c>
      <c r="O9" s="72">
        <f>LOG(J9/M9)</f>
        <v>2.88587953403339</v>
      </c>
    </row>
    <row r="10" spans="1:15" ht="18" customHeight="1" x14ac:dyDescent="0.2">
      <c r="A10" s="124"/>
      <c r="B10" s="41"/>
      <c r="C10" s="72"/>
      <c r="D10" s="70"/>
      <c r="E10" s="26"/>
      <c r="F10" s="29"/>
      <c r="G10" s="31"/>
      <c r="H10" s="79"/>
      <c r="I10" s="83"/>
      <c r="J10" s="63"/>
      <c r="K10" s="63"/>
      <c r="L10" s="63"/>
      <c r="M10" s="40"/>
      <c r="N10" s="58"/>
      <c r="O10" s="75"/>
    </row>
    <row r="11" spans="1:15" ht="18" customHeight="1" thickBot="1" x14ac:dyDescent="0.25">
      <c r="A11" s="125"/>
      <c r="B11" s="42" t="s">
        <v>18</v>
      </c>
      <c r="C11" s="73">
        <f>B18/B17</f>
        <v>127</v>
      </c>
      <c r="D11" s="68">
        <v>8</v>
      </c>
      <c r="E11" s="69">
        <v>4</v>
      </c>
      <c r="F11" s="96">
        <f>EXP(-D11/0.59)*$C11</f>
        <v>1.6408352722636384E-4</v>
      </c>
      <c r="G11" s="29">
        <f>EXP(-E11/0.59)*$C11</f>
        <v>0.14435583797598284</v>
      </c>
      <c r="H11" s="81">
        <f>1/(F5+F8+F11+F14)</f>
        <v>0.99983594339176063</v>
      </c>
      <c r="I11" s="84">
        <f>1/(G5+G8+G11+G14)</f>
        <v>0.87385406428187196</v>
      </c>
      <c r="J11" s="64">
        <f>I$9/H$9</f>
        <v>768.91712605708983</v>
      </c>
      <c r="K11" s="64">
        <f t="shared" si="0"/>
        <v>0.87385406428187196</v>
      </c>
      <c r="L11" s="64">
        <f t="shared" si="1"/>
        <v>0.99983594339176063</v>
      </c>
      <c r="M11" s="65">
        <f>(1-I$5*G11)/(1-H$5*F11)</f>
        <v>1</v>
      </c>
      <c r="N11" s="61" t="str">
        <f>IF(J11&gt;M11,"yes", "no")</f>
        <v>yes</v>
      </c>
      <c r="O11" s="76">
        <f>LOG(J11/M11)</f>
        <v>2.88587953403339</v>
      </c>
    </row>
    <row r="12" spans="1:15" ht="19" customHeight="1" x14ac:dyDescent="0.2">
      <c r="A12" s="124" t="s">
        <v>32</v>
      </c>
      <c r="B12" s="41" t="s">
        <v>16</v>
      </c>
      <c r="C12" s="47"/>
      <c r="D12" s="8"/>
      <c r="E12" s="49"/>
      <c r="F12" s="8">
        <v>0</v>
      </c>
      <c r="G12" s="49">
        <v>0</v>
      </c>
      <c r="H12" s="85"/>
      <c r="I12" s="86"/>
      <c r="J12" s="51"/>
      <c r="K12" s="51"/>
      <c r="L12" s="93"/>
      <c r="M12" s="45"/>
      <c r="N12" s="54"/>
      <c r="O12" s="54"/>
    </row>
    <row r="13" spans="1:15" x14ac:dyDescent="0.2">
      <c r="A13" s="124"/>
      <c r="B13" s="41" t="s">
        <v>17</v>
      </c>
      <c r="C13" s="48"/>
      <c r="D13" s="8"/>
      <c r="E13" s="14"/>
      <c r="F13" s="8">
        <v>0</v>
      </c>
      <c r="G13" s="14">
        <v>0</v>
      </c>
      <c r="H13" s="87"/>
      <c r="I13" s="88"/>
      <c r="J13" s="51"/>
      <c r="K13" s="51"/>
      <c r="L13" s="51"/>
      <c r="M13" s="46"/>
      <c r="N13" s="54"/>
      <c r="O13" s="54"/>
    </row>
    <row r="14" spans="1:15" ht="17" thickBot="1" x14ac:dyDescent="0.25">
      <c r="A14" s="125"/>
      <c r="B14" s="42" t="s">
        <v>18</v>
      </c>
      <c r="C14" s="34"/>
      <c r="D14" s="11"/>
      <c r="E14" s="13"/>
      <c r="F14" s="11">
        <v>0</v>
      </c>
      <c r="G14" s="13">
        <v>0</v>
      </c>
      <c r="H14" s="89"/>
      <c r="I14" s="90"/>
      <c r="J14" s="28"/>
      <c r="K14" s="28"/>
      <c r="L14" s="28"/>
      <c r="M14" s="28"/>
      <c r="N14" s="52"/>
      <c r="O14" s="52"/>
    </row>
    <row r="15" spans="1:15" x14ac:dyDescent="0.2"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 ht="17" x14ac:dyDescent="0.2">
      <c r="A16" s="94" t="s">
        <v>39</v>
      </c>
      <c r="B16">
        <v>128</v>
      </c>
    </row>
    <row r="17" spans="1:2" ht="34" x14ac:dyDescent="0.2">
      <c r="A17" s="94" t="s">
        <v>41</v>
      </c>
      <c r="B17">
        <f>1/B16</f>
        <v>7.8125E-3</v>
      </c>
    </row>
    <row r="18" spans="1:2" ht="34" x14ac:dyDescent="0.2">
      <c r="A18" s="94" t="s">
        <v>40</v>
      </c>
      <c r="B18">
        <f>1-B17</f>
        <v>0.9921875</v>
      </c>
    </row>
  </sheetData>
  <mergeCells count="7">
    <mergeCell ref="A12:A14"/>
    <mergeCell ref="D1:E1"/>
    <mergeCell ref="F1:G1"/>
    <mergeCell ref="H1:I1"/>
    <mergeCell ref="A3:A5"/>
    <mergeCell ref="A6:A8"/>
    <mergeCell ref="A9:A11"/>
  </mergeCells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6ED0-31A1-4249-B516-01F5D46AF9BA}">
  <dimension ref="A1:Q49"/>
  <sheetViews>
    <sheetView topLeftCell="C1" zoomScale="150" workbookViewId="0">
      <selection activeCell="K25" sqref="K25"/>
    </sheetView>
  </sheetViews>
  <sheetFormatPr baseColWidth="10" defaultRowHeight="16" x14ac:dyDescent="0.2"/>
  <cols>
    <col min="2" max="3" width="14.6640625" bestFit="1" customWidth="1"/>
    <col min="4" max="4" width="17.6640625" customWidth="1"/>
    <col min="5" max="10" width="15.5" customWidth="1"/>
    <col min="11" max="12" width="11.33203125" bestFit="1" customWidth="1"/>
    <col min="13" max="14" width="11.33203125" customWidth="1"/>
    <col min="15" max="15" width="20.6640625" customWidth="1"/>
    <col min="16" max="16" width="21.6640625" customWidth="1"/>
    <col min="17" max="17" width="11.6640625" bestFit="1" customWidth="1"/>
  </cols>
  <sheetData>
    <row r="1" spans="1:17" x14ac:dyDescent="0.2">
      <c r="A1" t="s">
        <v>51</v>
      </c>
      <c r="B1" t="s">
        <v>52</v>
      </c>
      <c r="C1" t="s">
        <v>53</v>
      </c>
      <c r="D1" t="s">
        <v>49</v>
      </c>
      <c r="E1" t="s">
        <v>45</v>
      </c>
      <c r="F1" t="s">
        <v>54</v>
      </c>
      <c r="G1" t="s">
        <v>46</v>
      </c>
      <c r="H1" t="s">
        <v>48</v>
      </c>
      <c r="I1" t="s">
        <v>63</v>
      </c>
      <c r="J1" t="s">
        <v>64</v>
      </c>
      <c r="K1" t="s">
        <v>61</v>
      </c>
      <c r="L1" t="s">
        <v>62</v>
      </c>
      <c r="M1" t="s">
        <v>67</v>
      </c>
      <c r="N1" t="s">
        <v>68</v>
      </c>
      <c r="O1" t="s">
        <v>59</v>
      </c>
      <c r="P1" t="s">
        <v>60</v>
      </c>
      <c r="Q1" t="s">
        <v>65</v>
      </c>
    </row>
    <row r="2" spans="1:17" x14ac:dyDescent="0.2">
      <c r="A2">
        <v>1</v>
      </c>
      <c r="B2" s="110">
        <v>0.75</v>
      </c>
      <c r="C2" s="110">
        <f>B2/2</f>
        <v>0.375</v>
      </c>
      <c r="D2" s="110">
        <f t="shared" ref="D2:D8" si="0">LOG(A2/SUM(A2:C2))</f>
        <v>-0.32735893438633035</v>
      </c>
      <c r="E2" s="110">
        <f>B2/A2*EXP(-'ternary breakdown reorganized'!D$11/0.59)</f>
        <v>5.9985391698027096E-9</v>
      </c>
      <c r="F2" s="110">
        <f>C2/A2*EXP(-'ternary breakdown reorganized'!D$5/0.59)</f>
        <v>1.2642896519568153E-2</v>
      </c>
      <c r="G2" s="110">
        <f>B2/A2*EXP(-'ternary breakdown reorganized'!E$11/0.59)</f>
        <v>5.2773374824763947E-6</v>
      </c>
      <c r="H2" s="110">
        <f>C2/A2*EXP(-'ternary breakdown reorganized'!E$5/0.59)</f>
        <v>7.8265354496322484E-5</v>
      </c>
      <c r="I2" s="110">
        <f>1/(1+1/E2+1/F2/E2)</f>
        <v>7.4892057454181407E-11</v>
      </c>
      <c r="J2" s="110">
        <f>1/(1+1/G2+1/H2/G2)</f>
        <v>4.1300036507218303E-10</v>
      </c>
      <c r="K2" s="110">
        <f t="shared" ref="K2:K8" si="1">1/(1+E2+F2)</f>
        <v>0.98751494481749813</v>
      </c>
      <c r="L2" s="110">
        <f>1/(1+G2+H2)</f>
        <v>0.99991646428681935</v>
      </c>
      <c r="M2" s="110">
        <f>1-(I2+K2)</f>
        <v>1.2485055107609777E-2</v>
      </c>
      <c r="N2" s="110">
        <f>1-(J2+L2)</f>
        <v>8.3535300180237471E-5</v>
      </c>
      <c r="O2" s="110">
        <f>L2/K2</f>
        <v>1.0125583106710483</v>
      </c>
      <c r="P2" s="110" t="s">
        <v>66</v>
      </c>
      <c r="Q2" s="112" t="e">
        <f>LN(O2/P2)</f>
        <v>#VALUE!</v>
      </c>
    </row>
    <row r="3" spans="1:17" x14ac:dyDescent="0.2">
      <c r="A3">
        <v>1</v>
      </c>
      <c r="B3" s="110">
        <v>1</v>
      </c>
      <c r="C3" s="110">
        <f>B3/2</f>
        <v>0.5</v>
      </c>
      <c r="D3" s="110">
        <f t="shared" si="0"/>
        <v>-0.3979400086720376</v>
      </c>
      <c r="E3" s="110">
        <f>B3/A3*EXP(-'ternary breakdown reorganized'!D$11/0.59)</f>
        <v>7.9980522264036134E-9</v>
      </c>
      <c r="F3" s="110">
        <f>C3/A3*EXP(-'ternary breakdown reorganized'!D$5/0.59)</f>
        <v>1.6857195359424204E-2</v>
      </c>
      <c r="G3" s="110">
        <f>B3/A3*EXP(-'ternary breakdown reorganized'!E$11/0.59)</f>
        <v>7.0364499766351927E-6</v>
      </c>
      <c r="H3" s="110">
        <f>C3/A3*EXP(-'ternary breakdown reorganized'!E$5/0.59)</f>
        <v>1.0435380599509666E-4</v>
      </c>
      <c r="I3" s="110">
        <f t="shared" ref="I3:I49" si="2">1/(1+1/E3+1/F3/E3)</f>
        <v>1.3258963940342786E-10</v>
      </c>
      <c r="J3" s="110">
        <f t="shared" ref="J3:J49" si="3">1/(1+1/G3+1/H3/G3)</f>
        <v>7.3420371826450325E-10</v>
      </c>
      <c r="K3" s="110">
        <f t="shared" si="1"/>
        <v>0.9834222511264934</v>
      </c>
      <c r="L3" s="110">
        <f>1/(1+G3+H3)</f>
        <v>0.99988862215043539</v>
      </c>
      <c r="M3" s="110">
        <f t="shared" ref="M3:N49" si="4">1-(I3+K3)</f>
        <v>1.6577748740916998E-2</v>
      </c>
      <c r="N3" s="110">
        <f t="shared" si="4"/>
        <v>1.1137711536091111E-4</v>
      </c>
      <c r="O3" s="110">
        <f>L3/K3</f>
        <v>1.0167439479888523</v>
      </c>
      <c r="P3" s="110">
        <f>(1-1/G3*I3)/(1-1/H3*J3)</f>
        <v>0.99998819237510628</v>
      </c>
      <c r="Q3" s="112">
        <f t="shared" ref="Q3:Q49" si="5">LN(O3/P3)</f>
        <v>1.6617121172130073E-2</v>
      </c>
    </row>
    <row r="4" spans="1:17" x14ac:dyDescent="0.2">
      <c r="A4">
        <v>1</v>
      </c>
      <c r="B4" s="110" cm="1">
        <f t="array" ref="B4">1.5^(ROW(2:2)-1)</f>
        <v>1.5</v>
      </c>
      <c r="C4" s="110">
        <f>B4/2</f>
        <v>0.75</v>
      </c>
      <c r="D4" s="110">
        <f t="shared" si="0"/>
        <v>-0.51188336097887432</v>
      </c>
      <c r="E4" s="110">
        <f>B4/A4*EXP(-'ternary breakdown reorganized'!D$11/0.59)</f>
        <v>1.1997078339605419E-8</v>
      </c>
      <c r="F4" s="110">
        <f>C4/A4*EXP(-'ternary breakdown reorganized'!D$5/0.59)</f>
        <v>2.5285793039136306E-2</v>
      </c>
      <c r="G4" s="110">
        <f>B4/A4*EXP(-'ternary breakdown reorganized'!E$11/0.59)</f>
        <v>1.0554674964952789E-5</v>
      </c>
      <c r="H4" s="110">
        <f>C4/A4*EXP(-'ternary breakdown reorganized'!E$5/0.59)</f>
        <v>1.5653070899264497E-4</v>
      </c>
      <c r="I4" s="110">
        <f t="shared" si="2"/>
        <v>2.9587422544948217E-10</v>
      </c>
      <c r="J4" s="110">
        <f t="shared" si="3"/>
        <v>1.6518721839977453E-9</v>
      </c>
      <c r="K4" s="110">
        <f t="shared" si="1"/>
        <v>0.97533779858063907</v>
      </c>
      <c r="L4" s="110">
        <f>1/(1+G4+H4)</f>
        <v>0.9998329425289042</v>
      </c>
      <c r="M4" s="110">
        <f t="shared" si="4"/>
        <v>2.4662201123486716E-2</v>
      </c>
      <c r="N4" s="110">
        <f t="shared" si="4"/>
        <v>1.6705581922360491E-4</v>
      </c>
      <c r="O4" s="110">
        <f>L4/K4</f>
        <v>1.025114523382475</v>
      </c>
      <c r="P4" s="110">
        <f>(1-1/G4*I4)/(1-1/H4*J4)</f>
        <v>0.99998252031023616</v>
      </c>
      <c r="Q4" s="112">
        <f t="shared" si="5"/>
        <v>2.4821816320804876E-2</v>
      </c>
    </row>
    <row r="5" spans="1:17" x14ac:dyDescent="0.2">
      <c r="A5">
        <v>1</v>
      </c>
      <c r="B5" s="110">
        <v>2</v>
      </c>
      <c r="C5" s="110">
        <v>1</v>
      </c>
      <c r="D5" s="110">
        <f t="shared" ref="D5" si="6">LOG(A5/SUM(A5:C5))</f>
        <v>-0.6020599913279624</v>
      </c>
      <c r="E5" s="110">
        <f>B5/A5*EXP(-'ternary breakdown reorganized'!D$11/0.59)</f>
        <v>1.5996104452807227E-8</v>
      </c>
      <c r="F5" s="110">
        <f>C5/A5*EXP(-'ternary breakdown reorganized'!D$5/0.59)</f>
        <v>3.3714390718848408E-2</v>
      </c>
      <c r="G5" s="110">
        <f>B5/A5*EXP(-'ternary breakdown reorganized'!E$11/0.59)</f>
        <v>1.4072899953270385E-5</v>
      </c>
      <c r="H5" s="110">
        <f>C5/A5*EXP(-'ternary breakdown reorganized'!E$5/0.59)</f>
        <v>2.0870761199019331E-4</v>
      </c>
      <c r="I5" s="110">
        <f t="shared" ref="I5" si="7">1/(1+1/E5+1/F5/E5)</f>
        <v>5.2170978759913158E-10</v>
      </c>
      <c r="J5" s="110">
        <f t="shared" ref="J5" si="8">1/(1+1/G5+1/H5/G5)</f>
        <v>2.9365084627302382E-9</v>
      </c>
      <c r="K5" s="110">
        <f t="shared" ref="K5" si="9">1/(1+E5+F5)</f>
        <v>0.96738518250694205</v>
      </c>
      <c r="L5" s="110">
        <f>1/(1+G5+H5)</f>
        <v>0.99977726910815867</v>
      </c>
      <c r="M5" s="110">
        <f t="shared" si="4"/>
        <v>3.2614816971348159E-2</v>
      </c>
      <c r="N5" s="110">
        <f t="shared" si="4"/>
        <v>2.2272795533284651E-4</v>
      </c>
      <c r="O5" s="110">
        <f>L5/K5</f>
        <v>1.0334841665832359</v>
      </c>
      <c r="P5" s="110">
        <f>(1-1/G5*I5)/(1-1/H5*J5)</f>
        <v>0.99997699769372861</v>
      </c>
      <c r="Q5" s="112">
        <f t="shared" ref="Q5" si="10">LN(O5/P5)</f>
        <v>3.2958782402772863E-2</v>
      </c>
    </row>
    <row r="6" spans="1:17" x14ac:dyDescent="0.2">
      <c r="A6">
        <v>1</v>
      </c>
      <c r="B6" s="110" cm="1">
        <f t="array" ref="B6">1.5^(ROW(3:3)-1)</f>
        <v>2.25</v>
      </c>
      <c r="C6" s="110">
        <f t="shared" ref="C6:C49" si="11">B6/2</f>
        <v>1.125</v>
      </c>
      <c r="D6" s="110">
        <f t="shared" si="0"/>
        <v>-0.64097805735833202</v>
      </c>
      <c r="E6" s="110">
        <f>B6/A6*EXP(-'ternary breakdown reorganized'!D$11/0.59)</f>
        <v>1.7995617509408131E-8</v>
      </c>
      <c r="F6" s="110">
        <f>C6/A6*EXP(-'ternary breakdown reorganized'!D$5/0.59)</f>
        <v>3.7928689558704459E-2</v>
      </c>
      <c r="G6" s="110">
        <f>B6/A6*EXP(-'ternary breakdown reorganized'!E$11/0.59)</f>
        <v>1.5832012447429182E-5</v>
      </c>
      <c r="H6" s="110">
        <f>C6/A6*EXP(-'ternary breakdown reorganized'!E$5/0.59)</f>
        <v>2.3479606348896748E-4</v>
      </c>
      <c r="I6" s="110">
        <f t="shared" si="2"/>
        <v>6.5760798053754194E-10</v>
      </c>
      <c r="J6" s="110">
        <f t="shared" si="3"/>
        <v>3.7164215847912988E-9</v>
      </c>
      <c r="K6" s="110">
        <f t="shared" si="1"/>
        <v>0.96345730946811015</v>
      </c>
      <c r="L6" s="110">
        <f>1/(1+G6+H6)</f>
        <v>0.9997494347227569</v>
      </c>
      <c r="M6" s="110">
        <f t="shared" si="4"/>
        <v>3.6542689874281886E-2</v>
      </c>
      <c r="N6" s="110">
        <f t="shared" si="4"/>
        <v>2.5056156082148284E-4</v>
      </c>
      <c r="O6" s="110">
        <f>L6/K6</f>
        <v>1.0376686386599552</v>
      </c>
      <c r="P6" s="110">
        <f>(1-1/G6*I6)/(1-1/H6*J6)</f>
        <v>0.99997429128826421</v>
      </c>
      <c r="Q6" s="112">
        <f t="shared" si="5"/>
        <v>3.7002212242901691E-2</v>
      </c>
    </row>
    <row r="7" spans="1:17" x14ac:dyDescent="0.2">
      <c r="A7">
        <v>1</v>
      </c>
      <c r="B7" s="110" cm="1">
        <f t="array" ref="B7">1.5^(ROW(4:4)-1)</f>
        <v>3.375</v>
      </c>
      <c r="C7" s="110">
        <f t="shared" si="11"/>
        <v>1.6875</v>
      </c>
      <c r="D7" s="110">
        <f t="shared" si="0"/>
        <v>-0.78265175161032008</v>
      </c>
      <c r="E7" s="110">
        <f>B7/A7*EXP(-'ternary breakdown reorganized'!D$11/0.59)</f>
        <v>2.6993426264112194E-8</v>
      </c>
      <c r="F7" s="110">
        <f>C7/A7*EXP(-'ternary breakdown reorganized'!D$5/0.59)</f>
        <v>5.6893034338056689E-2</v>
      </c>
      <c r="G7" s="110">
        <f>B7/A7*EXP(-'ternary breakdown reorganized'!E$11/0.59)</f>
        <v>2.3748018671143774E-5</v>
      </c>
      <c r="H7" s="110">
        <f>C7/A7*EXP(-'ternary breakdown reorganized'!E$5/0.59)</f>
        <v>3.5219409523345123E-4</v>
      </c>
      <c r="I7" s="110">
        <f t="shared" si="2"/>
        <v>1.4530684517911059E-9</v>
      </c>
      <c r="J7" s="110">
        <f t="shared" si="3"/>
        <v>8.3609671962632305E-9</v>
      </c>
      <c r="K7" s="110">
        <f t="shared" si="1"/>
        <v>0.94616951949726258</v>
      </c>
      <c r="L7" s="110">
        <f>1/(1+G7+H7)</f>
        <v>0.99962419916545564</v>
      </c>
      <c r="M7" s="110">
        <f t="shared" si="4"/>
        <v>5.3830479049668978E-2</v>
      </c>
      <c r="N7" s="110">
        <f t="shared" si="4"/>
        <v>3.757924735772189E-4</v>
      </c>
      <c r="O7" s="110">
        <f>L7/K7</f>
        <v>1.0564958800370103</v>
      </c>
      <c r="P7" s="110">
        <f>(1-1/G7*I7)/(1-1/H7*J7)</f>
        <v>0.99996255183446803</v>
      </c>
      <c r="Q7" s="112">
        <f t="shared" si="5"/>
        <v>5.4995107299416458E-2</v>
      </c>
    </row>
    <row r="8" spans="1:17" x14ac:dyDescent="0.2">
      <c r="A8">
        <v>1</v>
      </c>
      <c r="B8" s="110" cm="1">
        <f t="array" ref="B8">1.5^(ROW(6:6)-1)</f>
        <v>7.59375</v>
      </c>
      <c r="C8" s="110">
        <f t="shared" si="11"/>
        <v>3.796875</v>
      </c>
      <c r="D8" s="110">
        <f t="shared" si="0"/>
        <v>-1.0930932133337166</v>
      </c>
      <c r="E8" s="110">
        <f>B8/A8*EXP(-'ternary breakdown reorganized'!D$11/0.59)</f>
        <v>6.0735209094252438E-8</v>
      </c>
      <c r="F8" s="110">
        <f>C8/A8*EXP(-'ternary breakdown reorganized'!D$5/0.59)</f>
        <v>0.12800932726062755</v>
      </c>
      <c r="G8" s="110">
        <f>B8/A8*EXP(-'ternary breakdown reorganized'!E$11/0.59)</f>
        <v>5.3433042010073495E-5</v>
      </c>
      <c r="H8" s="110">
        <f>C8/A8*EXP(-'ternary breakdown reorganized'!E$5/0.59)</f>
        <v>7.9243671427526522E-4</v>
      </c>
      <c r="I8" s="110">
        <f t="shared" si="2"/>
        <v>6.8923837912613527E-9</v>
      </c>
      <c r="J8" s="110">
        <f t="shared" si="3"/>
        <v>4.2308775425760412E-8</v>
      </c>
      <c r="K8" s="110">
        <f t="shared" si="1"/>
        <v>0.88651744448397352</v>
      </c>
      <c r="L8" s="110">
        <f>1/(1+G8+H8)</f>
        <v>0.99915484513465458</v>
      </c>
      <c r="M8" s="110">
        <f t="shared" si="4"/>
        <v>0.11348254862364271</v>
      </c>
      <c r="N8" s="110">
        <f t="shared" si="4"/>
        <v>8.4511255657004902E-4</v>
      </c>
      <c r="O8" s="110">
        <f>L8/K8</f>
        <v>1.1270560453734166</v>
      </c>
      <c r="P8" s="110">
        <f>(1-1/G8*I8)/(1-1/H8*J8)</f>
        <v>0.99992439565193181</v>
      </c>
      <c r="Q8" s="112">
        <f t="shared" si="5"/>
        <v>0.11968457072872528</v>
      </c>
    </row>
    <row r="9" spans="1:17" x14ac:dyDescent="0.2">
      <c r="A9">
        <v>1</v>
      </c>
      <c r="B9" s="110" cm="1">
        <f t="array" ref="B9">1.5^(ROW(7:7)-1)</f>
        <v>11.390625</v>
      </c>
      <c r="C9" s="110">
        <f t="shared" si="11"/>
        <v>5.6953125</v>
      </c>
      <c r="D9" s="110">
        <f t="shared" ref="D9:D15" si="12">LOG(A9/SUM(A9:C9))</f>
        <v>-1.2573410257061035</v>
      </c>
      <c r="E9" s="110">
        <f>B9/A9*EXP(-'ternary breakdown reorganized'!D$11/0.59)</f>
        <v>9.1102813641378657E-8</v>
      </c>
      <c r="F9" s="110">
        <f>C9/A9*EXP(-'ternary breakdown reorganized'!D$5/0.59)</f>
        <v>0.19201399089094132</v>
      </c>
      <c r="G9" s="110">
        <f>B9/A9*EXP(-'ternary breakdown reorganized'!E$11/0.59)</f>
        <v>8.0149563015110236E-5</v>
      </c>
      <c r="H9" s="110">
        <f>C9/A9*EXP(-'ternary breakdown reorganized'!E$5/0.59)</f>
        <v>1.1886550714128978E-3</v>
      </c>
      <c r="I9" s="110">
        <f t="shared" si="2"/>
        <v>1.4675175547970727E-8</v>
      </c>
      <c r="J9" s="110">
        <f t="shared" si="3"/>
        <v>9.515706655406684E-8</v>
      </c>
      <c r="K9" s="110">
        <f t="shared" ref="K9:K15" si="13">1/(1+E9+F9)</f>
        <v>0.83891626374699069</v>
      </c>
      <c r="L9" s="110">
        <f t="shared" ref="L9:L15" si="14">1/(1+G9+H9)</f>
        <v>0.9987328031907563</v>
      </c>
      <c r="M9" s="110">
        <f t="shared" si="4"/>
        <v>0.16108372157783379</v>
      </c>
      <c r="N9" s="110">
        <f t="shared" si="4"/>
        <v>1.2671016521771383E-3</v>
      </c>
      <c r="O9" s="110">
        <f>L9/K9</f>
        <v>1.1905035655524789</v>
      </c>
      <c r="P9" s="110">
        <f>(1-1/G9*I9)/(1-1/H9*J9)</f>
        <v>0.99989694876173263</v>
      </c>
      <c r="Q9" s="112">
        <f t="shared" si="5"/>
        <v>0.17447943849288872</v>
      </c>
    </row>
    <row r="10" spans="1:17" x14ac:dyDescent="0.2">
      <c r="A10">
        <v>1</v>
      </c>
      <c r="B10" s="110" cm="1">
        <f t="array" ref="B10">1.5^(ROW(8:8)-1)</f>
        <v>17.0859375</v>
      </c>
      <c r="C10" s="110">
        <f t="shared" si="11"/>
        <v>8.54296875</v>
      </c>
      <c r="D10" s="110">
        <f t="shared" si="12"/>
        <v>-1.4253533286866067</v>
      </c>
      <c r="E10" s="110">
        <f>B10/A10*EXP(-'ternary breakdown reorganized'!D$11/0.59)</f>
        <v>1.3665422046206799E-7</v>
      </c>
      <c r="F10" s="110">
        <f>C10/A10*EXP(-'ternary breakdown reorganized'!D$5/0.59)</f>
        <v>0.28802098633641199</v>
      </c>
      <c r="G10" s="110">
        <f>B10/A10*EXP(-'ternary breakdown reorganized'!E$11/0.59)</f>
        <v>1.2022434452266537E-4</v>
      </c>
      <c r="H10" s="110">
        <f>C10/A10*EXP(-'ternary breakdown reorganized'!E$5/0.59)</f>
        <v>1.7829826071193468E-3</v>
      </c>
      <c r="I10" s="110">
        <f t="shared" si="2"/>
        <v>3.0557950980077589E-8</v>
      </c>
      <c r="J10" s="110">
        <f t="shared" si="3"/>
        <v>2.1397635325252738E-7</v>
      </c>
      <c r="K10" s="110">
        <f t="shared" si="13"/>
        <v>0.77638478294371327</v>
      </c>
      <c r="L10" s="110">
        <f t="shared" si="14"/>
        <v>0.9981004083643642</v>
      </c>
      <c r="M10" s="110">
        <f t="shared" si="4"/>
        <v>0.22361518649833578</v>
      </c>
      <c r="N10" s="110">
        <f t="shared" si="4"/>
        <v>1.8993776592824974E-3</v>
      </c>
      <c r="O10" s="110">
        <f>L10/K10</f>
        <v>1.2855744088388772</v>
      </c>
      <c r="P10" s="110">
        <f>(1-1/G10*I10)/(1-1/H10*J10)</f>
        <v>0.99986581983656198</v>
      </c>
      <c r="Q10" s="112">
        <f t="shared" si="5"/>
        <v>0.2513398184035886</v>
      </c>
    </row>
    <row r="11" spans="1:17" x14ac:dyDescent="0.2">
      <c r="A11">
        <v>1</v>
      </c>
      <c r="B11" s="110" cm="1">
        <f t="array" ref="B11">1.5^(ROW(9:9)-1)</f>
        <v>25.62890625</v>
      </c>
      <c r="C11" s="110">
        <f t="shared" si="11"/>
        <v>12.814453125</v>
      </c>
      <c r="D11" s="110">
        <f t="shared" si="12"/>
        <v>-1.5959738965301762</v>
      </c>
      <c r="E11" s="110">
        <f>B11/A11*EXP(-'ternary breakdown reorganized'!D$11/0.59)</f>
        <v>2.0498133069310197E-7</v>
      </c>
      <c r="F11" s="110">
        <f>C11/A11*EXP(-'ternary breakdown reorganized'!D$5/0.59)</f>
        <v>0.43203147950461795</v>
      </c>
      <c r="G11" s="110">
        <f>B11/A11*EXP(-'ternary breakdown reorganized'!E$11/0.59)</f>
        <v>1.8033651678399804E-4</v>
      </c>
      <c r="H11" s="110">
        <f>C11/A11*EXP(-'ternary breakdown reorganized'!E$5/0.59)</f>
        <v>2.6744739106790202E-3</v>
      </c>
      <c r="I11" s="110">
        <f t="shared" si="2"/>
        <v>6.1841086150043494E-8</v>
      </c>
      <c r="J11" s="110">
        <f t="shared" si="3"/>
        <v>4.8101860557254967E-7</v>
      </c>
      <c r="K11" s="110">
        <f t="shared" si="13"/>
        <v>0.6983085715446069</v>
      </c>
      <c r="L11" s="110">
        <f t="shared" si="14"/>
        <v>0.99715331631480508</v>
      </c>
      <c r="M11" s="110">
        <f t="shared" si="4"/>
        <v>0.30169136661430696</v>
      </c>
      <c r="N11" s="110">
        <f t="shared" si="4"/>
        <v>2.8462026665893037E-3</v>
      </c>
      <c r="O11" s="110">
        <f>L11/K11</f>
        <v>1.4279551432530402</v>
      </c>
      <c r="P11" s="110">
        <f>(1-1/G11*I11)/(1-1/H11*J11)</f>
        <v>0.9998369055910733</v>
      </c>
      <c r="Q11" s="112">
        <f t="shared" si="5"/>
        <v>0.35640655884649558</v>
      </c>
    </row>
    <row r="12" spans="1:17" x14ac:dyDescent="0.2">
      <c r="A12">
        <v>1</v>
      </c>
      <c r="B12" s="110" cm="1">
        <f t="array" ref="B12">1.5^(ROW(10:10)-1)</f>
        <v>38.443359375</v>
      </c>
      <c r="C12" s="110">
        <f t="shared" si="11"/>
        <v>19.2216796875</v>
      </c>
      <c r="D12" s="110">
        <f t="shared" si="12"/>
        <v>-1.7683793641857297</v>
      </c>
      <c r="E12" s="110">
        <f>B12/A12*EXP(-'ternary breakdown reorganized'!D$11/0.59)</f>
        <v>3.0747199603965297E-7</v>
      </c>
      <c r="F12" s="110">
        <f>C12/A12*EXP(-'ternary breakdown reorganized'!D$5/0.59)</f>
        <v>0.64804721925692699</v>
      </c>
      <c r="G12" s="110">
        <f>B12/A12*EXP(-'ternary breakdown reorganized'!E$11/0.59)</f>
        <v>2.7050477517599704E-4</v>
      </c>
      <c r="H12" s="110">
        <f>C12/A12*EXP(-'ternary breakdown reorganized'!E$5/0.59)</f>
        <v>4.0117108660185303E-3</v>
      </c>
      <c r="I12" s="110">
        <f t="shared" si="2"/>
        <v>1.2090451390811489E-7</v>
      </c>
      <c r="J12" s="110">
        <f t="shared" si="3"/>
        <v>1.0808497164075988E-6</v>
      </c>
      <c r="K12" s="110">
        <f t="shared" si="13"/>
        <v>0.60677861759534291</v>
      </c>
      <c r="L12" s="110">
        <f t="shared" si="14"/>
        <v>0.99573604353985246</v>
      </c>
      <c r="M12" s="110">
        <f t="shared" si="4"/>
        <v>0.39322126150014314</v>
      </c>
      <c r="N12" s="110">
        <f t="shared" si="4"/>
        <v>4.2628756104311494E-3</v>
      </c>
      <c r="O12" s="110">
        <f>L12/K12</f>
        <v>1.6410203238306973</v>
      </c>
      <c r="P12" s="110">
        <f>(1-1/G12*I12)/(1-1/H12*J12)</f>
        <v>0.99982241689853346</v>
      </c>
      <c r="Q12" s="112">
        <f t="shared" si="5"/>
        <v>0.49549579593031973</v>
      </c>
    </row>
    <row r="13" spans="1:17" x14ac:dyDescent="0.2">
      <c r="A13">
        <v>1</v>
      </c>
      <c r="B13" s="110" cm="1">
        <f t="array" ref="B13">1.5^(ROW(11:11)-1)</f>
        <v>57.6650390625</v>
      </c>
      <c r="C13" s="110">
        <f t="shared" si="11"/>
        <v>28.83251953125</v>
      </c>
      <c r="D13" s="110">
        <f t="shared" si="12"/>
        <v>-1.941995935261688</v>
      </c>
      <c r="E13" s="110">
        <f>B13/A13*EXP(-'ternary breakdown reorganized'!D$11/0.59)</f>
        <v>4.6120799405947946E-7</v>
      </c>
      <c r="F13" s="110">
        <f>C13/A13*EXP(-'ternary breakdown reorganized'!D$5/0.59)</f>
        <v>0.97207082888539043</v>
      </c>
      <c r="G13" s="110">
        <f>B13/A13*EXP(-'ternary breakdown reorganized'!E$11/0.59)</f>
        <v>4.0575716276399561E-4</v>
      </c>
      <c r="H13" s="110">
        <f>C13/A13*EXP(-'ternary breakdown reorganized'!E$5/0.59)</f>
        <v>6.0175662990277949E-3</v>
      </c>
      <c r="I13" s="110">
        <f t="shared" si="2"/>
        <v>2.2733804921479979E-7</v>
      </c>
      <c r="J13" s="110">
        <f t="shared" si="3"/>
        <v>2.4270597094440713E-6</v>
      </c>
      <c r="K13" s="110">
        <f t="shared" si="13"/>
        <v>0.50708105991069241</v>
      </c>
      <c r="L13" s="110">
        <f t="shared" si="14"/>
        <v>0.99361767229350606</v>
      </c>
      <c r="M13" s="110">
        <f t="shared" si="4"/>
        <v>0.49291871275125843</v>
      </c>
      <c r="N13" s="110">
        <f t="shared" si="4"/>
        <v>6.3799006467845087E-3</v>
      </c>
      <c r="O13" s="110">
        <f>L13/K13</f>
        <v>1.9594848848594404</v>
      </c>
      <c r="P13" s="110">
        <f>(1-1/G13*I13)/(1-1/H13*J13)</f>
        <v>0.99984298473939071</v>
      </c>
      <c r="Q13" s="112">
        <f t="shared" si="5"/>
        <v>0.67283865244238605</v>
      </c>
    </row>
    <row r="14" spans="1:17" x14ac:dyDescent="0.2">
      <c r="A14">
        <v>1</v>
      </c>
      <c r="B14" s="110" cm="1">
        <f t="array" ref="B14">1.5^(ROW(12:12)-1)</f>
        <v>86.49755859375</v>
      </c>
      <c r="C14" s="110">
        <f t="shared" si="11"/>
        <v>43.248779296875</v>
      </c>
      <c r="D14" s="110">
        <f t="shared" si="12"/>
        <v>-2.116429533438609</v>
      </c>
      <c r="E14" s="110">
        <f>B14/A14*EXP(-'ternary breakdown reorganized'!D$11/0.59)</f>
        <v>6.9181199108921922E-7</v>
      </c>
      <c r="F14" s="110">
        <f>C14/A14*EXP(-'ternary breakdown reorganized'!D$5/0.59)</f>
        <v>1.4581062433280856</v>
      </c>
      <c r="G14" s="110">
        <f>B14/A14*EXP(-'ternary breakdown reorganized'!E$11/0.59)</f>
        <v>6.0863574414599336E-4</v>
      </c>
      <c r="H14" s="110">
        <f>C14/A14*EXP(-'ternary breakdown reorganized'!E$5/0.59)</f>
        <v>9.0263494485416929E-3</v>
      </c>
      <c r="I14" s="110">
        <f t="shared" si="2"/>
        <v>4.103707771781061E-7</v>
      </c>
      <c r="J14" s="110">
        <f t="shared" si="3"/>
        <v>5.4445842819704181E-6</v>
      </c>
      <c r="K14" s="110">
        <f t="shared" si="13"/>
        <v>0.40681712650675</v>
      </c>
      <c r="L14" s="110">
        <f t="shared" si="14"/>
        <v>0.99045696183868992</v>
      </c>
      <c r="M14" s="110">
        <f t="shared" si="4"/>
        <v>0.5931824631224728</v>
      </c>
      <c r="N14" s="110">
        <f t="shared" si="4"/>
        <v>9.5375935770281028E-3</v>
      </c>
      <c r="O14" s="110">
        <f>L14/K14</f>
        <v>2.4346491268534538</v>
      </c>
      <c r="P14" s="110">
        <f>(1-1/G14*I14)/(1-1/H14*J14)</f>
        <v>0.99992889803614249</v>
      </c>
      <c r="Q14" s="112">
        <f t="shared" si="5"/>
        <v>0.88987375489541698</v>
      </c>
    </row>
    <row r="15" spans="1:17" x14ac:dyDescent="0.2">
      <c r="A15">
        <v>1</v>
      </c>
      <c r="B15" s="110" cm="1">
        <f t="array" ref="B15">1.5^(ROW(13:13)-1)</f>
        <v>129.746337890625</v>
      </c>
      <c r="C15" s="110">
        <f t="shared" si="11"/>
        <v>64.8731689453125</v>
      </c>
      <c r="D15" s="110">
        <f t="shared" si="12"/>
        <v>-2.2914121596990307</v>
      </c>
      <c r="E15" s="110">
        <f>B15/A15*EXP(-'ternary breakdown reorganized'!D$11/0.59)</f>
        <v>1.0377179866338289E-6</v>
      </c>
      <c r="F15" s="110">
        <f>C15/A15*EXP(-'ternary breakdown reorganized'!D$5/0.59)</f>
        <v>2.1871593649921284</v>
      </c>
      <c r="G15" s="110">
        <f>B15/A15*EXP(-'ternary breakdown reorganized'!E$11/0.59)</f>
        <v>9.129536162189901E-4</v>
      </c>
      <c r="H15" s="110">
        <f>C15/A15*EXP(-'ternary breakdown reorganized'!E$5/0.59)</f>
        <v>1.3539524172812539E-2</v>
      </c>
      <c r="I15" s="110">
        <f t="shared" si="2"/>
        <v>7.121241006462225E-7</v>
      </c>
      <c r="J15" s="110">
        <f t="shared" si="3"/>
        <v>1.2195683059544318E-5</v>
      </c>
      <c r="K15" s="110">
        <f t="shared" si="13"/>
        <v>0.31375891817358087</v>
      </c>
      <c r="L15" s="110">
        <f t="shared" si="14"/>
        <v>0.98575342058355453</v>
      </c>
      <c r="M15" s="110">
        <f t="shared" si="4"/>
        <v>0.6862403697023185</v>
      </c>
      <c r="N15" s="110">
        <f t="shared" si="4"/>
        <v>1.4234383733385925E-2</v>
      </c>
      <c r="O15" s="110">
        <f>L15/K15</f>
        <v>3.1417542689199549</v>
      </c>
      <c r="P15" s="110">
        <f>(1-1/G15*I15)/(1-1/H15*J15)</f>
        <v>1.0001208334257781</v>
      </c>
      <c r="Q15" s="112">
        <f t="shared" si="5"/>
        <v>1.1446605021575571</v>
      </c>
    </row>
    <row r="16" spans="1:17" x14ac:dyDescent="0.2">
      <c r="A16">
        <v>1</v>
      </c>
      <c r="B16" s="110" cm="1">
        <f t="array" ref="B16">1.5^(ROW(14:14)-1)</f>
        <v>194.6195068359375</v>
      </c>
      <c r="C16" s="110">
        <f t="shared" si="11"/>
        <v>97.30975341796875</v>
      </c>
      <c r="D16" s="110">
        <f>LOG(A16/SUM(A16:C16))</f>
        <v>-2.4667627548571525</v>
      </c>
      <c r="E16" s="110">
        <f>B16/A16*EXP(-'ternary breakdown reorganized'!D$11/0.59)</f>
        <v>1.5565769799507431E-6</v>
      </c>
      <c r="F16" s="110">
        <f>C16/A16*EXP(-'ternary breakdown reorganized'!D$5/0.59)</f>
        <v>3.280739047488193</v>
      </c>
      <c r="G16" s="110">
        <f>B16/A16*EXP(-'ternary breakdown reorganized'!E$11/0.59)</f>
        <v>1.3694304243284851E-3</v>
      </c>
      <c r="H16" s="110">
        <f>C16/A16*EXP(-'ternary breakdown reorganized'!E$5/0.59)</f>
        <v>2.0309286259218809E-2</v>
      </c>
      <c r="I16" s="110">
        <f t="shared" si="2"/>
        <v>1.1929521350912885E-6</v>
      </c>
      <c r="J16" s="110">
        <f t="shared" si="3"/>
        <v>2.7257809740535007E-5</v>
      </c>
      <c r="K16" s="110">
        <f>1/(1+E16+F16)</f>
        <v>0.23360443729067759</v>
      </c>
      <c r="L16" s="110">
        <f>1/(1+G16+H16)</f>
        <v>0.97878127797952141</v>
      </c>
      <c r="M16" s="110">
        <f t="shared" si="4"/>
        <v>0.76639436975718733</v>
      </c>
      <c r="N16" s="110">
        <f t="shared" si="4"/>
        <v>2.1191464210738031E-2</v>
      </c>
      <c r="O16" s="110">
        <f>L16/K16</f>
        <v>4.1899087591457382</v>
      </c>
      <c r="P16" s="110">
        <f>(1-1/G16*I16)/(1-1/H16*J16)</f>
        <v>1.0004716381360821</v>
      </c>
      <c r="Q16" s="112">
        <f t="shared" si="5"/>
        <v>1.4322074308869683</v>
      </c>
    </row>
    <row r="17" spans="1:17" x14ac:dyDescent="0.2">
      <c r="A17">
        <v>1</v>
      </c>
      <c r="B17" s="110" cm="1">
        <f t="array" ref="B17">1.5^(ROW(15:15)-1)</f>
        <v>291.92926025390625</v>
      </c>
      <c r="C17" s="110">
        <f t="shared" si="11"/>
        <v>145.96463012695312</v>
      </c>
      <c r="D17" s="110">
        <f t="shared" ref="D17:D43" si="15">LOG(A17/SUM(A17:C17))</f>
        <v>-2.6423595352939424</v>
      </c>
      <c r="E17" s="110">
        <f>B17/A17*EXP(-'ternary breakdown reorganized'!D$11/0.59)</f>
        <v>2.3348654699261148E-6</v>
      </c>
      <c r="F17" s="110">
        <f>C17/A17*EXP(-'ternary breakdown reorganized'!D$5/0.59)</f>
        <v>4.9211085712322893</v>
      </c>
      <c r="G17" s="110">
        <f>B17/A17*EXP(-'ternary breakdown reorganized'!E$11/0.59)</f>
        <v>2.0541456364927277E-3</v>
      </c>
      <c r="H17" s="110">
        <f>C17/A17*EXP(-'ternary breakdown reorganized'!E$5/0.59)</f>
        <v>3.0463929388828213E-2</v>
      </c>
      <c r="I17" s="110">
        <f t="shared" si="2"/>
        <v>1.9405325947893345E-6</v>
      </c>
      <c r="J17" s="110">
        <f t="shared" si="3"/>
        <v>6.072366621859984E-5</v>
      </c>
      <c r="K17" s="110">
        <f t="shared" ref="K17:K43" si="16">1/(1+E17+F17)</f>
        <v>0.16888722671452858</v>
      </c>
      <c r="L17" s="110">
        <f t="shared" ref="L17:L43" si="17">1/(1+G17+H17)</f>
        <v>0.96850604767909421</v>
      </c>
      <c r="M17" s="110">
        <f t="shared" si="4"/>
        <v>0.83111083275287667</v>
      </c>
      <c r="N17" s="110">
        <f t="shared" si="4"/>
        <v>3.1433228654687229E-2</v>
      </c>
      <c r="O17" s="110">
        <f>L17/K17</f>
        <v>5.7346317215343214</v>
      </c>
      <c r="P17" s="110">
        <f>(1-1/G17*I17)/(1-1/H17*J17)</f>
        <v>1.0010507007402849</v>
      </c>
      <c r="Q17" s="112">
        <f t="shared" si="5"/>
        <v>1.7454733834301162</v>
      </c>
    </row>
    <row r="18" spans="1:17" x14ac:dyDescent="0.2">
      <c r="A18">
        <v>1</v>
      </c>
      <c r="B18" s="110" cm="1">
        <f t="array" ref="B18">1.5^(ROW(16:16)-1)</f>
        <v>437.89389038085938</v>
      </c>
      <c r="C18" s="110">
        <f t="shared" si="11"/>
        <v>218.94694519042969</v>
      </c>
      <c r="D18" s="110">
        <f t="shared" si="15"/>
        <v>-2.8181208288803297</v>
      </c>
      <c r="E18" s="110">
        <f>B18/A18*EXP(-'ternary breakdown reorganized'!D$11/0.59)</f>
        <v>3.5022982048891722E-6</v>
      </c>
      <c r="F18" s="110">
        <f>C18/A18*EXP(-'ternary breakdown reorganized'!D$5/0.59)</f>
        <v>7.3816628568484335</v>
      </c>
      <c r="G18" s="110">
        <f>B18/A18*EXP(-'ternary breakdown reorganized'!E$11/0.59)</f>
        <v>3.0812184547390916E-3</v>
      </c>
      <c r="H18" s="110">
        <f>C18/A18*EXP(-'ternary breakdown reorganized'!E$5/0.59)</f>
        <v>4.5695894083242324E-2</v>
      </c>
      <c r="I18" s="110">
        <f t="shared" si="2"/>
        <v>3.0844362595958678E-6</v>
      </c>
      <c r="J18" s="110">
        <f t="shared" si="3"/>
        <v>1.3462812414399901E-4</v>
      </c>
      <c r="K18" s="110">
        <f t="shared" si="16"/>
        <v>0.11930801789893876</v>
      </c>
      <c r="L18" s="110">
        <f t="shared" si="17"/>
        <v>0.95349144069330083</v>
      </c>
      <c r="M18" s="110">
        <f t="shared" si="4"/>
        <v>0.88068889766480163</v>
      </c>
      <c r="N18" s="110">
        <f t="shared" si="4"/>
        <v>4.6373931182555173E-2</v>
      </c>
      <c r="O18" s="110">
        <f>L18/K18</f>
        <v>7.9918471321933016</v>
      </c>
      <c r="P18" s="110">
        <f>(1-1/G18*I18)/(1-1/H18*J18)</f>
        <v>1.001950878814627</v>
      </c>
      <c r="Q18" s="112">
        <f t="shared" si="5"/>
        <v>2.0764729352379718</v>
      </c>
    </row>
    <row r="19" spans="1:17" x14ac:dyDescent="0.2">
      <c r="A19">
        <v>1</v>
      </c>
      <c r="B19" s="110" cm="1">
        <f t="array" ref="B19">1.5^(ROW(17:17)-1)</f>
        <v>656.84083557128906</v>
      </c>
      <c r="C19" s="110">
        <f t="shared" si="11"/>
        <v>328.42041778564453</v>
      </c>
      <c r="D19" s="110">
        <f t="shared" si="15"/>
        <v>-2.9939919715968806</v>
      </c>
      <c r="E19" s="110">
        <f>B19/A19*EXP(-'ternary breakdown reorganized'!D$11/0.59)</f>
        <v>5.2534473073337582E-6</v>
      </c>
      <c r="F19" s="110">
        <f>C19/A19*EXP(-'ternary breakdown reorganized'!D$5/0.59)</f>
        <v>11.072494285272651</v>
      </c>
      <c r="G19" s="110">
        <f>B19/A19*EXP(-'ternary breakdown reorganized'!E$11/0.59)</f>
        <v>4.6218276821086372E-3</v>
      </c>
      <c r="H19" s="110">
        <f>C19/A19*EXP(-'ternary breakdown reorganized'!E$5/0.59)</f>
        <v>6.8543841124863475E-2</v>
      </c>
      <c r="I19" s="110">
        <f t="shared" si="2"/>
        <v>4.8182656906972622E-6</v>
      </c>
      <c r="J19" s="110">
        <f t="shared" si="3"/>
        <v>2.9638833240316941E-4</v>
      </c>
      <c r="K19" s="110">
        <f t="shared" si="16"/>
        <v>8.2832887820182888E-2</v>
      </c>
      <c r="L19" s="110">
        <f t="shared" si="17"/>
        <v>0.93182257787997469</v>
      </c>
      <c r="M19" s="110">
        <f t="shared" si="4"/>
        <v>0.9171622939141264</v>
      </c>
      <c r="N19" s="110">
        <f t="shared" si="4"/>
        <v>6.7881033787622114E-2</v>
      </c>
      <c r="O19" s="110">
        <f>L19/K19</f>
        <v>11.249427641624838</v>
      </c>
      <c r="P19" s="110">
        <f>(1-1/G19*I19)/(1-1/H19*J19)</f>
        <v>1.0032958186071017</v>
      </c>
      <c r="Q19" s="112">
        <f t="shared" si="5"/>
        <v>2.4170268517551139</v>
      </c>
    </row>
    <row r="20" spans="1:17" x14ac:dyDescent="0.2">
      <c r="A20">
        <v>1</v>
      </c>
      <c r="B20" s="110" cm="1">
        <f t="array" ref="B20">1.5^(ROW(18:18)-1)</f>
        <v>985.26125335693359</v>
      </c>
      <c r="C20" s="110">
        <f t="shared" si="11"/>
        <v>492.6306266784668</v>
      </c>
      <c r="D20" s="110">
        <f t="shared" si="15"/>
        <v>-3.1699364244225778</v>
      </c>
      <c r="E20" s="110">
        <f>B20/A20*EXP(-'ternary breakdown reorganized'!D$11/0.59)</f>
        <v>7.8801709610006365E-6</v>
      </c>
      <c r="F20" s="110">
        <f>C20/A20*EXP(-'ternary breakdown reorganized'!D$5/0.59)</f>
        <v>16.608741427908978</v>
      </c>
      <c r="G20" s="110">
        <f>B20/A20*EXP(-'ternary breakdown reorganized'!E$11/0.59)</f>
        <v>6.9327415231629557E-3</v>
      </c>
      <c r="H20" s="110">
        <f>C20/A20*EXP(-'ternary breakdown reorganized'!E$5/0.59)</f>
        <v>0.10281576168729523</v>
      </c>
      <c r="I20" s="110">
        <f t="shared" si="2"/>
        <v>7.432600998660165E-6</v>
      </c>
      <c r="J20" s="110">
        <f t="shared" si="3"/>
        <v>6.459235657300216E-4</v>
      </c>
      <c r="K20" s="110">
        <f t="shared" si="16"/>
        <v>5.6789950410682521E-2</v>
      </c>
      <c r="L20" s="110">
        <f t="shared" si="17"/>
        <v>0.90110506759598208</v>
      </c>
      <c r="M20" s="110">
        <f t="shared" si="4"/>
        <v>0.94320261698831886</v>
      </c>
      <c r="N20" s="110">
        <f t="shared" si="4"/>
        <v>9.824900883828791E-2</v>
      </c>
      <c r="O20" s="110">
        <f>L20/K20</f>
        <v>15.867333235538078</v>
      </c>
      <c r="P20" s="110">
        <f>(1-1/G20*I20)/(1-1/H20*J20)</f>
        <v>1.0052431780924076</v>
      </c>
      <c r="Q20" s="112">
        <f t="shared" si="5"/>
        <v>2.7590330018374032</v>
      </c>
    </row>
    <row r="21" spans="1:17" x14ac:dyDescent="0.2">
      <c r="A21">
        <v>1</v>
      </c>
      <c r="B21" s="110" cm="1">
        <f t="array" ref="B21">1.5^(ROW(19:19)-1)</f>
        <v>1477.8918800354004</v>
      </c>
      <c r="C21" s="110">
        <f t="shared" si="11"/>
        <v>738.9459400177002</v>
      </c>
      <c r="D21" s="110">
        <f t="shared" si="15"/>
        <v>-3.3459297850813119</v>
      </c>
      <c r="E21" s="110">
        <f>B21/A21*EXP(-'ternary breakdown reorganized'!D$11/0.59)</f>
        <v>1.1820256441500956E-5</v>
      </c>
      <c r="F21" s="110">
        <f>C21/A21*EXP(-'ternary breakdown reorganized'!D$5/0.59)</f>
        <v>24.913112141863465</v>
      </c>
      <c r="G21" s="110">
        <f>B21/A21*EXP(-'ternary breakdown reorganized'!E$11/0.59)</f>
        <v>1.0399112284744433E-2</v>
      </c>
      <c r="H21" s="110">
        <f>C21/A21*EXP(-'ternary breakdown reorganized'!E$5/0.59)</f>
        <v>0.15422364253094284</v>
      </c>
      <c r="I21" s="110">
        <f t="shared" si="2"/>
        <v>1.1363977672906662E-5</v>
      </c>
      <c r="J21" s="110">
        <f t="shared" si="3"/>
        <v>1.3875678426761974E-3</v>
      </c>
      <c r="K21" s="110">
        <f t="shared" si="16"/>
        <v>3.8590484167860699E-2</v>
      </c>
      <c r="L21" s="110">
        <f t="shared" si="17"/>
        <v>0.8586471420595414</v>
      </c>
      <c r="M21" s="110">
        <f t="shared" si="4"/>
        <v>0.96139815185446642</v>
      </c>
      <c r="N21" s="110">
        <f t="shared" si="4"/>
        <v>0.13996529009778236</v>
      </c>
      <c r="O21" s="110">
        <f>L21/K21</f>
        <v>22.250229831908879</v>
      </c>
      <c r="P21" s="110">
        <f>(1-1/G21*I21)/(1-1/H21*J21)</f>
        <v>1.0079760933593913</v>
      </c>
      <c r="Q21" s="112">
        <f t="shared" si="5"/>
        <v>3.0944078856203339</v>
      </c>
    </row>
    <row r="22" spans="1:17" x14ac:dyDescent="0.2">
      <c r="A22">
        <v>1</v>
      </c>
      <c r="B22" s="110" cm="1">
        <f t="array" ref="B22">1.5^(ROW(20:20)-1)</f>
        <v>2216.8378200531006</v>
      </c>
      <c r="C22" s="110">
        <f t="shared" si="11"/>
        <v>1108.4189100265503</v>
      </c>
      <c r="D22" s="110">
        <f t="shared" si="15"/>
        <v>-3.5219557662767689</v>
      </c>
      <c r="E22" s="110">
        <f>B22/A22*EXP(-'ternary breakdown reorganized'!D$11/0.59)</f>
        <v>1.7730384662251434E-5</v>
      </c>
      <c r="F22" s="110">
        <f>C22/A22*EXP(-'ternary breakdown reorganized'!D$5/0.59)</f>
        <v>37.369668212795197</v>
      </c>
      <c r="G22" s="110">
        <f>B22/A22*EXP(-'ternary breakdown reorganized'!E$11/0.59)</f>
        <v>1.5598668427116651E-2</v>
      </c>
      <c r="H22" s="110">
        <f>C22/A22*EXP(-'ternary breakdown reorganized'!E$5/0.59)</f>
        <v>0.23133546379641426</v>
      </c>
      <c r="I22" s="110">
        <f t="shared" si="2"/>
        <v>1.7267992702900878E-5</v>
      </c>
      <c r="J22" s="110">
        <f t="shared" si="3"/>
        <v>2.922015271429477E-3</v>
      </c>
      <c r="K22" s="110">
        <f t="shared" si="16"/>
        <v>2.6062240944084353E-2</v>
      </c>
      <c r="L22" s="110">
        <f t="shared" si="17"/>
        <v>0.80196697977687226</v>
      </c>
      <c r="M22" s="110">
        <f t="shared" si="4"/>
        <v>0.97392049106321277</v>
      </c>
      <c r="N22" s="110">
        <f t="shared" si="4"/>
        <v>0.19511100495169831</v>
      </c>
      <c r="O22" s="110">
        <f>L22/K22</f>
        <v>30.771221150839061</v>
      </c>
      <c r="P22" s="110">
        <f>(1-1/G22*I22)/(1-1/H22*J22)</f>
        <v>1.0116714798280753</v>
      </c>
      <c r="Q22" s="112">
        <f t="shared" si="5"/>
        <v>3.4149759814691123</v>
      </c>
    </row>
    <row r="23" spans="1:17" x14ac:dyDescent="0.2">
      <c r="A23">
        <v>1</v>
      </c>
      <c r="B23" s="110" cm="1">
        <f t="array" ref="B23">1.5^(ROW(21:21)-1)</f>
        <v>3325.2567300796509</v>
      </c>
      <c r="C23" s="110">
        <f t="shared" si="11"/>
        <v>1662.6283650398254</v>
      </c>
      <c r="D23" s="110">
        <f t="shared" si="15"/>
        <v>-3.6980035013073449</v>
      </c>
      <c r="E23" s="110">
        <f>B23/A23*EXP(-'ternary breakdown reorganized'!D$11/0.59)</f>
        <v>2.6595576993377151E-5</v>
      </c>
      <c r="F23" s="110">
        <f>C23/A23*EXP(-'ternary breakdown reorganized'!D$5/0.59)</f>
        <v>56.054502319192792</v>
      </c>
      <c r="G23" s="110">
        <f>B23/A23*EXP(-'ternary breakdown reorganized'!E$11/0.59)</f>
        <v>2.3398002640674976E-2</v>
      </c>
      <c r="H23" s="110">
        <f>C23/A23*EXP(-'ternary breakdown reorganized'!E$5/0.59)</f>
        <v>0.34700319569462135</v>
      </c>
      <c r="I23" s="110">
        <f t="shared" si="2"/>
        <v>2.6128750911289842E-5</v>
      </c>
      <c r="J23" s="110">
        <f t="shared" si="3"/>
        <v>5.9914748842538204E-3</v>
      </c>
      <c r="K23" s="110">
        <f t="shared" si="16"/>
        <v>1.7527092397762813E-2</v>
      </c>
      <c r="L23" s="110">
        <f t="shared" si="17"/>
        <v>0.7297133140388059</v>
      </c>
      <c r="M23" s="110">
        <f t="shared" si="4"/>
        <v>0.98244677885132592</v>
      </c>
      <c r="N23" s="110">
        <f t="shared" si="4"/>
        <v>0.26429521107694032</v>
      </c>
      <c r="O23" s="110">
        <f>L23/K23</f>
        <v>41.633449375319529</v>
      </c>
      <c r="P23" s="110">
        <f>(1-1/G23*I23)/(1-1/H23*J23)</f>
        <v>1.016433374829482</v>
      </c>
      <c r="Q23" s="112">
        <f t="shared" si="5"/>
        <v>3.7126041074582909</v>
      </c>
    </row>
    <row r="24" spans="1:17" x14ac:dyDescent="0.2">
      <c r="A24">
        <v>1</v>
      </c>
      <c r="B24" s="110" cm="1">
        <f t="array" ref="B24">1.5^(ROW(22:22)-1)</f>
        <v>4987.8850951194763</v>
      </c>
      <c r="C24" s="110">
        <f t="shared" si="11"/>
        <v>2493.9425475597382</v>
      </c>
      <c r="D24" s="110">
        <f t="shared" si="15"/>
        <v>-3.8740657419228333</v>
      </c>
      <c r="E24" s="110">
        <f>B24/A24*EXP(-'ternary breakdown reorganized'!D$11/0.59)</f>
        <v>3.9893365490065729E-5</v>
      </c>
      <c r="F24" s="110">
        <f>C24/A24*EXP(-'ternary breakdown reorganized'!D$5/0.59)</f>
        <v>84.081753478789196</v>
      </c>
      <c r="G24" s="110">
        <f>B24/A24*EXP(-'ternary breakdown reorganized'!E$11/0.59)</f>
        <v>3.5097003961012466E-2</v>
      </c>
      <c r="H24" s="110">
        <f>C24/A24*EXP(-'ternary breakdown reorganized'!E$5/0.59)</f>
        <v>0.52050479354193202</v>
      </c>
      <c r="I24" s="110">
        <f t="shared" si="2"/>
        <v>3.9422928523910391E-5</v>
      </c>
      <c r="J24" s="110">
        <f t="shared" si="3"/>
        <v>1.1871900122013493E-2</v>
      </c>
      <c r="K24" s="110">
        <f t="shared" si="16"/>
        <v>1.1753395883722368E-2</v>
      </c>
      <c r="L24" s="110">
        <f t="shared" si="17"/>
        <v>0.64283803323267064</v>
      </c>
      <c r="M24" s="110">
        <f t="shared" si="4"/>
        <v>0.98820718118775375</v>
      </c>
      <c r="N24" s="110">
        <f t="shared" si="4"/>
        <v>0.34529006664531592</v>
      </c>
      <c r="O24" s="110">
        <f>L24/K24</f>
        <v>54.693812715264393</v>
      </c>
      <c r="P24" s="110">
        <f>(1-1/G24*I24)/(1-1/H24*J24)</f>
        <v>1.0221913289789488</v>
      </c>
      <c r="Q24" s="112">
        <f t="shared" si="5"/>
        <v>3.9798019053526419</v>
      </c>
    </row>
    <row r="25" spans="1:17" x14ac:dyDescent="0.2">
      <c r="A25">
        <v>1</v>
      </c>
      <c r="B25" s="110" cm="1">
        <f t="array" ref="B25">1.5^(ROW(23:23)-1)</f>
        <v>7481.8276426792145</v>
      </c>
      <c r="C25" s="110">
        <f t="shared" si="11"/>
        <v>3740.9138213396072</v>
      </c>
      <c r="D25" s="110">
        <f t="shared" si="15"/>
        <v>-4.0501376542744758</v>
      </c>
      <c r="E25" s="110">
        <f>B25/A25*EXP(-'ternary breakdown reorganized'!D$11/0.59)</f>
        <v>5.984004823509859E-5</v>
      </c>
      <c r="F25" s="110">
        <f>C25/A25*EXP(-'ternary breakdown reorganized'!D$5/0.59)</f>
        <v>126.12263021818379</v>
      </c>
      <c r="G25" s="110">
        <f>B25/A25*EXP(-'ternary breakdown reorganized'!E$11/0.59)</f>
        <v>5.2645505941518699E-2</v>
      </c>
      <c r="H25" s="110">
        <f>C25/A25*EXP(-'ternary breakdown reorganized'!E$5/0.59)</f>
        <v>0.78075719031289803</v>
      </c>
      <c r="I25" s="110">
        <f t="shared" si="2"/>
        <v>5.9365796776176028E-5</v>
      </c>
      <c r="J25" s="110">
        <f t="shared" si="3"/>
        <v>2.256119841626909E-2</v>
      </c>
      <c r="K25" s="110">
        <f t="shared" si="16"/>
        <v>7.8664162907654232E-3</v>
      </c>
      <c r="L25" s="110">
        <f t="shared" si="17"/>
        <v>0.54543390933315861</v>
      </c>
      <c r="M25" s="110">
        <f t="shared" si="4"/>
        <v>0.99207421791245842</v>
      </c>
      <c r="N25" s="110">
        <f t="shared" si="4"/>
        <v>0.43200489225057226</v>
      </c>
      <c r="O25" s="110">
        <f>L25/K25</f>
        <v>69.337025803408935</v>
      </c>
      <c r="P25" s="110">
        <f>(1-1/G25*I25)/(1-1/H25*J25)</f>
        <v>1.0285952134249057</v>
      </c>
      <c r="Q25" s="112">
        <f t="shared" si="5"/>
        <v>4.2107850455326128</v>
      </c>
    </row>
    <row r="26" spans="1:17" x14ac:dyDescent="0.2">
      <c r="A26">
        <v>1</v>
      </c>
      <c r="B26" s="110" cm="1">
        <f t="array" ref="B26">1.5^(ROW(24:24)-1)</f>
        <v>11222.741464018822</v>
      </c>
      <c r="C26" s="110">
        <f t="shared" si="11"/>
        <v>5611.3707320094109</v>
      </c>
      <c r="D26" s="110">
        <f t="shared" si="15"/>
        <v>-4.226216015048645</v>
      </c>
      <c r="E26" s="110">
        <f>B26/A26*EXP(-'ternary breakdown reorganized'!D$11/0.59)</f>
        <v>8.9760072352647888E-5</v>
      </c>
      <c r="F26" s="110">
        <f>C26/A26*EXP(-'ternary breakdown reorganized'!D$5/0.59)</f>
        <v>189.18394532727569</v>
      </c>
      <c r="G26" s="110">
        <f>B26/A26*EXP(-'ternary breakdown reorganized'!E$11/0.59)</f>
        <v>7.8968258912278044E-2</v>
      </c>
      <c r="H26" s="110">
        <f>C26/A26*EXP(-'ternary breakdown reorganized'!E$5/0.59)</f>
        <v>1.1711357854693472</v>
      </c>
      <c r="I26" s="110">
        <f t="shared" si="2"/>
        <v>8.9280136189342653E-5</v>
      </c>
      <c r="J26" s="110">
        <f t="shared" si="3"/>
        <v>4.0856072032436408E-2</v>
      </c>
      <c r="K26" s="110">
        <f t="shared" si="16"/>
        <v>5.2580649029805174E-3</v>
      </c>
      <c r="L26" s="110">
        <f t="shared" si="17"/>
        <v>0.44442389341814664</v>
      </c>
      <c r="M26" s="110">
        <f t="shared" si="4"/>
        <v>0.99465265496083011</v>
      </c>
      <c r="N26" s="110">
        <f t="shared" si="4"/>
        <v>0.51472003454941695</v>
      </c>
      <c r="O26" s="110">
        <f>L26/K26</f>
        <v>84.522329339492629</v>
      </c>
      <c r="P26" s="110">
        <f>(1-1/G26*I26)/(1-1/H26*J26)</f>
        <v>1.0349754188011744</v>
      </c>
      <c r="Q26" s="112">
        <f t="shared" si="5"/>
        <v>4.4026380755082082</v>
      </c>
    </row>
    <row r="27" spans="1:17" x14ac:dyDescent="0.2">
      <c r="A27">
        <v>1</v>
      </c>
      <c r="B27" s="110" cm="1">
        <f t="array" ref="B27">1.5^(ROW(25:25)-1)</f>
        <v>16834.112196028233</v>
      </c>
      <c r="C27" s="110">
        <f t="shared" si="11"/>
        <v>8417.0560980141163</v>
      </c>
      <c r="D27" s="110">
        <f t="shared" si="15"/>
        <v>-4.4022986750371622</v>
      </c>
      <c r="E27" s="110">
        <f>B27/A27*EXP(-'ternary breakdown reorganized'!D$11/0.59)</f>
        <v>1.3464010852897183E-4</v>
      </c>
      <c r="F27" s="110">
        <f>C27/A27*EXP(-'ternary breakdown reorganized'!D$5/0.59)</f>
        <v>283.77591799091351</v>
      </c>
      <c r="G27" s="110">
        <f>B27/A27*EXP(-'ternary breakdown reorganized'!E$11/0.59)</f>
        <v>0.11845238836841707</v>
      </c>
      <c r="H27" s="110">
        <f>C27/A27*EXP(-'ternary breakdown reorganized'!E$5/0.59)</f>
        <v>1.7567036782040206</v>
      </c>
      <c r="I27" s="110">
        <f t="shared" si="2"/>
        <v>1.3414931690694211E-4</v>
      </c>
      <c r="J27" s="110">
        <f t="shared" si="3"/>
        <v>7.0185674778887E-2</v>
      </c>
      <c r="K27" s="110">
        <f t="shared" si="16"/>
        <v>3.5115312216778202E-3</v>
      </c>
      <c r="L27" s="110">
        <f t="shared" si="17"/>
        <v>0.34780720658135639</v>
      </c>
      <c r="M27" s="110">
        <f t="shared" si="4"/>
        <v>0.99635431946141528</v>
      </c>
      <c r="N27" s="110">
        <f t="shared" si="4"/>
        <v>0.58200711863975663</v>
      </c>
      <c r="O27" s="110">
        <f>L27/K27</f>
        <v>99.047163366861099</v>
      </c>
      <c r="P27" s="110">
        <f>(1-1/G27*I27)/(1-1/H27*J27)</f>
        <v>1.0404360808811475</v>
      </c>
      <c r="Q27" s="112">
        <f t="shared" si="5"/>
        <v>4.5559562005307335</v>
      </c>
    </row>
    <row r="28" spans="1:17" x14ac:dyDescent="0.2">
      <c r="A28">
        <v>1</v>
      </c>
      <c r="B28" s="110" cm="1">
        <f t="array" ref="B28">1.5^(ROW(26:26)-1)</f>
        <v>25251.168294042349</v>
      </c>
      <c r="C28" s="110">
        <f t="shared" si="11"/>
        <v>12625.584147021174</v>
      </c>
      <c r="D28" s="110">
        <f t="shared" si="15"/>
        <v>-4.5783842012868092</v>
      </c>
      <c r="E28" s="110">
        <f>B28/A28*EXP(-'ternary breakdown reorganized'!D$11/0.59)</f>
        <v>2.0196016279345775E-4</v>
      </c>
      <c r="F28" s="110">
        <f>C28/A28*EXP(-'ternary breakdown reorganized'!D$5/0.59)</f>
        <v>425.66387698637027</v>
      </c>
      <c r="G28" s="110">
        <f>B28/A28*EXP(-'ternary breakdown reorganized'!E$11/0.59)</f>
        <v>0.17767858255262561</v>
      </c>
      <c r="H28" s="110">
        <f>C28/A28*EXP(-'ternary breakdown reorganized'!E$5/0.59)</f>
        <v>2.6350555173060308</v>
      </c>
      <c r="I28" s="110">
        <f t="shared" si="2"/>
        <v>2.0144622680827058E-4</v>
      </c>
      <c r="J28" s="110">
        <f t="shared" si="3"/>
        <v>0.11410299311852838</v>
      </c>
      <c r="K28" s="110">
        <f t="shared" si="16"/>
        <v>2.3437642148574547E-3</v>
      </c>
      <c r="L28" s="110">
        <f t="shared" si="17"/>
        <v>0.26227897718780635</v>
      </c>
      <c r="M28" s="110">
        <f t="shared" si="4"/>
        <v>0.99745478955833422</v>
      </c>
      <c r="N28" s="110">
        <f t="shared" si="4"/>
        <v>0.62361802969366531</v>
      </c>
      <c r="O28" s="110">
        <f>L28/K28</f>
        <v>111.90501822887414</v>
      </c>
      <c r="P28" s="110">
        <f>(1-1/G28*I28)/(1-1/H28*J28)</f>
        <v>1.0440767731178557</v>
      </c>
      <c r="Q28" s="112">
        <f t="shared" si="5"/>
        <v>4.6745174357421444</v>
      </c>
    </row>
    <row r="29" spans="1:17" x14ac:dyDescent="0.2">
      <c r="A29">
        <v>1</v>
      </c>
      <c r="B29" s="110" cm="1">
        <f t="array" ref="B29">1.5^(ROW(27:27)-1)</f>
        <v>37876.752441063523</v>
      </c>
      <c r="C29" s="110">
        <f t="shared" si="11"/>
        <v>18938.376220531762</v>
      </c>
      <c r="D29" s="110">
        <f t="shared" si="15"/>
        <v>-4.7544716384297594</v>
      </c>
      <c r="E29" s="110">
        <f>B29/A29*EXP(-'ternary breakdown reorganized'!D$11/0.59)</f>
        <v>3.029402441901866E-4</v>
      </c>
      <c r="F29" s="110">
        <f>C29/A29*EXP(-'ternary breakdown reorganized'!D$5/0.59)</f>
        <v>638.4958154795554</v>
      </c>
      <c r="G29" s="110">
        <f>B29/A29*EXP(-'ternary breakdown reorganized'!E$11/0.59)</f>
        <v>0.26651787382893838</v>
      </c>
      <c r="H29" s="110">
        <f>C29/A29*EXP(-'ternary breakdown reorganized'!E$5/0.59)</f>
        <v>3.9525832759590465</v>
      </c>
      <c r="I29" s="110">
        <f t="shared" si="2"/>
        <v>3.0237506853287948E-4</v>
      </c>
      <c r="J29" s="110">
        <f t="shared" si="3"/>
        <v>0.17539644434990809</v>
      </c>
      <c r="K29" s="110">
        <f t="shared" si="16"/>
        <v>1.5637311489411516E-3</v>
      </c>
      <c r="L29" s="110">
        <f t="shared" si="17"/>
        <v>0.19160387417297381</v>
      </c>
      <c r="M29" s="110">
        <f t="shared" si="4"/>
        <v>0.99813389378252593</v>
      </c>
      <c r="N29" s="110">
        <f t="shared" si="4"/>
        <v>0.63299968147711816</v>
      </c>
      <c r="O29" s="110">
        <f>L29/K29</f>
        <v>122.52993380781244</v>
      </c>
      <c r="P29" s="110">
        <f>(1-1/G29*I29)/(1-1/H29*J29)</f>
        <v>1.0452485116356962</v>
      </c>
      <c r="Q29" s="112">
        <f t="shared" si="5"/>
        <v>4.7641006904270018</v>
      </c>
    </row>
    <row r="30" spans="1:17" x14ac:dyDescent="0.2">
      <c r="A30">
        <v>1</v>
      </c>
      <c r="B30" s="110" cm="1">
        <f t="array" ref="B30">1.5^(ROW(28:28)-1)</f>
        <v>56815.128661595285</v>
      </c>
      <c r="C30" s="110">
        <f t="shared" si="11"/>
        <v>28407.564330797642</v>
      </c>
      <c r="D30" s="110">
        <f t="shared" si="15"/>
        <v>-4.9305603495249342</v>
      </c>
      <c r="E30" s="110">
        <f>B30/A30*EXP(-'ternary breakdown reorganized'!D$11/0.59)</f>
        <v>4.5441036628527992E-4</v>
      </c>
      <c r="F30" s="110">
        <f>C30/A30*EXP(-'ternary breakdown reorganized'!D$5/0.59)</f>
        <v>957.74372321933311</v>
      </c>
      <c r="G30" s="110">
        <f>B30/A30*EXP(-'ternary breakdown reorganized'!E$11/0.59)</f>
        <v>0.3997768107434076</v>
      </c>
      <c r="H30" s="110">
        <f>C30/A30*EXP(-'ternary breakdown reorganized'!E$5/0.59)</f>
        <v>5.9288749139385697</v>
      </c>
      <c r="I30" s="110">
        <f t="shared" si="2"/>
        <v>4.53730437151617E-4</v>
      </c>
      <c r="J30" s="110">
        <f t="shared" si="3"/>
        <v>0.25488770869209404</v>
      </c>
      <c r="K30" s="110">
        <f t="shared" si="16"/>
        <v>1.0430311060373762E-3</v>
      </c>
      <c r="L30" s="110">
        <f t="shared" si="17"/>
        <v>0.13645074668129278</v>
      </c>
      <c r="M30" s="110">
        <f t="shared" si="4"/>
        <v>0.99850323845681099</v>
      </c>
      <c r="N30" s="110">
        <f t="shared" si="4"/>
        <v>0.60866154462661315</v>
      </c>
      <c r="O30" s="110">
        <f>L30/K30</f>
        <v>130.82135891391448</v>
      </c>
      <c r="P30" s="110">
        <f>(1-1/G30*I30)/(1-1/H30*J30)</f>
        <v>1.04373620658276</v>
      </c>
      <c r="Q30" s="112">
        <f t="shared" si="5"/>
        <v>4.8310259382953431</v>
      </c>
    </row>
    <row r="31" spans="1:17" x14ac:dyDescent="0.2">
      <c r="A31">
        <v>1</v>
      </c>
      <c r="B31" s="110" cm="1">
        <f t="array" ref="B31">1.5^(ROW(29:29)-1)</f>
        <v>85222.692992392927</v>
      </c>
      <c r="C31" s="110">
        <f t="shared" si="11"/>
        <v>42611.346496196464</v>
      </c>
      <c r="D31" s="110">
        <f t="shared" si="15"/>
        <v>-5.1066499099319724</v>
      </c>
      <c r="E31" s="110">
        <f>B31/A31*EXP(-'ternary breakdown reorganized'!D$11/0.59)</f>
        <v>6.8161554942791983E-4</v>
      </c>
      <c r="F31" s="110">
        <f>C31/A31*EXP(-'ternary breakdown reorganized'!D$5/0.59)</f>
        <v>1436.6155848289998</v>
      </c>
      <c r="G31" s="110">
        <f>B31/A31*EXP(-'ternary breakdown reorganized'!E$11/0.59)</f>
        <v>0.59966521611511137</v>
      </c>
      <c r="H31" s="110">
        <f>C31/A31*EXP(-'ternary breakdown reorganized'!E$5/0.59)</f>
        <v>8.8933123709078554</v>
      </c>
      <c r="I31" s="110">
        <f t="shared" si="2"/>
        <v>6.8067778238102019E-4</v>
      </c>
      <c r="J31" s="110">
        <f t="shared" si="3"/>
        <v>0.35024938558637853</v>
      </c>
      <c r="K31" s="110">
        <f t="shared" si="16"/>
        <v>6.9559591341655943E-4</v>
      </c>
      <c r="L31" s="110">
        <f t="shared" si="17"/>
        <v>9.5301833221938359E-2</v>
      </c>
      <c r="M31" s="110">
        <f t="shared" si="4"/>
        <v>0.99862372630420237</v>
      </c>
      <c r="N31" s="110">
        <f t="shared" si="4"/>
        <v>0.55444878119168317</v>
      </c>
      <c r="O31" s="110">
        <f>L31/K31</f>
        <v>137.00746566184412</v>
      </c>
      <c r="P31" s="110">
        <f>(1-1/G31*I31)/(1-1/H31*J31)</f>
        <v>1.0398164709766675</v>
      </c>
      <c r="Q31" s="112">
        <f t="shared" si="5"/>
        <v>4.8809911908596231</v>
      </c>
    </row>
    <row r="32" spans="1:17" x14ac:dyDescent="0.2">
      <c r="A32">
        <v>1</v>
      </c>
      <c r="B32" s="110" cm="1">
        <f t="array" ref="B32">1.5^(ROW(30:30)-1)</f>
        <v>127834.03948858939</v>
      </c>
      <c r="C32" s="110">
        <f t="shared" si="11"/>
        <v>63917.019744294696</v>
      </c>
      <c r="D32" s="110">
        <f t="shared" si="15"/>
        <v>-5.2827400365515347</v>
      </c>
      <c r="E32" s="110">
        <f>B32/A32*EXP(-'ternary breakdown reorganized'!D$11/0.59)</f>
        <v>1.0224233241418797E-3</v>
      </c>
      <c r="F32" s="110">
        <f>C32/A32*EXP(-'ternary breakdown reorganized'!D$5/0.59)</f>
        <v>2154.9233772434995</v>
      </c>
      <c r="G32" s="110">
        <f>B32/A32*EXP(-'ternary breakdown reorganized'!E$11/0.59)</f>
        <v>0.8994978241726671</v>
      </c>
      <c r="H32" s="110">
        <f>C32/A32*EXP(-'ternary breakdown reorganized'!E$5/0.59)</f>
        <v>13.339968556361782</v>
      </c>
      <c r="I32" s="110">
        <f t="shared" si="2"/>
        <v>1.020905771247951E-3</v>
      </c>
      <c r="J32" s="110">
        <f t="shared" si="3"/>
        <v>0.45556637635454167</v>
      </c>
      <c r="K32" s="110">
        <f t="shared" si="16"/>
        <v>4.6383815691985298E-4</v>
      </c>
      <c r="L32" s="110">
        <f t="shared" si="17"/>
        <v>6.5619095513561543E-2</v>
      </c>
      <c r="M32" s="110">
        <f t="shared" si="4"/>
        <v>0.99851525607183222</v>
      </c>
      <c r="N32" s="110">
        <f t="shared" si="4"/>
        <v>0.47881452813189673</v>
      </c>
      <c r="O32" s="110">
        <f>L32/K32</f>
        <v>141.46980910175515</v>
      </c>
      <c r="P32" s="110">
        <f>(1-1/G32*I32)/(1-1/H32*J32)</f>
        <v>1.0341828721010784</v>
      </c>
      <c r="Q32" s="112">
        <f t="shared" si="5"/>
        <v>4.9184747117325642</v>
      </c>
    </row>
    <row r="33" spans="1:17" x14ac:dyDescent="0.2">
      <c r="A33">
        <v>1</v>
      </c>
      <c r="B33" s="110" cm="1">
        <f t="array" ref="B33">1.5^(ROW(31:31)-1)</f>
        <v>191751.05923288409</v>
      </c>
      <c r="C33" s="110">
        <f t="shared" si="11"/>
        <v>95875.529616442043</v>
      </c>
      <c r="D33" s="110">
        <f t="shared" si="15"/>
        <v>-5.4588305406481625</v>
      </c>
      <c r="E33" s="110">
        <f>B33/A33*EXP(-'ternary breakdown reorganized'!D$11/0.59)</f>
        <v>1.5336349862128198E-3</v>
      </c>
      <c r="F33" s="110">
        <f>C33/A33*EXP(-'ternary breakdown reorganized'!D$5/0.59)</f>
        <v>3232.3850658652491</v>
      </c>
      <c r="G33" s="110">
        <f>B33/A33*EXP(-'ternary breakdown reorganized'!E$11/0.59)</f>
        <v>1.3492467362590006</v>
      </c>
      <c r="H33" s="110">
        <f>C33/A33*EXP(-'ternary breakdown reorganized'!E$5/0.59)</f>
        <v>20.009952834542673</v>
      </c>
      <c r="I33" s="110">
        <f t="shared" si="2"/>
        <v>1.5308136903540569E-3</v>
      </c>
      <c r="J33" s="110">
        <f t="shared" si="3"/>
        <v>0.56236847249138278</v>
      </c>
      <c r="K33" s="110">
        <f t="shared" si="16"/>
        <v>3.0927325552551122E-4</v>
      </c>
      <c r="L33" s="110">
        <f t="shared" si="17"/>
        <v>4.4724320154370611E-2</v>
      </c>
      <c r="M33" s="110">
        <f t="shared" si="4"/>
        <v>0.99815991305412044</v>
      </c>
      <c r="N33" s="110">
        <f t="shared" si="4"/>
        <v>0.39290720735424656</v>
      </c>
      <c r="O33" s="110">
        <f>L33/K33</f>
        <v>144.61101745890022</v>
      </c>
      <c r="P33" s="110">
        <f>(1-1/G33*I33)/(1-1/H33*J33)</f>
        <v>1.0277497599570822</v>
      </c>
      <c r="Q33" s="112">
        <f t="shared" si="5"/>
        <v>4.9466757862497381</v>
      </c>
    </row>
    <row r="34" spans="1:17" x14ac:dyDescent="0.2">
      <c r="A34">
        <v>1</v>
      </c>
      <c r="B34" s="110" cm="1">
        <f t="array" ref="B34">1.5^(ROW(32:32)-1)</f>
        <v>287626.58884932613</v>
      </c>
      <c r="C34" s="110">
        <f t="shared" si="11"/>
        <v>143813.29442466307</v>
      </c>
      <c r="D34" s="110">
        <f t="shared" si="15"/>
        <v>-5.6349212963970787</v>
      </c>
      <c r="E34" s="110">
        <f>B34/A34*EXP(-'ternary breakdown reorganized'!D$11/0.59)</f>
        <v>2.3004524793192294E-3</v>
      </c>
      <c r="F34" s="110">
        <f>C34/A34*EXP(-'ternary breakdown reorganized'!D$5/0.59)</f>
        <v>4848.5775987978741</v>
      </c>
      <c r="G34" s="110">
        <f>B34/A34*EXP(-'ternary breakdown reorganized'!E$11/0.59)</f>
        <v>2.023870104388501</v>
      </c>
      <c r="H34" s="110">
        <f>C34/A34*EXP(-'ternary breakdown reorganized'!E$5/0.59)</f>
        <v>30.01492925181401</v>
      </c>
      <c r="I34" s="110">
        <f t="shared" si="2"/>
        <v>2.2947003572978894E-3</v>
      </c>
      <c r="J34" s="110">
        <f t="shared" si="3"/>
        <v>0.66200405747155899</v>
      </c>
      <c r="K34" s="110">
        <f t="shared" si="16"/>
        <v>2.0620342808550895E-4</v>
      </c>
      <c r="L34" s="110">
        <f t="shared" si="17"/>
        <v>3.0267443717268916E-2</v>
      </c>
      <c r="M34" s="110">
        <f t="shared" si="4"/>
        <v>0.99749909621461663</v>
      </c>
      <c r="N34" s="110">
        <f t="shared" si="4"/>
        <v>0.30772849881117215</v>
      </c>
      <c r="O34" s="110">
        <f>L34/K34</f>
        <v>146.78438665295874</v>
      </c>
      <c r="P34" s="110">
        <f>(1-1/G34*I34)/(1-1/H34*J34)</f>
        <v>1.0213938674326575</v>
      </c>
      <c r="Q34" s="112">
        <f t="shared" si="5"/>
        <v>4.9677965214407829</v>
      </c>
    </row>
    <row r="35" spans="1:17" x14ac:dyDescent="0.2">
      <c r="A35">
        <v>1</v>
      </c>
      <c r="B35" s="110" cm="1">
        <f t="array" ref="B35">1.5^(ROW(33:33)-1)</f>
        <v>431439.8832739892</v>
      </c>
      <c r="C35" s="110">
        <f t="shared" si="11"/>
        <v>215719.9416369946</v>
      </c>
      <c r="D35" s="110">
        <f t="shared" si="15"/>
        <v>-5.811012219914593</v>
      </c>
      <c r="E35" s="110">
        <f>B35/A35*EXP(-'ternary breakdown reorganized'!D$11/0.59)</f>
        <v>3.4506787189788443E-3</v>
      </c>
      <c r="F35" s="110">
        <f>C35/A35*EXP(-'ternary breakdown reorganized'!D$5/0.59)</f>
        <v>7272.8663981968111</v>
      </c>
      <c r="G35" s="110">
        <f>B35/A35*EXP(-'ternary breakdown reorganized'!E$11/0.59)</f>
        <v>3.0358051565827515</v>
      </c>
      <c r="H35" s="110">
        <f>C35/A35*EXP(-'ternary breakdown reorganized'!E$5/0.59)</f>
        <v>45.022393877721015</v>
      </c>
      <c r="I35" s="110">
        <f t="shared" si="2"/>
        <v>3.4383413447807536E-3</v>
      </c>
      <c r="J35" s="110">
        <f t="shared" si="3"/>
        <v>0.74810077461517976</v>
      </c>
      <c r="K35" s="110">
        <f t="shared" si="16"/>
        <v>1.3747840156290263E-4</v>
      </c>
      <c r="L35" s="110">
        <f t="shared" si="17"/>
        <v>2.0383952523425362E-2</v>
      </c>
      <c r="M35" s="110">
        <f t="shared" si="4"/>
        <v>0.99642418025365631</v>
      </c>
      <c r="N35" s="110">
        <f t="shared" si="4"/>
        <v>0.23151527286139484</v>
      </c>
      <c r="O35" s="110">
        <f>L35/K35</f>
        <v>148.27021766105403</v>
      </c>
      <c r="P35" s="110">
        <f>(1-1/G35*I35)/(1-1/H35*J35)</f>
        <v>1.0157452222073162</v>
      </c>
      <c r="Q35" s="112">
        <f t="shared" si="5"/>
        <v>4.9834138518681641</v>
      </c>
    </row>
    <row r="36" spans="1:17" x14ac:dyDescent="0.2">
      <c r="A36">
        <v>1</v>
      </c>
      <c r="B36" s="110" cm="1">
        <f t="array" ref="B36">1.5^(ROW(34:34)-1)</f>
        <v>647159.82491098379</v>
      </c>
      <c r="C36" s="110">
        <f t="shared" si="11"/>
        <v>323579.9124554919</v>
      </c>
      <c r="D36" s="110">
        <f t="shared" si="15"/>
        <v>-5.9871032552780186</v>
      </c>
      <c r="E36" s="110">
        <f>B36/A36*EXP(-'ternary breakdown reorganized'!D$11/0.59)</f>
        <v>5.1760180784682667E-3</v>
      </c>
      <c r="F36" s="110">
        <f>C36/A36*EXP(-'ternary breakdown reorganized'!D$5/0.59)</f>
        <v>10909.299597295216</v>
      </c>
      <c r="G36" s="110">
        <f>B36/A36*EXP(-'ternary breakdown reorganized'!E$11/0.59)</f>
        <v>4.5537077348741271</v>
      </c>
      <c r="H36" s="110">
        <f>C36/A36*EXP(-'ternary breakdown reorganized'!E$5/0.59)</f>
        <v>67.533590816581523</v>
      </c>
      <c r="I36" s="110">
        <f t="shared" si="2"/>
        <v>5.1488953301122653E-3</v>
      </c>
      <c r="J36" s="110">
        <f t="shared" si="3"/>
        <v>0.81775977741873473</v>
      </c>
      <c r="K36" s="110">
        <f t="shared" si="16"/>
        <v>9.1656467970171584E-5</v>
      </c>
      <c r="L36" s="110">
        <f t="shared" si="17"/>
        <v>1.3682267915484249E-2</v>
      </c>
      <c r="M36" s="110">
        <f t="shared" si="4"/>
        <v>0.99475944820191753</v>
      </c>
      <c r="N36" s="110">
        <f t="shared" si="4"/>
        <v>0.16855795466578105</v>
      </c>
      <c r="O36" s="110">
        <f>L36/K36</f>
        <v>149.27771294805913</v>
      </c>
      <c r="P36" s="110">
        <f>(1-1/G36*I36)/(1-1/H36*J36)</f>
        <v>1.011112793888209</v>
      </c>
      <c r="Q36" s="112">
        <f t="shared" si="5"/>
        <v>4.9947569159598446</v>
      </c>
    </row>
    <row r="37" spans="1:17" x14ac:dyDescent="0.2">
      <c r="A37">
        <v>1</v>
      </c>
      <c r="B37" s="110" cm="1">
        <f t="array" ref="B37">1.5^(ROW(35:35)-1)</f>
        <v>970739.73736647563</v>
      </c>
      <c r="C37" s="110">
        <f t="shared" si="11"/>
        <v>485369.86868323782</v>
      </c>
      <c r="D37" s="110">
        <f t="shared" si="15"/>
        <v>-6.1631943652054657</v>
      </c>
      <c r="E37" s="110">
        <f>B37/A37*EXP(-'ternary breakdown reorganized'!D$11/0.59)</f>
        <v>7.7640271177023996E-3</v>
      </c>
      <c r="F37" s="110">
        <f>C37/A37*EXP(-'ternary breakdown reorganized'!D$5/0.59)</f>
        <v>16363.949395942824</v>
      </c>
      <c r="G37" s="110">
        <f>B37/A37*EXP(-'ternary breakdown reorganized'!E$11/0.59)</f>
        <v>6.8305616023111906</v>
      </c>
      <c r="H37" s="110">
        <f>C37/A37*EXP(-'ternary breakdown reorganized'!E$5/0.59)</f>
        <v>101.30038622487228</v>
      </c>
      <c r="I37" s="110">
        <f t="shared" si="2"/>
        <v>7.7037442629710384E-3</v>
      </c>
      <c r="J37" s="110">
        <f t="shared" si="3"/>
        <v>0.87119696059321372</v>
      </c>
      <c r="K37" s="110">
        <f t="shared" si="16"/>
        <v>6.1106178905624264E-5</v>
      </c>
      <c r="L37" s="110">
        <f t="shared" si="17"/>
        <v>9.1633035349749752E-3</v>
      </c>
      <c r="M37" s="110">
        <f t="shared" si="4"/>
        <v>0.99223514955812331</v>
      </c>
      <c r="N37" s="110">
        <f t="shared" si="4"/>
        <v>0.11963973587181131</v>
      </c>
      <c r="O37" s="110">
        <f>L37/K37</f>
        <v>149.95706979366659</v>
      </c>
      <c r="P37" s="110">
        <f>(1-1/G37*I37)/(1-1/H37*J37)</f>
        <v>1.0075371202077523</v>
      </c>
      <c r="Q37" s="112">
        <f t="shared" si="5"/>
        <v>5.002840193718626</v>
      </c>
    </row>
    <row r="38" spans="1:17" x14ac:dyDescent="0.2">
      <c r="A38">
        <v>1</v>
      </c>
      <c r="B38" s="110" cm="1">
        <f t="array" ref="B38">1.5^(ROW(36:36)-1)</f>
        <v>1456109.6060497134</v>
      </c>
      <c r="C38" s="110">
        <f t="shared" si="11"/>
        <v>728054.80302485672</v>
      </c>
      <c r="D38" s="110">
        <f t="shared" si="15"/>
        <v>-6.3392855248422952</v>
      </c>
      <c r="E38" s="110">
        <f>B38/A38*EXP(-'ternary breakdown reorganized'!D$11/0.59)</f>
        <v>1.1646040676553599E-2</v>
      </c>
      <c r="F38" s="110">
        <f>C38/A38*EXP(-'ternary breakdown reorganized'!D$5/0.59)</f>
        <v>24545.924093914236</v>
      </c>
      <c r="G38" s="110">
        <f>B38/A38*EXP(-'ternary breakdown reorganized'!E$11/0.59)</f>
        <v>10.245842403466785</v>
      </c>
      <c r="H38" s="110">
        <f>C38/A38*EXP(-'ternary breakdown reorganized'!E$5/0.59)</f>
        <v>151.95057933730843</v>
      </c>
      <c r="I38" s="110">
        <f t="shared" si="2"/>
        <v>1.1511508205345774E-2</v>
      </c>
      <c r="J38" s="110">
        <f t="shared" si="3"/>
        <v>0.91054539602435491</v>
      </c>
      <c r="K38" s="110">
        <f t="shared" si="16"/>
        <v>4.0738282390673537E-5</v>
      </c>
      <c r="L38" s="110">
        <f t="shared" si="17"/>
        <v>6.1275853314260902E-3</v>
      </c>
      <c r="M38" s="110">
        <f t="shared" si="4"/>
        <v>0.98844775351226355</v>
      </c>
      <c r="N38" s="110">
        <f t="shared" si="4"/>
        <v>8.3327018644218986E-2</v>
      </c>
      <c r="O38" s="110">
        <f>L38/K38</f>
        <v>150.41344337160655</v>
      </c>
      <c r="P38" s="110">
        <f>(1-1/G38*I38)/(1-1/H38*J38)</f>
        <v>1.004898200751432</v>
      </c>
      <c r="Q38" s="112">
        <f t="shared" si="5"/>
        <v>5.0085015480450075</v>
      </c>
    </row>
    <row r="39" spans="1:17" x14ac:dyDescent="0.2">
      <c r="A39">
        <v>1</v>
      </c>
      <c r="B39" s="110" cm="1">
        <f t="array" ref="B39">1.5^(ROW(37:37)-1)</f>
        <v>2184164.4090745705</v>
      </c>
      <c r="C39" s="110">
        <f t="shared" si="11"/>
        <v>1092082.2045372853</v>
      </c>
      <c r="D39" s="110">
        <f t="shared" si="15"/>
        <v>-6.5153767176187296</v>
      </c>
      <c r="E39" s="110">
        <f>B39/A39*EXP(-'ternary breakdown reorganized'!D$11/0.59)</f>
        <v>1.7469061014830402E-2</v>
      </c>
      <c r="F39" s="110">
        <f>C39/A39*EXP(-'ternary breakdown reorganized'!D$5/0.59)</f>
        <v>36818.886140871356</v>
      </c>
      <c r="G39" s="110">
        <f>B39/A39*EXP(-'ternary breakdown reorganized'!E$11/0.59)</f>
        <v>15.368763605200181</v>
      </c>
      <c r="H39" s="110">
        <f>C39/A39*EXP(-'ternary breakdown reorganized'!E$5/0.59)</f>
        <v>227.92586900596265</v>
      </c>
      <c r="I39" s="110">
        <f t="shared" si="2"/>
        <v>1.7168674098709643E-2</v>
      </c>
      <c r="J39" s="110">
        <f t="shared" si="3"/>
        <v>0.93865643872588755</v>
      </c>
      <c r="K39" s="110">
        <f t="shared" si="16"/>
        <v>2.7159223733824346E-5</v>
      </c>
      <c r="L39" s="110">
        <f t="shared" si="17"/>
        <v>4.093417809926561E-3</v>
      </c>
      <c r="M39" s="110">
        <f t="shared" si="4"/>
        <v>0.98280416667755655</v>
      </c>
      <c r="N39" s="110">
        <f t="shared" si="4"/>
        <v>5.7250143464185888E-2</v>
      </c>
      <c r="O39" s="110">
        <f>L39/K39</f>
        <v>150.71924919667646</v>
      </c>
      <c r="P39" s="110">
        <f>(1-1/G39*I39)/(1-1/H39*J39)</f>
        <v>1.003013548901253</v>
      </c>
      <c r="Q39" s="112">
        <f t="shared" si="5"/>
        <v>5.0124098121064034</v>
      </c>
    </row>
    <row r="40" spans="1:17" x14ac:dyDescent="0.2">
      <c r="A40">
        <v>1</v>
      </c>
      <c r="B40" s="110" cm="1">
        <f t="array" ref="B40">1.5^(ROW(38:38)-1)</f>
        <v>3276246.6136118555</v>
      </c>
      <c r="C40" s="110">
        <f t="shared" si="11"/>
        <v>1638123.3068059278</v>
      </c>
      <c r="D40" s="110">
        <f t="shared" si="15"/>
        <v>-6.6914679324882416</v>
      </c>
      <c r="E40" s="110">
        <f>B40/A40*EXP(-'ternary breakdown reorganized'!D$11/0.59)</f>
        <v>2.6203591522245599E-2</v>
      </c>
      <c r="F40" s="110">
        <f>C40/A40*EXP(-'ternary breakdown reorganized'!D$5/0.59)</f>
        <v>55228.329211307035</v>
      </c>
      <c r="G40" s="110">
        <f>B40/A40*EXP(-'ternary breakdown reorganized'!E$11/0.59)</f>
        <v>23.053145407800269</v>
      </c>
      <c r="H40" s="110">
        <f>C40/A40*EXP(-'ternary breakdown reorganized'!E$5/0.59)</f>
        <v>341.88880350894397</v>
      </c>
      <c r="I40" s="110">
        <f t="shared" si="2"/>
        <v>2.5534045488346327E-2</v>
      </c>
      <c r="J40" s="110">
        <f t="shared" si="3"/>
        <v>0.95830886285150685</v>
      </c>
      <c r="K40" s="110">
        <f t="shared" si="16"/>
        <v>1.8106313073685485E-5</v>
      </c>
      <c r="L40" s="110">
        <f t="shared" si="17"/>
        <v>2.7326738652406063E-3</v>
      </c>
      <c r="M40" s="110">
        <f t="shared" si="4"/>
        <v>0.97444784819857999</v>
      </c>
      <c r="N40" s="110">
        <f t="shared" si="4"/>
        <v>3.8958463283252587E-2</v>
      </c>
      <c r="O40" s="110">
        <f>L40/K40</f>
        <v>150.92381613637806</v>
      </c>
      <c r="P40" s="110">
        <f>(1-1/G40*I40)/(1-1/H40*J40)</f>
        <v>1.0017001329402</v>
      </c>
      <c r="Q40" s="112">
        <f t="shared" si="5"/>
        <v>5.0150764912490784</v>
      </c>
    </row>
    <row r="41" spans="1:17" x14ac:dyDescent="0.2">
      <c r="A41">
        <v>1</v>
      </c>
      <c r="B41" s="110" cm="1">
        <f t="array" ref="B41">1.5^(ROW(39:39)-1)</f>
        <v>4914369.9204177829</v>
      </c>
      <c r="C41" s="110">
        <f t="shared" si="11"/>
        <v>2457184.9602088914</v>
      </c>
      <c r="D41" s="110">
        <f t="shared" si="15"/>
        <v>-6.8675591620864731</v>
      </c>
      <c r="E41" s="110">
        <f>B41/A41*EXP(-'ternary breakdown reorganized'!D$11/0.59)</f>
        <v>3.9305387283368395E-2</v>
      </c>
      <c r="F41" s="110">
        <f>C41/A41*EXP(-'ternary breakdown reorganized'!D$5/0.59)</f>
        <v>82842.493816960545</v>
      </c>
      <c r="G41" s="110">
        <f>B41/A41*EXP(-'ternary breakdown reorganized'!E$11/0.59)</f>
        <v>34.579718111700402</v>
      </c>
      <c r="H41" s="110">
        <f>C41/A41*EXP(-'ternary breakdown reorganized'!E$5/0.59)</f>
        <v>512.83320526341595</v>
      </c>
      <c r="I41" s="110">
        <f t="shared" si="2"/>
        <v>3.7818461497336239E-2</v>
      </c>
      <c r="J41" s="110">
        <f t="shared" si="3"/>
        <v>0.97184083809809574</v>
      </c>
      <c r="K41" s="110">
        <f t="shared" si="16"/>
        <v>1.2070948235912943E-5</v>
      </c>
      <c r="L41" s="110">
        <f t="shared" si="17"/>
        <v>1.8234435356586161E-3</v>
      </c>
      <c r="M41" s="110">
        <f t="shared" si="4"/>
        <v>0.96216946755442789</v>
      </c>
      <c r="N41" s="110">
        <f t="shared" si="4"/>
        <v>2.6335718366245597E-2</v>
      </c>
      <c r="O41" s="110">
        <f>L41/K41</f>
        <v>151.06050494306561</v>
      </c>
      <c r="P41" s="110">
        <f>(1-1/G41*I41)/(1-1/H41*J41)</f>
        <v>1.0008029040669368</v>
      </c>
      <c r="Q41" s="112">
        <f t="shared" si="5"/>
        <v>5.0168778696334213</v>
      </c>
    </row>
    <row r="42" spans="1:17" x14ac:dyDescent="0.2">
      <c r="A42">
        <v>1</v>
      </c>
      <c r="B42" s="110" cm="1">
        <f t="array" ref="B42">1.5^(ROW(40:40)-1)</f>
        <v>7371554.8806266747</v>
      </c>
      <c r="C42" s="110">
        <f t="shared" si="11"/>
        <v>3685777.4403133374</v>
      </c>
      <c r="D42" s="110">
        <f t="shared" si="15"/>
        <v>-7.0436504015038537</v>
      </c>
      <c r="E42" s="110">
        <f>B42/A42*EXP(-'ternary breakdown reorganized'!D$11/0.59)</f>
        <v>5.89580809250526E-2</v>
      </c>
      <c r="F42" s="110">
        <f>C42/A42*EXP(-'ternary breakdown reorganized'!D$5/0.59)</f>
        <v>124263.74072544082</v>
      </c>
      <c r="G42" s="110">
        <f>B42/A42*EXP(-'ternary breakdown reorganized'!E$11/0.59)</f>
        <v>51.869577167550609</v>
      </c>
      <c r="H42" s="110">
        <f>C42/A42*EXP(-'ternary breakdown reorganized'!E$5/0.59)</f>
        <v>769.24980789512392</v>
      </c>
      <c r="I42" s="110">
        <f t="shared" si="2"/>
        <v>5.5675133838622076E-2</v>
      </c>
      <c r="J42" s="110">
        <f t="shared" si="3"/>
        <v>0.98106140805529618</v>
      </c>
      <c r="K42" s="110">
        <f t="shared" si="16"/>
        <v>8.0473312035814278E-6</v>
      </c>
      <c r="L42" s="110">
        <f t="shared" si="17"/>
        <v>1.2163683501074053E-3</v>
      </c>
      <c r="M42" s="110">
        <f t="shared" si="4"/>
        <v>0.94431681883017438</v>
      </c>
      <c r="N42" s="110">
        <f t="shared" si="4"/>
        <v>1.7722223594596409E-2</v>
      </c>
      <c r="O42" s="110">
        <f>L42/K42</f>
        <v>151.15176936747255</v>
      </c>
      <c r="P42" s="110">
        <f>(1-1/G42*I42)/(1-1/H42*J42)</f>
        <v>1.0002022383914337</v>
      </c>
      <c r="Q42" s="112">
        <f t="shared" si="5"/>
        <v>5.0180822092498127</v>
      </c>
    </row>
    <row r="43" spans="1:17" x14ac:dyDescent="0.2">
      <c r="A43">
        <v>1</v>
      </c>
      <c r="B43" s="110" cm="1">
        <f t="array" ref="B43">1.5^(ROW(41:41)-1)</f>
        <v>11057332.320940012</v>
      </c>
      <c r="C43" s="110">
        <f t="shared" si="11"/>
        <v>5528666.1604700061</v>
      </c>
      <c r="D43" s="110">
        <f t="shared" si="15"/>
        <v>-7.2197416474673339</v>
      </c>
      <c r="E43" s="110">
        <f>B43/A43*EXP(-'ternary breakdown reorganized'!D$11/0.59)</f>
        <v>8.8437121387578893E-2</v>
      </c>
      <c r="F43" s="110">
        <f>C43/A43*EXP(-'ternary breakdown reorganized'!D$5/0.59)</f>
        <v>186395.61108816124</v>
      </c>
      <c r="G43" s="110">
        <f>B43/A43*EXP(-'ternary breakdown reorganized'!E$11/0.59)</f>
        <v>77.804365751325903</v>
      </c>
      <c r="H43" s="110">
        <f>C43/A43*EXP(-'ternary breakdown reorganized'!E$5/0.59)</f>
        <v>1153.8747118426859</v>
      </c>
      <c r="I43" s="110">
        <f t="shared" si="2"/>
        <v>8.1251074355357583E-2</v>
      </c>
      <c r="J43" s="110">
        <f t="shared" si="3"/>
        <v>0.98729948996050565</v>
      </c>
      <c r="K43" s="110">
        <f t="shared" si="16"/>
        <v>5.3649018601016656E-6</v>
      </c>
      <c r="L43" s="110">
        <f t="shared" si="17"/>
        <v>8.1124115609379596E-4</v>
      </c>
      <c r="M43" s="110">
        <f t="shared" si="4"/>
        <v>0.91874356074278229</v>
      </c>
      <c r="N43" s="110">
        <f t="shared" si="4"/>
        <v>1.1889268883400583E-2</v>
      </c>
      <c r="O43" s="110">
        <f>L43/K43</f>
        <v>151.2126740149582</v>
      </c>
      <c r="P43" s="110">
        <f>(1-1/G43*I43)/(1-1/H43*J43)</f>
        <v>0.9998111771353323</v>
      </c>
      <c r="Q43" s="112">
        <f t="shared" si="5"/>
        <v>5.0188761237766952</v>
      </c>
    </row>
    <row r="44" spans="1:17" x14ac:dyDescent="0.2">
      <c r="A44">
        <v>1</v>
      </c>
      <c r="B44" s="110" cm="1">
        <f t="array" ref="B44">1.5^(ROW(42:42)-1)</f>
        <v>16585998.481410019</v>
      </c>
      <c r="C44" s="110">
        <f t="shared" si="11"/>
        <v>8292999.2407050095</v>
      </c>
      <c r="D44" s="110">
        <f t="shared" ref="D44:D49" si="18">LOG(A44/SUM(A44:C44))</f>
        <v>-7.3958328977948806</v>
      </c>
      <c r="E44" s="110">
        <f>B44/A44*EXP(-'ternary breakdown reorganized'!D$11/0.59)</f>
        <v>0.13265568208136835</v>
      </c>
      <c r="F44" s="110">
        <f>C44/A44*EXP(-'ternary breakdown reorganized'!D$5/0.59)</f>
        <v>279593.41663224186</v>
      </c>
      <c r="G44" s="110">
        <f>B44/A44*EXP(-'ternary breakdown reorganized'!E$11/0.59)</f>
        <v>116.70654862698888</v>
      </c>
      <c r="H44" s="110">
        <f>C44/A44*EXP(-'ternary breakdown reorganized'!E$5/0.59)</f>
        <v>1730.8120677640288</v>
      </c>
      <c r="I44" s="110">
        <f t="shared" si="2"/>
        <v>0.11711879019398438</v>
      </c>
      <c r="J44" s="110">
        <f t="shared" si="3"/>
        <v>0.99149942918359246</v>
      </c>
      <c r="K44" s="110">
        <f t="shared" ref="K44:K49" si="19">1/(1+E44+F44)</f>
        <v>3.5766076361174301E-6</v>
      </c>
      <c r="L44" s="110">
        <f t="shared" ref="L44:L49" si="20">1/(1+G44+H44)</f>
        <v>5.4097372411231897E-4</v>
      </c>
      <c r="M44" s="110">
        <f t="shared" si="4"/>
        <v>0.88287763319837953</v>
      </c>
      <c r="N44" s="110">
        <f t="shared" si="4"/>
        <v>7.959597092295212E-3</v>
      </c>
      <c r="O44" s="110">
        <f>L44/K44</f>
        <v>151.25330456979356</v>
      </c>
      <c r="P44" s="110">
        <f>(1-1/G44*I44)/(1-1/H44*J44)</f>
        <v>0.99956907300951492</v>
      </c>
      <c r="Q44" s="112">
        <f t="shared" si="5"/>
        <v>5.019386964933811</v>
      </c>
    </row>
    <row r="45" spans="1:17" x14ac:dyDescent="0.2">
      <c r="A45">
        <v>1</v>
      </c>
      <c r="B45" s="110" cm="1">
        <f t="array" ref="B45">1.5^(ROW(43:43)-1)</f>
        <v>24878997.722115029</v>
      </c>
      <c r="C45" s="110">
        <f t="shared" si="11"/>
        <v>12439498.861057514</v>
      </c>
      <c r="D45" s="110">
        <f t="shared" si="18"/>
        <v>-7.5719241510318058</v>
      </c>
      <c r="E45" s="110">
        <f>B45/A45*EXP(-'ternary breakdown reorganized'!D$11/0.59)</f>
        <v>0.19898352312205253</v>
      </c>
      <c r="F45" s="110">
        <f>C45/A45*EXP(-'ternary breakdown reorganized'!D$5/0.59)</f>
        <v>419390.12494836282</v>
      </c>
      <c r="G45" s="110">
        <f>B45/A45*EXP(-'ternary breakdown reorganized'!E$11/0.59)</f>
        <v>175.05982294048331</v>
      </c>
      <c r="H45" s="110">
        <f>C45/A45*EXP(-'ternary breakdown reorganized'!E$5/0.59)</f>
        <v>2596.2181016460431</v>
      </c>
      <c r="I45" s="110">
        <f t="shared" si="2"/>
        <v>0.16595985146384612</v>
      </c>
      <c r="J45" s="110">
        <f t="shared" si="3"/>
        <v>0.99431793710596938</v>
      </c>
      <c r="K45" s="110">
        <f t="shared" si="19"/>
        <v>2.3844079334421608E-6</v>
      </c>
      <c r="L45" s="110">
        <f t="shared" si="20"/>
        <v>3.6071419504202337E-4</v>
      </c>
      <c r="M45" s="110">
        <f t="shared" si="4"/>
        <v>0.83403776412822039</v>
      </c>
      <c r="N45" s="110">
        <f t="shared" si="4"/>
        <v>5.3213486989885928E-3</v>
      </c>
      <c r="O45" s="110">
        <f>L45/K45</f>
        <v>151.28040381969871</v>
      </c>
      <c r="P45" s="110">
        <f>(1-1/G45*I45)/(1-1/H45*J45)</f>
        <v>0.99943475264446391</v>
      </c>
      <c r="Q45" s="112">
        <f t="shared" si="5"/>
        <v>5.0197005008675344</v>
      </c>
    </row>
    <row r="46" spans="1:17" x14ac:dyDescent="0.2">
      <c r="A46">
        <v>1</v>
      </c>
      <c r="B46" s="110" cm="1">
        <f t="array" ref="B46">1.5^(ROW(44:44)-1)</f>
        <v>37318496.583172537</v>
      </c>
      <c r="C46" s="110">
        <f t="shared" si="11"/>
        <v>18659248.291586269</v>
      </c>
      <c r="D46" s="110">
        <f t="shared" si="18"/>
        <v>-7.7480154062083164</v>
      </c>
      <c r="E46" s="110">
        <f>B46/A46*EXP(-'ternary breakdown reorganized'!D$11/0.59)</f>
        <v>0.29847528468307877</v>
      </c>
      <c r="F46" s="110">
        <f>C46/A46*EXP(-'ternary breakdown reorganized'!D$5/0.59)</f>
        <v>629085.18742254411</v>
      </c>
      <c r="G46" s="110">
        <f>B46/A46*EXP(-'ternary breakdown reorganized'!E$11/0.59)</f>
        <v>262.58973441072493</v>
      </c>
      <c r="H46" s="110">
        <f>C46/A46*EXP(-'ternary breakdown reorganized'!E$5/0.59)</f>
        <v>3894.3271524690645</v>
      </c>
      <c r="I46" s="110">
        <f t="shared" si="2"/>
        <v>0.22986569155928482</v>
      </c>
      <c r="J46" s="110">
        <f t="shared" si="3"/>
        <v>0.99620525506588764</v>
      </c>
      <c r="K46" s="110">
        <f t="shared" si="19"/>
        <v>1.5896065523849323E-6</v>
      </c>
      <c r="L46" s="110">
        <f t="shared" si="20"/>
        <v>2.4050504788959991E-4</v>
      </c>
      <c r="M46" s="110">
        <f t="shared" si="4"/>
        <v>0.77013271883416279</v>
      </c>
      <c r="N46" s="110">
        <f t="shared" si="4"/>
        <v>3.5542398862227209E-3</v>
      </c>
      <c r="O46" s="110">
        <f>L46/K46</f>
        <v>151.29847541755743</v>
      </c>
      <c r="P46" s="110">
        <f>(1-1/G46*I46)/(1-1/H46*J46)</f>
        <v>0.99938027122615247</v>
      </c>
      <c r="Q46" s="112">
        <f t="shared" si="5"/>
        <v>5.0198744650758149</v>
      </c>
    </row>
    <row r="47" spans="1:17" x14ac:dyDescent="0.2">
      <c r="A47">
        <v>1</v>
      </c>
      <c r="B47" s="110" cm="1">
        <f t="array" ref="B47">1.5^(ROW(45:45)-1)</f>
        <v>55977744.87475881</v>
      </c>
      <c r="C47" s="110">
        <f t="shared" si="11"/>
        <v>27988872.437379405</v>
      </c>
      <c r="D47" s="110">
        <f t="shared" si="18"/>
        <v>-7.9241066626778842</v>
      </c>
      <c r="E47" s="110">
        <f>B47/A47*EXP(-'ternary breakdown reorganized'!D$11/0.59)</f>
        <v>0.44771292702461818</v>
      </c>
      <c r="F47" s="110">
        <f>C47/A47*EXP(-'ternary breakdown reorganized'!D$5/0.59)</f>
        <v>943627.78113381623</v>
      </c>
      <c r="G47" s="110">
        <f>B47/A47*EXP(-'ternary breakdown reorganized'!E$11/0.59)</f>
        <v>393.88460161608742</v>
      </c>
      <c r="H47" s="110">
        <f>C47/A47*EXP(-'ternary breakdown reorganized'!E$5/0.59)</f>
        <v>5841.4907287035967</v>
      </c>
      <c r="I47" s="110">
        <f t="shared" si="2"/>
        <v>0.30925509535568613</v>
      </c>
      <c r="J47" s="110">
        <f t="shared" si="3"/>
        <v>0.99746718218058039</v>
      </c>
      <c r="K47" s="110">
        <f t="shared" si="19"/>
        <v>1.0597382631122505E-6</v>
      </c>
      <c r="L47" s="110">
        <f t="shared" si="20"/>
        <v>1.6034955355208531E-4</v>
      </c>
      <c r="M47" s="110">
        <f t="shared" si="4"/>
        <v>0.69074384490605079</v>
      </c>
      <c r="N47" s="110">
        <f t="shared" si="4"/>
        <v>2.3724682658675667E-3</v>
      </c>
      <c r="O47" s="110">
        <f>L47/K47</f>
        <v>151.3105255642738</v>
      </c>
      <c r="P47" s="110">
        <f>(1-1/G47*I47)/(1-1/H47*J47)</f>
        <v>0.99938550929089853</v>
      </c>
      <c r="Q47" s="112">
        <f t="shared" si="5"/>
        <v>5.0199488654705711</v>
      </c>
    </row>
    <row r="48" spans="1:17" x14ac:dyDescent="0.2">
      <c r="A48">
        <v>1</v>
      </c>
      <c r="B48" s="110" cm="1">
        <f t="array" ref="B48">1.5^(ROW(46:46)-1)</f>
        <v>83966617.312138215</v>
      </c>
      <c r="C48" s="110">
        <f t="shared" si="11"/>
        <v>41983308.656069107</v>
      </c>
      <c r="D48" s="110">
        <f t="shared" si="18"/>
        <v>-8.1001979200094887</v>
      </c>
      <c r="E48" s="110">
        <f>B48/A48*EXP(-'ternary breakdown reorganized'!D$11/0.59)</f>
        <v>0.67156939053692721</v>
      </c>
      <c r="F48" s="110">
        <f>C48/A48*EXP(-'ternary breakdown reorganized'!D$5/0.59)</f>
        <v>1415441.6717007244</v>
      </c>
      <c r="G48" s="110">
        <f>B48/A48*EXP(-'ternary breakdown reorganized'!E$11/0.59)</f>
        <v>590.82690242413105</v>
      </c>
      <c r="H48" s="110">
        <f>C48/A48*EXP(-'ternary breakdown reorganized'!E$5/0.59)</f>
        <v>8762.236093055395</v>
      </c>
      <c r="I48" s="110">
        <f t="shared" si="2"/>
        <v>0.40175963408897919</v>
      </c>
      <c r="J48" s="110">
        <f t="shared" si="3"/>
        <v>0.99831012424551213</v>
      </c>
      <c r="K48" s="110">
        <f t="shared" si="19"/>
        <v>7.0649242497385207E-7</v>
      </c>
      <c r="L48" s="110">
        <f t="shared" si="20"/>
        <v>1.0690541644665673E-4</v>
      </c>
      <c r="M48" s="110">
        <f t="shared" si="4"/>
        <v>0.59823965941859591</v>
      </c>
      <c r="N48" s="110">
        <f t="shared" si="4"/>
        <v>1.582970338041223E-3</v>
      </c>
      <c r="O48" s="110">
        <f>L48/K48</f>
        <v>151.31856006893975</v>
      </c>
      <c r="P48" s="110">
        <f>(1-1/G48*I48)/(1-1/H48*J48)</f>
        <v>0.99943387326089939</v>
      </c>
      <c r="Q48" s="112">
        <f t="shared" si="5"/>
        <v>5.0199535709675525</v>
      </c>
    </row>
    <row r="49" spans="1:17" x14ac:dyDescent="0.2">
      <c r="A49">
        <v>1</v>
      </c>
      <c r="B49" s="110" cm="1">
        <f t="array" ref="B49">1.5^(ROW(47:47)-1)</f>
        <v>125949925.96820733</v>
      </c>
      <c r="C49" s="110">
        <f t="shared" si="11"/>
        <v>62974962.984103665</v>
      </c>
      <c r="D49" s="110">
        <f t="shared" si="18"/>
        <v>-8.2762891779157854</v>
      </c>
      <c r="E49" s="110">
        <f>B49/A49*EXP(-'ternary breakdown reorganized'!D$11/0.59)</f>
        <v>1.0073540858053909</v>
      </c>
      <c r="F49" s="110">
        <f>C49/A49*EXP(-'ternary breakdown reorganized'!D$5/0.59)</f>
        <v>2123162.5075510866</v>
      </c>
      <c r="G49" s="110">
        <f>B49/A49*EXP(-'ternary breakdown reorganized'!E$11/0.59)</f>
        <v>886.24035363619669</v>
      </c>
      <c r="H49" s="110">
        <f>C49/A49*EXP(-'ternary breakdown reorganized'!E$5/0.59)</f>
        <v>13143.354139583094</v>
      </c>
      <c r="I49" s="110">
        <f t="shared" si="2"/>
        <v>0.50183166814875102</v>
      </c>
      <c r="J49" s="110">
        <f t="shared" si="3"/>
        <v>0.99887282403891964</v>
      </c>
      <c r="K49" s="110">
        <f t="shared" si="19"/>
        <v>4.7099506090071561E-7</v>
      </c>
      <c r="L49" s="110">
        <f t="shared" si="20"/>
        <v>7.127281744784801E-5</v>
      </c>
      <c r="M49" s="110">
        <f t="shared" si="4"/>
        <v>0.49816786085618803</v>
      </c>
      <c r="N49" s="110">
        <f t="shared" si="4"/>
        <v>1.055903143632464E-3</v>
      </c>
      <c r="O49" s="110">
        <f>L49/K49</f>
        <v>151.32391688258514</v>
      </c>
      <c r="P49" s="110">
        <f>(1-1/G49*I49)/(1-1/H49*J49)</f>
        <v>0.99950971323839533</v>
      </c>
      <c r="Q49" s="112">
        <f t="shared" si="5"/>
        <v>5.0199130911859209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D30A-CB34-4241-86F3-F799738B8A6D}">
  <dimension ref="A1:F48"/>
  <sheetViews>
    <sheetView topLeftCell="D1" zoomScale="150" workbookViewId="0">
      <selection activeCell="O6" sqref="O6"/>
    </sheetView>
  </sheetViews>
  <sheetFormatPr baseColWidth="10" defaultRowHeight="16" x14ac:dyDescent="0.2"/>
  <cols>
    <col min="1" max="2" width="17.6640625" customWidth="1"/>
    <col min="3" max="4" width="15.5" customWidth="1"/>
  </cols>
  <sheetData>
    <row r="1" spans="1:6" x14ac:dyDescent="0.2">
      <c r="A1" t="s">
        <v>49</v>
      </c>
      <c r="B1" t="s">
        <v>50</v>
      </c>
      <c r="C1" t="s">
        <v>45</v>
      </c>
      <c r="D1" t="s">
        <v>46</v>
      </c>
      <c r="E1" t="s">
        <v>47</v>
      </c>
      <c r="F1" t="s">
        <v>2</v>
      </c>
    </row>
    <row r="2" spans="1:6" x14ac:dyDescent="0.2">
      <c r="A2" s="110">
        <v>-0.32735893438633035</v>
      </c>
      <c r="B2" s="111">
        <f>LOG(1-10^A2)</f>
        <v>-0.27620641193894907</v>
      </c>
      <c r="C2" s="111">
        <f>10^(B2-A2)*EXP(-'binary PC-PG reorg'!D$11/0.59)</f>
        <v>1.4534958120445615E-6</v>
      </c>
      <c r="D2" s="111">
        <f>10^(B2-A2)*EXP(-'binary PC-PG reorg'!E$11/0.59)</f>
        <v>1.2787426592360685E-3</v>
      </c>
      <c r="E2" s="111">
        <f t="shared" ref="E2:E31" si="0">1/(1+C2)</f>
        <v>0.99999854650630049</v>
      </c>
      <c r="F2" s="111">
        <f t="shared" ref="F2:F31" si="1">1/(1+D2)</f>
        <v>0.99872289043524498</v>
      </c>
    </row>
    <row r="3" spans="1:6" x14ac:dyDescent="0.2">
      <c r="A3" s="110">
        <v>-0.3979400086720376</v>
      </c>
      <c r="B3" s="111">
        <f t="shared" ref="B3:B48" si="2">LOG(1-10^A3)</f>
        <v>-0.22184874961635639</v>
      </c>
      <c r="C3" s="111">
        <f>10^(B3-A3)*EXP(-'binary PC-PG reorg'!D$11/0.59)</f>
        <v>1.9379944160594151E-6</v>
      </c>
      <c r="D3" s="111">
        <f>10^(B3-A3)*EXP(-'binary PC-PG reorg'!E$11/0.59)</f>
        <v>1.704990212314758E-3</v>
      </c>
      <c r="E3" s="111">
        <f t="shared" si="0"/>
        <v>0.99999806200933972</v>
      </c>
      <c r="F3" s="111">
        <f t="shared" si="1"/>
        <v>0.9982979118313533</v>
      </c>
    </row>
    <row r="4" spans="1:6" x14ac:dyDescent="0.2">
      <c r="A4" s="110">
        <v>-0.51188336097887432</v>
      </c>
      <c r="B4" s="111">
        <f t="shared" si="2"/>
        <v>-0.15970084286751191</v>
      </c>
      <c r="C4" s="111">
        <f>10^(B4-A4)*EXP(-'binary PC-PG reorg'!D$11/0.59)</f>
        <v>2.9069916240891222E-6</v>
      </c>
      <c r="D4" s="111">
        <f>10^(B4-A4)*EXP(-'binary PC-PG reorg'!E$11/0.59)</f>
        <v>2.5574853184721366E-3</v>
      </c>
      <c r="E4" s="111">
        <f t="shared" si="0"/>
        <v>0.99999709301682649</v>
      </c>
      <c r="F4" s="111">
        <f t="shared" si="1"/>
        <v>0.9974490387275301</v>
      </c>
    </row>
    <row r="5" spans="1:6" x14ac:dyDescent="0.2">
      <c r="A5" s="110">
        <v>-0.64097805735833202</v>
      </c>
      <c r="B5" s="111">
        <f t="shared" si="2"/>
        <v>-0.11270428019128831</v>
      </c>
      <c r="C5" s="111">
        <f>10^(B5-A5)*EXP(-'binary PC-PG reorg'!D$11/0.59)</f>
        <v>4.3604874361336844E-6</v>
      </c>
      <c r="D5" s="111">
        <f>10^(B5-A5)*EXP(-'binary PC-PG reorg'!E$11/0.59)</f>
        <v>3.8362279777082054E-3</v>
      </c>
      <c r="E5" s="111">
        <f t="shared" si="0"/>
        <v>0.99999563953157755</v>
      </c>
      <c r="F5" s="111">
        <f t="shared" si="1"/>
        <v>0.99617843242673509</v>
      </c>
    </row>
    <row r="6" spans="1:6" x14ac:dyDescent="0.2">
      <c r="A6" s="110">
        <v>-0.78265175161032008</v>
      </c>
      <c r="B6" s="111">
        <f t="shared" si="2"/>
        <v>-7.8286715387595088E-2</v>
      </c>
      <c r="C6" s="111">
        <f>10^(B6-A6)*EXP(-'binary PC-PG reorg'!D$11/0.59)</f>
        <v>6.5407311542005266E-6</v>
      </c>
      <c r="D6" s="111">
        <f>10^(B6-A6)*EXP(-'binary PC-PG reorg'!E$11/0.59)</f>
        <v>5.7543419665623081E-3</v>
      </c>
      <c r="E6" s="111">
        <f t="shared" si="0"/>
        <v>0.99999345931162664</v>
      </c>
      <c r="F6" s="111">
        <f t="shared" si="1"/>
        <v>0.99427858103469813</v>
      </c>
    </row>
    <row r="7" spans="1:6" x14ac:dyDescent="0.2">
      <c r="A7" s="110">
        <v>-0.9341827155103567</v>
      </c>
      <c r="B7" s="111">
        <f t="shared" si="2"/>
        <v>-5.3726420231950449E-2</v>
      </c>
      <c r="C7" s="111">
        <f>10^(B7-A7)*EXP(-'binary PC-PG reorg'!D$11/0.59)</f>
        <v>9.8110967313007916E-6</v>
      </c>
      <c r="D7" s="111">
        <f>10^(B7-A7)*EXP(-'binary PC-PG reorg'!E$11/0.59)</f>
        <v>8.6315129498434635E-3</v>
      </c>
      <c r="E7" s="111">
        <f t="shared" si="0"/>
        <v>0.99999018899952541</v>
      </c>
      <c r="F7" s="111">
        <f t="shared" si="1"/>
        <v>0.99144235249541246</v>
      </c>
    </row>
    <row r="8" spans="1:6" x14ac:dyDescent="0.2">
      <c r="A8" s="110">
        <v>-1.0930932133337166</v>
      </c>
      <c r="B8" s="111">
        <f t="shared" si="2"/>
        <v>-3.6545658999629207E-2</v>
      </c>
      <c r="C8" s="111">
        <f>10^(B8-A8)*EXP(-'binary PC-PG reorg'!D$11/0.59)</f>
        <v>1.4716645096951185E-5</v>
      </c>
      <c r="D8" s="111">
        <f>10^(B8-A8)*EXP(-'binary PC-PG reorg'!E$11/0.59)</f>
        <v>1.2947269424765193E-2</v>
      </c>
      <c r="E8" s="111">
        <f t="shared" si="0"/>
        <v>0.99998528357147942</v>
      </c>
      <c r="F8" s="111">
        <f t="shared" si="1"/>
        <v>0.98721821972814272</v>
      </c>
    </row>
    <row r="9" spans="1:6" x14ac:dyDescent="0.2">
      <c r="A9" s="110">
        <v>-1.2573410257061035</v>
      </c>
      <c r="B9" s="111">
        <f t="shared" si="2"/>
        <v>-2.4702212316334876E-2</v>
      </c>
      <c r="C9" s="111">
        <f>10^(B9-A9)*EXP(-'binary PC-PG reorg'!D$11/0.59)</f>
        <v>2.2074967645426774E-5</v>
      </c>
      <c r="D9" s="111">
        <f>10^(B9-A9)*EXP(-'binary PC-PG reorg'!E$11/0.59)</f>
        <v>1.9420904137147785E-2</v>
      </c>
      <c r="E9" s="111">
        <f t="shared" si="0"/>
        <v>0.99997792551964804</v>
      </c>
      <c r="F9" s="111">
        <f t="shared" si="1"/>
        <v>0.98094908191667318</v>
      </c>
    </row>
    <row r="10" spans="1:6" x14ac:dyDescent="0.2">
      <c r="A10" s="110">
        <v>-1.4253533286866067</v>
      </c>
      <c r="B10" s="111">
        <f t="shared" si="2"/>
        <v>-1.6623256241156754E-2</v>
      </c>
      <c r="C10" s="111">
        <f>10^(B10-A10)*EXP(-'binary PC-PG reorg'!D$11/0.59)</f>
        <v>3.3112451468140166E-5</v>
      </c>
      <c r="D10" s="111">
        <f>10^(B10-A10)*EXP(-'binary PC-PG reorg'!E$11/0.59)</f>
        <v>2.9131356205721687E-2</v>
      </c>
      <c r="E10" s="111">
        <f t="shared" si="0"/>
        <v>0.99996688864493</v>
      </c>
      <c r="F10" s="111">
        <f t="shared" si="1"/>
        <v>0.97169325759043501</v>
      </c>
    </row>
    <row r="11" spans="1:6" x14ac:dyDescent="0.2">
      <c r="A11" s="110">
        <v>-1.5959738965301762</v>
      </c>
      <c r="B11" s="111">
        <f t="shared" si="2"/>
        <v>-1.1152565029045117E-2</v>
      </c>
      <c r="C11" s="111">
        <f>10^(B11-A11)*EXP(-'binary PC-PG reorg'!D$11/0.59)</f>
        <v>4.9668677202210242E-5</v>
      </c>
      <c r="D11" s="111">
        <f>10^(B11-A11)*EXP(-'binary PC-PG reorg'!E$11/0.59)</f>
        <v>4.3697034308582516E-2</v>
      </c>
      <c r="E11" s="111">
        <f t="shared" si="0"/>
        <v>0.9999503337896527</v>
      </c>
      <c r="F11" s="111">
        <f t="shared" si="1"/>
        <v>0.95813245331531438</v>
      </c>
    </row>
    <row r="12" spans="1:6" x14ac:dyDescent="0.2">
      <c r="A12" s="110">
        <v>-1.7683793641857297</v>
      </c>
      <c r="B12" s="111">
        <f t="shared" si="2"/>
        <v>-7.4667736289173751E-3</v>
      </c>
      <c r="C12" s="111">
        <f>10^(B12-A12)*EXP(-'binary PC-PG reorg'!D$11/0.59)</f>
        <v>7.4503015803315418E-5</v>
      </c>
      <c r="D12" s="111">
        <f>10^(B12-A12)*EXP(-'binary PC-PG reorg'!E$11/0.59)</f>
        <v>6.554555146287383E-2</v>
      </c>
      <c r="E12" s="111">
        <f t="shared" si="0"/>
        <v>0.99992550253448254</v>
      </c>
      <c r="F12" s="111">
        <f t="shared" si="1"/>
        <v>0.93848639190235728</v>
      </c>
    </row>
    <row r="13" spans="1:6" x14ac:dyDescent="0.2">
      <c r="A13" s="110">
        <v>-1.941995935261688</v>
      </c>
      <c r="B13" s="111">
        <f t="shared" si="2"/>
        <v>-4.9920856491942429E-3</v>
      </c>
      <c r="C13" s="111">
        <f>10^(B13-A13)*EXP(-'binary PC-PG reorg'!D$11/0.59)</f>
        <v>1.1175452370497313E-4</v>
      </c>
      <c r="D13" s="111">
        <f>10^(B13-A13)*EXP(-'binary PC-PG reorg'!E$11/0.59)</f>
        <v>9.8318327194310759E-2</v>
      </c>
      <c r="E13" s="111">
        <f t="shared" si="0"/>
        <v>0.99988825796397296</v>
      </c>
      <c r="F13" s="111">
        <f t="shared" si="1"/>
        <v>0.91048284931612866</v>
      </c>
    </row>
    <row r="14" spans="1:6" x14ac:dyDescent="0.2">
      <c r="A14" s="110">
        <v>-2.116429533438609</v>
      </c>
      <c r="B14" s="111">
        <f t="shared" si="2"/>
        <v>-3.3344247704338581E-3</v>
      </c>
      <c r="C14" s="111">
        <f>10^(B14-A14)*EXP(-'binary PC-PG reorg'!D$11/0.59)</f>
        <v>1.6763178555745975E-4</v>
      </c>
      <c r="D14" s="111">
        <f>10^(B14-A14)*EXP(-'binary PC-PG reorg'!E$11/0.59)</f>
        <v>0.14747749079146616</v>
      </c>
      <c r="E14" s="111">
        <f t="shared" si="0"/>
        <v>0.99983239631014831</v>
      </c>
      <c r="F14" s="111">
        <f t="shared" si="1"/>
        <v>0.87147678976278264</v>
      </c>
    </row>
    <row r="15" spans="1:6" x14ac:dyDescent="0.2">
      <c r="A15" s="110">
        <v>-2.2914121596990307</v>
      </c>
      <c r="B15" s="111">
        <f t="shared" si="2"/>
        <v>-2.225791975174727E-3</v>
      </c>
      <c r="C15" s="111">
        <f>10^(B15-A15)*EXP(-'binary PC-PG reorg'!D$11/0.59)</f>
        <v>2.5144767833618927E-4</v>
      </c>
      <c r="D15" s="111">
        <f>10^(B15-A15)*EXP(-'binary PC-PG reorg'!E$11/0.59)</f>
        <v>0.22121623618719891</v>
      </c>
      <c r="E15" s="111">
        <f t="shared" si="0"/>
        <v>0.99974861553170469</v>
      </c>
      <c r="F15" s="111">
        <f t="shared" si="1"/>
        <v>0.81885580159180837</v>
      </c>
    </row>
    <row r="16" spans="1:6" x14ac:dyDescent="0.2">
      <c r="A16" s="110">
        <v>-2.4667627548571525</v>
      </c>
      <c r="B16" s="111">
        <f t="shared" si="2"/>
        <v>-1.4851280776153055E-3</v>
      </c>
      <c r="C16" s="111">
        <f>10^(B16-A16)*EXP(-'binary PC-PG reorg'!D$11/0.59)</f>
        <v>3.7717151750428393E-4</v>
      </c>
      <c r="D16" s="111">
        <f>10^(B16-A16)*EXP(-'binary PC-PG reorg'!E$11/0.59)</f>
        <v>0.33182435428079843</v>
      </c>
      <c r="E16" s="111">
        <f t="shared" si="0"/>
        <v>0.99962297068721373</v>
      </c>
      <c r="F16" s="111">
        <f t="shared" si="1"/>
        <v>0.75084976242232215</v>
      </c>
    </row>
    <row r="17" spans="1:6" x14ac:dyDescent="0.2">
      <c r="A17" s="110">
        <v>-2.6423595352939424</v>
      </c>
      <c r="B17" s="111">
        <f t="shared" si="2"/>
        <v>-9.9064945872398991E-4</v>
      </c>
      <c r="C17" s="111">
        <f>10^(B17-A17)*EXP(-'binary PC-PG reorg'!D$11/0.59)</f>
        <v>5.65757276256426E-4</v>
      </c>
      <c r="D17" s="111">
        <f>10^(B17-A17)*EXP(-'binary PC-PG reorg'!E$11/0.59)</f>
        <v>0.49773653142119778</v>
      </c>
      <c r="E17" s="111">
        <f t="shared" si="0"/>
        <v>0.99943456262405317</v>
      </c>
      <c r="F17" s="111">
        <f t="shared" si="1"/>
        <v>0.66767417300765364</v>
      </c>
    </row>
    <row r="18" spans="1:6" x14ac:dyDescent="0.2">
      <c r="A18" s="110">
        <v>-2.8181208288803297</v>
      </c>
      <c r="B18" s="111">
        <f t="shared" si="2"/>
        <v>-6.6068398942991193E-4</v>
      </c>
      <c r="C18" s="111">
        <f>10^(B18-A18)*EXP(-'binary PC-PG reorg'!D$11/0.59)</f>
        <v>8.4863591438463922E-4</v>
      </c>
      <c r="D18" s="111">
        <f>10^(B18-A18)*EXP(-'binary PC-PG reorg'!E$11/0.59)</f>
        <v>0.74660479713179684</v>
      </c>
      <c r="E18" s="111">
        <f t="shared" si="0"/>
        <v>0.99915208365787567</v>
      </c>
      <c r="F18" s="111">
        <f t="shared" si="1"/>
        <v>0.57253936416650131</v>
      </c>
    </row>
    <row r="19" spans="1:6" x14ac:dyDescent="0.2">
      <c r="A19" s="110">
        <v>-2.9939919715968806</v>
      </c>
      <c r="B19" s="111">
        <f t="shared" si="2"/>
        <v>-4.4056765029928583E-4</v>
      </c>
      <c r="C19" s="111">
        <f>10^(B19-A19)*EXP(-'binary PC-PG reorg'!D$11/0.59)</f>
        <v>1.2729538715769602E-3</v>
      </c>
      <c r="D19" s="111">
        <f>10^(B19-A19)*EXP(-'binary PC-PG reorg'!E$11/0.59)</f>
        <v>1.1199071956976965</v>
      </c>
      <c r="E19" s="111">
        <f t="shared" si="0"/>
        <v>0.99872866447989539</v>
      </c>
      <c r="F19" s="111">
        <f t="shared" si="1"/>
        <v>0.47171876298617088</v>
      </c>
    </row>
    <row r="20" spans="1:6" x14ac:dyDescent="0.2">
      <c r="A20" s="110">
        <v>-3.1699364244225778</v>
      </c>
      <c r="B20" s="111">
        <f t="shared" si="2"/>
        <v>-2.9376142031532342E-4</v>
      </c>
      <c r="C20" s="111">
        <f>10^(B20-A20)*EXP(-'binary PC-PG reorg'!D$11/0.59)</f>
        <v>1.9094308073654407E-3</v>
      </c>
      <c r="D20" s="111">
        <f>10^(B20-A20)*EXP(-'binary PC-PG reorg'!E$11/0.59)</f>
        <v>1.6798607935465451</v>
      </c>
      <c r="E20" s="111">
        <f t="shared" si="0"/>
        <v>0.99809420817026662</v>
      </c>
      <c r="F20" s="111">
        <f t="shared" si="1"/>
        <v>0.3731537109719022</v>
      </c>
    </row>
    <row r="21" spans="1:6" x14ac:dyDescent="0.2">
      <c r="A21" s="110">
        <v>-3.3459297850813119</v>
      </c>
      <c r="B21" s="111">
        <f t="shared" si="2"/>
        <v>-1.9586302336823595E-4</v>
      </c>
      <c r="C21" s="111">
        <f>10^(B21-A21)*EXP(-'binary PC-PG reorg'!D$11/0.59)</f>
        <v>2.8641462110481622E-3</v>
      </c>
      <c r="D21" s="111">
        <f>10^(B21-A21)*EXP(-'binary PC-PG reorg'!E$11/0.59)</f>
        <v>2.5197911903198182</v>
      </c>
      <c r="E21" s="111">
        <f t="shared" si="0"/>
        <v>0.99714403369402604</v>
      </c>
      <c r="F21" s="111">
        <f t="shared" si="1"/>
        <v>0.28410776262813964</v>
      </c>
    </row>
    <row r="22" spans="1:6" x14ac:dyDescent="0.2">
      <c r="A22" s="110">
        <v>-3.5219557662767689</v>
      </c>
      <c r="B22" s="111">
        <f t="shared" si="2"/>
        <v>-1.3058516314419562E-4</v>
      </c>
      <c r="C22" s="111">
        <f>10^(B22-A22)*EXP(-'binary PC-PG reorg'!D$11/0.59)</f>
        <v>4.2962193165722402E-3</v>
      </c>
      <c r="D22" s="111">
        <f>10^(B22-A22)*EXP(-'binary PC-PG reorg'!E$11/0.59)</f>
        <v>3.7796867854797247</v>
      </c>
      <c r="E22" s="111">
        <f t="shared" si="0"/>
        <v>0.99572215922559593</v>
      </c>
      <c r="F22" s="111">
        <f t="shared" si="1"/>
        <v>0.20921873019753376</v>
      </c>
    </row>
    <row r="23" spans="1:6" x14ac:dyDescent="0.2">
      <c r="A23" s="110">
        <v>-3.6980035013073449</v>
      </c>
      <c r="B23" s="111">
        <f t="shared" si="2"/>
        <v>-8.7061138038958477E-5</v>
      </c>
      <c r="C23" s="111">
        <f>10^(B23-A23)*EXP(-'binary PC-PG reorg'!D$11/0.59)</f>
        <v>6.4443289748583564E-3</v>
      </c>
      <c r="D23" s="111">
        <f>10^(B23-A23)*EXP(-'binary PC-PG reorg'!E$11/0.59)</f>
        <v>5.6695301782195839</v>
      </c>
      <c r="E23" s="111">
        <f t="shared" si="0"/>
        <v>0.99359693448576292</v>
      </c>
      <c r="F23" s="111">
        <f t="shared" si="1"/>
        <v>0.14993559865215988</v>
      </c>
    </row>
    <row r="24" spans="1:6" x14ac:dyDescent="0.2">
      <c r="A24" s="110">
        <v>-3.8740657419228333</v>
      </c>
      <c r="B24" s="111">
        <f t="shared" si="2"/>
        <v>-5.8042697846105667E-5</v>
      </c>
      <c r="C24" s="111">
        <f>10^(B24-A24)*EXP(-'binary PC-PG reorg'!D$11/0.59)</f>
        <v>9.6664934622875277E-3</v>
      </c>
      <c r="D24" s="111">
        <f>10^(B24-A24)*EXP(-'binary PC-PG reorg'!E$11/0.59)</f>
        <v>8.5042952673293701</v>
      </c>
      <c r="E24" s="111">
        <f t="shared" si="0"/>
        <v>0.99042605303347275</v>
      </c>
      <c r="F24" s="111">
        <f t="shared" si="1"/>
        <v>0.10521558641359338</v>
      </c>
    </row>
    <row r="25" spans="1:6" x14ac:dyDescent="0.2">
      <c r="A25" s="110">
        <v>-4.0501376542744758</v>
      </c>
      <c r="B25" s="111">
        <f t="shared" si="2"/>
        <v>-3.8695993807408351E-5</v>
      </c>
      <c r="C25" s="111">
        <f>10^(B25-A25)*EXP(-'binary PC-PG reorg'!D$11/0.59)</f>
        <v>1.4499740193431308E-2</v>
      </c>
      <c r="D25" s="111">
        <f>10^(B25-A25)*EXP(-'binary PC-PG reorg'!E$11/0.59)</f>
        <v>12.75644290099407</v>
      </c>
      <c r="E25" s="111">
        <f t="shared" si="0"/>
        <v>0.98570749738125452</v>
      </c>
      <c r="F25" s="111">
        <f t="shared" si="1"/>
        <v>7.2693210533933725E-2</v>
      </c>
    </row>
    <row r="26" spans="1:6" x14ac:dyDescent="0.2">
      <c r="A26" s="110">
        <v>-4.226216015048645</v>
      </c>
      <c r="B26" s="111">
        <f t="shared" si="2"/>
        <v>-2.5797712295011616E-5</v>
      </c>
      <c r="C26" s="111">
        <f>10^(B26-A26)*EXP(-'binary PC-PG reorg'!D$11/0.59)</f>
        <v>2.1749610290146944E-2</v>
      </c>
      <c r="D26" s="111">
        <f>10^(B26-A26)*EXP(-'binary PC-PG reorg'!E$11/0.59)</f>
        <v>19.134664351491089</v>
      </c>
      <c r="E26" s="111">
        <f t="shared" si="0"/>
        <v>0.97871336571004841</v>
      </c>
      <c r="F26" s="111">
        <f t="shared" si="1"/>
        <v>4.9665590771367597E-2</v>
      </c>
    </row>
    <row r="27" spans="1:6" x14ac:dyDescent="0.2">
      <c r="A27" s="110">
        <v>-4.4022986750371622</v>
      </c>
      <c r="B27" s="111">
        <f t="shared" si="2"/>
        <v>-1.7198645131197199E-5</v>
      </c>
      <c r="C27" s="111">
        <f>10^(B27-A27)*EXP(-'binary PC-PG reorg'!D$11/0.59)</f>
        <v>3.2624415435220454E-2</v>
      </c>
      <c r="D27" s="111">
        <f>10^(B27-A27)*EXP(-'binary PC-PG reorg'!E$11/0.59)</f>
        <v>28.701996527236666</v>
      </c>
      <c r="E27" s="111">
        <f t="shared" si="0"/>
        <v>0.96840631022512647</v>
      </c>
      <c r="F27" s="111">
        <f t="shared" si="1"/>
        <v>3.3667770416813639E-2</v>
      </c>
    </row>
    <row r="28" spans="1:6" x14ac:dyDescent="0.2">
      <c r="A28" s="110">
        <v>-4.5783842012868092</v>
      </c>
      <c r="B28" s="111">
        <f t="shared" si="2"/>
        <v>-1.1465839097057173E-5</v>
      </c>
      <c r="C28" s="111">
        <f>10^(B28-A28)*EXP(-'binary PC-PG reorg'!D$11/0.59)</f>
        <v>4.8936623152830649E-2</v>
      </c>
      <c r="D28" s="111">
        <f>10^(B28-A28)*EXP(-'binary PC-PG reorg'!E$11/0.59)</f>
        <v>43.052994790854974</v>
      </c>
      <c r="E28" s="111">
        <f t="shared" si="0"/>
        <v>0.95334644432021087</v>
      </c>
      <c r="F28" s="111">
        <f t="shared" si="1"/>
        <v>2.2699932314422161E-2</v>
      </c>
    </row>
    <row r="29" spans="1:6" x14ac:dyDescent="0.2">
      <c r="A29" s="110">
        <v>-4.7544716384297594</v>
      </c>
      <c r="B29" s="111">
        <f t="shared" si="2"/>
        <v>-7.6439263657688938E-6</v>
      </c>
      <c r="C29" s="111">
        <f>10^(B29-A29)*EXP(-'binary PC-PG reorg'!D$11/0.59)</f>
        <v>7.3404934729246057E-2</v>
      </c>
      <c r="D29" s="111">
        <f>10^(B29-A29)*EXP(-'binary PC-PG reorg'!E$11/0.59)</f>
        <v>64.579492186282536</v>
      </c>
      <c r="E29" s="111">
        <f t="shared" si="0"/>
        <v>0.93161487118767383</v>
      </c>
      <c r="F29" s="111">
        <f t="shared" si="1"/>
        <v>1.5248669464524659E-2</v>
      </c>
    </row>
    <row r="30" spans="1:6" x14ac:dyDescent="0.2">
      <c r="A30" s="110">
        <v>-4.9305603495249342</v>
      </c>
      <c r="B30" s="111">
        <f t="shared" si="2"/>
        <v>-5.0959658592931529E-6</v>
      </c>
      <c r="C30" s="111">
        <f>10^(B30-A30)*EXP(-'binary PC-PG reorg'!D$11/0.59)</f>
        <v>0.11010740209386902</v>
      </c>
      <c r="D30" s="111">
        <f>10^(B30-A30)*EXP(-'binary PC-PG reorg'!E$11/0.59)</f>
        <v>96.86923827942374</v>
      </c>
      <c r="E30" s="111">
        <f t="shared" si="0"/>
        <v>0.90081373938576936</v>
      </c>
      <c r="F30" s="111">
        <f t="shared" si="1"/>
        <v>1.0217715163419662E-2</v>
      </c>
    </row>
    <row r="31" spans="1:6" x14ac:dyDescent="0.2">
      <c r="A31" s="110">
        <v>-5.1066499099319724</v>
      </c>
      <c r="B31" s="111">
        <f t="shared" si="2"/>
        <v>-3.3973172167833139E-6</v>
      </c>
      <c r="C31" s="111">
        <f>10^(B31-A31)*EXP(-'binary PC-PG reorg'!D$11/0.59)</f>
        <v>0.1651611031408034</v>
      </c>
      <c r="D31" s="111">
        <f>10^(B31-A31)*EXP(-'binary PC-PG reorg'!E$11/0.59)</f>
        <v>145.30385741913551</v>
      </c>
      <c r="E31" s="111">
        <f t="shared" si="0"/>
        <v>0.85825041473183772</v>
      </c>
      <c r="F31" s="111">
        <f t="shared" si="1"/>
        <v>6.8350897757614906E-3</v>
      </c>
    </row>
    <row r="32" spans="1:6" x14ac:dyDescent="0.2">
      <c r="A32" s="110">
        <v>-5.2827400365515347</v>
      </c>
      <c r="B32" s="111">
        <f t="shared" si="2"/>
        <v>-2.2648810974075614E-6</v>
      </c>
      <c r="C32" s="111">
        <f>10^(B32-A32)*EXP(-'binary PC-PG reorg'!D$11/0.59)</f>
        <v>0.24774165471120496</v>
      </c>
      <c r="D32" s="111">
        <f>10^(B32-A32)*EXP(-'binary PC-PG reorg'!E$11/0.59)</f>
        <v>217.95578612870312</v>
      </c>
      <c r="E32" s="111">
        <f t="shared" ref="E32:E48" si="3">1/(1+C32)</f>
        <v>0.80144795697427773</v>
      </c>
      <c r="F32" s="111">
        <f t="shared" ref="F32:F48" si="4">1/(1+D32)</f>
        <v>4.5671321031552732E-3</v>
      </c>
    </row>
    <row r="33" spans="1:6" x14ac:dyDescent="0.2">
      <c r="A33" s="110">
        <v>-5.4588305406481625</v>
      </c>
      <c r="B33" s="111">
        <f t="shared" si="2"/>
        <v>-1.5099220440069983E-6</v>
      </c>
      <c r="C33" s="111">
        <f>10^(B33-A33)*EXP(-'binary PC-PG reorg'!D$11/0.59)</f>
        <v>0.37161248206680786</v>
      </c>
      <c r="D33" s="111">
        <f>10^(B33-A33)*EXP(-'binary PC-PG reorg'!E$11/0.59)</f>
        <v>326.93367919305501</v>
      </c>
      <c r="E33" s="111">
        <f t="shared" si="3"/>
        <v>0.72906889742878012</v>
      </c>
      <c r="F33" s="111">
        <f t="shared" si="4"/>
        <v>3.0493970685191458E-3</v>
      </c>
    </row>
    <row r="34" spans="1:6" x14ac:dyDescent="0.2">
      <c r="A34" s="110">
        <v>-5.6349212963970787</v>
      </c>
      <c r="B34" s="111">
        <f t="shared" si="2"/>
        <v>-1.006615279283242E-6</v>
      </c>
      <c r="C34" s="111">
        <f>10^(B34-A34)*EXP(-'binary PC-PG reorg'!D$11/0.59)</f>
        <v>0.55741872310021146</v>
      </c>
      <c r="D34" s="111">
        <f>10^(B34-A34)*EXP(-'binary PC-PG reorg'!E$11/0.59)</f>
        <v>490.40051878958224</v>
      </c>
      <c r="E34" s="111">
        <f t="shared" si="3"/>
        <v>0.64208808149512364</v>
      </c>
      <c r="F34" s="111">
        <f t="shared" si="4"/>
        <v>2.0349998865756185E-3</v>
      </c>
    </row>
    <row r="35" spans="1:6" x14ac:dyDescent="0.2">
      <c r="A35" s="110">
        <v>-5.811012219914593</v>
      </c>
      <c r="B35" s="111">
        <f t="shared" si="2"/>
        <v>-6.710771121040364E-7</v>
      </c>
      <c r="C35" s="111">
        <f>10^(B35-A35)*EXP(-'binary PC-PG reorg'!D$11/0.59)</f>
        <v>0.83612808465031807</v>
      </c>
      <c r="D35" s="111">
        <f>10^(B35-A35)*EXP(-'binary PC-PG reorg'!E$11/0.59)</f>
        <v>735.60077818437412</v>
      </c>
      <c r="E35" s="111">
        <f t="shared" si="3"/>
        <v>0.54462431480669027</v>
      </c>
      <c r="F35" s="111">
        <f t="shared" si="4"/>
        <v>1.3575874878450048E-3</v>
      </c>
    </row>
    <row r="36" spans="1:6" x14ac:dyDescent="0.2">
      <c r="A36" s="110">
        <v>-5.9871032552780186</v>
      </c>
      <c r="B36" s="111">
        <f t="shared" si="2"/>
        <v>-4.4738485659549446E-7</v>
      </c>
      <c r="C36" s="111">
        <f>10^(B36-A36)*EXP(-'binary PC-PG reorg'!D$11/0.59)</f>
        <v>1.2541921269754783</v>
      </c>
      <c r="D36" s="111">
        <f>10^(B36-A36)*EXP(-'binary PC-PG reorg'!E$11/0.59)</f>
        <v>1103.4011672765625</v>
      </c>
      <c r="E36" s="111">
        <f t="shared" si="3"/>
        <v>0.44361790995239259</v>
      </c>
      <c r="F36" s="111">
        <f t="shared" si="4"/>
        <v>9.0546807594018186E-4</v>
      </c>
    </row>
    <row r="37" spans="1:6" x14ac:dyDescent="0.2">
      <c r="A37" s="110">
        <v>-6.1631943652054657</v>
      </c>
      <c r="B37" s="111">
        <f t="shared" si="2"/>
        <v>-2.9825662226754912E-7</v>
      </c>
      <c r="C37" s="111">
        <f>10^(B37-A37)*EXP(-'binary PC-PG reorg'!D$11/0.59)</f>
        <v>1.8812881904632164</v>
      </c>
      <c r="D37" s="111">
        <f>10^(B37-A37)*EXP(-'binary PC-PG reorg'!E$11/0.59)</f>
        <v>1655.1017509148426</v>
      </c>
      <c r="E37" s="111">
        <f t="shared" si="3"/>
        <v>0.34706698320213253</v>
      </c>
      <c r="F37" s="111">
        <f t="shared" si="4"/>
        <v>6.0382763284175798E-4</v>
      </c>
    </row>
    <row r="38" spans="1:6" x14ac:dyDescent="0.2">
      <c r="A38" s="110">
        <v>-6.3392855248422952</v>
      </c>
      <c r="B38" s="111">
        <f t="shared" si="2"/>
        <v>-1.9883777095170357E-7</v>
      </c>
      <c r="C38" s="111">
        <f>10^(B38-A38)*EXP(-'binary PC-PG reorg'!D$11/0.59)</f>
        <v>2.8219322856948179</v>
      </c>
      <c r="D38" s="111">
        <f>10^(B38-A38)*EXP(-'binary PC-PG reorg'!E$11/0.59)</f>
        <v>2482.6526263722576</v>
      </c>
      <c r="E38" s="111">
        <f t="shared" si="3"/>
        <v>0.26164775439452936</v>
      </c>
      <c r="F38" s="111">
        <f t="shared" si="4"/>
        <v>4.0263279549710947E-4</v>
      </c>
    </row>
    <row r="39" spans="1:6" x14ac:dyDescent="0.2">
      <c r="A39" s="110">
        <v>-6.5153767176187296</v>
      </c>
      <c r="B39" s="111">
        <f t="shared" si="2"/>
        <v>-1.3255852408749478E-7</v>
      </c>
      <c r="C39" s="111">
        <f>10^(B39-A39)*EXP(-'binary PC-PG reorg'!D$11/0.59)</f>
        <v>4.2328984285422315</v>
      </c>
      <c r="D39" s="111">
        <f>10^(B39-A39)*EXP(-'binary PC-PG reorg'!E$11/0.59)</f>
        <v>3723.9789395583907</v>
      </c>
      <c r="E39" s="111">
        <f t="shared" si="3"/>
        <v>0.19109868338846731</v>
      </c>
      <c r="F39" s="111">
        <f t="shared" si="4"/>
        <v>2.6845789364880371E-4</v>
      </c>
    </row>
    <row r="40" spans="1:6" x14ac:dyDescent="0.2">
      <c r="A40" s="110">
        <v>-6.6914679324882416</v>
      </c>
      <c r="B40" s="111">
        <f t="shared" si="2"/>
        <v>-8.8372353880373768E-8</v>
      </c>
      <c r="C40" s="111">
        <f>10^(B40-A40)*EXP(-'binary PC-PG reorg'!D$11/0.59)</f>
        <v>6.3493476428133651</v>
      </c>
      <c r="D40" s="111">
        <f>10^(B40-A40)*EXP(-'binary PC-PG reorg'!E$11/0.59)</f>
        <v>5585.9684093376018</v>
      </c>
      <c r="E40" s="111">
        <f t="shared" si="3"/>
        <v>0.13606649849770819</v>
      </c>
      <c r="F40" s="111">
        <f t="shared" si="4"/>
        <v>1.7898794600819325E-4</v>
      </c>
    </row>
    <row r="41" spans="1:6" x14ac:dyDescent="0.2">
      <c r="A41" s="110">
        <v>-6.8675591620864731</v>
      </c>
      <c r="B41" s="111">
        <f t="shared" si="2"/>
        <v>-5.8914904590826826E-8</v>
      </c>
      <c r="C41" s="111">
        <f>10^(B41-A41)*EXP(-'binary PC-PG reorg'!D$11/0.59)</f>
        <v>9.5240214642200236</v>
      </c>
      <c r="D41" s="111">
        <f>10^(B41-A41)*EXP(-'binary PC-PG reorg'!E$11/0.59)</f>
        <v>8378.9526140063826</v>
      </c>
      <c r="E41" s="111">
        <f t="shared" si="3"/>
        <v>9.5020710799558775E-2</v>
      </c>
      <c r="F41" s="111">
        <f t="shared" si="4"/>
        <v>1.1933241702686773E-4</v>
      </c>
    </row>
    <row r="42" spans="1:6" x14ac:dyDescent="0.2">
      <c r="A42" s="110">
        <v>-7.0436504015038537</v>
      </c>
      <c r="B42" s="111">
        <f t="shared" si="2"/>
        <v>-3.9276603940463438E-8</v>
      </c>
      <c r="C42" s="111">
        <f>10^(B42-A42)*EXP(-'binary PC-PG reorg'!D$11/0.59)</f>
        <v>14.286032196330051</v>
      </c>
      <c r="D42" s="111">
        <f>10^(B42-A42)*EXP(-'binary PC-PG reorg'!E$11/0.59)</f>
        <v>12568.428921009589</v>
      </c>
      <c r="E42" s="111">
        <f t="shared" si="3"/>
        <v>6.5419200166285468E-2</v>
      </c>
      <c r="F42" s="111">
        <f t="shared" si="4"/>
        <v>7.9558109305070881E-5</v>
      </c>
    </row>
    <row r="43" spans="1:6" x14ac:dyDescent="0.2">
      <c r="A43" s="110">
        <v>-7.2197416474673339</v>
      </c>
      <c r="B43" s="111">
        <f t="shared" si="2"/>
        <v>-2.618440300376135E-8</v>
      </c>
      <c r="C43" s="111">
        <f>10^(B43-A43)*EXP(-'binary PC-PG reorg'!D$11/0.59)</f>
        <v>21.429048294495065</v>
      </c>
      <c r="D43" s="111">
        <f>10^(B43-A43)*EXP(-'binary PC-PG reorg'!E$11/0.59)</f>
        <v>18852.643381514368</v>
      </c>
      <c r="E43" s="111">
        <f t="shared" si="3"/>
        <v>4.458503931463903E-2</v>
      </c>
      <c r="F43" s="111">
        <f t="shared" si="4"/>
        <v>5.3040146127961694E-5</v>
      </c>
    </row>
    <row r="44" spans="1:6" x14ac:dyDescent="0.2">
      <c r="A44" s="110">
        <v>-7.3958328977948806</v>
      </c>
      <c r="B44" s="111">
        <f t="shared" si="2"/>
        <v>-1.7456268879493546E-8</v>
      </c>
      <c r="C44" s="111">
        <f>10^(B44-A44)*EXP(-'binary PC-PG reorg'!D$11/0.59)</f>
        <v>32.14357244174257</v>
      </c>
      <c r="D44" s="111">
        <f>10^(B44-A44)*EXP(-'binary PC-PG reorg'!E$11/0.59)</f>
        <v>28278.965072271534</v>
      </c>
      <c r="E44" s="111">
        <f t="shared" si="3"/>
        <v>3.0171762617253448E-2</v>
      </c>
      <c r="F44" s="111">
        <f t="shared" si="4"/>
        <v>3.5360722597939086E-5</v>
      </c>
    </row>
    <row r="45" spans="1:6" x14ac:dyDescent="0.2">
      <c r="A45" s="110">
        <v>-7.5719241510318058</v>
      </c>
      <c r="B45" s="111">
        <f t="shared" si="2"/>
        <v>-1.16375126530174E-8</v>
      </c>
      <c r="C45" s="111">
        <f>10^(B45-A45)*EXP(-'binary PC-PG reorg'!D$11/0.59)</f>
        <v>48.215358662614008</v>
      </c>
      <c r="D45" s="111">
        <f>10^(B45-A45)*EXP(-'binary PC-PG reorg'!E$11/0.59)</f>
        <v>42418.447608407427</v>
      </c>
      <c r="E45" s="111">
        <f t="shared" si="3"/>
        <v>2.0318860355266307E-2</v>
      </c>
      <c r="F45" s="111">
        <f t="shared" si="4"/>
        <v>2.3574092930946194E-5</v>
      </c>
    </row>
    <row r="46" spans="1:6" x14ac:dyDescent="0.2">
      <c r="A46" s="110">
        <v>-7.7480154062083164</v>
      </c>
      <c r="B46" s="111">
        <f t="shared" si="2"/>
        <v>-7.7583417822454173E-9</v>
      </c>
      <c r="C46" s="111">
        <f>10^(B46-A46)*EXP(-'binary PC-PG reorg'!D$11/0.59)</f>
        <v>72.323037993920948</v>
      </c>
      <c r="D46" s="111">
        <f>10^(B46-A46)*EXP(-'binary PC-PG reorg'!E$11/0.59)</f>
        <v>63627.671412611096</v>
      </c>
      <c r="E46" s="111">
        <f t="shared" si="3"/>
        <v>1.363827832778707E-2</v>
      </c>
      <c r="F46" s="111">
        <f t="shared" si="4"/>
        <v>1.5716185452236263E-5</v>
      </c>
    </row>
    <row r="47" spans="1:6" x14ac:dyDescent="0.2">
      <c r="A47" s="110">
        <v>-7.9241066626778842</v>
      </c>
      <c r="B47" s="111">
        <f t="shared" si="2"/>
        <v>-5.1722278715748719E-9</v>
      </c>
      <c r="C47" s="111">
        <f>10^(B47-A47)*EXP(-'binary PC-PG reorg'!D$11/0.59)</f>
        <v>108.48455699088136</v>
      </c>
      <c r="D47" s="111">
        <f>10^(B47-A47)*EXP(-'binary PC-PG reorg'!E$11/0.59)</f>
        <v>95441.507118916576</v>
      </c>
      <c r="E47" s="111">
        <f t="shared" si="3"/>
        <v>9.1337082368912262E-3</v>
      </c>
      <c r="F47" s="111">
        <f t="shared" si="4"/>
        <v>1.0477511856997325E-5</v>
      </c>
    </row>
    <row r="48" spans="1:6" x14ac:dyDescent="0.2">
      <c r="A48" s="110">
        <v>-8.1001979200094887</v>
      </c>
      <c r="B48" s="111">
        <f t="shared" si="2"/>
        <v>-3.4481519075389569E-9</v>
      </c>
      <c r="C48" s="111">
        <f>10^(B48-A48)*EXP(-'binary PC-PG reorg'!D$11/0.59)</f>
        <v>162.72683548632193</v>
      </c>
      <c r="D48" s="111">
        <f>10^(B48-A48)*EXP(-'binary PC-PG reorg'!E$11/0.59)</f>
        <v>143162.26067837479</v>
      </c>
      <c r="E48" s="111">
        <f t="shared" si="3"/>
        <v>6.1077342454563107E-3</v>
      </c>
      <c r="F48" s="111">
        <f t="shared" si="4"/>
        <v>6.9850322999178013E-6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F356-965C-E946-9158-EA967774A8E0}">
  <dimension ref="A1:E48"/>
  <sheetViews>
    <sheetView zoomScale="150" workbookViewId="0">
      <selection activeCell="F1" sqref="F1"/>
    </sheetView>
  </sheetViews>
  <sheetFormatPr baseColWidth="10" defaultRowHeight="16" x14ac:dyDescent="0.2"/>
  <cols>
    <col min="1" max="1" width="17.6640625" customWidth="1"/>
    <col min="2" max="3" width="11.33203125" bestFit="1" customWidth="1"/>
  </cols>
  <sheetData>
    <row r="1" spans="1:5" x14ac:dyDescent="0.2">
      <c r="A1" t="s">
        <v>49</v>
      </c>
      <c r="B1" t="s">
        <v>55</v>
      </c>
      <c r="C1" t="s">
        <v>56</v>
      </c>
      <c r="D1" t="s">
        <v>57</v>
      </c>
      <c r="E1" t="s">
        <v>58</v>
      </c>
    </row>
    <row r="2" spans="1:5" x14ac:dyDescent="0.2">
      <c r="A2" s="110">
        <f>'ternary PG titration'!D2</f>
        <v>-0.32735893438633035</v>
      </c>
      <c r="B2" s="110">
        <f>'ternary PG titration'!K2</f>
        <v>0.98751494481749813</v>
      </c>
      <c r="C2" s="110">
        <f>'ternary PG titration'!L2</f>
        <v>0.99991646428681935</v>
      </c>
      <c r="D2">
        <f>'binary PG titration'!E2</f>
        <v>0.99999854650630049</v>
      </c>
      <c r="E2">
        <f>'binary PG titration'!F2</f>
        <v>0.99872289043524498</v>
      </c>
    </row>
    <row r="3" spans="1:5" x14ac:dyDescent="0.2">
      <c r="A3" s="110">
        <f>'ternary PG titration'!D3</f>
        <v>-0.3979400086720376</v>
      </c>
      <c r="B3" s="110">
        <f>'ternary PG titration'!K3</f>
        <v>0.9834222511264934</v>
      </c>
      <c r="C3" s="110">
        <f>'ternary PG titration'!L3</f>
        <v>0.99988862215043539</v>
      </c>
      <c r="D3">
        <f>'binary PG titration'!E3</f>
        <v>0.99999806200933972</v>
      </c>
      <c r="E3">
        <f>'binary PG titration'!F3</f>
        <v>0.9982979118313533</v>
      </c>
    </row>
    <row r="4" spans="1:5" x14ac:dyDescent="0.2">
      <c r="A4" s="110">
        <f>'ternary PG titration'!D4</f>
        <v>-0.51188336097887432</v>
      </c>
      <c r="B4" s="110">
        <f>'ternary PG titration'!K4</f>
        <v>0.97533779858063907</v>
      </c>
      <c r="C4" s="110">
        <f>'ternary PG titration'!L4</f>
        <v>0.9998329425289042</v>
      </c>
      <c r="D4">
        <f>'binary PG titration'!E4</f>
        <v>0.99999709301682649</v>
      </c>
      <c r="E4">
        <f>'binary PG titration'!F4</f>
        <v>0.9974490387275301</v>
      </c>
    </row>
    <row r="5" spans="1:5" x14ac:dyDescent="0.2">
      <c r="A5" s="110">
        <f>'ternary PG titration'!D6</f>
        <v>-0.64097805735833202</v>
      </c>
      <c r="B5" s="110">
        <f>'ternary PG titration'!K6</f>
        <v>0.96345730946811015</v>
      </c>
      <c r="C5" s="110">
        <f>'ternary PG titration'!L6</f>
        <v>0.9997494347227569</v>
      </c>
      <c r="D5">
        <f>'binary PG titration'!E5</f>
        <v>0.99999563953157755</v>
      </c>
      <c r="E5">
        <f>'binary PG titration'!F5</f>
        <v>0.99617843242673509</v>
      </c>
    </row>
    <row r="6" spans="1:5" x14ac:dyDescent="0.2">
      <c r="A6" s="110">
        <f>'ternary PG titration'!D7</f>
        <v>-0.78265175161032008</v>
      </c>
      <c r="B6" s="110">
        <f>'ternary PG titration'!K7</f>
        <v>0.94616951949726258</v>
      </c>
      <c r="C6" s="110">
        <f>'ternary PG titration'!L7</f>
        <v>0.99962419916545564</v>
      </c>
      <c r="D6">
        <f>'binary PG titration'!E6</f>
        <v>0.99999345931162664</v>
      </c>
      <c r="E6">
        <f>'binary PG titration'!F6</f>
        <v>0.99427858103469813</v>
      </c>
    </row>
    <row r="7" spans="1:5" x14ac:dyDescent="0.2">
      <c r="A7" s="110">
        <f>'ternary PG titration'!D8</f>
        <v>-1.0930932133337166</v>
      </c>
      <c r="B7" s="110">
        <f>'ternary PG titration'!K8</f>
        <v>0.88651744448397352</v>
      </c>
      <c r="C7" s="110">
        <f>'ternary PG titration'!L8</f>
        <v>0.99915484513465458</v>
      </c>
      <c r="D7">
        <f>'binary PG titration'!E7</f>
        <v>0.99999018899952541</v>
      </c>
      <c r="E7">
        <f>'binary PG titration'!F7</f>
        <v>0.99144235249541246</v>
      </c>
    </row>
    <row r="8" spans="1:5" x14ac:dyDescent="0.2">
      <c r="A8" s="110">
        <f>'ternary PG titration'!D9</f>
        <v>-1.2573410257061035</v>
      </c>
      <c r="B8" s="110">
        <f>'ternary PG titration'!K9</f>
        <v>0.83891626374699069</v>
      </c>
      <c r="C8" s="110">
        <f>'ternary PG titration'!L9</f>
        <v>0.9987328031907563</v>
      </c>
      <c r="D8">
        <f>'binary PG titration'!E8</f>
        <v>0.99998528357147942</v>
      </c>
      <c r="E8">
        <f>'binary PG titration'!F8</f>
        <v>0.98721821972814272</v>
      </c>
    </row>
    <row r="9" spans="1:5" x14ac:dyDescent="0.2">
      <c r="A9" s="110">
        <f>'ternary PG titration'!D10</f>
        <v>-1.4253533286866067</v>
      </c>
      <c r="B9" s="110">
        <f>'ternary PG titration'!K10</f>
        <v>0.77638478294371327</v>
      </c>
      <c r="C9" s="110">
        <f>'ternary PG titration'!L10</f>
        <v>0.9981004083643642</v>
      </c>
      <c r="D9">
        <f>'binary PG titration'!E9</f>
        <v>0.99997792551964804</v>
      </c>
      <c r="E9">
        <f>'binary PG titration'!F9</f>
        <v>0.98094908191667318</v>
      </c>
    </row>
    <row r="10" spans="1:5" x14ac:dyDescent="0.2">
      <c r="A10" s="110">
        <f>'ternary PG titration'!D11</f>
        <v>-1.5959738965301762</v>
      </c>
      <c r="B10" s="110">
        <f>'ternary PG titration'!K11</f>
        <v>0.6983085715446069</v>
      </c>
      <c r="C10" s="110">
        <f>'ternary PG titration'!L11</f>
        <v>0.99715331631480508</v>
      </c>
      <c r="D10">
        <f>'binary PG titration'!E10</f>
        <v>0.99996688864493</v>
      </c>
      <c r="E10">
        <f>'binary PG titration'!F10</f>
        <v>0.97169325759043501</v>
      </c>
    </row>
    <row r="11" spans="1:5" x14ac:dyDescent="0.2">
      <c r="A11" s="110">
        <f>'ternary PG titration'!D12</f>
        <v>-1.7683793641857297</v>
      </c>
      <c r="B11" s="110">
        <f>'ternary PG titration'!K12</f>
        <v>0.60677861759534291</v>
      </c>
      <c r="C11" s="110">
        <f>'ternary PG titration'!L12</f>
        <v>0.99573604353985246</v>
      </c>
      <c r="D11">
        <f>'binary PG titration'!E11</f>
        <v>0.9999503337896527</v>
      </c>
      <c r="E11">
        <f>'binary PG titration'!F11</f>
        <v>0.95813245331531438</v>
      </c>
    </row>
    <row r="12" spans="1:5" x14ac:dyDescent="0.2">
      <c r="A12" s="110">
        <f>'ternary PG titration'!D13</f>
        <v>-1.941995935261688</v>
      </c>
      <c r="B12" s="110">
        <f>'ternary PG titration'!K13</f>
        <v>0.50708105991069241</v>
      </c>
      <c r="C12" s="110">
        <f>'ternary PG titration'!L13</f>
        <v>0.99361767229350606</v>
      </c>
      <c r="D12">
        <f>'binary PG titration'!E12</f>
        <v>0.99992550253448254</v>
      </c>
      <c r="E12">
        <f>'binary PG titration'!F12</f>
        <v>0.93848639190235728</v>
      </c>
    </row>
    <row r="13" spans="1:5" x14ac:dyDescent="0.2">
      <c r="A13" s="110">
        <f>'ternary PG titration'!D14</f>
        <v>-2.116429533438609</v>
      </c>
      <c r="B13" s="110">
        <f>'ternary PG titration'!K14</f>
        <v>0.40681712650675</v>
      </c>
      <c r="C13" s="110">
        <f>'ternary PG titration'!L14</f>
        <v>0.99045696183868992</v>
      </c>
      <c r="D13">
        <f>'binary PG titration'!E13</f>
        <v>0.99988825796397296</v>
      </c>
      <c r="E13">
        <f>'binary PG titration'!F13</f>
        <v>0.91048284931612866</v>
      </c>
    </row>
    <row r="14" spans="1:5" x14ac:dyDescent="0.2">
      <c r="A14" s="110">
        <f>'ternary PG titration'!D15</f>
        <v>-2.2914121596990307</v>
      </c>
      <c r="B14" s="110">
        <f>'ternary PG titration'!K15</f>
        <v>0.31375891817358087</v>
      </c>
      <c r="C14" s="110">
        <f>'ternary PG titration'!L15</f>
        <v>0.98575342058355453</v>
      </c>
      <c r="D14">
        <f>'binary PG titration'!E14</f>
        <v>0.99983239631014831</v>
      </c>
      <c r="E14">
        <f>'binary PG titration'!F14</f>
        <v>0.87147678976278264</v>
      </c>
    </row>
    <row r="15" spans="1:5" x14ac:dyDescent="0.2">
      <c r="A15" s="110">
        <f>'ternary PG titration'!D16</f>
        <v>-2.4667627548571525</v>
      </c>
      <c r="B15" s="110">
        <f>'ternary PG titration'!K16</f>
        <v>0.23360443729067759</v>
      </c>
      <c r="C15" s="110">
        <f>'ternary PG titration'!L16</f>
        <v>0.97878127797952141</v>
      </c>
      <c r="D15">
        <f>'binary PG titration'!E15</f>
        <v>0.99974861553170469</v>
      </c>
      <c r="E15">
        <f>'binary PG titration'!F15</f>
        <v>0.81885580159180837</v>
      </c>
    </row>
    <row r="16" spans="1:5" x14ac:dyDescent="0.2">
      <c r="A16" s="110">
        <f>'ternary PG titration'!D17</f>
        <v>-2.6423595352939424</v>
      </c>
      <c r="B16" s="110">
        <f>'ternary PG titration'!K17</f>
        <v>0.16888722671452858</v>
      </c>
      <c r="C16" s="110">
        <f>'ternary PG titration'!L17</f>
        <v>0.96850604767909421</v>
      </c>
      <c r="D16">
        <f>'binary PG titration'!E16</f>
        <v>0.99962297068721373</v>
      </c>
      <c r="E16">
        <f>'binary PG titration'!F16</f>
        <v>0.75084976242232215</v>
      </c>
    </row>
    <row r="17" spans="1:5" x14ac:dyDescent="0.2">
      <c r="A17" s="110">
        <f>'ternary PG titration'!D18</f>
        <v>-2.8181208288803297</v>
      </c>
      <c r="B17" s="110">
        <f>'ternary PG titration'!K18</f>
        <v>0.11930801789893876</v>
      </c>
      <c r="C17" s="110">
        <f>'ternary PG titration'!L18</f>
        <v>0.95349144069330083</v>
      </c>
      <c r="D17">
        <f>'binary PG titration'!E17</f>
        <v>0.99943456262405317</v>
      </c>
      <c r="E17">
        <f>'binary PG titration'!F17</f>
        <v>0.66767417300765364</v>
      </c>
    </row>
    <row r="18" spans="1:5" x14ac:dyDescent="0.2">
      <c r="A18" s="110">
        <f>'ternary PG titration'!D19</f>
        <v>-2.9939919715968806</v>
      </c>
      <c r="B18" s="110">
        <f>'ternary PG titration'!K19</f>
        <v>8.2832887820182888E-2</v>
      </c>
      <c r="C18" s="110">
        <f>'ternary PG titration'!L19</f>
        <v>0.93182257787997469</v>
      </c>
      <c r="D18">
        <f>'binary PG titration'!E18</f>
        <v>0.99915208365787567</v>
      </c>
      <c r="E18">
        <f>'binary PG titration'!F18</f>
        <v>0.57253936416650131</v>
      </c>
    </row>
    <row r="19" spans="1:5" x14ac:dyDescent="0.2">
      <c r="A19" s="110">
        <f>'ternary PG titration'!D20</f>
        <v>-3.1699364244225778</v>
      </c>
      <c r="B19" s="110">
        <f>'ternary PG titration'!K20</f>
        <v>5.6789950410682521E-2</v>
      </c>
      <c r="C19" s="110">
        <f>'ternary PG titration'!L20</f>
        <v>0.90110506759598208</v>
      </c>
      <c r="D19">
        <f>'binary PG titration'!E19</f>
        <v>0.99872866447989539</v>
      </c>
      <c r="E19">
        <f>'binary PG titration'!F19</f>
        <v>0.47171876298617088</v>
      </c>
    </row>
    <row r="20" spans="1:5" x14ac:dyDescent="0.2">
      <c r="A20" s="110">
        <f>'ternary PG titration'!D21</f>
        <v>-3.3459297850813119</v>
      </c>
      <c r="B20" s="110">
        <f>'ternary PG titration'!K21</f>
        <v>3.8590484167860699E-2</v>
      </c>
      <c r="C20" s="110">
        <f>'ternary PG titration'!L21</f>
        <v>0.8586471420595414</v>
      </c>
      <c r="D20">
        <f>'binary PG titration'!E20</f>
        <v>0.99809420817026662</v>
      </c>
      <c r="E20">
        <f>'binary PG titration'!F20</f>
        <v>0.3731537109719022</v>
      </c>
    </row>
    <row r="21" spans="1:5" x14ac:dyDescent="0.2">
      <c r="A21" s="110">
        <f>'ternary PG titration'!D22</f>
        <v>-3.5219557662767689</v>
      </c>
      <c r="B21" s="110">
        <f>'ternary PG titration'!K22</f>
        <v>2.6062240944084353E-2</v>
      </c>
      <c r="C21" s="110">
        <f>'ternary PG titration'!L22</f>
        <v>0.80196697977687226</v>
      </c>
      <c r="D21">
        <f>'binary PG titration'!E21</f>
        <v>0.99714403369402604</v>
      </c>
      <c r="E21">
        <f>'binary PG titration'!F21</f>
        <v>0.28410776262813964</v>
      </c>
    </row>
    <row r="22" spans="1:5" x14ac:dyDescent="0.2">
      <c r="A22" s="110">
        <f>'ternary PG titration'!D23</f>
        <v>-3.6980035013073449</v>
      </c>
      <c r="B22" s="110">
        <f>'ternary PG titration'!K23</f>
        <v>1.7527092397762813E-2</v>
      </c>
      <c r="C22" s="110">
        <f>'ternary PG titration'!L23</f>
        <v>0.7297133140388059</v>
      </c>
      <c r="D22">
        <f>'binary PG titration'!E22</f>
        <v>0.99572215922559593</v>
      </c>
      <c r="E22">
        <f>'binary PG titration'!F22</f>
        <v>0.20921873019753376</v>
      </c>
    </row>
    <row r="23" spans="1:5" x14ac:dyDescent="0.2">
      <c r="A23" s="110">
        <f>'ternary PG titration'!D24</f>
        <v>-3.8740657419228333</v>
      </c>
      <c r="B23" s="110">
        <f>'ternary PG titration'!K24</f>
        <v>1.1753395883722368E-2</v>
      </c>
      <c r="C23" s="110">
        <f>'ternary PG titration'!L24</f>
        <v>0.64283803323267064</v>
      </c>
      <c r="D23">
        <f>'binary PG titration'!E23</f>
        <v>0.99359693448576292</v>
      </c>
      <c r="E23">
        <f>'binary PG titration'!F23</f>
        <v>0.14993559865215988</v>
      </c>
    </row>
    <row r="24" spans="1:5" x14ac:dyDescent="0.2">
      <c r="A24" s="110">
        <f>'ternary PG titration'!D25</f>
        <v>-4.0501376542744758</v>
      </c>
      <c r="B24" s="110">
        <f>'ternary PG titration'!K25</f>
        <v>7.8664162907654232E-3</v>
      </c>
      <c r="C24" s="110">
        <f>'ternary PG titration'!L25</f>
        <v>0.54543390933315861</v>
      </c>
      <c r="D24">
        <f>'binary PG titration'!E24</f>
        <v>0.99042605303347275</v>
      </c>
      <c r="E24">
        <f>'binary PG titration'!F24</f>
        <v>0.10521558641359338</v>
      </c>
    </row>
    <row r="25" spans="1:5" x14ac:dyDescent="0.2">
      <c r="A25" s="110">
        <f>'ternary PG titration'!D26</f>
        <v>-4.226216015048645</v>
      </c>
      <c r="B25" s="110">
        <f>'ternary PG titration'!K26</f>
        <v>5.2580649029805174E-3</v>
      </c>
      <c r="C25" s="110">
        <f>'ternary PG titration'!L26</f>
        <v>0.44442389341814664</v>
      </c>
      <c r="D25">
        <f>'binary PG titration'!E25</f>
        <v>0.98570749738125452</v>
      </c>
      <c r="E25">
        <f>'binary PG titration'!F25</f>
        <v>7.2693210533933725E-2</v>
      </c>
    </row>
    <row r="26" spans="1:5" x14ac:dyDescent="0.2">
      <c r="A26" s="110">
        <f>'ternary PG titration'!D27</f>
        <v>-4.4022986750371622</v>
      </c>
      <c r="B26" s="110">
        <f>'ternary PG titration'!K27</f>
        <v>3.5115312216778202E-3</v>
      </c>
      <c r="C26" s="110">
        <f>'ternary PG titration'!L27</f>
        <v>0.34780720658135639</v>
      </c>
      <c r="D26">
        <f>'binary PG titration'!E26</f>
        <v>0.97871336571004841</v>
      </c>
      <c r="E26">
        <f>'binary PG titration'!F26</f>
        <v>4.9665590771367597E-2</v>
      </c>
    </row>
    <row r="27" spans="1:5" x14ac:dyDescent="0.2">
      <c r="A27" s="110">
        <f>'ternary PG titration'!D28</f>
        <v>-4.5783842012868092</v>
      </c>
      <c r="B27" s="110">
        <f>'ternary PG titration'!K28</f>
        <v>2.3437642148574547E-3</v>
      </c>
      <c r="C27" s="110">
        <f>'ternary PG titration'!L28</f>
        <v>0.26227897718780635</v>
      </c>
      <c r="D27">
        <f>'binary PG titration'!E27</f>
        <v>0.96840631022512647</v>
      </c>
      <c r="E27">
        <f>'binary PG titration'!F27</f>
        <v>3.3667770416813639E-2</v>
      </c>
    </row>
    <row r="28" spans="1:5" x14ac:dyDescent="0.2">
      <c r="A28" s="110">
        <f>'ternary PG titration'!D29</f>
        <v>-4.7544716384297594</v>
      </c>
      <c r="B28" s="110">
        <f>'ternary PG titration'!K29</f>
        <v>1.5637311489411516E-3</v>
      </c>
      <c r="C28" s="110">
        <f>'ternary PG titration'!L29</f>
        <v>0.19160387417297381</v>
      </c>
      <c r="D28">
        <f>'binary PG titration'!E28</f>
        <v>0.95334644432021087</v>
      </c>
      <c r="E28">
        <f>'binary PG titration'!F28</f>
        <v>2.2699932314422161E-2</v>
      </c>
    </row>
    <row r="29" spans="1:5" x14ac:dyDescent="0.2">
      <c r="A29" s="110">
        <f>'ternary PG titration'!D30</f>
        <v>-4.9305603495249342</v>
      </c>
      <c r="B29" s="110">
        <f>'ternary PG titration'!K30</f>
        <v>1.0430311060373762E-3</v>
      </c>
      <c r="C29" s="110">
        <f>'ternary PG titration'!L30</f>
        <v>0.13645074668129278</v>
      </c>
      <c r="D29">
        <f>'binary PG titration'!E29</f>
        <v>0.93161487118767383</v>
      </c>
      <c r="E29">
        <f>'binary PG titration'!F29</f>
        <v>1.5248669464524659E-2</v>
      </c>
    </row>
    <row r="30" spans="1:5" x14ac:dyDescent="0.2">
      <c r="A30" s="110">
        <f>'ternary PG titration'!D31</f>
        <v>-5.1066499099319724</v>
      </c>
      <c r="B30" s="110">
        <f>'ternary PG titration'!K31</f>
        <v>6.9559591341655943E-4</v>
      </c>
      <c r="C30" s="110">
        <f>'ternary PG titration'!L31</f>
        <v>9.5301833221938359E-2</v>
      </c>
      <c r="D30">
        <f>'binary PG titration'!E30</f>
        <v>0.90081373938576936</v>
      </c>
      <c r="E30">
        <f>'binary PG titration'!F30</f>
        <v>1.0217715163419662E-2</v>
      </c>
    </row>
    <row r="31" spans="1:5" x14ac:dyDescent="0.2">
      <c r="A31" s="110">
        <f>'ternary PG titration'!D32</f>
        <v>-5.2827400365515347</v>
      </c>
      <c r="B31" s="110">
        <f>'ternary PG titration'!K32</f>
        <v>4.6383815691985298E-4</v>
      </c>
      <c r="C31" s="110">
        <f>'ternary PG titration'!L32</f>
        <v>6.5619095513561543E-2</v>
      </c>
      <c r="D31">
        <f>'binary PG titration'!E31</f>
        <v>0.85825041473183772</v>
      </c>
      <c r="E31">
        <f>'binary PG titration'!F31</f>
        <v>6.8350897757614906E-3</v>
      </c>
    </row>
    <row r="32" spans="1:5" x14ac:dyDescent="0.2">
      <c r="A32" s="110">
        <f>'ternary PG titration'!D33</f>
        <v>-5.4588305406481625</v>
      </c>
      <c r="B32" s="110">
        <f>'ternary PG titration'!K33</f>
        <v>3.0927325552551122E-4</v>
      </c>
      <c r="C32" s="110">
        <f>'ternary PG titration'!L33</f>
        <v>4.4724320154370611E-2</v>
      </c>
      <c r="D32">
        <f>'binary PG titration'!E32</f>
        <v>0.80144795697427773</v>
      </c>
      <c r="E32">
        <f>'binary PG titration'!F32</f>
        <v>4.5671321031552732E-3</v>
      </c>
    </row>
    <row r="33" spans="1:5" x14ac:dyDescent="0.2">
      <c r="A33" s="110">
        <f>'ternary PG titration'!D34</f>
        <v>-5.6349212963970787</v>
      </c>
      <c r="B33" s="110">
        <f>'ternary PG titration'!K34</f>
        <v>2.0620342808550895E-4</v>
      </c>
      <c r="C33" s="110">
        <f>'ternary PG titration'!L34</f>
        <v>3.0267443717268916E-2</v>
      </c>
      <c r="D33">
        <f>'binary PG titration'!E33</f>
        <v>0.72906889742878012</v>
      </c>
      <c r="E33">
        <f>'binary PG titration'!F33</f>
        <v>3.0493970685191458E-3</v>
      </c>
    </row>
    <row r="34" spans="1:5" x14ac:dyDescent="0.2">
      <c r="A34" s="110">
        <f>'ternary PG titration'!D35</f>
        <v>-5.811012219914593</v>
      </c>
      <c r="B34" s="110">
        <f>'ternary PG titration'!K35</f>
        <v>1.3747840156290263E-4</v>
      </c>
      <c r="C34" s="110">
        <f>'ternary PG titration'!L35</f>
        <v>2.0383952523425362E-2</v>
      </c>
      <c r="D34">
        <f>'binary PG titration'!E34</f>
        <v>0.64208808149512364</v>
      </c>
      <c r="E34">
        <f>'binary PG titration'!F34</f>
        <v>2.0349998865756185E-3</v>
      </c>
    </row>
    <row r="35" spans="1:5" x14ac:dyDescent="0.2">
      <c r="A35" s="110">
        <f>'ternary PG titration'!D36</f>
        <v>-5.9871032552780186</v>
      </c>
      <c r="B35" s="110">
        <f>'ternary PG titration'!K36</f>
        <v>9.1656467970171584E-5</v>
      </c>
      <c r="C35" s="110">
        <f>'ternary PG titration'!L36</f>
        <v>1.3682267915484249E-2</v>
      </c>
      <c r="D35">
        <f>'binary PG titration'!E35</f>
        <v>0.54462431480669027</v>
      </c>
      <c r="E35">
        <f>'binary PG titration'!F35</f>
        <v>1.3575874878450048E-3</v>
      </c>
    </row>
    <row r="36" spans="1:5" x14ac:dyDescent="0.2">
      <c r="A36" s="110">
        <f>'ternary PG titration'!D37</f>
        <v>-6.1631943652054657</v>
      </c>
      <c r="B36" s="110">
        <f>'ternary PG titration'!K37</f>
        <v>6.1106178905624264E-5</v>
      </c>
      <c r="C36" s="110">
        <f>'ternary PG titration'!L37</f>
        <v>9.1633035349749752E-3</v>
      </c>
      <c r="D36">
        <f>'binary PG titration'!E36</f>
        <v>0.44361790995239259</v>
      </c>
      <c r="E36">
        <f>'binary PG titration'!F36</f>
        <v>9.0546807594018186E-4</v>
      </c>
    </row>
    <row r="37" spans="1:5" x14ac:dyDescent="0.2">
      <c r="A37" s="110">
        <f>'ternary PG titration'!D38</f>
        <v>-6.3392855248422952</v>
      </c>
      <c r="B37" s="110">
        <f>'ternary PG titration'!K38</f>
        <v>4.0738282390673537E-5</v>
      </c>
      <c r="C37" s="110">
        <f>'ternary PG titration'!L38</f>
        <v>6.1275853314260902E-3</v>
      </c>
      <c r="D37">
        <f>'binary PG titration'!E37</f>
        <v>0.34706698320213253</v>
      </c>
      <c r="E37">
        <f>'binary PG titration'!F37</f>
        <v>6.0382763284175798E-4</v>
      </c>
    </row>
    <row r="38" spans="1:5" x14ac:dyDescent="0.2">
      <c r="A38" s="110">
        <f>'ternary PG titration'!D39</f>
        <v>-6.5153767176187296</v>
      </c>
      <c r="B38" s="110">
        <f>'ternary PG titration'!K39</f>
        <v>2.7159223733824346E-5</v>
      </c>
      <c r="C38" s="110">
        <f>'ternary PG titration'!L39</f>
        <v>4.093417809926561E-3</v>
      </c>
      <c r="D38">
        <f>'binary PG titration'!E38</f>
        <v>0.26164775439452936</v>
      </c>
      <c r="E38">
        <f>'binary PG titration'!F38</f>
        <v>4.0263279549710947E-4</v>
      </c>
    </row>
    <row r="39" spans="1:5" x14ac:dyDescent="0.2">
      <c r="A39" s="110">
        <f>'ternary PG titration'!D40</f>
        <v>-6.6914679324882416</v>
      </c>
      <c r="B39" s="110">
        <f>'ternary PG titration'!K40</f>
        <v>1.8106313073685485E-5</v>
      </c>
      <c r="C39" s="110">
        <f>'ternary PG titration'!L40</f>
        <v>2.7326738652406063E-3</v>
      </c>
      <c r="D39">
        <f>'binary PG titration'!E39</f>
        <v>0.19109868338846731</v>
      </c>
      <c r="E39">
        <f>'binary PG titration'!F39</f>
        <v>2.6845789364880371E-4</v>
      </c>
    </row>
    <row r="40" spans="1:5" x14ac:dyDescent="0.2">
      <c r="A40" s="110">
        <f>'ternary PG titration'!D41</f>
        <v>-6.8675591620864731</v>
      </c>
      <c r="B40" s="110">
        <f>'ternary PG titration'!K41</f>
        <v>1.2070948235912943E-5</v>
      </c>
      <c r="C40" s="110">
        <f>'ternary PG titration'!L41</f>
        <v>1.8234435356586161E-3</v>
      </c>
      <c r="D40">
        <f>'binary PG titration'!E40</f>
        <v>0.13606649849770819</v>
      </c>
      <c r="E40">
        <f>'binary PG titration'!F40</f>
        <v>1.7898794600819325E-4</v>
      </c>
    </row>
    <row r="41" spans="1:5" x14ac:dyDescent="0.2">
      <c r="A41" s="110">
        <f>'ternary PG titration'!D42</f>
        <v>-7.0436504015038537</v>
      </c>
      <c r="B41" s="110">
        <f>'ternary PG titration'!K42</f>
        <v>8.0473312035814278E-6</v>
      </c>
      <c r="C41" s="110">
        <f>'ternary PG titration'!L42</f>
        <v>1.2163683501074053E-3</v>
      </c>
      <c r="D41">
        <f>'binary PG titration'!E41</f>
        <v>9.5020710799558775E-2</v>
      </c>
      <c r="E41">
        <f>'binary PG titration'!F41</f>
        <v>1.1933241702686773E-4</v>
      </c>
    </row>
    <row r="42" spans="1:5" x14ac:dyDescent="0.2">
      <c r="A42" s="110">
        <f>'ternary PG titration'!D43</f>
        <v>-7.2197416474673339</v>
      </c>
      <c r="B42" s="110">
        <f>'ternary PG titration'!K43</f>
        <v>5.3649018601016656E-6</v>
      </c>
      <c r="C42" s="110">
        <f>'ternary PG titration'!L43</f>
        <v>8.1124115609379596E-4</v>
      </c>
      <c r="D42">
        <f>'binary PG titration'!E42</f>
        <v>6.5419200166285468E-2</v>
      </c>
      <c r="E42">
        <f>'binary PG titration'!F42</f>
        <v>7.9558109305070881E-5</v>
      </c>
    </row>
    <row r="43" spans="1:5" x14ac:dyDescent="0.2">
      <c r="A43" s="110">
        <f>'ternary PG titration'!D44</f>
        <v>-7.3958328977948806</v>
      </c>
      <c r="B43" s="110">
        <f>'ternary PG titration'!K44</f>
        <v>3.5766076361174301E-6</v>
      </c>
      <c r="C43" s="110">
        <f>'ternary PG titration'!L44</f>
        <v>5.4097372411231897E-4</v>
      </c>
      <c r="D43">
        <f>'binary PG titration'!E43</f>
        <v>4.458503931463903E-2</v>
      </c>
      <c r="E43">
        <f>'binary PG titration'!F43</f>
        <v>5.3040146127961694E-5</v>
      </c>
    </row>
    <row r="44" spans="1:5" x14ac:dyDescent="0.2">
      <c r="A44" s="110">
        <f>'ternary PG titration'!D45</f>
        <v>-7.5719241510318058</v>
      </c>
      <c r="B44" s="110">
        <f>'ternary PG titration'!K45</f>
        <v>2.3844079334421608E-6</v>
      </c>
      <c r="C44" s="110">
        <f>'ternary PG titration'!L45</f>
        <v>3.6071419504202337E-4</v>
      </c>
      <c r="D44">
        <f>'binary PG titration'!E44</f>
        <v>3.0171762617253448E-2</v>
      </c>
      <c r="E44">
        <f>'binary PG titration'!F44</f>
        <v>3.5360722597939086E-5</v>
      </c>
    </row>
    <row r="45" spans="1:5" x14ac:dyDescent="0.2">
      <c r="A45" s="110">
        <f>'ternary PG titration'!D46</f>
        <v>-7.7480154062083164</v>
      </c>
      <c r="B45" s="110">
        <f>'ternary PG titration'!K46</f>
        <v>1.5896065523849323E-6</v>
      </c>
      <c r="C45" s="110">
        <f>'ternary PG titration'!L46</f>
        <v>2.4050504788959991E-4</v>
      </c>
      <c r="D45">
        <f>'binary PG titration'!E45</f>
        <v>2.0318860355266307E-2</v>
      </c>
      <c r="E45">
        <f>'binary PG titration'!F45</f>
        <v>2.3574092930946194E-5</v>
      </c>
    </row>
    <row r="46" spans="1:5" x14ac:dyDescent="0.2">
      <c r="A46" s="110">
        <f>'ternary PG titration'!D47</f>
        <v>-7.9241066626778842</v>
      </c>
      <c r="B46" s="110">
        <f>'ternary PG titration'!K47</f>
        <v>1.0597382631122505E-6</v>
      </c>
      <c r="C46" s="110">
        <f>'ternary PG titration'!L47</f>
        <v>1.6034955355208531E-4</v>
      </c>
      <c r="D46">
        <f>'binary PG titration'!E46</f>
        <v>1.363827832778707E-2</v>
      </c>
      <c r="E46">
        <f>'binary PG titration'!F46</f>
        <v>1.5716185452236263E-5</v>
      </c>
    </row>
    <row r="47" spans="1:5" x14ac:dyDescent="0.2">
      <c r="A47" s="110">
        <f>'ternary PG titration'!D48</f>
        <v>-8.1001979200094887</v>
      </c>
      <c r="B47" s="110">
        <f>'ternary PG titration'!K48</f>
        <v>7.0649242497385207E-7</v>
      </c>
      <c r="C47" s="110">
        <f>'ternary PG titration'!L48</f>
        <v>1.0690541644665673E-4</v>
      </c>
      <c r="D47">
        <f>'binary PG titration'!E47</f>
        <v>9.1337082368912262E-3</v>
      </c>
      <c r="E47">
        <f>'binary PG titration'!F47</f>
        <v>1.0477511856997325E-5</v>
      </c>
    </row>
    <row r="48" spans="1:5" x14ac:dyDescent="0.2">
      <c r="A48" s="110">
        <f>'ternary PG titration'!D49</f>
        <v>-8.2762891779157854</v>
      </c>
      <c r="B48" s="110">
        <f>'ternary PG titration'!K49</f>
        <v>4.7099506090071561E-7</v>
      </c>
      <c r="C48" s="110">
        <f>'ternary PG titration'!L49</f>
        <v>7.127281744784801E-5</v>
      </c>
      <c r="D48">
        <f>'binary PG titration'!E48</f>
        <v>6.1077342454563107E-3</v>
      </c>
      <c r="E48">
        <f>'binary PG titration'!F48</f>
        <v>6.9850322999178013E-6</v>
      </c>
    </row>
  </sheetData>
  <pageMargins left="0.7" right="0.7" top="0.75" bottom="0.75" header="0.3" footer="0.3"/>
  <pageSetup orientation="landscape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B772-421E-194A-A204-24F532D717FC}">
  <dimension ref="A1:O18"/>
  <sheetViews>
    <sheetView zoomScale="200" zoomScaleNormal="200" workbookViewId="0">
      <pane xSplit="2" topLeftCell="C1" activePane="topRight" state="frozen"/>
      <selection pane="topRight" activeCell="A3" sqref="A3:XFD3"/>
    </sheetView>
  </sheetViews>
  <sheetFormatPr baseColWidth="10" defaultRowHeight="16" x14ac:dyDescent="0.2"/>
  <cols>
    <col min="2" max="2" width="12" customWidth="1"/>
    <col min="4" max="10" width="8.33203125" customWidth="1"/>
    <col min="11" max="11" width="4" customWidth="1"/>
    <col min="12" max="12" width="10.83203125" customWidth="1"/>
  </cols>
  <sheetData>
    <row r="1" spans="1:15" ht="94" customHeight="1" thickBot="1" x14ac:dyDescent="0.25">
      <c r="A1" s="39"/>
      <c r="B1" s="39"/>
      <c r="C1" s="39"/>
      <c r="D1" s="169" t="s">
        <v>11</v>
      </c>
      <c r="E1" s="169"/>
      <c r="F1" s="169" t="s">
        <v>12</v>
      </c>
      <c r="G1" s="169"/>
      <c r="H1" s="169" t="s">
        <v>20</v>
      </c>
      <c r="I1" s="169"/>
      <c r="J1" s="169" t="s">
        <v>23</v>
      </c>
      <c r="K1" s="169"/>
      <c r="L1" s="169" t="s">
        <v>25</v>
      </c>
      <c r="M1" s="169"/>
      <c r="N1" s="169" t="s">
        <v>26</v>
      </c>
      <c r="O1" s="169"/>
    </row>
    <row r="2" spans="1:15" ht="36" customHeight="1" thickBot="1" x14ac:dyDescent="0.25">
      <c r="A2" s="21" t="s">
        <v>15</v>
      </c>
      <c r="B2" s="20" t="s">
        <v>14</v>
      </c>
      <c r="C2" s="27" t="s">
        <v>31</v>
      </c>
      <c r="D2" s="22" t="s">
        <v>5</v>
      </c>
      <c r="E2" s="23" t="s">
        <v>2</v>
      </c>
      <c r="F2" s="24" t="s">
        <v>5</v>
      </c>
      <c r="G2" s="25" t="s">
        <v>2</v>
      </c>
      <c r="H2" s="22" t="s">
        <v>5</v>
      </c>
      <c r="I2" s="25" t="s">
        <v>2</v>
      </c>
      <c r="J2" s="157" t="s">
        <v>24</v>
      </c>
      <c r="K2" s="158"/>
      <c r="L2" s="157" t="s">
        <v>24</v>
      </c>
      <c r="M2" s="158"/>
      <c r="N2" s="157" t="s">
        <v>24</v>
      </c>
      <c r="O2" s="158"/>
    </row>
    <row r="3" spans="1:15" ht="19" thickTop="1" thickBot="1" x14ac:dyDescent="0.25">
      <c r="A3" s="7" t="s">
        <v>3</v>
      </c>
      <c r="B3" s="161" t="s">
        <v>16</v>
      </c>
      <c r="C3" s="50">
        <v>0</v>
      </c>
      <c r="D3" s="9">
        <v>-8</v>
      </c>
      <c r="E3" s="7">
        <v>-1</v>
      </c>
      <c r="F3" s="10">
        <f t="shared" ref="F3:G5" si="0">EXP(-D3/0.59)*$C3</f>
        <v>0</v>
      </c>
      <c r="G3" s="10">
        <f t="shared" si="0"/>
        <v>0</v>
      </c>
      <c r="H3" s="162">
        <f>1/SUM(F3:F6)</f>
        <v>1.6405660823941911E-4</v>
      </c>
      <c r="I3" s="165">
        <f>1/SUM(G3:G6)</f>
        <v>0.12614593571812802</v>
      </c>
      <c r="J3" s="166" t="e">
        <f>I$7/H$7</f>
        <v>#DIV/0!</v>
      </c>
      <c r="K3" s="167"/>
      <c r="L3" s="159">
        <f>(1-I3*G3)/(1-H3*F3)</f>
        <v>1</v>
      </c>
      <c r="M3" s="160"/>
      <c r="N3" s="159" t="e">
        <f>LOG(J3/L3)</f>
        <v>#DIV/0!</v>
      </c>
      <c r="O3" s="160"/>
    </row>
    <row r="4" spans="1:15" ht="18" thickTop="1" x14ac:dyDescent="0.2">
      <c r="A4" s="7" t="s">
        <v>21</v>
      </c>
      <c r="B4" s="144"/>
      <c r="C4" s="50">
        <f>B17/B18</f>
        <v>7.874015748031496E-3</v>
      </c>
      <c r="D4" s="9">
        <v>-8</v>
      </c>
      <c r="E4" s="7">
        <v>-4</v>
      </c>
      <c r="F4" s="10">
        <f t="shared" si="0"/>
        <v>6094.4569933606763</v>
      </c>
      <c r="G4" s="10">
        <f t="shared" si="0"/>
        <v>6.9273263487021195</v>
      </c>
      <c r="H4" s="163"/>
      <c r="I4" s="165"/>
      <c r="J4" s="138">
        <f>I$11/H$11</f>
        <v>0.87399744933902035</v>
      </c>
      <c r="K4" s="139"/>
      <c r="L4" s="140">
        <f>(1-I$3*G4)/(1-H$3*F4)</f>
        <v>768.91712605679299</v>
      </c>
      <c r="M4" s="141"/>
      <c r="N4" s="142">
        <f>LOG(J4/L4)</f>
        <v>-2.9443693688354382</v>
      </c>
      <c r="O4" s="141"/>
    </row>
    <row r="5" spans="1:15" ht="17" x14ac:dyDescent="0.2">
      <c r="A5" s="15" t="s">
        <v>4</v>
      </c>
      <c r="B5" s="144"/>
      <c r="C5" s="50">
        <v>1</v>
      </c>
      <c r="D5" s="8">
        <v>0</v>
      </c>
      <c r="E5" s="14">
        <v>0</v>
      </c>
      <c r="F5" s="10">
        <f t="shared" si="0"/>
        <v>1</v>
      </c>
      <c r="G5" s="10">
        <f t="shared" si="0"/>
        <v>1</v>
      </c>
      <c r="H5" s="163"/>
      <c r="I5" s="153"/>
      <c r="J5" s="138">
        <f>I$3/H$3</f>
        <v>768.91712605708983</v>
      </c>
      <c r="K5" s="139"/>
      <c r="L5" s="142">
        <f>(1-I$3*G5)/(1-H$3*F5)</f>
        <v>0.87399744933902035</v>
      </c>
      <c r="M5" s="141"/>
      <c r="N5" s="142">
        <f>LOG(J5/L5)</f>
        <v>2.9443693688356061</v>
      </c>
      <c r="O5" s="141"/>
    </row>
    <row r="6" spans="1:15" ht="18" thickBot="1" x14ac:dyDescent="0.25">
      <c r="A6" s="16" t="s">
        <v>13</v>
      </c>
      <c r="B6" s="145"/>
      <c r="C6" s="95"/>
      <c r="D6" s="11"/>
      <c r="E6" s="13"/>
      <c r="F6" s="11">
        <v>0</v>
      </c>
      <c r="G6" s="13">
        <v>0</v>
      </c>
      <c r="H6" s="164"/>
      <c r="I6" s="154"/>
      <c r="J6" s="155"/>
      <c r="K6" s="156"/>
      <c r="L6" s="168"/>
      <c r="M6" s="132"/>
      <c r="N6" s="131"/>
      <c r="O6" s="132"/>
    </row>
    <row r="7" spans="1:15" ht="17" x14ac:dyDescent="0.2">
      <c r="A7" s="7" t="s">
        <v>3</v>
      </c>
      <c r="B7" s="143" t="s">
        <v>17</v>
      </c>
      <c r="C7" s="50">
        <v>0</v>
      </c>
      <c r="D7" s="9">
        <v>0</v>
      </c>
      <c r="E7" s="7">
        <v>0</v>
      </c>
      <c r="F7" s="10">
        <f t="shared" ref="F7:G9" si="1">EXP(-D7/0.59)*$C7</f>
        <v>0</v>
      </c>
      <c r="G7" s="10">
        <f t="shared" si="1"/>
        <v>0</v>
      </c>
      <c r="H7" s="146">
        <v>0</v>
      </c>
      <c r="I7" s="152">
        <v>0</v>
      </c>
      <c r="J7" s="150" t="e">
        <f>I$7/H$7</f>
        <v>#DIV/0!</v>
      </c>
      <c r="K7" s="151"/>
      <c r="L7" s="136">
        <f>(1-I$7*G7)/(1-H$7*F7)</f>
        <v>1</v>
      </c>
      <c r="M7" s="137"/>
      <c r="N7" s="136" t="e">
        <f>LOG(J7/L7)</f>
        <v>#DIV/0!</v>
      </c>
      <c r="O7" s="137"/>
    </row>
    <row r="8" spans="1:15" ht="17" x14ac:dyDescent="0.2">
      <c r="A8" s="7" t="s">
        <v>21</v>
      </c>
      <c r="B8" s="144"/>
      <c r="C8" s="50">
        <v>0</v>
      </c>
      <c r="D8" s="9">
        <v>0</v>
      </c>
      <c r="E8" s="7">
        <v>-3</v>
      </c>
      <c r="F8" s="10">
        <f t="shared" si="1"/>
        <v>0</v>
      </c>
      <c r="G8" s="10">
        <f t="shared" si="1"/>
        <v>0</v>
      </c>
      <c r="H8" s="147"/>
      <c r="I8" s="153"/>
      <c r="J8" s="138">
        <f>I$11/H$11</f>
        <v>0.87399744933902035</v>
      </c>
      <c r="K8" s="139"/>
      <c r="L8" s="142">
        <f>(1-I$7*G8)/(1-H$7*F8)</f>
        <v>1</v>
      </c>
      <c r="M8" s="141"/>
      <c r="N8" s="142">
        <f>LOG(J8/L8)</f>
        <v>-5.8489834802216034E-2</v>
      </c>
      <c r="O8" s="141"/>
    </row>
    <row r="9" spans="1:15" ht="17" x14ac:dyDescent="0.2">
      <c r="A9" s="15" t="s">
        <v>4</v>
      </c>
      <c r="B9" s="144"/>
      <c r="C9" s="50">
        <v>0</v>
      </c>
      <c r="D9" s="8">
        <v>8</v>
      </c>
      <c r="E9" s="14">
        <v>1</v>
      </c>
      <c r="F9" s="10">
        <f t="shared" si="1"/>
        <v>0</v>
      </c>
      <c r="G9" s="10">
        <f t="shared" si="1"/>
        <v>0</v>
      </c>
      <c r="H9" s="147"/>
      <c r="I9" s="153"/>
      <c r="J9" s="138">
        <f>I$3/H$3</f>
        <v>768.91712605708983</v>
      </c>
      <c r="K9" s="139"/>
      <c r="L9" s="142">
        <f>(1-I$7*G9)/(1-H$7*F9)</f>
        <v>1</v>
      </c>
      <c r="M9" s="141"/>
      <c r="N9" s="142">
        <f>LOG(J9/L9)</f>
        <v>2.88587953403339</v>
      </c>
      <c r="O9" s="141"/>
    </row>
    <row r="10" spans="1:15" ht="18" thickBot="1" x14ac:dyDescent="0.25">
      <c r="A10" s="16" t="s">
        <v>19</v>
      </c>
      <c r="B10" s="145"/>
      <c r="C10" s="95"/>
      <c r="D10" s="11"/>
      <c r="E10" s="13"/>
      <c r="F10" s="11">
        <v>0</v>
      </c>
      <c r="G10" s="13">
        <v>0</v>
      </c>
      <c r="H10" s="133"/>
      <c r="I10" s="154"/>
      <c r="J10" s="155"/>
      <c r="K10" s="156"/>
      <c r="L10" s="131"/>
      <c r="M10" s="132"/>
      <c r="N10" s="131"/>
      <c r="O10" s="132"/>
    </row>
    <row r="11" spans="1:15" ht="18" thickBot="1" x14ac:dyDescent="0.25">
      <c r="A11" s="7" t="s">
        <v>3</v>
      </c>
      <c r="B11" s="143" t="s">
        <v>18</v>
      </c>
      <c r="C11" s="50">
        <v>0</v>
      </c>
      <c r="D11" s="9">
        <v>0</v>
      </c>
      <c r="E11" s="7">
        <v>3</v>
      </c>
      <c r="F11" s="10">
        <f t="shared" ref="F11:G13" si="2">EXP(-D11/0.59)*$C11</f>
        <v>0</v>
      </c>
      <c r="G11" s="10">
        <f t="shared" si="2"/>
        <v>0</v>
      </c>
      <c r="H11" s="146">
        <f>1/SUM(F11:F14)</f>
        <v>0.99983594339176063</v>
      </c>
      <c r="I11" s="148">
        <f>1/SUM(G11:G14)</f>
        <v>0.87385406428187196</v>
      </c>
      <c r="J11" s="150" t="e">
        <f>I$7/H$7</f>
        <v>#DIV/0!</v>
      </c>
      <c r="K11" s="151"/>
      <c r="L11" s="136">
        <f>(1-I$11*G11)/(1-H$11*F11)</f>
        <v>1</v>
      </c>
      <c r="M11" s="137"/>
      <c r="N11" s="136" t="e">
        <f>LOG(J11/L11)</f>
        <v>#DIV/0!</v>
      </c>
      <c r="O11" s="137"/>
    </row>
    <row r="12" spans="1:15" ht="17" x14ac:dyDescent="0.2">
      <c r="A12" s="7" t="s">
        <v>21</v>
      </c>
      <c r="B12" s="144"/>
      <c r="C12" s="50">
        <f>1</f>
        <v>1</v>
      </c>
      <c r="D12" s="9">
        <v>0</v>
      </c>
      <c r="E12" s="7">
        <v>0</v>
      </c>
      <c r="F12" s="10">
        <f t="shared" si="2"/>
        <v>1</v>
      </c>
      <c r="G12" s="10">
        <f t="shared" si="2"/>
        <v>1</v>
      </c>
      <c r="H12" s="146"/>
      <c r="I12" s="148"/>
      <c r="J12" s="138">
        <f>I$11/H$11</f>
        <v>0.87399744933902035</v>
      </c>
      <c r="K12" s="139"/>
      <c r="L12" s="140">
        <f>(1-I$11*G12)/(1-H$11*F12)</f>
        <v>768.91712605731402</v>
      </c>
      <c r="M12" s="141"/>
      <c r="N12" s="142">
        <f>LOG(J12/L12)</f>
        <v>-2.9443693688357326</v>
      </c>
      <c r="O12" s="141"/>
    </row>
    <row r="13" spans="1:15" ht="17" x14ac:dyDescent="0.2">
      <c r="A13" s="15" t="s">
        <v>4</v>
      </c>
      <c r="B13" s="144"/>
      <c r="C13" s="50">
        <f>B18/B17</f>
        <v>127</v>
      </c>
      <c r="D13" s="9">
        <v>8</v>
      </c>
      <c r="E13" s="7">
        <v>4</v>
      </c>
      <c r="F13" s="10">
        <f t="shared" si="2"/>
        <v>1.6408352722636384E-4</v>
      </c>
      <c r="G13" s="10">
        <f t="shared" si="2"/>
        <v>0.14435583797598284</v>
      </c>
      <c r="H13" s="147"/>
      <c r="I13" s="149"/>
      <c r="J13" s="138">
        <f>I$3/H$3</f>
        <v>768.91712605708983</v>
      </c>
      <c r="K13" s="139"/>
      <c r="L13" s="140">
        <f>(1-I$11*G13)/(1-H$11*F13)</f>
        <v>0.87399744933902035</v>
      </c>
      <c r="M13" s="141"/>
      <c r="N13" s="142">
        <f>LOG(J13/L13)</f>
        <v>2.9443693688356061</v>
      </c>
      <c r="O13" s="141"/>
    </row>
    <row r="14" spans="1:15" ht="18" thickBot="1" x14ac:dyDescent="0.25">
      <c r="A14" s="16" t="s">
        <v>19</v>
      </c>
      <c r="B14" s="145"/>
      <c r="C14" s="34"/>
      <c r="D14" s="11"/>
      <c r="E14" s="13"/>
      <c r="F14" s="11">
        <v>0</v>
      </c>
      <c r="G14" s="13">
        <v>0</v>
      </c>
      <c r="H14" s="133"/>
      <c r="I14" s="134"/>
      <c r="J14" s="133"/>
      <c r="K14" s="134"/>
      <c r="L14" s="133"/>
      <c r="M14" s="134"/>
      <c r="N14" s="135"/>
      <c r="O14" s="134"/>
    </row>
    <row r="16" spans="1:15" ht="17" x14ac:dyDescent="0.2">
      <c r="A16" s="94" t="s">
        <v>39</v>
      </c>
      <c r="B16">
        <v>128</v>
      </c>
    </row>
    <row r="17" spans="1:2" ht="34" x14ac:dyDescent="0.2">
      <c r="A17" s="94" t="s">
        <v>41</v>
      </c>
      <c r="B17">
        <f>1/B16</f>
        <v>7.8125E-3</v>
      </c>
    </row>
    <row r="18" spans="1:2" ht="34" x14ac:dyDescent="0.2">
      <c r="A18" s="94" t="s">
        <v>40</v>
      </c>
      <c r="B18">
        <f>1-B17</f>
        <v>0.9921875</v>
      </c>
    </row>
  </sheetData>
  <mergeCells count="54">
    <mergeCell ref="N1:O1"/>
    <mergeCell ref="D1:E1"/>
    <mergeCell ref="F1:G1"/>
    <mergeCell ref="H1:I1"/>
    <mergeCell ref="J1:K1"/>
    <mergeCell ref="L1:M1"/>
    <mergeCell ref="B3:B6"/>
    <mergeCell ref="H3:H6"/>
    <mergeCell ref="I3:I6"/>
    <mergeCell ref="J3:K3"/>
    <mergeCell ref="L3:M3"/>
    <mergeCell ref="J4:K4"/>
    <mergeCell ref="J6:K6"/>
    <mergeCell ref="L6:M6"/>
    <mergeCell ref="N6:O6"/>
    <mergeCell ref="J2:K2"/>
    <mergeCell ref="L2:M2"/>
    <mergeCell ref="N2:O2"/>
    <mergeCell ref="N3:O3"/>
    <mergeCell ref="L4:M4"/>
    <mergeCell ref="N4:O4"/>
    <mergeCell ref="J5:K5"/>
    <mergeCell ref="L5:M5"/>
    <mergeCell ref="N5:O5"/>
    <mergeCell ref="N7:O7"/>
    <mergeCell ref="J8:K8"/>
    <mergeCell ref="L8:M8"/>
    <mergeCell ref="N8:O8"/>
    <mergeCell ref="J9:K9"/>
    <mergeCell ref="N9:O9"/>
    <mergeCell ref="B7:B10"/>
    <mergeCell ref="H7:H10"/>
    <mergeCell ref="I7:I10"/>
    <mergeCell ref="J7:K7"/>
    <mergeCell ref="L7:M7"/>
    <mergeCell ref="L9:M9"/>
    <mergeCell ref="J10:K10"/>
    <mergeCell ref="L10:M10"/>
    <mergeCell ref="B11:B14"/>
    <mergeCell ref="H11:H14"/>
    <mergeCell ref="I11:I14"/>
    <mergeCell ref="J11:K11"/>
    <mergeCell ref="L11:M11"/>
    <mergeCell ref="N10:O10"/>
    <mergeCell ref="J14:K14"/>
    <mergeCell ref="L14:M14"/>
    <mergeCell ref="N14:O14"/>
    <mergeCell ref="N11:O11"/>
    <mergeCell ref="J12:K12"/>
    <mergeCell ref="L12:M12"/>
    <mergeCell ref="N12:O12"/>
    <mergeCell ref="J13:K13"/>
    <mergeCell ref="L13:M13"/>
    <mergeCell ref="N13:O13"/>
  </mergeCells>
  <pageMargins left="0.7" right="0.7" top="0.75" bottom="0.75" header="0.3" footer="0.3"/>
  <pageSetup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0EC8-C88F-ED4C-8587-8E86CF1EBA70}">
  <dimension ref="A1:O14"/>
  <sheetViews>
    <sheetView zoomScale="200" zoomScaleNormal="200" workbookViewId="0">
      <pane xSplit="2" topLeftCell="C1" activePane="topRight" state="frozen"/>
      <selection activeCell="F9" sqref="F9"/>
      <selection pane="topRight" activeCell="F9" sqref="F9"/>
    </sheetView>
  </sheetViews>
  <sheetFormatPr baseColWidth="10" defaultRowHeight="16" x14ac:dyDescent="0.2"/>
  <cols>
    <col min="2" max="2" width="12" customWidth="1"/>
    <col min="4" max="10" width="8.33203125" customWidth="1"/>
    <col min="11" max="11" width="4" customWidth="1"/>
    <col min="12" max="12" width="10.83203125" customWidth="1"/>
  </cols>
  <sheetData>
    <row r="1" spans="1:15" ht="94" customHeight="1" thickBot="1" x14ac:dyDescent="0.25">
      <c r="A1" s="39"/>
      <c r="B1" s="39"/>
      <c r="C1" s="39"/>
      <c r="D1" s="169" t="s">
        <v>11</v>
      </c>
      <c r="E1" s="169"/>
      <c r="F1" s="169" t="s">
        <v>12</v>
      </c>
      <c r="G1" s="169"/>
      <c r="H1" s="169" t="s">
        <v>20</v>
      </c>
      <c r="I1" s="169"/>
      <c r="J1" s="169" t="s">
        <v>23</v>
      </c>
      <c r="K1" s="169"/>
      <c r="L1" s="169" t="s">
        <v>25</v>
      </c>
      <c r="M1" s="169"/>
      <c r="N1" s="169" t="s">
        <v>26</v>
      </c>
      <c r="O1" s="169"/>
    </row>
    <row r="2" spans="1:15" ht="36" customHeight="1" thickBot="1" x14ac:dyDescent="0.25">
      <c r="A2" s="21" t="s">
        <v>15</v>
      </c>
      <c r="B2" s="20" t="s">
        <v>14</v>
      </c>
      <c r="C2" s="27" t="s">
        <v>22</v>
      </c>
      <c r="D2" s="22" t="s">
        <v>5</v>
      </c>
      <c r="E2" s="23" t="s">
        <v>2</v>
      </c>
      <c r="F2" s="24" t="s">
        <v>5</v>
      </c>
      <c r="G2" s="25" t="s">
        <v>2</v>
      </c>
      <c r="H2" s="22" t="s">
        <v>5</v>
      </c>
      <c r="I2" s="25" t="s">
        <v>2</v>
      </c>
      <c r="J2" s="157" t="s">
        <v>24</v>
      </c>
      <c r="K2" s="158"/>
      <c r="L2" s="157" t="s">
        <v>24</v>
      </c>
      <c r="M2" s="158"/>
      <c r="N2" s="157" t="s">
        <v>24</v>
      </c>
      <c r="O2" s="158"/>
    </row>
    <row r="3" spans="1:15" ht="18" thickTop="1" x14ac:dyDescent="0.2">
      <c r="A3" s="7" t="s">
        <v>3</v>
      </c>
      <c r="B3" s="161" t="s">
        <v>16</v>
      </c>
      <c r="C3" s="32">
        <v>0.5</v>
      </c>
      <c r="D3" s="9">
        <v>-9</v>
      </c>
      <c r="E3" s="7">
        <v>-2</v>
      </c>
      <c r="F3" s="10">
        <f t="shared" ref="F3:G5" si="0">EXP(-D3/0.59)*$C3</f>
        <v>2107662.5761175086</v>
      </c>
      <c r="G3" s="10">
        <f t="shared" si="0"/>
        <v>14.830462284476917</v>
      </c>
      <c r="H3" s="162">
        <f>1/SUM(F3:F6)</f>
        <v>1.5474394425479026E-8</v>
      </c>
      <c r="I3" s="165">
        <f>1/SUM(G3:G6)</f>
        <v>1.4069765483712997E-5</v>
      </c>
      <c r="J3" s="166">
        <f>I$7/H$7</f>
        <v>6.3977431547257669E-3</v>
      </c>
      <c r="K3" s="167"/>
      <c r="L3" s="170">
        <f>(1-I3*G3)/(1-H3*F3)</f>
        <v>1.0334986941705626</v>
      </c>
      <c r="M3" s="160"/>
      <c r="N3" s="159">
        <f>LOG(J3/L3)</f>
        <v>-2.2082831314194737</v>
      </c>
      <c r="O3" s="160"/>
    </row>
    <row r="4" spans="1:15" ht="17" x14ac:dyDescent="0.2">
      <c r="A4" s="7" t="s">
        <v>21</v>
      </c>
      <c r="B4" s="144"/>
      <c r="C4" s="33">
        <v>0.5</v>
      </c>
      <c r="D4" s="9">
        <v>-11</v>
      </c>
      <c r="E4" s="7">
        <v>-7</v>
      </c>
      <c r="F4" s="10">
        <f t="shared" si="0"/>
        <v>62515220.687028311</v>
      </c>
      <c r="G4" s="10">
        <f t="shared" si="0"/>
        <v>71058.559594720296</v>
      </c>
      <c r="H4" s="163"/>
      <c r="I4" s="153"/>
      <c r="J4" s="138">
        <f>I$11/H$11</f>
        <v>1.0334841665832359</v>
      </c>
      <c r="K4" s="139"/>
      <c r="L4" s="140">
        <f>(1-I$3*G4)/(1-H$3*F4)</f>
        <v>6.8291319394546595E-3</v>
      </c>
      <c r="M4" s="141"/>
      <c r="N4" s="142">
        <f>LOG(J4/L4)</f>
        <v>2.17993832402956</v>
      </c>
      <c r="O4" s="141"/>
    </row>
    <row r="5" spans="1:15" ht="17" x14ac:dyDescent="0.2">
      <c r="A5" s="15" t="s">
        <v>4</v>
      </c>
      <c r="B5" s="144"/>
      <c r="C5" s="33">
        <v>1</v>
      </c>
      <c r="D5" s="8">
        <v>0</v>
      </c>
      <c r="E5" s="14">
        <v>0</v>
      </c>
      <c r="F5" s="10">
        <f t="shared" si="0"/>
        <v>1</v>
      </c>
      <c r="G5" s="10">
        <f t="shared" si="0"/>
        <v>1</v>
      </c>
      <c r="H5" s="163"/>
      <c r="I5" s="153"/>
      <c r="J5" s="138">
        <f>I$3/H$3</f>
        <v>909.22882646358892</v>
      </c>
      <c r="K5" s="139"/>
      <c r="L5" s="140">
        <f>(1-I$3*G5)/(1-H$3*F5)</f>
        <v>0.99998594570869326</v>
      </c>
      <c r="M5" s="141"/>
      <c r="N5" s="142">
        <f>LOG(J5/L5)</f>
        <v>2.9586793000178528</v>
      </c>
      <c r="O5" s="141"/>
    </row>
    <row r="6" spans="1:15" ht="18" thickBot="1" x14ac:dyDescent="0.25">
      <c r="A6" s="16" t="s">
        <v>13</v>
      </c>
      <c r="B6" s="145"/>
      <c r="C6" s="34"/>
      <c r="D6" s="11"/>
      <c r="E6" s="13"/>
      <c r="F6" s="11">
        <v>0</v>
      </c>
      <c r="G6" s="13">
        <v>0</v>
      </c>
      <c r="H6" s="164"/>
      <c r="I6" s="154"/>
      <c r="J6" s="155"/>
      <c r="K6" s="156"/>
      <c r="L6" s="168"/>
      <c r="M6" s="132"/>
      <c r="N6" s="131"/>
      <c r="O6" s="132"/>
    </row>
    <row r="7" spans="1:15" ht="17" x14ac:dyDescent="0.2">
      <c r="A7" s="7" t="s">
        <v>3</v>
      </c>
      <c r="B7" s="143" t="s">
        <v>17</v>
      </c>
      <c r="C7" s="33">
        <v>1</v>
      </c>
      <c r="D7" s="9">
        <v>0</v>
      </c>
      <c r="E7" s="7">
        <v>0</v>
      </c>
      <c r="F7" s="10">
        <f t="shared" ref="F7:G9" si="1">EXP(-D7/0.59)*$C7</f>
        <v>1</v>
      </c>
      <c r="G7" s="10">
        <f t="shared" si="1"/>
        <v>1</v>
      </c>
      <c r="H7" s="146">
        <f>1/SUM(F7:F10)</f>
        <v>3.261480201866352E-2</v>
      </c>
      <c r="I7" s="152">
        <f>1/SUM(G7:G10)</f>
        <v>2.0866112635764067E-4</v>
      </c>
      <c r="J7" s="138">
        <f>I$7/H$7</f>
        <v>6.3977431547257669E-3</v>
      </c>
      <c r="K7" s="139"/>
      <c r="L7" s="140">
        <f>(1-I$7*G7)/(1-H$7*F7)</f>
        <v>1.0334986941705626</v>
      </c>
      <c r="M7" s="141"/>
      <c r="N7" s="142">
        <f>LOG(J7/L7)</f>
        <v>-2.2082831314194737</v>
      </c>
      <c r="O7" s="141"/>
    </row>
    <row r="8" spans="1:15" ht="17" x14ac:dyDescent="0.2">
      <c r="A8" s="7" t="s">
        <v>21</v>
      </c>
      <c r="B8" s="144"/>
      <c r="C8" s="33">
        <v>1</v>
      </c>
      <c r="D8" s="9">
        <v>-2</v>
      </c>
      <c r="E8" s="7">
        <v>-5</v>
      </c>
      <c r="F8" s="10">
        <f t="shared" si="1"/>
        <v>29.660924568953835</v>
      </c>
      <c r="G8" s="10">
        <f t="shared" si="1"/>
        <v>4791.3920841899508</v>
      </c>
      <c r="H8" s="147"/>
      <c r="I8" s="153"/>
      <c r="J8" s="138">
        <f>I$11/H$11</f>
        <v>1.0334841665832359</v>
      </c>
      <c r="K8" s="139"/>
      <c r="L8" s="140">
        <f>(1-I$7*G8)/(1-H$7*F8)</f>
        <v>6.8291319394580639E-3</v>
      </c>
      <c r="M8" s="141"/>
      <c r="N8" s="142">
        <f>LOG(J8/L8)</f>
        <v>2.1799383240293433</v>
      </c>
      <c r="O8" s="141"/>
    </row>
    <row r="9" spans="1:15" ht="17" x14ac:dyDescent="0.2">
      <c r="A9" s="15" t="s">
        <v>4</v>
      </c>
      <c r="B9" s="144"/>
      <c r="C9" s="33">
        <v>2</v>
      </c>
      <c r="D9" s="8">
        <v>9</v>
      </c>
      <c r="E9" s="14">
        <v>2</v>
      </c>
      <c r="F9" s="10">
        <f t="shared" si="1"/>
        <v>4.7445924757182151E-7</v>
      </c>
      <c r="G9" s="10">
        <f t="shared" si="1"/>
        <v>6.7428781437696816E-2</v>
      </c>
      <c r="H9" s="147"/>
      <c r="I9" s="153"/>
      <c r="J9" s="138">
        <f>I$3/H$3</f>
        <v>909.22882646358892</v>
      </c>
      <c r="K9" s="139"/>
      <c r="L9" s="140">
        <f>(1-I$7*G9)/(1-H$7*F9)</f>
        <v>0.99998594570869326</v>
      </c>
      <c r="M9" s="141"/>
      <c r="N9" s="142">
        <f>LOG(J9/L9)</f>
        <v>2.9586793000178528</v>
      </c>
      <c r="O9" s="141"/>
    </row>
    <row r="10" spans="1:15" ht="18" thickBot="1" x14ac:dyDescent="0.25">
      <c r="A10" s="16" t="s">
        <v>19</v>
      </c>
      <c r="B10" s="145"/>
      <c r="C10" s="34"/>
      <c r="D10" s="11"/>
      <c r="E10" s="13"/>
      <c r="F10" s="11">
        <v>0</v>
      </c>
      <c r="G10" s="13">
        <v>0</v>
      </c>
      <c r="H10" s="133"/>
      <c r="I10" s="154"/>
      <c r="J10" s="155"/>
      <c r="K10" s="156"/>
      <c r="L10" s="168"/>
      <c r="M10" s="132"/>
      <c r="N10" s="131"/>
      <c r="O10" s="132"/>
    </row>
    <row r="11" spans="1:15" ht="17" x14ac:dyDescent="0.2">
      <c r="A11" s="7" t="s">
        <v>3</v>
      </c>
      <c r="B11" s="143" t="s">
        <v>18</v>
      </c>
      <c r="C11" s="33">
        <v>1</v>
      </c>
      <c r="D11" s="9">
        <v>2</v>
      </c>
      <c r="E11" s="7">
        <v>5</v>
      </c>
      <c r="F11" s="10">
        <f t="shared" ref="F11:G13" si="2">EXP(-D11/0.59)*$C11</f>
        <v>3.3714390718848408E-2</v>
      </c>
      <c r="G11" s="10">
        <f t="shared" si="2"/>
        <v>2.0870761199019331E-4</v>
      </c>
      <c r="H11" s="146">
        <f>1/SUM(F11:F14)</f>
        <v>0.96738518250694205</v>
      </c>
      <c r="I11" s="148">
        <f>1/SUM(G11:G14)</f>
        <v>0.99977726910815867</v>
      </c>
      <c r="J11" s="138">
        <f>I$7/H$7</f>
        <v>6.3977431547257669E-3</v>
      </c>
      <c r="K11" s="139"/>
      <c r="L11" s="140">
        <f>(1-I$11*G11)/(1-H$11*F11)</f>
        <v>1.0334986941705626</v>
      </c>
      <c r="M11" s="141"/>
      <c r="N11" s="142">
        <f>LOG(J11/L11)</f>
        <v>-2.2082831314194737</v>
      </c>
      <c r="O11" s="141"/>
    </row>
    <row r="12" spans="1:15" ht="17" x14ac:dyDescent="0.2">
      <c r="A12" s="7" t="s">
        <v>21</v>
      </c>
      <c r="B12" s="144"/>
      <c r="C12" s="33">
        <v>1</v>
      </c>
      <c r="D12" s="9">
        <v>0</v>
      </c>
      <c r="E12" s="7">
        <v>0</v>
      </c>
      <c r="F12" s="10">
        <f t="shared" si="2"/>
        <v>1</v>
      </c>
      <c r="G12" s="10">
        <f t="shared" si="2"/>
        <v>1</v>
      </c>
      <c r="H12" s="147"/>
      <c r="I12" s="149"/>
      <c r="J12" s="138">
        <f>I$11/H$11</f>
        <v>1.0334841665832359</v>
      </c>
      <c r="K12" s="139"/>
      <c r="L12" s="140">
        <f>(1-I$11*G12)/(1-H$11*F12)</f>
        <v>6.8291319394546829E-3</v>
      </c>
      <c r="M12" s="141"/>
      <c r="N12" s="142">
        <f>LOG(J12/L12)</f>
        <v>2.1799383240295582</v>
      </c>
      <c r="O12" s="141"/>
    </row>
    <row r="13" spans="1:15" ht="17" x14ac:dyDescent="0.2">
      <c r="A13" s="15" t="s">
        <v>4</v>
      </c>
      <c r="B13" s="144"/>
      <c r="C13" s="33">
        <v>2</v>
      </c>
      <c r="D13" s="9">
        <v>11</v>
      </c>
      <c r="E13" s="7">
        <v>7</v>
      </c>
      <c r="F13" s="10">
        <f t="shared" si="2"/>
        <v>1.5996104452807227E-8</v>
      </c>
      <c r="G13" s="10">
        <f t="shared" si="2"/>
        <v>1.4072899953270385E-5</v>
      </c>
      <c r="H13" s="147"/>
      <c r="I13" s="149"/>
      <c r="J13" s="138">
        <f>I$3/H$3</f>
        <v>909.22882646358892</v>
      </c>
      <c r="K13" s="139"/>
      <c r="L13" s="140">
        <f>(1-I$11*G13)/(1-H$11*F13)</f>
        <v>0.99998594570869326</v>
      </c>
      <c r="M13" s="141"/>
      <c r="N13" s="142">
        <f>LOG(J13/L13)</f>
        <v>2.9586793000178528</v>
      </c>
      <c r="O13" s="141"/>
    </row>
    <row r="14" spans="1:15" ht="18" thickBot="1" x14ac:dyDescent="0.25">
      <c r="A14" s="16" t="s">
        <v>19</v>
      </c>
      <c r="B14" s="145"/>
      <c r="C14" s="34"/>
      <c r="D14" s="11"/>
      <c r="E14" s="13"/>
      <c r="F14" s="11">
        <v>0</v>
      </c>
      <c r="G14" s="13">
        <v>0</v>
      </c>
      <c r="H14" s="133"/>
      <c r="I14" s="134"/>
      <c r="J14" s="133"/>
      <c r="K14" s="134"/>
      <c r="L14" s="133"/>
      <c r="M14" s="134"/>
      <c r="N14" s="135"/>
      <c r="O14" s="134"/>
    </row>
  </sheetData>
  <mergeCells count="54">
    <mergeCell ref="J2:K2"/>
    <mergeCell ref="L2:M2"/>
    <mergeCell ref="N2:O2"/>
    <mergeCell ref="D1:E1"/>
    <mergeCell ref="F1:G1"/>
    <mergeCell ref="H1:I1"/>
    <mergeCell ref="J1:K1"/>
    <mergeCell ref="L1:M1"/>
    <mergeCell ref="N1:O1"/>
    <mergeCell ref="J5:K5"/>
    <mergeCell ref="L5:M5"/>
    <mergeCell ref="N5:O5"/>
    <mergeCell ref="L3:M3"/>
    <mergeCell ref="N3:O3"/>
    <mergeCell ref="J4:K4"/>
    <mergeCell ref="L4:M4"/>
    <mergeCell ref="N4:O4"/>
    <mergeCell ref="J3:K3"/>
    <mergeCell ref="L6:M6"/>
    <mergeCell ref="N6:O6"/>
    <mergeCell ref="B7:B10"/>
    <mergeCell ref="H7:H10"/>
    <mergeCell ref="I7:I10"/>
    <mergeCell ref="B3:B6"/>
    <mergeCell ref="H3:H6"/>
    <mergeCell ref="I3:I6"/>
    <mergeCell ref="J6:K6"/>
    <mergeCell ref="J8:K8"/>
    <mergeCell ref="L8:M8"/>
    <mergeCell ref="N8:O8"/>
    <mergeCell ref="J7:K7"/>
    <mergeCell ref="L7:M7"/>
    <mergeCell ref="N7:O7"/>
    <mergeCell ref="J10:K10"/>
    <mergeCell ref="L10:M10"/>
    <mergeCell ref="N10:O10"/>
    <mergeCell ref="J9:K9"/>
    <mergeCell ref="L9:M9"/>
    <mergeCell ref="N9:O9"/>
    <mergeCell ref="B11:B14"/>
    <mergeCell ref="H11:H14"/>
    <mergeCell ref="I11:I14"/>
    <mergeCell ref="J11:K11"/>
    <mergeCell ref="J14:K14"/>
    <mergeCell ref="L11:M11"/>
    <mergeCell ref="N11:O11"/>
    <mergeCell ref="J12:K12"/>
    <mergeCell ref="L12:M12"/>
    <mergeCell ref="N12:O12"/>
    <mergeCell ref="L14:M14"/>
    <mergeCell ref="N14:O14"/>
    <mergeCell ref="J13:K13"/>
    <mergeCell ref="L13:M13"/>
    <mergeCell ref="N13:O13"/>
  </mergeCells>
  <pageMargins left="0.7" right="0.7" top="0.75" bottom="0.75" header="0.3" footer="0.3"/>
  <pageSetup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61B29-32AB-6349-B0A7-8CB0925F8074}">
  <dimension ref="A1:AB15"/>
  <sheetViews>
    <sheetView zoomScale="200" zoomScaleNormal="200" workbookViewId="0">
      <pane xSplit="1" topLeftCell="B1" activePane="topRight" state="frozen"/>
      <selection activeCell="F9" sqref="F9"/>
      <selection pane="topRight" activeCell="F9" sqref="F9"/>
    </sheetView>
  </sheetViews>
  <sheetFormatPr baseColWidth="10" defaultRowHeight="16" x14ac:dyDescent="0.2"/>
  <cols>
    <col min="1" max="1" width="12" customWidth="1"/>
    <col min="4" max="4" width="7.1640625" customWidth="1"/>
    <col min="5" max="17" width="8.33203125" customWidth="1"/>
    <col min="18" max="18" width="4" customWidth="1"/>
    <col min="20" max="20" width="2.83203125" customWidth="1"/>
    <col min="21" max="21" width="10.83203125" customWidth="1"/>
  </cols>
  <sheetData>
    <row r="1" spans="1:28" ht="68" customHeight="1" thickBot="1" x14ac:dyDescent="0.25">
      <c r="A1" s="11"/>
      <c r="B1" s="11"/>
      <c r="C1" s="11"/>
      <c r="D1" s="11"/>
      <c r="E1" s="171" t="s">
        <v>11</v>
      </c>
      <c r="F1" s="171"/>
      <c r="G1" s="171"/>
      <c r="H1" s="171"/>
      <c r="I1" s="171" t="s">
        <v>12</v>
      </c>
      <c r="J1" s="171"/>
      <c r="K1" s="171"/>
      <c r="L1" s="171"/>
      <c r="M1" s="182" t="s">
        <v>20</v>
      </c>
      <c r="N1" s="182"/>
      <c r="O1" s="182"/>
      <c r="P1" s="182"/>
      <c r="Q1" s="182" t="s">
        <v>23</v>
      </c>
      <c r="R1" s="182"/>
      <c r="S1" s="182"/>
      <c r="T1" s="182"/>
      <c r="U1" s="182" t="s">
        <v>25</v>
      </c>
      <c r="V1" s="182"/>
      <c r="W1" s="182"/>
      <c r="X1" s="182"/>
      <c r="Y1" s="171" t="s">
        <v>26</v>
      </c>
      <c r="Z1" s="171"/>
      <c r="AA1" s="171"/>
      <c r="AB1" s="171"/>
    </row>
    <row r="2" spans="1:28" ht="34" customHeight="1" thickBot="1" x14ac:dyDescent="0.25">
      <c r="A2" s="19"/>
      <c r="B2" s="3"/>
      <c r="C2" s="35" t="s">
        <v>27</v>
      </c>
      <c r="D2" s="36" t="s">
        <v>7</v>
      </c>
      <c r="E2" s="175" t="s">
        <v>6</v>
      </c>
      <c r="F2" s="176"/>
      <c r="G2" s="177" t="s">
        <v>7</v>
      </c>
      <c r="H2" s="178"/>
      <c r="I2" s="175" t="s">
        <v>6</v>
      </c>
      <c r="J2" s="176"/>
      <c r="K2" s="177" t="s">
        <v>7</v>
      </c>
      <c r="L2" s="178"/>
      <c r="M2" s="175" t="s">
        <v>6</v>
      </c>
      <c r="N2" s="176"/>
      <c r="O2" s="177" t="s">
        <v>7</v>
      </c>
      <c r="P2" s="178"/>
      <c r="Q2" s="175" t="s">
        <v>6</v>
      </c>
      <c r="R2" s="176"/>
      <c r="S2" s="177" t="s">
        <v>7</v>
      </c>
      <c r="T2" s="178"/>
      <c r="U2" s="175" t="s">
        <v>6</v>
      </c>
      <c r="V2" s="176"/>
      <c r="W2" s="177" t="s">
        <v>7</v>
      </c>
      <c r="X2" s="178"/>
      <c r="Y2" s="175" t="s">
        <v>6</v>
      </c>
      <c r="Z2" s="176"/>
      <c r="AA2" s="177" t="s">
        <v>7</v>
      </c>
      <c r="AB2" s="178"/>
    </row>
    <row r="3" spans="1:28" ht="36" customHeight="1" thickBot="1" x14ac:dyDescent="0.25">
      <c r="A3" s="20" t="s">
        <v>14</v>
      </c>
      <c r="B3" s="21" t="s">
        <v>15</v>
      </c>
      <c r="C3" s="27" t="s">
        <v>22</v>
      </c>
      <c r="D3" s="27" t="s">
        <v>22</v>
      </c>
      <c r="E3" s="22" t="s">
        <v>5</v>
      </c>
      <c r="F3" s="23" t="s">
        <v>2</v>
      </c>
      <c r="G3" s="22" t="s">
        <v>5</v>
      </c>
      <c r="H3" s="23" t="s">
        <v>2</v>
      </c>
      <c r="I3" s="24" t="s">
        <v>5</v>
      </c>
      <c r="J3" s="25" t="s">
        <v>2</v>
      </c>
      <c r="K3" s="24" t="s">
        <v>5</v>
      </c>
      <c r="L3" s="25" t="s">
        <v>2</v>
      </c>
      <c r="M3" s="22" t="s">
        <v>5</v>
      </c>
      <c r="N3" s="25" t="s">
        <v>2</v>
      </c>
      <c r="O3" s="24" t="s">
        <v>5</v>
      </c>
      <c r="P3" s="25" t="s">
        <v>2</v>
      </c>
      <c r="Q3" s="157" t="s">
        <v>24</v>
      </c>
      <c r="R3" s="158"/>
      <c r="S3" s="157" t="s">
        <v>24</v>
      </c>
      <c r="T3" s="158"/>
      <c r="U3" s="157" t="s">
        <v>24</v>
      </c>
      <c r="V3" s="158"/>
      <c r="W3" s="157" t="s">
        <v>24</v>
      </c>
      <c r="X3" s="158"/>
      <c r="Y3" s="157" t="s">
        <v>24</v>
      </c>
      <c r="Z3" s="158"/>
      <c r="AA3" s="157" t="s">
        <v>24</v>
      </c>
      <c r="AB3" s="158"/>
    </row>
    <row r="4" spans="1:28" ht="18" thickTop="1" x14ac:dyDescent="0.2">
      <c r="A4" s="161" t="s">
        <v>16</v>
      </c>
      <c r="B4" s="7" t="s">
        <v>3</v>
      </c>
      <c r="C4" s="32">
        <v>0.5</v>
      </c>
      <c r="D4" s="33">
        <v>7.8125E-3</v>
      </c>
      <c r="E4" s="9">
        <f>('POPG Reference'!B4+'ternary and POPC together'!E5)</f>
        <v>-9</v>
      </c>
      <c r="F4" s="7">
        <f>('POPG Reference'!C4+'ternary and POPC together'!F5)</f>
        <v>-2</v>
      </c>
      <c r="G4" s="9">
        <f>('POPG Reference'!D4+'ternary and POPC together'!G5)</f>
        <v>-8</v>
      </c>
      <c r="H4" s="7">
        <f>('POPG Reference'!E4+'ternary and POPC together'!H5)</f>
        <v>-1</v>
      </c>
      <c r="I4" s="10">
        <f t="shared" ref="I4:J6" si="0">EXP(-E4/0.59+LOG($C4))</f>
        <v>3119574.8749461374</v>
      </c>
      <c r="J4" s="18">
        <f t="shared" si="0"/>
        <v>21.950732555926489</v>
      </c>
      <c r="K4" s="10">
        <f t="shared" ref="K4:L6" si="1">EXP(-G4/0.59+LOG($D4))</f>
        <v>94099.881309577395</v>
      </c>
      <c r="L4" s="10">
        <f t="shared" si="1"/>
        <v>0.66212910764215016</v>
      </c>
      <c r="M4" s="162">
        <f>1/SUM(I4:I7)</f>
        <v>1.0454886800220469E-8</v>
      </c>
      <c r="N4" s="165">
        <f>1/SUM(J4:J7)</f>
        <v>9.5059277923832171E-6</v>
      </c>
      <c r="O4" s="162">
        <f>1/SUM(K4:K7)</f>
        <v>5.3134747494281487E-6</v>
      </c>
      <c r="P4" s="165">
        <f>1/SUM(L4:L7)</f>
        <v>9.2062624279170731E-3</v>
      </c>
      <c r="Q4" s="166">
        <f>N$8/M$8</f>
        <v>6.3977723212842669E-3</v>
      </c>
      <c r="R4" s="167"/>
      <c r="S4" s="166">
        <f>P$8/O$8</f>
        <v>1.2152259442209082E-2</v>
      </c>
      <c r="T4" s="167"/>
      <c r="U4" s="183">
        <f>(1-N4*J4)/(1-M4*I4)</f>
        <v>1.0334986933610457</v>
      </c>
      <c r="V4" s="184"/>
      <c r="W4" s="185">
        <f>(1-P4*L4)/(1-O4*K4)</f>
        <v>1.9877979692334509</v>
      </c>
      <c r="X4" s="184"/>
      <c r="Y4" s="159">
        <f>LOG(Q4/U4)</f>
        <v>-2.2082811511863549</v>
      </c>
      <c r="Z4" s="160"/>
      <c r="AA4" s="170">
        <f>LOG(S4/W4)</f>
        <v>-2.2137152097475141</v>
      </c>
      <c r="AB4" s="160"/>
    </row>
    <row r="5" spans="1:28" ht="17" x14ac:dyDescent="0.2">
      <c r="A5" s="144"/>
      <c r="B5" s="7" t="s">
        <v>21</v>
      </c>
      <c r="C5" s="33">
        <v>0.5</v>
      </c>
      <c r="D5" s="33">
        <v>7.8125E-3</v>
      </c>
      <c r="E5" s="9">
        <f>-'POPG Reference'!B6</f>
        <v>-11</v>
      </c>
      <c r="F5" s="7">
        <f>-'POPG Reference'!C6</f>
        <v>-7</v>
      </c>
      <c r="G5" s="9">
        <f>-'POPG Reference'!D6</f>
        <v>-8</v>
      </c>
      <c r="H5" s="7">
        <f>-'POPG Reference'!E6</f>
        <v>-4</v>
      </c>
      <c r="I5" s="10">
        <f t="shared" si="0"/>
        <v>92529475.05298093</v>
      </c>
      <c r="J5" s="12">
        <f t="shared" si="0"/>
        <v>105174.5662106368</v>
      </c>
      <c r="K5" s="10">
        <f t="shared" si="1"/>
        <v>94099.881309577395</v>
      </c>
      <c r="L5" s="10">
        <f t="shared" si="1"/>
        <v>106.95958440854002</v>
      </c>
      <c r="M5" s="163"/>
      <c r="N5" s="153"/>
      <c r="O5" s="163"/>
      <c r="P5" s="153"/>
      <c r="Q5" s="138">
        <f>N$12/M$12</f>
        <v>1.0334888781159866</v>
      </c>
      <c r="R5" s="139"/>
      <c r="S5" s="138">
        <f>P$12/O$12</f>
        <v>1.9630621952145337</v>
      </c>
      <c r="T5" s="139"/>
      <c r="U5" s="172">
        <f>(1-N$4*J5)/(1-M$4*I5)</f>
        <v>6.6892307150544037E-3</v>
      </c>
      <c r="V5" s="173"/>
      <c r="W5" s="174">
        <f>(1-P$4*L5)/(1-O$4*K5)</f>
        <v>3.0603830895383717E-2</v>
      </c>
      <c r="X5" s="173"/>
      <c r="Y5" s="142">
        <f>LOG(Q5/U5)</f>
        <v>2.1889296320771074</v>
      </c>
      <c r="Z5" s="141"/>
      <c r="AA5" s="142">
        <f>LOG(S5/W5)</f>
        <v>1.8071582659030452</v>
      </c>
      <c r="AB5" s="141"/>
    </row>
    <row r="6" spans="1:28" ht="17" x14ac:dyDescent="0.2">
      <c r="A6" s="144"/>
      <c r="B6" s="15" t="s">
        <v>4</v>
      </c>
      <c r="C6" s="33">
        <v>1</v>
      </c>
      <c r="D6" s="33">
        <v>1</v>
      </c>
      <c r="E6" s="8">
        <v>0</v>
      </c>
      <c r="F6" s="14">
        <v>0</v>
      </c>
      <c r="G6" s="8">
        <v>0</v>
      </c>
      <c r="H6" s="14">
        <v>0</v>
      </c>
      <c r="I6" s="10">
        <f t="shared" si="0"/>
        <v>1</v>
      </c>
      <c r="J6" s="12">
        <f t="shared" si="0"/>
        <v>1</v>
      </c>
      <c r="K6" s="10">
        <f t="shared" si="1"/>
        <v>1</v>
      </c>
      <c r="L6" s="10">
        <f t="shared" si="1"/>
        <v>1</v>
      </c>
      <c r="M6" s="163"/>
      <c r="N6" s="153"/>
      <c r="O6" s="163"/>
      <c r="P6" s="153"/>
      <c r="Q6" s="138">
        <f>N$4/M$4</f>
        <v>909.23297153085957</v>
      </c>
      <c r="R6" s="139"/>
      <c r="S6" s="138">
        <f>P$4/O$4</f>
        <v>1732.6256098060646</v>
      </c>
      <c r="T6" s="139"/>
      <c r="U6" s="172">
        <f>(1-N$4*J6)/(1-M$4*I6)</f>
        <v>0.99999050452699523</v>
      </c>
      <c r="V6" s="173"/>
      <c r="W6" s="174">
        <f>(1-P$4*L6)/(1-O$4*K6)</f>
        <v>0.99079900215756256</v>
      </c>
      <c r="X6" s="173"/>
      <c r="Y6" s="142">
        <f>LOG(Q6/U6)</f>
        <v>2.9586793000178528</v>
      </c>
      <c r="Z6" s="141"/>
      <c r="AA6" s="142">
        <f>LOG(S6/W6)</f>
        <v>3.2427191688516031</v>
      </c>
      <c r="AB6" s="141"/>
    </row>
    <row r="7" spans="1:28" ht="18" thickBot="1" x14ac:dyDescent="0.25">
      <c r="A7" s="145"/>
      <c r="B7" s="16" t="s">
        <v>13</v>
      </c>
      <c r="C7" s="34"/>
      <c r="D7" s="34"/>
      <c r="E7" s="11"/>
      <c r="F7" s="13"/>
      <c r="G7" s="11"/>
      <c r="H7" s="13"/>
      <c r="I7" s="11">
        <v>0</v>
      </c>
      <c r="J7" s="13">
        <v>0</v>
      </c>
      <c r="K7" s="11">
        <v>0</v>
      </c>
      <c r="L7" s="13">
        <v>0</v>
      </c>
      <c r="M7" s="164"/>
      <c r="N7" s="154"/>
      <c r="O7" s="164"/>
      <c r="P7" s="154"/>
      <c r="Q7" s="155"/>
      <c r="R7" s="156"/>
      <c r="S7" s="155"/>
      <c r="T7" s="156"/>
      <c r="U7" s="179"/>
      <c r="V7" s="180"/>
      <c r="W7" s="181"/>
      <c r="X7" s="180"/>
      <c r="Y7" s="131"/>
      <c r="Z7" s="132"/>
      <c r="AA7" s="131"/>
      <c r="AB7" s="132"/>
    </row>
    <row r="8" spans="1:28" ht="17" x14ac:dyDescent="0.2">
      <c r="A8" s="143" t="s">
        <v>17</v>
      </c>
      <c r="B8" s="7" t="s">
        <v>3</v>
      </c>
      <c r="C8" s="33">
        <v>1</v>
      </c>
      <c r="D8" s="33">
        <v>7.8125E-3</v>
      </c>
      <c r="E8" s="9">
        <v>0</v>
      </c>
      <c r="F8" s="7">
        <v>0</v>
      </c>
      <c r="G8" s="9">
        <v>0</v>
      </c>
      <c r="H8" s="7">
        <v>0</v>
      </c>
      <c r="I8" s="10">
        <f t="shared" ref="I8:J10" si="2">EXP(-E8/0.59+LOG($C8))</f>
        <v>1</v>
      </c>
      <c r="J8" s="12">
        <f t="shared" si="2"/>
        <v>1</v>
      </c>
      <c r="K8" s="10">
        <f t="shared" ref="K8:L10" si="3">EXP(-G8/0.59+LOG($D8))</f>
        <v>0.12157669635320989</v>
      </c>
      <c r="L8" s="10">
        <f t="shared" si="3"/>
        <v>0.12157669635320989</v>
      </c>
      <c r="M8" s="146">
        <f>1/SUM(I8:I11)</f>
        <v>3.2614802182373774E-2</v>
      </c>
      <c r="N8" s="152">
        <f>1/SUM(J8:J11)</f>
        <v>2.0866207866655263E-4</v>
      </c>
      <c r="O8" s="146">
        <f>1/SUM(K8:K11)</f>
        <v>4.1126007293211009</v>
      </c>
      <c r="P8" s="148">
        <f>1/SUM(L8:L11)</f>
        <v>4.9977391044928307E-2</v>
      </c>
      <c r="Q8" s="138">
        <f>N$8/M$8</f>
        <v>6.3977723212842669E-3</v>
      </c>
      <c r="R8" s="139"/>
      <c r="S8" s="138">
        <f>P$8/O$8</f>
        <v>1.2152259442209082E-2</v>
      </c>
      <c r="T8" s="139"/>
      <c r="U8" s="172">
        <f>(1-N$8*J8)/(1-M$8*I8)</f>
        <v>1.0334986933610457</v>
      </c>
      <c r="V8" s="173"/>
      <c r="W8" s="174">
        <f>(1-P$8*L8)/(1-O$8*K8)</f>
        <v>1.9878335555243201</v>
      </c>
      <c r="X8" s="173"/>
      <c r="Y8" s="142">
        <f>LOG(Q8/U8)</f>
        <v>-2.2082811511863549</v>
      </c>
      <c r="Z8" s="141"/>
      <c r="AA8" s="142">
        <f>LOG(S8/W8)</f>
        <v>-2.2137229845775805</v>
      </c>
      <c r="AB8" s="141"/>
    </row>
    <row r="9" spans="1:28" ht="17" x14ac:dyDescent="0.2">
      <c r="A9" s="144"/>
      <c r="B9" s="7" t="s">
        <v>21</v>
      </c>
      <c r="C9" s="33">
        <v>1</v>
      </c>
      <c r="D9" s="33">
        <v>7.8125E-3</v>
      </c>
      <c r="E9" s="9">
        <v>-2</v>
      </c>
      <c r="F9" s="7">
        <v>-5</v>
      </c>
      <c r="G9" s="9">
        <v>0</v>
      </c>
      <c r="H9" s="7">
        <v>-3</v>
      </c>
      <c r="I9" s="10">
        <f t="shared" si="2"/>
        <v>29.660924568953835</v>
      </c>
      <c r="J9" s="12">
        <f t="shared" si="2"/>
        <v>4791.3920841899508</v>
      </c>
      <c r="K9" s="10">
        <f t="shared" si="3"/>
        <v>0.12157669635320989</v>
      </c>
      <c r="L9" s="10">
        <f t="shared" si="3"/>
        <v>19.639361516682534</v>
      </c>
      <c r="M9" s="147"/>
      <c r="N9" s="153"/>
      <c r="O9" s="147"/>
      <c r="P9" s="149"/>
      <c r="Q9" s="138">
        <f>N$12/M$12</f>
        <v>1.0334888781159866</v>
      </c>
      <c r="R9" s="139"/>
      <c r="S9" s="138">
        <f>P$12/O$12</f>
        <v>1.9630621952145337</v>
      </c>
      <c r="T9" s="139"/>
      <c r="U9" s="172">
        <f>(1-N$8*J9)/(1-M$8*I9)</f>
        <v>6.6892307150543803E-3</v>
      </c>
      <c r="V9" s="173"/>
      <c r="W9" s="174">
        <f>(1-P$8*L9)/(1-O$8*K9)</f>
        <v>3.6951633910050005E-2</v>
      </c>
      <c r="X9" s="173"/>
      <c r="Y9" s="142">
        <f>LOG(Q9/U9)</f>
        <v>2.1889296320771092</v>
      </c>
      <c r="Z9" s="141"/>
      <c r="AA9" s="142">
        <f>LOG(S9/W9)</f>
        <v>1.7253004128772402</v>
      </c>
      <c r="AB9" s="141"/>
    </row>
    <row r="10" spans="1:28" ht="17" x14ac:dyDescent="0.2">
      <c r="A10" s="144"/>
      <c r="B10" s="15" t="s">
        <v>4</v>
      </c>
      <c r="C10" s="33">
        <v>2</v>
      </c>
      <c r="D10" s="33">
        <v>2</v>
      </c>
      <c r="E10" s="8">
        <v>9</v>
      </c>
      <c r="F10" s="14">
        <v>2</v>
      </c>
      <c r="G10" s="8">
        <v>8</v>
      </c>
      <c r="H10" s="14">
        <v>1</v>
      </c>
      <c r="I10" s="10">
        <f t="shared" si="2"/>
        <v>3.2055649890989265E-7</v>
      </c>
      <c r="J10" s="12">
        <f t="shared" si="2"/>
        <v>4.5556566162526971E-2</v>
      </c>
      <c r="K10" s="10">
        <f t="shared" si="3"/>
        <v>1.7458098051575737E-6</v>
      </c>
      <c r="L10" s="10">
        <f t="shared" si="3"/>
        <v>0.2481094601616731</v>
      </c>
      <c r="M10" s="147"/>
      <c r="N10" s="153"/>
      <c r="O10" s="147"/>
      <c r="P10" s="149"/>
      <c r="Q10" s="138">
        <f>N$4/M$4</f>
        <v>909.23297153085957</v>
      </c>
      <c r="R10" s="139"/>
      <c r="S10" s="138">
        <f>P$4/O$4</f>
        <v>1732.6256098060646</v>
      </c>
      <c r="T10" s="139"/>
      <c r="U10" s="172">
        <f>(1-N$8*J10)/(1-M$8*I10)</f>
        <v>0.99999050452699523</v>
      </c>
      <c r="V10" s="173"/>
      <c r="W10" s="174">
        <f>(1-P$8*L10)/(1-O$8*K10)</f>
        <v>0.98760722732837114</v>
      </c>
      <c r="X10" s="173"/>
      <c r="Y10" s="142">
        <f>LOG(Q10/U10)</f>
        <v>2.9586793000178528</v>
      </c>
      <c r="Z10" s="141"/>
      <c r="AA10" s="142">
        <f>LOG(S10/W10)</f>
        <v>3.2441204699370521</v>
      </c>
      <c r="AB10" s="141"/>
    </row>
    <row r="11" spans="1:28" ht="18" thickBot="1" x14ac:dyDescent="0.25">
      <c r="A11" s="145"/>
      <c r="B11" s="16" t="s">
        <v>19</v>
      </c>
      <c r="C11" s="34"/>
      <c r="D11" s="34"/>
      <c r="E11" s="11"/>
      <c r="F11" s="13"/>
      <c r="G11" s="11"/>
      <c r="H11" s="13"/>
      <c r="I11" s="11">
        <v>0</v>
      </c>
      <c r="J11" s="13">
        <v>0</v>
      </c>
      <c r="K11" s="11">
        <v>0</v>
      </c>
      <c r="L11" s="13">
        <v>0</v>
      </c>
      <c r="M11" s="133"/>
      <c r="N11" s="154"/>
      <c r="O11" s="133"/>
      <c r="P11" s="134"/>
      <c r="Q11" s="155"/>
      <c r="R11" s="156"/>
      <c r="S11" s="155"/>
      <c r="T11" s="156"/>
      <c r="U11" s="179"/>
      <c r="V11" s="180"/>
      <c r="W11" s="181"/>
      <c r="X11" s="180"/>
      <c r="Y11" s="131"/>
      <c r="Z11" s="132"/>
      <c r="AA11" s="131"/>
      <c r="AB11" s="132"/>
    </row>
    <row r="12" spans="1:28" ht="17" x14ac:dyDescent="0.2">
      <c r="A12" s="143" t="s">
        <v>18</v>
      </c>
      <c r="B12" s="7" t="s">
        <v>3</v>
      </c>
      <c r="C12" s="33">
        <v>1</v>
      </c>
      <c r="D12" s="33">
        <v>7.8125E-3</v>
      </c>
      <c r="E12" s="9">
        <v>2</v>
      </c>
      <c r="F12" s="7">
        <v>5</v>
      </c>
      <c r="G12" s="9">
        <v>0</v>
      </c>
      <c r="H12" s="7">
        <v>3</v>
      </c>
      <c r="I12" s="10">
        <f t="shared" ref="I12:J14" si="4">EXP(-E12/0.59+LOG($C12))</f>
        <v>3.3714390718848408E-2</v>
      </c>
      <c r="J12" s="12">
        <f t="shared" si="4"/>
        <v>2.0870761199019331E-4</v>
      </c>
      <c r="K12" s="10">
        <f t="shared" ref="K12:L14" si="5">EXP(-G12/0.59+LOG($D12))</f>
        <v>0.12157669635320989</v>
      </c>
      <c r="L12" s="10">
        <f t="shared" si="5"/>
        <v>7.5261576521238E-4</v>
      </c>
      <c r="M12" s="146">
        <f>1/SUM(I12:I15)</f>
        <v>0.96738518736273948</v>
      </c>
      <c r="N12" s="148">
        <f>1/SUM(J12:J15)</f>
        <v>0.99978183199354109</v>
      </c>
      <c r="O12" s="146">
        <f>1/SUM(K12:K15)</f>
        <v>4.1126007293211009</v>
      </c>
      <c r="P12" s="148">
        <f>1/SUM(L12:L15)</f>
        <v>8.0732910157419724</v>
      </c>
      <c r="Q12" s="138">
        <f>N$8/M$8</f>
        <v>6.3977723212842669E-3</v>
      </c>
      <c r="R12" s="139"/>
      <c r="S12" s="138">
        <f>P$8/O$8</f>
        <v>1.2152259442209082E-2</v>
      </c>
      <c r="T12" s="139"/>
      <c r="U12" s="172">
        <f>(1-N$12*J12)/(1-M$12*I12)</f>
        <v>1.0334986933610457</v>
      </c>
      <c r="V12" s="173"/>
      <c r="W12" s="174">
        <f>(1-P$12*L12)/(1-O$12*K12)</f>
        <v>1.9878335555243201</v>
      </c>
      <c r="X12" s="173"/>
      <c r="Y12" s="142">
        <f>LOG(Q12/U12)</f>
        <v>-2.2082811511863549</v>
      </c>
      <c r="Z12" s="141"/>
      <c r="AA12" s="142">
        <f>LOG(S12/W12)</f>
        <v>-2.2137229845775805</v>
      </c>
      <c r="AB12" s="141"/>
    </row>
    <row r="13" spans="1:28" ht="17" x14ac:dyDescent="0.2">
      <c r="A13" s="144"/>
      <c r="B13" s="7" t="s">
        <v>21</v>
      </c>
      <c r="C13" s="33">
        <v>1</v>
      </c>
      <c r="D13" s="33">
        <v>7.8125E-3</v>
      </c>
      <c r="E13" s="9">
        <v>0</v>
      </c>
      <c r="F13" s="7">
        <v>0</v>
      </c>
      <c r="G13" s="9">
        <v>0</v>
      </c>
      <c r="H13" s="7">
        <v>0</v>
      </c>
      <c r="I13" s="10">
        <f t="shared" si="4"/>
        <v>1</v>
      </c>
      <c r="J13" s="12">
        <f t="shared" si="4"/>
        <v>1</v>
      </c>
      <c r="K13" s="10">
        <f t="shared" si="5"/>
        <v>0.12157669635320989</v>
      </c>
      <c r="L13" s="10">
        <f t="shared" si="5"/>
        <v>0.12157669635320989</v>
      </c>
      <c r="M13" s="147"/>
      <c r="N13" s="149"/>
      <c r="O13" s="147"/>
      <c r="P13" s="149"/>
      <c r="Q13" s="138">
        <f>N$12/M$12</f>
        <v>1.0334888781159866</v>
      </c>
      <c r="R13" s="139"/>
      <c r="S13" s="138">
        <f>P$12/O$12</f>
        <v>1.9630621952145337</v>
      </c>
      <c r="T13" s="139"/>
      <c r="U13" s="172">
        <f>(1-N$12*J13)/(1-M$12*I13)</f>
        <v>6.6892307150544037E-3</v>
      </c>
      <c r="V13" s="173"/>
      <c r="W13" s="174">
        <f>(1-P$12*L13)/(1-O$12*K13)</f>
        <v>3.6951633910050227E-2</v>
      </c>
      <c r="X13" s="173"/>
      <c r="Y13" s="142">
        <f>LOG(Q13/U13)</f>
        <v>2.1889296320771074</v>
      </c>
      <c r="Z13" s="141"/>
      <c r="AA13" s="142">
        <f>LOG(S13/W13)</f>
        <v>1.7253004128772376</v>
      </c>
      <c r="AB13" s="141"/>
    </row>
    <row r="14" spans="1:28" ht="17" x14ac:dyDescent="0.2">
      <c r="A14" s="144"/>
      <c r="B14" s="15" t="s">
        <v>4</v>
      </c>
      <c r="C14" s="33">
        <v>2</v>
      </c>
      <c r="D14" s="33">
        <v>2</v>
      </c>
      <c r="E14" s="9">
        <v>11</v>
      </c>
      <c r="F14" s="7">
        <v>7</v>
      </c>
      <c r="G14" s="9">
        <v>8</v>
      </c>
      <c r="H14" s="7">
        <v>4</v>
      </c>
      <c r="I14" s="10">
        <f t="shared" si="4"/>
        <v>1.080736705171423E-8</v>
      </c>
      <c r="J14" s="12">
        <f t="shared" si="4"/>
        <v>9.5080021342542545E-6</v>
      </c>
      <c r="K14" s="10">
        <f t="shared" si="5"/>
        <v>1.7458098051575737E-6</v>
      </c>
      <c r="L14" s="10">
        <f t="shared" si="5"/>
        <v>1.535911871412503E-3</v>
      </c>
      <c r="M14" s="147"/>
      <c r="N14" s="149"/>
      <c r="O14" s="147"/>
      <c r="P14" s="149"/>
      <c r="Q14" s="138">
        <f>N$4/M$4</f>
        <v>909.23297153085957</v>
      </c>
      <c r="R14" s="139"/>
      <c r="S14" s="138">
        <f>P$4/O$4</f>
        <v>1732.6256098060646</v>
      </c>
      <c r="T14" s="139"/>
      <c r="U14" s="172">
        <f>(1-N$12*J14)/(1-M$12*I14)</f>
        <v>0.99999050452699523</v>
      </c>
      <c r="V14" s="173"/>
      <c r="W14" s="174">
        <f>(1-P$12*L14)/(1-O$12*K14)</f>
        <v>0.98760722732837114</v>
      </c>
      <c r="X14" s="173"/>
      <c r="Y14" s="142">
        <f>LOG(Q14/U14)</f>
        <v>2.9586793000178528</v>
      </c>
      <c r="Z14" s="141"/>
      <c r="AA14" s="142">
        <f>LOG(S14/W14)</f>
        <v>3.2441204699370521</v>
      </c>
      <c r="AB14" s="141"/>
    </row>
    <row r="15" spans="1:28" ht="18" thickBot="1" x14ac:dyDescent="0.25">
      <c r="A15" s="145"/>
      <c r="B15" s="16" t="s">
        <v>19</v>
      </c>
      <c r="C15" s="34"/>
      <c r="D15" s="34"/>
      <c r="E15" s="11"/>
      <c r="F15" s="13"/>
      <c r="G15" s="11"/>
      <c r="H15" s="13"/>
      <c r="I15" s="11">
        <v>0</v>
      </c>
      <c r="J15" s="13">
        <v>0</v>
      </c>
      <c r="K15" s="11">
        <v>0</v>
      </c>
      <c r="L15" s="13">
        <v>0</v>
      </c>
      <c r="M15" s="133"/>
      <c r="N15" s="134"/>
      <c r="O15" s="133"/>
      <c r="P15" s="134"/>
      <c r="Q15" s="133"/>
      <c r="R15" s="134"/>
      <c r="S15" s="155"/>
      <c r="T15" s="156"/>
      <c r="U15" s="133"/>
      <c r="V15" s="134"/>
      <c r="W15" s="131"/>
      <c r="X15" s="132"/>
      <c r="Y15" s="135"/>
      <c r="Z15" s="134"/>
      <c r="AA15" s="131"/>
      <c r="AB15" s="132"/>
    </row>
  </sheetData>
  <mergeCells count="111">
    <mergeCell ref="P12:P15"/>
    <mergeCell ref="A4:A7"/>
    <mergeCell ref="A8:A11"/>
    <mergeCell ref="A12:A15"/>
    <mergeCell ref="Q1:T1"/>
    <mergeCell ref="Q2:R2"/>
    <mergeCell ref="S2:T2"/>
    <mergeCell ref="M8:M11"/>
    <mergeCell ref="N8:N11"/>
    <mergeCell ref="M12:M15"/>
    <mergeCell ref="N12:N15"/>
    <mergeCell ref="O4:O7"/>
    <mergeCell ref="O8:O11"/>
    <mergeCell ref="O12:O15"/>
    <mergeCell ref="M2:N2"/>
    <mergeCell ref="O2:P2"/>
    <mergeCell ref="M1:P1"/>
    <mergeCell ref="M4:M7"/>
    <mergeCell ref="N4:N7"/>
    <mergeCell ref="P4:P7"/>
    <mergeCell ref="E1:H1"/>
    <mergeCell ref="I1:L1"/>
    <mergeCell ref="E2:F2"/>
    <mergeCell ref="S4:T4"/>
    <mergeCell ref="S5:T5"/>
    <mergeCell ref="S6:T6"/>
    <mergeCell ref="S7:T7"/>
    <mergeCell ref="S8:T8"/>
    <mergeCell ref="S9:T9"/>
    <mergeCell ref="G2:H2"/>
    <mergeCell ref="I2:J2"/>
    <mergeCell ref="K2:L2"/>
    <mergeCell ref="P8:P11"/>
    <mergeCell ref="S10:T10"/>
    <mergeCell ref="Q3:R3"/>
    <mergeCell ref="S3:T3"/>
    <mergeCell ref="Q4:R4"/>
    <mergeCell ref="Q5:R5"/>
    <mergeCell ref="Q6:R6"/>
    <mergeCell ref="Q8:R8"/>
    <mergeCell ref="Q9:R9"/>
    <mergeCell ref="Q7:R7"/>
    <mergeCell ref="Q10:R10"/>
    <mergeCell ref="S12:T12"/>
    <mergeCell ref="S13:T13"/>
    <mergeCell ref="S14:T14"/>
    <mergeCell ref="S15:T15"/>
    <mergeCell ref="Q11:R11"/>
    <mergeCell ref="Q15:R15"/>
    <mergeCell ref="Q12:R12"/>
    <mergeCell ref="Q13:R13"/>
    <mergeCell ref="Q14:R14"/>
    <mergeCell ref="S11:T11"/>
    <mergeCell ref="U6:V6"/>
    <mergeCell ref="W6:X6"/>
    <mergeCell ref="U7:V7"/>
    <mergeCell ref="W7:X7"/>
    <mergeCell ref="U1:X1"/>
    <mergeCell ref="U2:V2"/>
    <mergeCell ref="W2:X2"/>
    <mergeCell ref="U3:V3"/>
    <mergeCell ref="W3:X3"/>
    <mergeCell ref="U4:V4"/>
    <mergeCell ref="W4:X4"/>
    <mergeCell ref="U14:V14"/>
    <mergeCell ref="W14:X14"/>
    <mergeCell ref="U15:V15"/>
    <mergeCell ref="W15:X15"/>
    <mergeCell ref="Y2:Z2"/>
    <mergeCell ref="AA2:AB2"/>
    <mergeCell ref="Y3:Z3"/>
    <mergeCell ref="AA3:AB3"/>
    <mergeCell ref="Y4:Z4"/>
    <mergeCell ref="AA4:AB4"/>
    <mergeCell ref="U11:V11"/>
    <mergeCell ref="W11:X11"/>
    <mergeCell ref="U12:V12"/>
    <mergeCell ref="W12:X12"/>
    <mergeCell ref="U13:V13"/>
    <mergeCell ref="W13:X13"/>
    <mergeCell ref="U8:V8"/>
    <mergeCell ref="W8:X8"/>
    <mergeCell ref="U9:V9"/>
    <mergeCell ref="W9:X9"/>
    <mergeCell ref="U10:V10"/>
    <mergeCell ref="W10:X10"/>
    <mergeCell ref="U5:V5"/>
    <mergeCell ref="W5:X5"/>
    <mergeCell ref="Y14:Z14"/>
    <mergeCell ref="AA14:AB14"/>
    <mergeCell ref="Y15:Z15"/>
    <mergeCell ref="AA15:AB15"/>
    <mergeCell ref="Y1:AB1"/>
    <mergeCell ref="Y11:Z11"/>
    <mergeCell ref="AA11:AB11"/>
    <mergeCell ref="Y12:Z12"/>
    <mergeCell ref="AA12:AB12"/>
    <mergeCell ref="Y13:Z13"/>
    <mergeCell ref="AA13:AB13"/>
    <mergeCell ref="Y8:Z8"/>
    <mergeCell ref="AA8:AB8"/>
    <mergeCell ref="Y9:Z9"/>
    <mergeCell ref="AA9:AB9"/>
    <mergeCell ref="Y10:Z10"/>
    <mergeCell ref="AA10:AB10"/>
    <mergeCell ref="Y5:Z5"/>
    <mergeCell ref="AA5:AB5"/>
    <mergeCell ref="Y6:Z6"/>
    <mergeCell ref="AA6:AB6"/>
    <mergeCell ref="Y7:Z7"/>
    <mergeCell ref="AA7:AB7"/>
  </mergeCells>
  <pageMargins left="0.7" right="0.7" top="0.75" bottom="0.75" header="0.3" footer="0.3"/>
  <pageSetup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A779-B2AE-6B41-B64B-386392855790}">
  <dimension ref="A1:I12"/>
  <sheetViews>
    <sheetView zoomScale="200" zoomScaleNormal="200" workbookViewId="0">
      <selection activeCell="F9" sqref="F9"/>
    </sheetView>
  </sheetViews>
  <sheetFormatPr baseColWidth="10" defaultRowHeight="16" x14ac:dyDescent="0.2"/>
  <cols>
    <col min="6" max="6" width="12.6640625" bestFit="1" customWidth="1"/>
    <col min="7" max="9" width="11" bestFit="1" customWidth="1"/>
  </cols>
  <sheetData>
    <row r="1" spans="1:9" ht="17" thickBot="1" x14ac:dyDescent="0.25">
      <c r="B1" s="171" t="s">
        <v>11</v>
      </c>
      <c r="C1" s="171"/>
      <c r="D1" s="171"/>
      <c r="E1" s="171"/>
      <c r="F1" s="171" t="s">
        <v>12</v>
      </c>
      <c r="G1" s="171"/>
      <c r="H1" s="171"/>
      <c r="I1" s="171"/>
    </row>
    <row r="2" spans="1:9" ht="18" thickBot="1" x14ac:dyDescent="0.25">
      <c r="A2" s="1" t="s">
        <v>0</v>
      </c>
      <c r="B2" s="175" t="s">
        <v>6</v>
      </c>
      <c r="C2" s="176"/>
      <c r="D2" s="177" t="s">
        <v>7</v>
      </c>
      <c r="E2" s="178"/>
      <c r="F2" s="175" t="s">
        <v>6</v>
      </c>
      <c r="G2" s="176"/>
      <c r="H2" s="177" t="s">
        <v>7</v>
      </c>
      <c r="I2" s="178"/>
    </row>
    <row r="3" spans="1:9" ht="35" customHeight="1" thickBot="1" x14ac:dyDescent="0.25">
      <c r="A3" s="2" t="s">
        <v>1</v>
      </c>
      <c r="B3" s="3" t="s">
        <v>5</v>
      </c>
      <c r="C3" s="3" t="s">
        <v>2</v>
      </c>
      <c r="D3" s="3" t="s">
        <v>5</v>
      </c>
      <c r="E3" s="3" t="s">
        <v>2</v>
      </c>
      <c r="F3" s="3" t="s">
        <v>5</v>
      </c>
      <c r="G3" s="3" t="s">
        <v>2</v>
      </c>
      <c r="H3" s="3" t="s">
        <v>5</v>
      </c>
      <c r="I3" s="3" t="s">
        <v>2</v>
      </c>
    </row>
    <row r="4" spans="1:9" ht="18" thickBot="1" x14ac:dyDescent="0.25">
      <c r="A4" s="2" t="s">
        <v>8</v>
      </c>
      <c r="B4" s="3">
        <f>('POPG Reference'!B4+'POPC Reference'!B5)</f>
        <v>-9</v>
      </c>
      <c r="C4" s="3">
        <f>('POPG Reference'!C4+'POPC Reference'!C5)</f>
        <v>-2</v>
      </c>
      <c r="D4" s="3">
        <f>('POPG Reference'!D4+'POPC Reference'!D5)</f>
        <v>-8</v>
      </c>
      <c r="E4" s="3">
        <f>('POPG Reference'!E4+'POPC Reference'!E5)</f>
        <v>-1</v>
      </c>
      <c r="F4" s="5">
        <f t="shared" ref="F4:I6" si="0">EXP(-B4/0.59)</f>
        <v>4215325.1522350172</v>
      </c>
      <c r="G4" s="5">
        <f t="shared" si="0"/>
        <v>29.660924568953835</v>
      </c>
      <c r="H4" s="5">
        <f t="shared" si="0"/>
        <v>773996.03815680591</v>
      </c>
      <c r="I4" s="5">
        <f t="shared" si="0"/>
        <v>5.4461844046041845</v>
      </c>
    </row>
    <row r="5" spans="1:9" ht="18" thickBot="1" x14ac:dyDescent="0.25">
      <c r="A5" s="2" t="s">
        <v>10</v>
      </c>
      <c r="B5" s="3">
        <f>-'POPG Reference'!B6</f>
        <v>-11</v>
      </c>
      <c r="C5" s="3">
        <f>-'POPG Reference'!C6</f>
        <v>-7</v>
      </c>
      <c r="D5" s="3">
        <f>-'POPG Reference'!D6</f>
        <v>-8</v>
      </c>
      <c r="E5" s="3">
        <f>-'POPG Reference'!E6</f>
        <v>-4</v>
      </c>
      <c r="F5" s="5">
        <f t="shared" si="0"/>
        <v>125030441.37405662</v>
      </c>
      <c r="G5" s="5">
        <f t="shared" si="0"/>
        <v>142117.11918944059</v>
      </c>
      <c r="H5" s="5">
        <f t="shared" si="0"/>
        <v>773996.03815680591</v>
      </c>
      <c r="I5" s="5">
        <f t="shared" si="0"/>
        <v>879.77044628516921</v>
      </c>
    </row>
    <row r="6" spans="1:9" ht="18" thickBot="1" x14ac:dyDescent="0.25">
      <c r="A6" s="4" t="s">
        <v>9</v>
      </c>
      <c r="B6">
        <v>0</v>
      </c>
      <c r="C6">
        <v>0</v>
      </c>
      <c r="D6">
        <v>0</v>
      </c>
      <c r="E6">
        <v>0</v>
      </c>
      <c r="F6" s="5">
        <f t="shared" si="0"/>
        <v>1</v>
      </c>
      <c r="G6" s="5">
        <f t="shared" si="0"/>
        <v>1</v>
      </c>
      <c r="H6" s="5">
        <f t="shared" si="0"/>
        <v>1</v>
      </c>
      <c r="I6" s="5">
        <f t="shared" si="0"/>
        <v>1</v>
      </c>
    </row>
    <row r="7" spans="1:9" ht="17" x14ac:dyDescent="0.2">
      <c r="A7" s="4" t="s">
        <v>13</v>
      </c>
      <c r="F7">
        <v>0</v>
      </c>
      <c r="G7">
        <v>0</v>
      </c>
      <c r="H7">
        <v>0</v>
      </c>
      <c r="I7">
        <v>0</v>
      </c>
    </row>
    <row r="8" spans="1:9" x14ac:dyDescent="0.2">
      <c r="A8" s="6"/>
    </row>
    <row r="9" spans="1:9" ht="31" customHeight="1" x14ac:dyDescent="0.2"/>
    <row r="10" spans="1:9" ht="46" customHeight="1" x14ac:dyDescent="0.2"/>
    <row r="12" spans="1:9" ht="47" customHeight="1" x14ac:dyDescent="0.2"/>
  </sheetData>
  <mergeCells count="6">
    <mergeCell ref="B2:C2"/>
    <mergeCell ref="D2:E2"/>
    <mergeCell ref="F2:G2"/>
    <mergeCell ref="H2:I2"/>
    <mergeCell ref="B1:E1"/>
    <mergeCell ref="F1:I1"/>
  </mergeCells>
  <pageMargins left="0.7" right="0.7" top="0.75" bottom="0.75" header="0.3" footer="0.3"/>
  <pageSetup orientation="portrait" horizontalDpi="0" verticalDpi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5719-FA52-064C-A21C-BC19534F8D59}">
  <dimension ref="A1:I8"/>
  <sheetViews>
    <sheetView topLeftCell="A23" zoomScale="200" zoomScaleNormal="200" workbookViewId="0">
      <selection activeCell="F9" sqref="F9"/>
    </sheetView>
  </sheetViews>
  <sheetFormatPr baseColWidth="10" defaultRowHeight="16" x14ac:dyDescent="0.2"/>
  <sheetData>
    <row r="1" spans="1:9" ht="17" thickBot="1" x14ac:dyDescent="0.25">
      <c r="B1" s="171" t="s">
        <v>11</v>
      </c>
      <c r="C1" s="171"/>
      <c r="D1" s="171"/>
      <c r="E1" s="171"/>
      <c r="F1" s="171" t="s">
        <v>12</v>
      </c>
      <c r="G1" s="171"/>
      <c r="H1" s="171"/>
      <c r="I1" s="171"/>
    </row>
    <row r="2" spans="1:9" ht="18" thickBot="1" x14ac:dyDescent="0.25">
      <c r="A2" s="1" t="s">
        <v>0</v>
      </c>
      <c r="B2" s="175" t="s">
        <v>6</v>
      </c>
      <c r="C2" s="176"/>
      <c r="D2" s="177" t="s">
        <v>7</v>
      </c>
      <c r="E2" s="178"/>
      <c r="F2" s="175" t="s">
        <v>6</v>
      </c>
      <c r="G2" s="176"/>
      <c r="H2" s="177" t="s">
        <v>7</v>
      </c>
      <c r="I2" s="178"/>
    </row>
    <row r="3" spans="1:9" ht="35" customHeight="1" thickBot="1" x14ac:dyDescent="0.25">
      <c r="A3" s="2" t="s">
        <v>1</v>
      </c>
      <c r="B3" s="3" t="s">
        <v>5</v>
      </c>
      <c r="C3" s="3" t="s">
        <v>2</v>
      </c>
      <c r="D3" s="3" t="s">
        <v>5</v>
      </c>
      <c r="E3" s="3" t="s">
        <v>2</v>
      </c>
      <c r="F3" s="3" t="s">
        <v>5</v>
      </c>
      <c r="G3" s="3" t="s">
        <v>2</v>
      </c>
      <c r="H3" s="3" t="s">
        <v>5</v>
      </c>
      <c r="I3" s="3" t="s">
        <v>2</v>
      </c>
    </row>
    <row r="4" spans="1:9" ht="18" thickBot="1" x14ac:dyDescent="0.25">
      <c r="A4" s="2" t="s">
        <v>8</v>
      </c>
      <c r="B4" s="3">
        <v>0</v>
      </c>
      <c r="C4" s="3">
        <v>0</v>
      </c>
      <c r="D4" s="3">
        <v>0</v>
      </c>
      <c r="E4" s="3">
        <v>0</v>
      </c>
      <c r="F4" s="5">
        <f>EXP(-B4/0.59)</f>
        <v>1</v>
      </c>
      <c r="G4" s="5">
        <f t="shared" ref="G4:I6" si="0">EXP(-C4/0.59)</f>
        <v>1</v>
      </c>
      <c r="H4" s="5">
        <f t="shared" si="0"/>
        <v>1</v>
      </c>
      <c r="I4" s="5">
        <f t="shared" si="0"/>
        <v>1</v>
      </c>
    </row>
    <row r="5" spans="1:9" ht="18" thickBot="1" x14ac:dyDescent="0.25">
      <c r="A5" s="2" t="s">
        <v>10</v>
      </c>
      <c r="B5" s="3">
        <v>-2</v>
      </c>
      <c r="C5" s="3">
        <v>-5</v>
      </c>
      <c r="D5" s="3">
        <v>0</v>
      </c>
      <c r="E5" s="3">
        <v>-3</v>
      </c>
      <c r="F5" s="5">
        <f>EXP(-B5/0.59)</f>
        <v>29.660924568953835</v>
      </c>
      <c r="G5" s="5">
        <f t="shared" si="0"/>
        <v>4791.3920841899508</v>
      </c>
      <c r="H5" s="5">
        <f t="shared" si="0"/>
        <v>1</v>
      </c>
      <c r="I5" s="5">
        <f t="shared" si="0"/>
        <v>161.5388648135775</v>
      </c>
    </row>
    <row r="6" spans="1:9" ht="18" thickBot="1" x14ac:dyDescent="0.25">
      <c r="A6" s="4" t="s">
        <v>9</v>
      </c>
      <c r="B6">
        <v>9</v>
      </c>
      <c r="C6">
        <v>2</v>
      </c>
      <c r="D6">
        <v>8</v>
      </c>
      <c r="E6">
        <v>1</v>
      </c>
      <c r="F6" s="5">
        <f>EXP(-B6/0.59)</f>
        <v>2.3722962378591075E-7</v>
      </c>
      <c r="G6" s="5">
        <f t="shared" si="0"/>
        <v>3.3714390718848408E-2</v>
      </c>
      <c r="H6" s="5">
        <f t="shared" si="0"/>
        <v>1.2919962773729435E-6</v>
      </c>
      <c r="I6" s="5">
        <f t="shared" si="0"/>
        <v>0.18361478894372427</v>
      </c>
    </row>
    <row r="7" spans="1:9" ht="17" x14ac:dyDescent="0.2">
      <c r="A7" s="4" t="s">
        <v>13</v>
      </c>
      <c r="F7">
        <v>0</v>
      </c>
      <c r="G7">
        <v>0</v>
      </c>
      <c r="H7">
        <v>0</v>
      </c>
      <c r="I7">
        <v>0</v>
      </c>
    </row>
    <row r="8" spans="1:9" x14ac:dyDescent="0.2">
      <c r="A8" s="6"/>
    </row>
  </sheetData>
  <mergeCells count="6">
    <mergeCell ref="B1:E1"/>
    <mergeCell ref="F1:I1"/>
    <mergeCell ref="B2:C2"/>
    <mergeCell ref="D2:E2"/>
    <mergeCell ref="F2:G2"/>
    <mergeCell ref="H2:I2"/>
  </mergeCells>
  <pageMargins left="0.7" right="0.7" top="0.75" bottom="0.75" header="0.3" footer="0.3"/>
  <pageSetup orientation="portrait" horizontalDpi="0" verticalDpi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C57A7-3F94-F04C-9E42-B7E0891CD86C}">
  <dimension ref="A1:I8"/>
  <sheetViews>
    <sheetView zoomScale="200" zoomScaleNormal="200" workbookViewId="0">
      <selection activeCell="F9" sqref="F9"/>
    </sheetView>
  </sheetViews>
  <sheetFormatPr baseColWidth="10" defaultRowHeight="16" x14ac:dyDescent="0.2"/>
  <cols>
    <col min="6" max="6" width="13.6640625" bestFit="1" customWidth="1"/>
    <col min="8" max="8" width="12.6640625" bestFit="1" customWidth="1"/>
  </cols>
  <sheetData>
    <row r="1" spans="1:9" ht="17" thickBot="1" x14ac:dyDescent="0.25">
      <c r="B1" s="171" t="s">
        <v>11</v>
      </c>
      <c r="C1" s="171"/>
      <c r="D1" s="171"/>
      <c r="E1" s="171"/>
      <c r="F1" s="171" t="s">
        <v>12</v>
      </c>
      <c r="G1" s="171"/>
      <c r="H1" s="171"/>
      <c r="I1" s="171"/>
    </row>
    <row r="2" spans="1:9" ht="18" thickBot="1" x14ac:dyDescent="0.25">
      <c r="A2" s="1" t="s">
        <v>0</v>
      </c>
      <c r="B2" s="175" t="s">
        <v>6</v>
      </c>
      <c r="C2" s="176"/>
      <c r="D2" s="177" t="s">
        <v>7</v>
      </c>
      <c r="E2" s="178"/>
      <c r="F2" s="175" t="s">
        <v>6</v>
      </c>
      <c r="G2" s="176"/>
      <c r="H2" s="177" t="s">
        <v>7</v>
      </c>
      <c r="I2" s="178"/>
    </row>
    <row r="3" spans="1:9" ht="35" customHeight="1" thickBot="1" x14ac:dyDescent="0.25">
      <c r="A3" s="2" t="s">
        <v>1</v>
      </c>
      <c r="B3" s="3" t="s">
        <v>5</v>
      </c>
      <c r="C3" s="3" t="s">
        <v>2</v>
      </c>
      <c r="D3" s="3" t="s">
        <v>5</v>
      </c>
      <c r="E3" s="3" t="s">
        <v>2</v>
      </c>
      <c r="F3" s="3" t="s">
        <v>5</v>
      </c>
      <c r="G3" s="3" t="s">
        <v>2</v>
      </c>
      <c r="H3" s="3" t="s">
        <v>5</v>
      </c>
      <c r="I3" s="3" t="s">
        <v>2</v>
      </c>
    </row>
    <row r="4" spans="1:9" ht="18" thickBot="1" x14ac:dyDescent="0.25">
      <c r="A4" s="2" t="s">
        <v>8</v>
      </c>
      <c r="B4" s="3">
        <v>2</v>
      </c>
      <c r="C4" s="3">
        <v>5</v>
      </c>
      <c r="D4" s="3">
        <v>0</v>
      </c>
      <c r="E4" s="3">
        <v>3</v>
      </c>
      <c r="F4" s="5">
        <f>EXP(-B4/0.59)</f>
        <v>3.3714390718848408E-2</v>
      </c>
      <c r="G4" s="5">
        <f t="shared" ref="G4:I6" si="0">EXP(-C4/0.59)</f>
        <v>2.0870761199019331E-4</v>
      </c>
      <c r="H4" s="5">
        <f t="shared" si="0"/>
        <v>1</v>
      </c>
      <c r="I4" s="5">
        <f t="shared" si="0"/>
        <v>6.1904607362076062E-3</v>
      </c>
    </row>
    <row r="5" spans="1:9" ht="18" thickBot="1" x14ac:dyDescent="0.25">
      <c r="A5" s="2" t="s">
        <v>10</v>
      </c>
      <c r="B5" s="3">
        <v>0</v>
      </c>
      <c r="C5" s="3">
        <v>0</v>
      </c>
      <c r="D5" s="3">
        <v>0</v>
      </c>
      <c r="E5" s="3">
        <v>0</v>
      </c>
      <c r="F5" s="5">
        <f>EXP(-B5/0.59)</f>
        <v>1</v>
      </c>
      <c r="G5" s="5">
        <f t="shared" si="0"/>
        <v>1</v>
      </c>
      <c r="H5" s="5">
        <f t="shared" si="0"/>
        <v>1</v>
      </c>
      <c r="I5" s="5">
        <f t="shared" si="0"/>
        <v>1</v>
      </c>
    </row>
    <row r="6" spans="1:9" ht="18" thickBot="1" x14ac:dyDescent="0.25">
      <c r="A6" s="2" t="s">
        <v>9</v>
      </c>
      <c r="B6" s="3">
        <v>11</v>
      </c>
      <c r="C6" s="3">
        <v>7</v>
      </c>
      <c r="D6" s="3">
        <v>8</v>
      </c>
      <c r="E6" s="3">
        <v>4</v>
      </c>
      <c r="F6" s="5">
        <f>EXP(-B6/0.59)</f>
        <v>7.9980522264036134E-9</v>
      </c>
      <c r="G6" s="5">
        <f t="shared" si="0"/>
        <v>7.0364499766351927E-6</v>
      </c>
      <c r="H6" s="5">
        <f t="shared" si="0"/>
        <v>1.2919962773729435E-6</v>
      </c>
      <c r="I6" s="5">
        <f t="shared" si="0"/>
        <v>1.136660141543172E-3</v>
      </c>
    </row>
    <row r="7" spans="1:9" ht="17" x14ac:dyDescent="0.2">
      <c r="A7" s="4" t="s">
        <v>13</v>
      </c>
      <c r="F7">
        <v>0</v>
      </c>
      <c r="G7">
        <v>0</v>
      </c>
      <c r="H7">
        <v>0</v>
      </c>
      <c r="I7">
        <v>0</v>
      </c>
    </row>
    <row r="8" spans="1:9" x14ac:dyDescent="0.2">
      <c r="A8" s="6"/>
    </row>
  </sheetData>
  <mergeCells count="6">
    <mergeCell ref="B2:C2"/>
    <mergeCell ref="D2:E2"/>
    <mergeCell ref="F2:G2"/>
    <mergeCell ref="H2:I2"/>
    <mergeCell ref="B1:E1"/>
    <mergeCell ref="F1:I1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 Summary Table</vt:lpstr>
      <vt:lpstr>ternary breakdown reorganized</vt:lpstr>
      <vt:lpstr>binary PC-PG reorg</vt:lpstr>
      <vt:lpstr>ternary PG titration</vt:lpstr>
      <vt:lpstr>binary PG titration</vt:lpstr>
      <vt:lpstr>combined PG titration</vt:lpstr>
      <vt:lpstr>binary PC-PG breakdown</vt:lpstr>
      <vt:lpstr>ternary breakdown</vt:lpstr>
      <vt:lpstr>ternary and POPC together</vt:lpstr>
      <vt:lpstr>POPC Reference</vt:lpstr>
      <vt:lpstr>POPE Reference</vt:lpstr>
      <vt:lpstr>POPG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Brannigan</dc:creator>
  <cp:lastModifiedBy>Grace Brannigan</cp:lastModifiedBy>
  <cp:lastPrinted>2022-04-12T16:35:23Z</cp:lastPrinted>
  <dcterms:created xsi:type="dcterms:W3CDTF">2022-03-10T15:31:55Z</dcterms:created>
  <dcterms:modified xsi:type="dcterms:W3CDTF">2022-04-24T20:40:31Z</dcterms:modified>
</cp:coreProperties>
</file>