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7715" windowHeight="7740" tabRatio="889"/>
  </bookViews>
  <sheets>
    <sheet name="Main" sheetId="2" r:id="rId1"/>
    <sheet name="HTC" sheetId="1" r:id="rId2"/>
    <sheet name="Sony Ericsson" sheetId="3" r:id="rId3"/>
    <sheet name="Motorola" sheetId="4" r:id="rId4"/>
    <sheet name="Samsung" sheetId="5" r:id="rId5"/>
  </sheets>
  <calcPr calcId="125725"/>
</workbook>
</file>

<file path=xl/calcChain.xml><?xml version="1.0" encoding="utf-8"?>
<calcChain xmlns="http://schemas.openxmlformats.org/spreadsheetml/2006/main">
  <c r="H17" i="2"/>
  <c r="I17"/>
  <c r="J17"/>
  <c r="K17"/>
  <c r="L17"/>
  <c r="G17"/>
  <c r="G18"/>
  <c r="F17"/>
  <c r="F21"/>
  <c r="F12"/>
  <c r="F19"/>
  <c r="F18"/>
  <c r="F16"/>
  <c r="F15"/>
  <c r="F20"/>
  <c r="F14"/>
  <c r="F13"/>
  <c r="F11"/>
  <c r="F10"/>
  <c r="F9"/>
  <c r="F8"/>
  <c r="F7"/>
  <c r="F6"/>
  <c r="F5"/>
  <c r="H5"/>
  <c r="I5"/>
  <c r="J5"/>
  <c r="K5"/>
  <c r="L5"/>
  <c r="H6"/>
  <c r="I6"/>
  <c r="J6"/>
  <c r="K6"/>
  <c r="L6"/>
  <c r="H7"/>
  <c r="I7"/>
  <c r="J7"/>
  <c r="K7"/>
  <c r="L7"/>
  <c r="H12"/>
  <c r="I12"/>
  <c r="J12"/>
  <c r="K12"/>
  <c r="L1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3"/>
  <c r="I13"/>
  <c r="J13"/>
  <c r="K13"/>
  <c r="L13"/>
  <c r="H14"/>
  <c r="I14"/>
  <c r="J14"/>
  <c r="K14"/>
  <c r="L14"/>
  <c r="H20"/>
  <c r="I20"/>
  <c r="J20"/>
  <c r="K20"/>
  <c r="L20"/>
  <c r="H15"/>
  <c r="I15"/>
  <c r="J15"/>
  <c r="K15"/>
  <c r="L15"/>
  <c r="H16"/>
  <c r="I16"/>
  <c r="J16"/>
  <c r="K16"/>
  <c r="L16"/>
  <c r="H18"/>
  <c r="I18"/>
  <c r="J18"/>
  <c r="K18"/>
  <c r="L18"/>
  <c r="H19"/>
  <c r="I19"/>
  <c r="J19"/>
  <c r="K19"/>
  <c r="L19"/>
  <c r="H21"/>
  <c r="I21"/>
  <c r="J21"/>
  <c r="K21"/>
  <c r="L21"/>
  <c r="G19"/>
  <c r="G21"/>
  <c r="G16"/>
  <c r="G15"/>
  <c r="G20"/>
  <c r="G14"/>
  <c r="G13"/>
  <c r="G11"/>
  <c r="G10"/>
  <c r="G9"/>
  <c r="G12"/>
  <c r="G7"/>
  <c r="G6"/>
  <c r="G5"/>
  <c r="G8"/>
  <c r="M17" l="1"/>
  <c r="M15"/>
  <c r="M18"/>
  <c r="M7"/>
  <c r="M10"/>
  <c r="M14"/>
  <c r="M5"/>
  <c r="M19"/>
  <c r="M20"/>
  <c r="M16"/>
  <c r="M6"/>
  <c r="M12"/>
  <c r="M13"/>
  <c r="M9"/>
  <c r="M21"/>
  <c r="M8"/>
  <c r="M11"/>
</calcChain>
</file>

<file path=xl/sharedStrings.xml><?xml version="1.0" encoding="utf-8"?>
<sst xmlns="http://schemas.openxmlformats.org/spreadsheetml/2006/main" count="150" uniqueCount="61">
  <si>
    <t>TickerText</t>
  </si>
  <si>
    <t>ShapeModifier</t>
  </si>
  <si>
    <t>Animation</t>
  </si>
  <si>
    <t>Sprite</t>
  </si>
  <si>
    <t>ParticleSystem</t>
  </si>
  <si>
    <t>Box2D-Physics</t>
  </si>
  <si>
    <t>VanillaEclair 4.0</t>
  </si>
  <si>
    <t>1.6</t>
  </si>
  <si>
    <t>Model</t>
  </si>
  <si>
    <t>Manufacturer</t>
  </si>
  <si>
    <t>HTC</t>
  </si>
  <si>
    <t>Hero</t>
  </si>
  <si>
    <t>Tattoo</t>
  </si>
  <si>
    <t>Dream (G1)</t>
  </si>
  <si>
    <t>Sony Ericsson</t>
  </si>
  <si>
    <t>x10i</t>
  </si>
  <si>
    <t>Motorola</t>
  </si>
  <si>
    <t>2.1</t>
  </si>
  <si>
    <t>Samsung</t>
  </si>
  <si>
    <t>Galaxy S</t>
  </si>
  <si>
    <t>Nexus One</t>
  </si>
  <si>
    <t>2.2</t>
  </si>
  <si>
    <t>Test-Version</t>
  </si>
  <si>
    <t>Desire</t>
  </si>
  <si>
    <t>1.1.3</t>
  </si>
  <si>
    <t>1.1.4</t>
  </si>
  <si>
    <t>Legend</t>
  </si>
  <si>
    <t>1.1.1</t>
  </si>
  <si>
    <t>1.0.9</t>
  </si>
  <si>
    <t>1.1.0</t>
  </si>
  <si>
    <t>Droid Incredible</t>
  </si>
  <si>
    <t>Droid Incredible (1.6)</t>
  </si>
  <si>
    <t>Legend (2.1)</t>
  </si>
  <si>
    <t>Dream / G1  (1.6)</t>
  </si>
  <si>
    <t>Nexus One (2.1)</t>
  </si>
  <si>
    <t>Nexus One (2.2)</t>
  </si>
  <si>
    <t>Desire (2.1)</t>
  </si>
  <si>
    <t>Evo 4G / Supersonic (2.1)</t>
  </si>
  <si>
    <t>Evo 4G /Supersonic</t>
  </si>
  <si>
    <t>Galaxy S (2.1)</t>
  </si>
  <si>
    <t>x10i (1.6)</t>
  </si>
  <si>
    <t>Hero (VanillaEclair 4.0)</t>
  </si>
  <si>
    <t>Tattoo (1.6)</t>
  </si>
  <si>
    <t>Average</t>
  </si>
  <si>
    <t>2.2 MoDaCo r20</t>
  </si>
  <si>
    <t>Nexus One (2.2 MoDaCo r20)</t>
  </si>
  <si>
    <t>Galaxy Spica (2.1)</t>
  </si>
  <si>
    <t>Galaxy Spica</t>
  </si>
  <si>
    <t>Milestone/Droid/Sholes (2.1)</t>
  </si>
  <si>
    <t>©andengine.org</t>
  </si>
  <si>
    <t>Hiapk 2.18</t>
  </si>
  <si>
    <t>Hero (Hiapk 2.18)</t>
  </si>
  <si>
    <t>Magic/myTouch3G</t>
  </si>
  <si>
    <t>Magic/myTouch 3G (1.6)</t>
  </si>
  <si>
    <t>Android-Version</t>
  </si>
  <si>
    <t>CPU-Clock (MHz)</t>
  </si>
  <si>
    <t>Milestone/Droid</t>
  </si>
  <si>
    <t xml:space="preserve"> </t>
  </si>
  <si>
    <t>Tests-Samples</t>
  </si>
  <si>
    <t>Dream / G1  (Cyanogen 2.1)</t>
  </si>
  <si>
    <t>Cyanogen 2.1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</si>
</sst>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</font>
    <font>
      <i/>
      <sz val="8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textRotation="45"/>
    </xf>
    <xf numFmtId="0" fontId="1" fillId="2" borderId="2" xfId="0" applyFont="1" applyFill="1" applyBorder="1" applyAlignment="1">
      <alignment textRotation="45"/>
    </xf>
    <xf numFmtId="0" fontId="0" fillId="0" borderId="0" xfId="0" applyBorder="1"/>
    <xf numFmtId="0" fontId="1" fillId="2" borderId="3" xfId="0" applyFont="1" applyFill="1" applyBorder="1" applyAlignment="1">
      <alignment textRotation="45"/>
    </xf>
    <xf numFmtId="0" fontId="3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7" fillId="0" borderId="9" xfId="0" applyNumberFormat="1" applyFont="1" applyBorder="1"/>
    <xf numFmtId="2" fontId="7" fillId="0" borderId="5" xfId="0" applyNumberFormat="1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/>
    <xf numFmtId="2" fontId="7" fillId="0" borderId="11" xfId="0" applyNumberFormat="1" applyFont="1" applyBorder="1"/>
    <xf numFmtId="0" fontId="8" fillId="0" borderId="0" xfId="0" applyFont="1" applyAlignment="1">
      <alignment horizontal="center"/>
    </xf>
    <xf numFmtId="2" fontId="7" fillId="0" borderId="12" xfId="0" applyNumberFormat="1" applyFont="1" applyBorder="1"/>
    <xf numFmtId="2" fontId="7" fillId="0" borderId="16" xfId="0" applyNumberFormat="1" applyFont="1" applyBorder="1"/>
    <xf numFmtId="49" fontId="7" fillId="0" borderId="5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70"/>
    </xf>
    <xf numFmtId="0" fontId="1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2" fontId="7" fillId="0" borderId="23" xfId="0" applyNumberFormat="1" applyFont="1" applyBorder="1"/>
    <xf numFmtId="2" fontId="7" fillId="0" borderId="13" xfId="0" applyNumberFormat="1" applyFont="1" applyBorder="1"/>
    <xf numFmtId="2" fontId="7" fillId="0" borderId="14" xfId="0" applyNumberFormat="1" applyFont="1" applyBorder="1"/>
    <xf numFmtId="0" fontId="1" fillId="0" borderId="6" xfId="0" applyFont="1" applyBorder="1" applyAlignment="1">
      <alignment horizontal="center" vertical="center" textRotation="70"/>
    </xf>
    <xf numFmtId="0" fontId="1" fillId="0" borderId="24" xfId="0" applyFont="1" applyBorder="1" applyAlignment="1">
      <alignment horizontal="center" vertical="center" textRotation="70"/>
    </xf>
    <xf numFmtId="2" fontId="7" fillId="0" borderId="7" xfId="0" applyNumberFormat="1" applyFont="1" applyBorder="1"/>
    <xf numFmtId="2" fontId="7" fillId="0" borderId="8" xfId="0" applyNumberFormat="1" applyFont="1" applyBorder="1"/>
    <xf numFmtId="2" fontId="7" fillId="0" borderId="15" xfId="0" applyNumberFormat="1" applyFont="1" applyBorder="1"/>
    <xf numFmtId="49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1" fillId="0" borderId="0" xfId="0" applyNumberFormat="1" applyFont="1"/>
    <xf numFmtId="4" fontId="12" fillId="0" borderId="0" xfId="0" applyNumberFormat="1" applyFont="1"/>
  </cellXfs>
  <cellStyles count="1">
    <cellStyle name="Standard" xfId="0" builtinId="0"/>
  </cellStyles>
  <dxfs count="28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wrapText="0" indent="0" relativeIndent="0" justifyLastLine="0" shrinkToFit="0" mergeCell="0" readingOrder="0"/>
      <border diagonalUp="0" diagonalDown="0" outline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wrapText="0" indent="0" relativeIndent="0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 tint="0.39994506668294322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9" defaultPivotStyle="PivotStyleLight16">
    <tableStyle name="TableStyleMedium16 2" pivot="0" count="7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Benchmark" displayName="Benchmark" ref="B4:M21" headerRowDxfId="280" dataDxfId="278" totalsRowDxfId="277" headerRowBorderDxfId="279">
  <autoFilter ref="B4:M21">
    <filterColumn colId="1"/>
    <filterColumn colId="2"/>
    <filterColumn colId="3"/>
    <filterColumn colId="4"/>
    <filterColumn colId="11"/>
  </autoFilter>
  <sortState ref="B5:M21">
    <sortCondition descending="1" ref="M4:M21"/>
  </sortState>
  <tableColumns count="12">
    <tableColumn id="1" name="Manufacturer" totalsRowLabel="Ergebnis" dataDxfId="276" totalsRowDxfId="275"/>
    <tableColumn id="9" name="Model" dataDxfId="274" totalsRowDxfId="273"/>
    <tableColumn id="8" name="Android-Version" dataDxfId="272" totalsRowDxfId="271"/>
    <tableColumn id="11" name="CPU-Clock (MHz)" dataDxfId="270" totalsRowDxfId="269"/>
    <tableColumn id="12" name="Tests-Samples" dataDxfId="268">
      <calculatedColumnFormula>SUBTOTAL(2,Samsung_Galaxy_S_2.1[])</calculatedColumnFormula>
    </tableColumn>
    <tableColumn id="2" name="Sprite" totalsRowFunction="average" dataDxfId="267" totalsRowDxfId="266">
      <calculatedColumnFormula>SUBTOTAL(101,#REF!)</calculatedColumnFormula>
    </tableColumn>
    <tableColumn id="3" name="Animation" totalsRowFunction="average" dataDxfId="265" totalsRowDxfId="264"/>
    <tableColumn id="4" name="ShapeModifier" totalsRowFunction="average" dataDxfId="263" totalsRowDxfId="262"/>
    <tableColumn id="5" name="TickerText" totalsRowFunction="average" dataDxfId="261" totalsRowDxfId="260"/>
    <tableColumn id="6" name="ParticleSystem" totalsRowFunction="sum" dataDxfId="259" totalsRowDxfId="258"/>
    <tableColumn id="7" name="Box2D-Physics" totalsRowFunction="sum" dataDxfId="257" totalsRowDxfId="256"/>
    <tableColumn id="10" name="Average" totalsRowFunction="average" dataDxfId="255" totalsRowDxfId="254">
      <calculatedColumnFormula>IF(ISERROR(AVERAGE(Benchmark[[#This Row],[Sprite]:[Box2D-Physics]])),"?",(AVERAGE(Benchmark[[#This Row],[Sprite]:[Box2D-Physics]])))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2" name="HTC_Evo_4G_Supersonic_2.1" displayName="HTC_Evo_4G_Supersonic_2.1" ref="A54:G54" headerRowCount="0" totalsRowShown="0" headerRowDxfId="121" dataDxfId="119" headerRowBorderDxfId="120" tableBorderDxfId="118">
  <tableColumns count="7">
    <tableColumn id="7" name="Test-Version" headerRowDxfId="117" dataDxfId="116"/>
    <tableColumn id="1" name="Sprite" headerRowDxfId="115" dataDxfId="114"/>
    <tableColumn id="2" name="Animation" headerRowDxfId="113" dataDxfId="112"/>
    <tableColumn id="3" name="ShapeModifier" headerRowDxfId="111" dataDxfId="110"/>
    <tableColumn id="4" name="TickerText" headerRowDxfId="109" dataDxfId="108"/>
    <tableColumn id="5" name="ParticleSystem" headerRowDxfId="107" dataDxfId="106"/>
    <tableColumn id="6" name="Box2D-Physics" headerRowDxfId="105" dataDxfId="104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12" name="HTC_Desire_2.1" displayName="HTC_Desire_2.1" ref="A41:G41" headerRowCount="0" totalsRowShown="0" headerRowDxfId="103" dataDxfId="101" headerRowBorderDxfId="102" tableBorderDxfId="100">
  <tableColumns count="7">
    <tableColumn id="7" name="Test-Version" headerRowDxfId="99" dataDxfId="98"/>
    <tableColumn id="1" name="Sprite" headerRowDxfId="97" dataDxfId="96"/>
    <tableColumn id="2" name="Animation" headerRowDxfId="95" dataDxfId="94"/>
    <tableColumn id="3" name="ShapeModifier" headerRowDxfId="93" dataDxfId="92"/>
    <tableColumn id="4" name="TickerText" headerRowDxfId="91" dataDxfId="90"/>
    <tableColumn id="5" name="ParticleSystem" headerRowDxfId="89" dataDxfId="88"/>
    <tableColumn id="6" name="Box2D-Physics" headerRowDxfId="87" dataDxfId="86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8" name="HTC_Nexus_One_2.2_MoDaCo_r20" displayName="HTC_Nexus_One_2.2_MoDaCo_r20" ref="A38:G38" headerRowCount="0" totalsRowShown="0" headerRowDxfId="85" headerRowBorderDxfId="84" tableBorderDxfId="83">
  <tableColumns count="7">
    <tableColumn id="7" name="Test-Version" headerRowDxfId="82" dataDxfId="81"/>
    <tableColumn id="1" name="Sprite" headerRowDxfId="80" dataDxfId="79"/>
    <tableColumn id="2" name="Animation" headerRowDxfId="78" dataDxfId="77"/>
    <tableColumn id="3" name="ShapeModifier" headerRowDxfId="76" dataDxfId="75"/>
    <tableColumn id="4" name="TickerText" headerRowDxfId="74" dataDxfId="73"/>
    <tableColumn id="5" name="ParticleSystem" headerRowDxfId="72" dataDxfId="71"/>
    <tableColumn id="6" name="Box2D-Physics" headerRowDxfId="70" dataDxfId="69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6" name="HTC_Hero_Hiapk_2.18" displayName="HTC_Hero_Hiapk_2.18" ref="A7:G7" headerRowCount="0" totalsRowShown="0" headerRowDxfId="68" headerRowBorderDxfId="67" tableBorderDxfId="66">
  <tableColumns count="7">
    <tableColumn id="7" name="Test-Version" headerRowDxfId="65" dataDxfId="64"/>
    <tableColumn id="1" name="Sprite" headerRowDxfId="63" dataDxfId="62"/>
    <tableColumn id="2" name="Animation" headerRowDxfId="61" dataDxfId="60"/>
    <tableColumn id="3" name="ShapeModifier" headerRowDxfId="59" dataDxfId="58"/>
    <tableColumn id="4" name="TickerText" headerRowDxfId="57" dataDxfId="56"/>
    <tableColumn id="5" name="ParticleSystem" headerRowDxfId="55" dataDxfId="54"/>
    <tableColumn id="6" name="Box2D-Physics" headerRowDxfId="53" dataDxfId="52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19" name="HTC_Dream_Cyanogen_2.1" displayName="HTC_Dream_Cyanogen_2.1" ref="A21:G21" headerRowCount="0" totalsRowShown="0" headerRowDxfId="51" headerRowBorderDxfId="50" tableBorderDxfId="49">
  <sortState ref="A21:G24">
    <sortCondition descending="1" ref="A15"/>
  </sortState>
  <tableColumns count="7">
    <tableColumn id="7" name="Test-Version" headerRowDxfId="48" dataDxfId="47"/>
    <tableColumn id="1" name="Sprite" headerRowDxfId="46" dataDxfId="45"/>
    <tableColumn id="2" name="Animation" headerRowDxfId="44" dataDxfId="43"/>
    <tableColumn id="3" name="ShapeModifier" headerRowDxfId="42" dataDxfId="41"/>
    <tableColumn id="4" name="TickerText" headerRowDxfId="40" dataDxfId="39"/>
    <tableColumn id="5" name="ParticleSystem" headerRowDxfId="38" dataDxfId="37"/>
    <tableColumn id="6" name="Box2D-Physics" headerRowDxfId="36" dataDxfId="35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id="7" name="Sony_Ericsson_x10i_1.6" displayName="Sony_Ericsson_x10i_1.6" ref="A3:G4" totalsRowShown="0" headerRowDxfId="34" headerRowBorderDxfId="33" tableBorderDxfId="32">
  <autoFilter ref="A3:G4"/>
  <tableColumns count="7">
    <tableColumn id="7" name="Test-Version" dataDxfId="31"/>
    <tableColumn id="1" name="Sprite" dataDxfId="30"/>
    <tableColumn id="2" name="Animation" dataDxfId="29"/>
    <tableColumn id="3" name="ShapeModifier" dataDxfId="28"/>
    <tableColumn id="4" name="TickerText" dataDxfId="27"/>
    <tableColumn id="5" name="ParticleSystem" dataDxfId="26"/>
    <tableColumn id="6" name="Box2D-Physics" dataDxfId="25"/>
  </tableColumns>
  <tableStyleInfo name="TableStyleMedium23" showFirstColumn="0" showLastColumn="0" showRowStripes="1" showColumnStripes="0"/>
</table>
</file>

<file path=xl/tables/table16.xml><?xml version="1.0" encoding="utf-8"?>
<table xmlns="http://schemas.openxmlformats.org/spreadsheetml/2006/main" id="8" name="Motorola_Droid_2.1" displayName="Motorola_Droid_2.1" ref="A3:G9" totalsRowShown="0" headerRowDxfId="24" headerRowBorderDxfId="23" tableBorderDxfId="22">
  <autoFilter ref="A3:G9">
    <filterColumn colId="0">
      <filters>
        <filter val="1.1.1"/>
        <filter val="1.1.3"/>
        <filter val="1.1.4"/>
      </filters>
    </filterColumn>
  </autoFilter>
  <sortState ref="A4:G8">
    <sortCondition descending="1" ref="A3:A8"/>
  </sortState>
  <tableColumns count="7">
    <tableColumn id="7" name="Test-Version" dataDxfId="21"/>
    <tableColumn id="1" name="Sprite" dataDxfId="20"/>
    <tableColumn id="2" name="Animation" dataDxfId="19"/>
    <tableColumn id="3" name="ShapeModifier" dataDxfId="18"/>
    <tableColumn id="4" name="TickerText" dataDxfId="17"/>
    <tableColumn id="5" name="ParticleSystem" dataDxfId="16"/>
    <tableColumn id="6" name="Box2D-Physics" dataDxfId="15"/>
  </tableColumns>
  <tableStyleInfo name="TableStyleMedium23" showFirstColumn="0" showLastColumn="0" showRowStripes="1" showColumnStripes="0"/>
</table>
</file>

<file path=xl/tables/table17.xml><?xml version="1.0" encoding="utf-8"?>
<table xmlns="http://schemas.openxmlformats.org/spreadsheetml/2006/main" id="9" name="Samsung_Galaxy_S_2.1" displayName="Samsung_Galaxy_S_2.1" ref="A3:G4" totalsRowShown="0" headerRowDxfId="14" headerRowBorderDxfId="13" tableBorderDxfId="12">
  <autoFilter ref="A3:G4"/>
  <tableColumns count="7">
    <tableColumn id="7" name="Test-Version" dataDxfId="11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18.xml><?xml version="1.0" encoding="utf-8"?>
<table xmlns="http://schemas.openxmlformats.org/spreadsheetml/2006/main" id="17" name="Samsung_Galaxy_Spica_2.1" displayName="Samsung_Galaxy_Spica_2.1" ref="A7:G7" headerRowCount="0" totalsRowShown="0" headerRowDxfId="10" headerRowBorderDxfId="9" tableBorderDxfId="8">
  <tableColumns count="7">
    <tableColumn id="7" name="Test-Version" headerRowDxfId="7" dataDxfId="6"/>
    <tableColumn id="1" name="Sprite" headerRowDxfId="5"/>
    <tableColumn id="2" name="Animation" headerRowDxfId="4"/>
    <tableColumn id="3" name="ShapeModifier" headerRowDxfId="3"/>
    <tableColumn id="4" name="TickerText" headerRowDxfId="2"/>
    <tableColumn id="5" name="ParticleSystem" headerRowDxfId="1"/>
    <tableColumn id="6" name="Box2D-Physics" header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HTC_Hero_VanillaEclair_4.0" displayName="HTC_Hero_VanillaEclair_4.0" ref="A3:G4" totalsRowShown="0" headerRowDxfId="253" headerRowBorderDxfId="252" tableBorderDxfId="251">
  <autoFilter ref="A3:G4"/>
  <tableColumns count="7">
    <tableColumn id="7" name="Test-Version" dataDxfId="250"/>
    <tableColumn id="1" name="Sprite" dataDxfId="249"/>
    <tableColumn id="2" name="Animation" dataDxfId="248"/>
    <tableColumn id="3" name="ShapeModifier" dataDxfId="247"/>
    <tableColumn id="4" name="TickerText" dataDxfId="246"/>
    <tableColumn id="5" name="ParticleSystem" dataDxfId="245"/>
    <tableColumn id="6" name="Box2D-Physics" dataDxfId="24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HTC_Tattoo_1.6" displayName="HTC_Tattoo_1.6" ref="A10:G12" headerRowCount="0" totalsRowShown="0" headerRowDxfId="243" headerRowBorderDxfId="242" tableBorderDxfId="241">
  <sortState ref="A10:G12">
    <sortCondition descending="1" ref="A10"/>
  </sortState>
  <tableColumns count="7">
    <tableColumn id="7" name="Test-Version" headerRowDxfId="240" dataDxfId="239"/>
    <tableColumn id="1" name="Sprite" headerRowDxfId="238" dataDxfId="237"/>
    <tableColumn id="2" name="Animation" headerRowDxfId="236" dataDxfId="235"/>
    <tableColumn id="3" name="ShapeModifier" headerRowDxfId="234" dataDxfId="233"/>
    <tableColumn id="4" name="TickerText" headerRowDxfId="232" dataDxfId="231"/>
    <tableColumn id="5" name="ParticleSystem" headerRowDxfId="230" dataDxfId="229"/>
    <tableColumn id="6" name="Box2D-Physics" headerRowDxfId="228" dataDxfId="227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HTC_Dream_1.6" displayName="HTC_Dream_1.6" ref="A15:G18" headerRowCount="0" totalsRowShown="0" headerRowDxfId="226" headerRowBorderDxfId="225" tableBorderDxfId="224">
  <sortState ref="A15:G18">
    <sortCondition descending="1" ref="A15"/>
  </sortState>
  <tableColumns count="7">
    <tableColumn id="7" name="Test-Version" headerRowDxfId="223" dataDxfId="222"/>
    <tableColumn id="1" name="Sprite" headerRowDxfId="221" dataDxfId="220"/>
    <tableColumn id="2" name="Animation" headerRowDxfId="219" dataDxfId="218"/>
    <tableColumn id="3" name="ShapeModifier" headerRowDxfId="217" dataDxfId="216"/>
    <tableColumn id="4" name="TickerText" headerRowDxfId="215" dataDxfId="214"/>
    <tableColumn id="5" name="ParticleSystem" headerRowDxfId="213" dataDxfId="212"/>
    <tableColumn id="6" name="Box2D-Physics" headerRowDxfId="211" dataDxfId="210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0" name="HTC_Nexus_One_2.1" displayName="HTC_Nexus_One_2.1" ref="A24:G27" headerRowCount="0" totalsRowShown="0" headerRowDxfId="209" headerRowBorderDxfId="208" tableBorderDxfId="207">
  <sortState ref="A21:G24">
    <sortCondition descending="1" ref="A21"/>
  </sortState>
  <tableColumns count="7">
    <tableColumn id="7" name="Test-Version" headerRowDxfId="206" dataDxfId="205"/>
    <tableColumn id="1" name="Sprite" headerRowDxfId="204" dataDxfId="203"/>
    <tableColumn id="2" name="Animation" headerRowDxfId="202" dataDxfId="201"/>
    <tableColumn id="3" name="ShapeModifier" headerRowDxfId="200" dataDxfId="199"/>
    <tableColumn id="4" name="TickerText" headerRowDxfId="198" dataDxfId="197"/>
    <tableColumn id="5" name="ParticleSystem" headerRowDxfId="196" dataDxfId="195"/>
    <tableColumn id="6" name="Box2D-Physics" headerRowDxfId="194" dataDxfId="193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11" name="HTC_Nexus_One_2.2" displayName="HTC_Nexus_One_2.2" ref="A30:G35" headerRowCount="0" totalsRowShown="0" headerRowDxfId="192" headerRowBorderDxfId="191" tableBorderDxfId="190">
  <sortState ref="A27:G30">
    <sortCondition descending="1" ref="A27"/>
  </sortState>
  <tableColumns count="7">
    <tableColumn id="7" name="Test-Version" headerRowDxfId="189" dataDxfId="188"/>
    <tableColumn id="1" name="Sprite" headerRowDxfId="187" dataDxfId="186"/>
    <tableColumn id="2" name="Animation" headerRowDxfId="185" dataDxfId="184"/>
    <tableColumn id="3" name="ShapeModifier" headerRowDxfId="183" dataDxfId="182"/>
    <tableColumn id="4" name="TickerText" headerRowDxfId="181" dataDxfId="180"/>
    <tableColumn id="5" name="ParticleSystem" headerRowDxfId="179" dataDxfId="178"/>
    <tableColumn id="6" name="Box2D-Physics" headerRowDxfId="177" dataDxfId="176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3" name="HTC_Legend_2.1" displayName="HTC_Legend_2.1" ref="A44:G44" headerRowCount="0" totalsRowShown="0" headerRowDxfId="175" dataDxfId="173" headerRowBorderDxfId="174" tableBorderDxfId="172">
  <tableColumns count="7">
    <tableColumn id="7" name="Test-Version" headerRowDxfId="171" dataDxfId="170"/>
    <tableColumn id="1" name="Sprite" headerRowDxfId="169" dataDxfId="168"/>
    <tableColumn id="2" name="Animation" headerRowDxfId="167" dataDxfId="166"/>
    <tableColumn id="3" name="ShapeModifier" headerRowDxfId="165" dataDxfId="164"/>
    <tableColumn id="4" name="TickerText" headerRowDxfId="163" dataDxfId="162"/>
    <tableColumn id="5" name="ParticleSystem" headerRowDxfId="161" dataDxfId="160"/>
    <tableColumn id="6" name="Box2D-Physics" headerRowDxfId="159" dataDxfId="158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14" name="HTC_myTouch3G_1.6" displayName="HTC_myTouch3G_1.6" ref="A47:G48" headerRowCount="0" totalsRowShown="0" headerRowDxfId="157" dataDxfId="155" headerRowBorderDxfId="156" tableBorderDxfId="154">
  <tableColumns count="7">
    <tableColumn id="7" name="Test-Version" headerRowDxfId="153" dataDxfId="152"/>
    <tableColumn id="1" name="Sprite" headerRowDxfId="151" dataDxfId="150"/>
    <tableColumn id="2" name="Animation" headerRowDxfId="149" dataDxfId="148"/>
    <tableColumn id="3" name="ShapeModifier" headerRowDxfId="147" dataDxfId="146"/>
    <tableColumn id="4" name="TickerText" headerRowDxfId="145" dataDxfId="144"/>
    <tableColumn id="5" name="ParticleSystem" headerRowDxfId="143" dataDxfId="142"/>
    <tableColumn id="6" name="Box2D-Physics" headerRowDxfId="141" dataDxfId="140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15" name="HTC_Droid_Incredible_2.1" displayName="HTC_Droid_Incredible_2.1" ref="A51:G51" headerRowCount="0" totalsRowShown="0" headerRowDxfId="139" dataDxfId="137" headerRowBorderDxfId="138" tableBorderDxfId="136">
  <tableColumns count="7">
    <tableColumn id="7" name="Test-Version" headerRowDxfId="135" dataDxfId="134"/>
    <tableColumn id="1" name="Sprite" headerRowDxfId="133" dataDxfId="132"/>
    <tableColumn id="2" name="Animation" headerRowDxfId="131" dataDxfId="130"/>
    <tableColumn id="3" name="ShapeModifier" headerRowDxfId="129" dataDxfId="128"/>
    <tableColumn id="4" name="TickerText" headerRowDxfId="127" dataDxfId="126"/>
    <tableColumn id="5" name="ParticleSystem" headerRowDxfId="125" dataDxfId="124"/>
    <tableColumn id="6" name="Box2D-Physics" headerRowDxfId="123" dataDxfId="12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N53"/>
  <sheetViews>
    <sheetView tabSelected="1" topLeftCell="A4" zoomScaleNormal="100" workbookViewId="0">
      <selection activeCell="P11" sqref="P11"/>
    </sheetView>
  </sheetViews>
  <sheetFormatPr baseColWidth="10" defaultRowHeight="15"/>
  <cols>
    <col min="1" max="1" width="3" customWidth="1"/>
    <col min="2" max="2" width="13.140625" customWidth="1"/>
    <col min="3" max="3" width="16.28515625" customWidth="1"/>
    <col min="4" max="4" width="11.42578125" customWidth="1"/>
    <col min="5" max="5" width="10.42578125" customWidth="1"/>
    <col min="6" max="6" width="8.140625" customWidth="1"/>
    <col min="7" max="13" width="9.140625" customWidth="1"/>
    <col min="14" max="14" width="5.42578125" customWidth="1"/>
  </cols>
  <sheetData>
    <row r="2" spans="2:14" ht="23.25">
      <c r="G2" s="29" t="s">
        <v>49</v>
      </c>
    </row>
    <row r="3" spans="2:14" ht="15" customHeight="1" thickBot="1"/>
    <row r="4" spans="2:14" ht="75" customHeight="1" thickBot="1">
      <c r="B4" s="40" t="s">
        <v>9</v>
      </c>
      <c r="C4" s="41" t="s">
        <v>8</v>
      </c>
      <c r="D4" s="42" t="s">
        <v>54</v>
      </c>
      <c r="E4" s="43" t="s">
        <v>55</v>
      </c>
      <c r="F4" s="45" t="s">
        <v>58</v>
      </c>
      <c r="G4" s="54" t="s">
        <v>3</v>
      </c>
      <c r="H4" s="54" t="s">
        <v>2</v>
      </c>
      <c r="I4" s="54" t="s">
        <v>1</v>
      </c>
      <c r="J4" s="54" t="s">
        <v>0</v>
      </c>
      <c r="K4" s="54" t="s">
        <v>4</v>
      </c>
      <c r="L4" s="55" t="s">
        <v>5</v>
      </c>
      <c r="M4" s="44" t="s">
        <v>43</v>
      </c>
    </row>
    <row r="5" spans="2:14">
      <c r="B5" s="33" t="s">
        <v>18</v>
      </c>
      <c r="C5" s="34" t="s">
        <v>19</v>
      </c>
      <c r="D5" s="35" t="s">
        <v>17</v>
      </c>
      <c r="E5" s="46">
        <v>1000</v>
      </c>
      <c r="F5" s="47">
        <f>SUBTOTAL(2,Samsung_Galaxy_S_2.1[])/6</f>
        <v>1</v>
      </c>
      <c r="G5" s="56">
        <f>IF(ISERROR(SUBTOTAL(1,Samsung_Galaxy_S_2.1[Sprite])),"?",(SUBTOTAL(1,Samsung_Galaxy_S_2.1[Sprite])))</f>
        <v>25.367393</v>
      </c>
      <c r="H5" s="57">
        <f>IF(ISERROR(SUBTOTAL(1,Samsung_Galaxy_S_2.1[Animation])),"?",(SUBTOTAL(1,Samsung_Galaxy_S_2.1[Animation])))</f>
        <v>28.268608</v>
      </c>
      <c r="I5" s="57">
        <f>IF(ISERROR(SUBTOTAL(1,Samsung_Galaxy_S_2.1[ShapeModifier])),"?",(SUBTOTAL(1,Samsung_Galaxy_S_2.1[ShapeModifier])))</f>
        <v>35.899982000000001</v>
      </c>
      <c r="J5" s="57">
        <f>IF(ISERROR(SUBTOTAL(1,Samsung_Galaxy_S_2.1[TickerText])),"?",(SUBTOTAL(1,Samsung_Galaxy_S_2.1[TickerText])))</f>
        <v>25.116581</v>
      </c>
      <c r="K5" s="57">
        <f>IF(ISERROR(SUBTOTAL(1,Samsung_Galaxy_S_2.1[ParticleSystem])),"?",(SUBTOTAL(1,Samsung_Galaxy_S_2.1[ParticleSystem])))</f>
        <v>40.272410000000001</v>
      </c>
      <c r="L5" s="58">
        <f>IF(ISERROR(SUBTOTAL(1,Samsung_Galaxy_S_2.1[Box2D-Physics])),"?",(SUBTOTAL(1,Samsung_Galaxy_S_2.1[Box2D-Physics])))</f>
        <v>31.072804999999999</v>
      </c>
      <c r="M5" s="51">
        <f>IF(ISERROR(AVERAGE(Benchmark[[#This Row],[Sprite]:[Box2D-Physics]])),"?",(AVERAGE(Benchmark[[#This Row],[Sprite]:[Box2D-Physics]])))</f>
        <v>30.99962983333333</v>
      </c>
    </row>
    <row r="6" spans="2:14">
      <c r="B6" s="21" t="s">
        <v>10</v>
      </c>
      <c r="C6" s="22" t="s">
        <v>20</v>
      </c>
      <c r="D6" s="32" t="s">
        <v>21</v>
      </c>
      <c r="E6" s="36">
        <v>1000</v>
      </c>
      <c r="F6" s="47">
        <f>SUBTOTAL(2,HTC_Nexus_One_2.2[])/6</f>
        <v>2.5</v>
      </c>
      <c r="G6" s="23">
        <f>IF(ISERROR(SUBTOTAL(1,HTC_Nexus_One_2.2[Sprite])),"?",(SUBTOTAL(1,HTC_Nexus_One_2.2[Sprite])))</f>
        <v>14.922869500000001</v>
      </c>
      <c r="H6" s="24">
        <f>IF(ISERROR(SUBTOTAL(1,HTC_Nexus_One_2.2[Animation])),"?",(SUBTOTAL(1,HTC_Nexus_One_2.2[Animation])))</f>
        <v>16.313920500000002</v>
      </c>
      <c r="I6" s="24">
        <f>IF(ISERROR(SUBTOTAL(1,HTC_Nexus_One_2.2[ShapeModifier])),"?",(SUBTOTAL(1,HTC_Nexus_One_2.2[ShapeModifier])))</f>
        <v>19.314080999999998</v>
      </c>
      <c r="J6" s="24">
        <f>IF(ISERROR(SUBTOTAL(1,HTC_Nexus_One_2.2[TickerText])),"?",(SUBTOTAL(1,HTC_Nexus_One_2.2[TickerText])))</f>
        <v>18.939761000000001</v>
      </c>
      <c r="K6" s="24">
        <f>IF(ISERROR(SUBTOTAL(1,HTC_Nexus_One_2.2[ParticleSystem])),"?",(SUBTOTAL(1,HTC_Nexus_One_2.2[ParticleSystem])))</f>
        <v>25.525525999999999</v>
      </c>
      <c r="L6" s="30">
        <f>IF(ISERROR(SUBTOTAL(1,HTC_Nexus_One_2.2[Box2D-Physics])),"?",(SUBTOTAL(1,HTC_Nexus_One_2.2[Box2D-Physics])))</f>
        <v>24.2664303</v>
      </c>
      <c r="M6" s="52">
        <f>IF(ISERROR(AVERAGE(Benchmark[[#This Row],[Sprite]:[Box2D-Physics]])),"?",(AVERAGE(Benchmark[[#This Row],[Sprite]:[Box2D-Physics]])))</f>
        <v>19.880431383333335</v>
      </c>
    </row>
    <row r="7" spans="2:14">
      <c r="B7" s="21" t="s">
        <v>10</v>
      </c>
      <c r="C7" s="22" t="s">
        <v>20</v>
      </c>
      <c r="D7" s="39" t="s">
        <v>44</v>
      </c>
      <c r="E7" s="36">
        <v>1000</v>
      </c>
      <c r="F7" s="47">
        <f>SUBTOTAL(2,HTC_Nexus_One_2.2_MoDaCo_r20[])/6</f>
        <v>1</v>
      </c>
      <c r="G7" s="23">
        <f>IF(ISERROR(SUBTOTAL(1,HTC_Nexus_One_2.2_MoDaCo_r20[Sprite])),"?",(SUBTOTAL(1,HTC_Nexus_One_2.2_MoDaCo_r20[Sprite])))</f>
        <v>17.269221999999999</v>
      </c>
      <c r="H7" s="24">
        <f>IF(ISERROR(SUBTOTAL(1,HTC_Nexus_One_2.2_MoDaCo_r20[Animation])),"?",(SUBTOTAL(1,HTC_Nexus_One_2.2_MoDaCo_r20[Animation])))</f>
        <v>15.531084999999999</v>
      </c>
      <c r="I7" s="24">
        <f>IF(ISERROR(SUBTOTAL(1,HTC_Nexus_One_2.2_MoDaCo_r20[ShapeModifier])),"?",(SUBTOTAL(1,HTC_Nexus_One_2.2_MoDaCo_r20[ShapeModifier])))</f>
        <v>18.836193000000002</v>
      </c>
      <c r="J7" s="24">
        <f>IF(ISERROR(SUBTOTAL(1,HTC_Nexus_One_2.2_MoDaCo_r20[TickerText])),"?",(SUBTOTAL(1,HTC_Nexus_One_2.2_MoDaCo_r20[TickerText])))</f>
        <v>17.784476999999999</v>
      </c>
      <c r="K7" s="24">
        <f>IF(ISERROR(SUBTOTAL(1,HTC_Nexus_One_2.2_MoDaCo_r20[ParticleSystem])),"?",(SUBTOTAL(1,HTC_Nexus_One_2.2_MoDaCo_r20[ParticleSystem])))</f>
        <v>21.471651000000001</v>
      </c>
      <c r="L7" s="30">
        <f>IF(ISERROR(SUBTOTAL(1,HTC_Nexus_One_2.2_MoDaCo_r20[Box2D-Physics])),"?",(SUBTOTAL(1,HTC_Nexus_One_2.2_MoDaCo_r20[Box2D-Physics])))</f>
        <v>20.804794000000001</v>
      </c>
      <c r="M7" s="52">
        <f>IF(ISERROR(AVERAGE(Benchmark[[#This Row],[Sprite]:[Box2D-Physics]])),"?",(AVERAGE(Benchmark[[#This Row],[Sprite]:[Box2D-Physics]])))</f>
        <v>18.616237000000002</v>
      </c>
    </row>
    <row r="8" spans="2:14">
      <c r="B8" s="21" t="s">
        <v>10</v>
      </c>
      <c r="C8" s="22" t="s">
        <v>30</v>
      </c>
      <c r="D8" s="32" t="s">
        <v>17</v>
      </c>
      <c r="E8" s="36">
        <v>1000</v>
      </c>
      <c r="F8" s="47">
        <f>SUBTOTAL(2,HTC_Droid_Incredible_2.1[])/6</f>
        <v>0.83333333333333337</v>
      </c>
      <c r="G8" s="23">
        <f>IF(ISERROR(SUBTOTAL(1,HTC_Droid_Incredible_2.1[Sprite])),"?",(SUBTOTAL(101,HTC_Droid_Incredible_2.1[Sprite])))</f>
        <v>13.379421000000001</v>
      </c>
      <c r="H8" s="24">
        <f>IF(ISERROR(SUBTOTAL(1,HTC_Droid_Incredible_2.1[Animation])),"?",(SUBTOTAL(101,HTC_Droid_Incredible_2.1[Animation])))</f>
        <v>11.917116999999999</v>
      </c>
      <c r="I8" s="24">
        <f>IF(ISERROR(SUBTOTAL(1,HTC_Droid_Incredible_2.1[ShapeModifier])),"?",(SUBTOTAL(101,HTC_Droid_Incredible_2.1[ShapeModifier])))</f>
        <v>15.435746999999999</v>
      </c>
      <c r="J8" s="24">
        <f>IF(ISERROR(SUBTOTAL(1,HTC_Droid_Incredible_2.1[TickerText])),"?",(SUBTOTAL(101,HTC_Droid_Incredible_2.1[TickerText])))</f>
        <v>15.865864999999999</v>
      </c>
      <c r="K8" s="24">
        <f>IF(ISERROR(SUBTOTAL(1,HTC_Droid_Incredible_2.1[ParticleSystem])),"?",(SUBTOTAL(101,HTC_Droid_Incredible_2.1[ParticleSystem])))</f>
        <v>15.810184</v>
      </c>
      <c r="L8" s="30" t="str">
        <f>IF(ISERROR(SUBTOTAL(1,HTC_Droid_Incredible_2.1[Box2D-Physics])),"?",(SUBTOTAL(101,HTC_Droid_Incredible_2.1[Box2D-Physics])))</f>
        <v>?</v>
      </c>
      <c r="M8" s="52">
        <f>IF(ISERROR(AVERAGE(Benchmark[[#This Row],[Sprite]:[Box2D-Physics]])),"?",(AVERAGE(Benchmark[[#This Row],[Sprite]:[Box2D-Physics]])))</f>
        <v>14.481666799999999</v>
      </c>
    </row>
    <row r="9" spans="2:14">
      <c r="B9" s="21" t="s">
        <v>10</v>
      </c>
      <c r="C9" s="22" t="s">
        <v>23</v>
      </c>
      <c r="D9" s="32" t="s">
        <v>17</v>
      </c>
      <c r="E9" s="36">
        <v>1000</v>
      </c>
      <c r="F9" s="47">
        <f>SUBTOTAL(2,HTC_Desire_2.1[])/6</f>
        <v>0.5</v>
      </c>
      <c r="G9" s="23" t="str">
        <f>IF(ISERROR(SUBTOTAL(1,HTC_Desire_2.1[Sprite])),"?",(SUBTOTAL(1,HTC_Desire_2.1[Sprite])))</f>
        <v>?</v>
      </c>
      <c r="H9" s="24">
        <f>IF(ISERROR(SUBTOTAL(1,HTC_Desire_2.1[Animation])),"?",(SUBTOTAL(1,HTC_Desire_2.1[Animation])))</f>
        <v>11.735962000000001</v>
      </c>
      <c r="I9" s="24">
        <f>IF(ISERROR(SUBTOTAL(1,HTC_Desire_2.1[ShapeModifier])),"?",(SUBTOTAL(1,HTC_Desire_2.1[ShapeModifier])))</f>
        <v>15.083520999999999</v>
      </c>
      <c r="J9" s="24" t="str">
        <f>IF(ISERROR(SUBTOTAL(1,HTC_Desire_2.1[TickerText])),"?",(SUBTOTAL(1,HTC_Desire_2.1[TickerText])))</f>
        <v>?</v>
      </c>
      <c r="K9" s="24">
        <f>IF(ISERROR(SUBTOTAL(1,HTC_Desire_2.1[ParticleSystem])),"?",(SUBTOTAL(1,HTC_Desire_2.1[ParticleSystem])))</f>
        <v>15.923451999999999</v>
      </c>
      <c r="L9" s="30" t="str">
        <f>IF(ISERROR(SUBTOTAL(1,HTC_Desire_2.1[Box2D-Physics])),"?",(SUBTOTAL(1,HTC_Desire_2.1[Box2D-Physics])))</f>
        <v>?</v>
      </c>
      <c r="M9" s="52">
        <f>IF(ISERROR(AVERAGE(Benchmark[[#This Row],[Sprite]:[Box2D-Physics]])),"?",(AVERAGE(Benchmark[[#This Row],[Sprite]:[Box2D-Physics]])))</f>
        <v>14.247644999999999</v>
      </c>
    </row>
    <row r="10" spans="2:14">
      <c r="B10" s="21" t="s">
        <v>10</v>
      </c>
      <c r="C10" s="22" t="s">
        <v>20</v>
      </c>
      <c r="D10" s="32" t="s">
        <v>17</v>
      </c>
      <c r="E10" s="36">
        <v>1000</v>
      </c>
      <c r="F10" s="47">
        <f>SUBTOTAL(2,HTC_Nexus_One_2.1[])/6</f>
        <v>1.8333333333333333</v>
      </c>
      <c r="G10" s="23">
        <f>IF(ISERROR(SUBTOTAL(1,HTC_Nexus_One_2.1[Sprite])),"?",(SUBTOTAL(1,HTC_Nexus_One_2.1[Sprite])))</f>
        <v>14.475951250000001</v>
      </c>
      <c r="H10" s="24">
        <f>IF(ISERROR(SUBTOTAL(1,HTC_Nexus_One_2.1[Animation])),"?",(SUBTOTAL(1,HTC_Nexus_One_2.1[Animation])))</f>
        <v>11.497117699999999</v>
      </c>
      <c r="I10" s="24">
        <f>IF(ISERROR(SUBTOTAL(1,HTC_Nexus_One_2.1[ShapeModifier])),"?",(SUBTOTAL(1,HTC_Nexus_One_2.1[ShapeModifier])))</f>
        <v>15.965774333333334</v>
      </c>
      <c r="J10" s="24">
        <f>IF(ISERROR(SUBTOTAL(1,HTC_Nexus_One_2.1[TickerText])),"?",(SUBTOTAL(1,HTC_Nexus_One_2.1[TickerText])))</f>
        <v>14.288466</v>
      </c>
      <c r="K10" s="24" t="str">
        <f>IF(ISERROR(SUBTOTAL(1,HTC_Nexus_One_2.1[ParticleSystem])),"?",(SUBTOTAL(1,HTC_Nexus_One_2.1[ParticleSystem])))</f>
        <v>?</v>
      </c>
      <c r="L10" s="30" t="str">
        <f>IF(ISERROR(SUBTOTAL(1,HTC_Nexus_One_2.1[Box2D-Physics])),"?",(SUBTOTAL(1,HTC_Nexus_One_2.1[Box2D-Physics])))</f>
        <v>?</v>
      </c>
      <c r="M10" s="52">
        <f>IF(ISERROR(AVERAGE(Benchmark[[#This Row],[Sprite]:[Box2D-Physics]])),"?",(AVERAGE(Benchmark[[#This Row],[Sprite]:[Box2D-Physics]])))</f>
        <v>14.056827320833333</v>
      </c>
      <c r="N10" t="s">
        <v>57</v>
      </c>
    </row>
    <row r="11" spans="2:14">
      <c r="B11" s="21" t="s">
        <v>10</v>
      </c>
      <c r="C11" s="22" t="s">
        <v>26</v>
      </c>
      <c r="D11" s="32" t="s">
        <v>17</v>
      </c>
      <c r="E11" s="36">
        <v>600</v>
      </c>
      <c r="F11" s="47">
        <f>SUBTOTAL(2,HTC_Legend_2.1[])/6</f>
        <v>0.5</v>
      </c>
      <c r="G11" s="23" t="str">
        <f>IF(ISERROR(SUBTOTAL(1,HTC_Legend_2.1[Sprite])),"?",(SUBTOTAL(1,HTC_Legend_2.1[Sprite])))</f>
        <v>?</v>
      </c>
      <c r="H11" s="24" t="str">
        <f>IF(ISERROR(SUBTOTAL(1,HTC_Legend_2.1[Animation])),"?",(SUBTOTAL(1,HTC_Legend_2.1[Animation])))</f>
        <v>?</v>
      </c>
      <c r="I11" s="24">
        <f>IF(ISERROR(SUBTOTAL(1,HTC_Legend_2.1[ShapeModifier])),"?",(SUBTOTAL(1,HTC_Legend_2.1[ShapeModifier])))</f>
        <v>9.7283609999999996</v>
      </c>
      <c r="J11" s="24">
        <f>IF(ISERROR(SUBTOTAL(1,HTC_Legend_2.1[TickerText])),"?",(SUBTOTAL(1,HTC_Legend_2.1[TickerText])))</f>
        <v>21.894788999999999</v>
      </c>
      <c r="K11" s="24">
        <f>IF(ISERROR(SUBTOTAL(1,HTC_Legend_2.1[ParticleSystem])),"?",(SUBTOTAL(1,HTC_Legend_2.1[ParticleSystem])))</f>
        <v>10.11773</v>
      </c>
      <c r="L11" s="30" t="str">
        <f>IF(ISERROR(SUBTOTAL(1,HTC_Legend_2.1[Box2D-Physics])),"?",(SUBTOTAL(1,HTC_Legend_2.1[Box2D-Physics])))</f>
        <v>?</v>
      </c>
      <c r="M11" s="52">
        <f>IF(ISERROR(AVERAGE(Benchmark[[#This Row],[Sprite]:[Box2D-Physics]])),"?",(AVERAGE(Benchmark[[#This Row],[Sprite]:[Box2D-Physics]])))</f>
        <v>13.913626666666666</v>
      </c>
    </row>
    <row r="12" spans="2:14">
      <c r="B12" s="21" t="s">
        <v>16</v>
      </c>
      <c r="C12" s="22" t="s">
        <v>56</v>
      </c>
      <c r="D12" s="32" t="s">
        <v>17</v>
      </c>
      <c r="E12" s="36">
        <v>550</v>
      </c>
      <c r="F12" s="47">
        <f>SUBTOTAL(2,Motorola_Droid_2.1[])/6</f>
        <v>1.6666666666666667</v>
      </c>
      <c r="G12" s="23">
        <f>IF(ISERROR(SUBTOTAL(1,Motorola_Droid_2.1[Sprite])),"?",(SUBTOTAL(1,Motorola_Droid_2.1[Sprite])))</f>
        <v>10.067555</v>
      </c>
      <c r="H12" s="24">
        <f>IF(ISERROR(SUBTOTAL(1,Motorola_Droid_2.1[Animation])),"?",(SUBTOTAL(1,Motorola_Droid_2.1[Animation])))</f>
        <v>9.7792589999999997</v>
      </c>
      <c r="I12" s="24">
        <f>IF(ISERROR(SUBTOTAL(1,Motorola_Droid_2.1[ShapeModifier])),"?",(SUBTOTAL(1,Motorola_Droid_2.1[ShapeModifier])))</f>
        <v>17.582723999999999</v>
      </c>
      <c r="J12" s="24">
        <f>IF(ISERROR(SUBTOTAL(1,Motorola_Droid_2.1[TickerText])),"?",(SUBTOTAL(1,Motorola_Droid_2.1[TickerText])))</f>
        <v>6.6133508499999998</v>
      </c>
      <c r="K12" s="24">
        <f>IF(ISERROR(SUBTOTAL(1,Motorola_Droid_2.1[ParticleSystem])),"?",(SUBTOTAL(1,Motorola_Droid_2.1[ParticleSystem])))</f>
        <v>15.275971999999999</v>
      </c>
      <c r="L12" s="30">
        <f>IF(ISERROR(SUBTOTAL(1,Motorola_Droid_2.1[Box2D-Physics])),"?",(SUBTOTAL(1,Motorola_Droid_2.1[Box2D-Physics])))</f>
        <v>15.0093785</v>
      </c>
      <c r="M12" s="52">
        <f>IF(ISERROR(AVERAGE(Benchmark[[#This Row],[Sprite]:[Box2D-Physics]])),"?",(AVERAGE(Benchmark[[#This Row],[Sprite]:[Box2D-Physics]])))</f>
        <v>12.388039891666665</v>
      </c>
    </row>
    <row r="13" spans="2:14">
      <c r="B13" s="21" t="s">
        <v>14</v>
      </c>
      <c r="C13" s="22" t="s">
        <v>15</v>
      </c>
      <c r="D13" s="32" t="s">
        <v>7</v>
      </c>
      <c r="E13" s="36">
        <v>1000</v>
      </c>
      <c r="F13" s="47">
        <f>SUBTOTAL(2,Sony_Ericsson_x10i_1.6[])/6</f>
        <v>0.66666666666666663</v>
      </c>
      <c r="G13" s="23">
        <f>IF(ISERROR(SUBTOTAL(1,Sony_Ericsson_x10i_1.6[Sprite])),"?",(SUBTOTAL(1,Sony_Ericsson_x10i_1.6[Sprite])))</f>
        <v>13.299028</v>
      </c>
      <c r="H13" s="24">
        <f>IF(ISERROR(SUBTOTAL(1,Sony_Ericsson_x10i_1.6[Animation])),"?",(SUBTOTAL(1,Sony_Ericsson_x10i_1.6[Animation])))</f>
        <v>8.7267685000000004</v>
      </c>
      <c r="I13" s="24">
        <f>IF(ISERROR(SUBTOTAL(1,Sony_Ericsson_x10i_1.6[ShapeModifier])),"?",(SUBTOTAL(1,Sony_Ericsson_x10i_1.6[ShapeModifier])))</f>
        <v>12.229005000000001</v>
      </c>
      <c r="J13" s="24" t="str">
        <f>IF(ISERROR(SUBTOTAL(1,Sony_Ericsson_x10i_1.6[TickerText])),"?",(SUBTOTAL(1,Sony_Ericsson_x10i_1.6[TickerText])))</f>
        <v>?</v>
      </c>
      <c r="K13" s="24">
        <f>IF(ISERROR(SUBTOTAL(1,Sony_Ericsson_x10i_1.6[ParticleSystem])),"?",(SUBTOTAL(1,Sony_Ericsson_x10i_1.6[ParticleSystem])))</f>
        <v>15.026707999999999</v>
      </c>
      <c r="L13" s="30" t="str">
        <f>IF(ISERROR(SUBTOTAL(1,Sony_Ericsson_x10i_1.6[Box2D-Physics])),"?",(SUBTOTAL(1,Sony_Ericsson_x10i_1.6[Box2D-Physics])))</f>
        <v>?</v>
      </c>
      <c r="M13" s="52">
        <f>IF(ISERROR(AVERAGE(Benchmark[[#This Row],[Sprite]:[Box2D-Physics]])),"?",(AVERAGE(Benchmark[[#This Row],[Sprite]:[Box2D-Physics]])))</f>
        <v>12.320377375</v>
      </c>
    </row>
    <row r="14" spans="2:14">
      <c r="B14" s="21" t="s">
        <v>10</v>
      </c>
      <c r="C14" s="22" t="s">
        <v>38</v>
      </c>
      <c r="D14" s="32" t="s">
        <v>17</v>
      </c>
      <c r="E14" s="36">
        <v>1000</v>
      </c>
      <c r="F14" s="47">
        <f>SUBTOTAL(2,HTC_Evo_4G_Supersonic_2.1[])/6</f>
        <v>0.5</v>
      </c>
      <c r="G14" s="23" t="str">
        <f>IF(ISERROR(SUBTOTAL(1,HTC_Evo_4G_Supersonic_2.1[Sprite])),"?",(SUBTOTAL(1,HTC_Evo_4G_Supersonic_2.1[Sprite])))</f>
        <v>?</v>
      </c>
      <c r="H14" s="24">
        <f>IF(ISERROR(SUBTOTAL(1,HTC_Evo_4G_Supersonic_2.1[Animation])),"?",(SUBTOTAL(1,HTC_Evo_4G_Supersonic_2.1[Animation])))</f>
        <v>11.019192</v>
      </c>
      <c r="I14" s="24">
        <f>IF(ISERROR(SUBTOTAL(1,HTC_Evo_4G_Supersonic_2.1[ShapeModifier])),"?",(SUBTOTAL(1,HTC_Evo_4G_Supersonic_2.1[ShapeModifier])))</f>
        <v>14.979018</v>
      </c>
      <c r="J14" s="24">
        <f>IF(ISERROR(SUBTOTAL(1,HTC_Evo_4G_Supersonic_2.1[TickerText])),"?",(SUBTOTAL(1,HTC_Evo_4G_Supersonic_2.1[TickerText])))</f>
        <v>10.795321</v>
      </c>
      <c r="K14" s="24" t="str">
        <f>IF(ISERROR(SUBTOTAL(1,HTC_Evo_4G_Supersonic_2.1[ParticleSystem])),"?",(SUBTOTAL(1,HTC_Evo_4G_Supersonic_2.1[ParticleSystem])))</f>
        <v>?</v>
      </c>
      <c r="L14" s="30" t="str">
        <f>IF(ISERROR(SUBTOTAL(1,HTC_Evo_4G_Supersonic_2.1[Box2D-Physics])),"?",(SUBTOTAL(1,HTC_Evo_4G_Supersonic_2.1[Box2D-Physics])))</f>
        <v>?</v>
      </c>
      <c r="M14" s="52">
        <f>IF(ISERROR(AVERAGE(Benchmark[[#This Row],[Sprite]:[Box2D-Physics]])),"?",(AVERAGE(Benchmark[[#This Row],[Sprite]:[Box2D-Physics]])))</f>
        <v>12.264510333333334</v>
      </c>
    </row>
    <row r="15" spans="2:14">
      <c r="B15" s="21" t="s">
        <v>10</v>
      </c>
      <c r="C15" s="22" t="s">
        <v>11</v>
      </c>
      <c r="D15" s="39" t="s">
        <v>50</v>
      </c>
      <c r="E15" s="36">
        <v>528</v>
      </c>
      <c r="F15" s="47">
        <f>SUBTOTAL(2,HTC_Hero_Hiapk_2.18[])/6</f>
        <v>0.33333333333333331</v>
      </c>
      <c r="G15" s="23" t="str">
        <f>IF(ISERROR(SUBTOTAL(1,HTC_Hero_Hiapk_2.18[Sprite])),"?",(SUBTOTAL(1,HTC_Hero_Hiapk_2.18[Sprite])))</f>
        <v>?</v>
      </c>
      <c r="H15" s="24" t="str">
        <f>IF(ISERROR(SUBTOTAL(1,HTC_Hero_Hiapk_2.18[Animation])),"?",(SUBTOTAL(1,HTC_Hero_Hiapk_2.18[Animation])))</f>
        <v>?</v>
      </c>
      <c r="I15" s="24" t="str">
        <f>IF(ISERROR(SUBTOTAL(1,HTC_Hero_Hiapk_2.18[ShapeModifier])),"?",(SUBTOTAL(1,HTC_Hero_Hiapk_2.18[ShapeModifier])))</f>
        <v>?</v>
      </c>
      <c r="J15" s="24" t="str">
        <f>IF(ISERROR(SUBTOTAL(1,HTC_Hero_Hiapk_2.18[TickerText])),"?",(SUBTOTAL(1,HTC_Hero_Hiapk_2.18[TickerText])))</f>
        <v>?</v>
      </c>
      <c r="K15" s="24">
        <f>IF(ISERROR(SUBTOTAL(1,HTC_Hero_Hiapk_2.18[ParticleSystem])),"?",(SUBTOTAL(1,HTC_Hero_Hiapk_2.18[ParticleSystem])))</f>
        <v>6.5550036</v>
      </c>
      <c r="L15" s="30">
        <f>IF(ISERROR(SUBTOTAL(1,HTC_Hero_Hiapk_2.18[Box2D-Physics])),"?",(SUBTOTAL(1,HTC_Hero_Hiapk_2.18[Box2D-Physics])))</f>
        <v>5.4402046000000004</v>
      </c>
      <c r="M15" s="52">
        <f>IF(ISERROR(AVERAGE(Benchmark[[#This Row],[Sprite]:[Box2D-Physics]])),"?",(AVERAGE(Benchmark[[#This Row],[Sprite]:[Box2D-Physics]])))</f>
        <v>5.9976041000000002</v>
      </c>
    </row>
    <row r="16" spans="2:14">
      <c r="B16" s="21" t="s">
        <v>10</v>
      </c>
      <c r="C16" s="22" t="s">
        <v>11</v>
      </c>
      <c r="D16" s="39" t="s">
        <v>6</v>
      </c>
      <c r="E16" s="36">
        <v>528</v>
      </c>
      <c r="F16" s="47">
        <f>SUBTOTAL(2,HTC_Hero_Hiapk_2.18[])/6</f>
        <v>0.33333333333333331</v>
      </c>
      <c r="G16" s="23">
        <f>IF(ISERROR(SUBTOTAL(1,HTC_Hero_VanillaEclair_4.0[Sprite])),"?",(SUBTOTAL(1,HTC_Hero_VanillaEclair_4.0[Sprite])))</f>
        <v>5.0411853999999998</v>
      </c>
      <c r="H16" s="24">
        <f>IF(ISERROR(SUBTOTAL(1,HTC_Hero_VanillaEclair_4.0[Animation])),"?",(SUBTOTAL(1,HTC_Hero_VanillaEclair_4.0[Animation])))</f>
        <v>5.1484027000000001</v>
      </c>
      <c r="I16" s="24">
        <f>IF(ISERROR(SUBTOTAL(1,HTC_Hero_VanillaEclair_4.0[ShapeModifier])),"?",(SUBTOTAL(1,HTC_Hero_VanillaEclair_4.0[ShapeModifier])))</f>
        <v>6.4483629999999996</v>
      </c>
      <c r="J16" s="24">
        <f>IF(ISERROR(SUBTOTAL(1,HTC_Hero_VanillaEclair_4.0[TickerText])),"?",(SUBTOTAL(1,HTC_Hero_VanillaEclair_4.0[TickerText])))</f>
        <v>6.1750499999999997</v>
      </c>
      <c r="K16" s="24" t="str">
        <f>IF(ISERROR(SUBTOTAL(1,HTC_Hero_VanillaEclair_4.0[ParticleSystem])),"?",(SUBTOTAL(1,HTC_Hero_VanillaEclair_4.0[ParticleSystem])))</f>
        <v>?</v>
      </c>
      <c r="L16" s="30" t="str">
        <f>IF(ISERROR(SUBTOTAL(1,HTC_Hero_VanillaEclair_4.0[Box2D-Physics])),"?",(SUBTOTAL(1,HTC_Hero_VanillaEclair_4.0[Box2D-Physics])))</f>
        <v>?</v>
      </c>
      <c r="M16" s="52">
        <f>IF(ISERROR(AVERAGE(Benchmark[[#This Row],[Sprite]:[Box2D-Physics]])),"?",(AVERAGE(Benchmark[[#This Row],[Sprite]:[Box2D-Physics]])))</f>
        <v>5.7032502749999994</v>
      </c>
    </row>
    <row r="17" spans="2:13">
      <c r="B17" s="21" t="s">
        <v>10</v>
      </c>
      <c r="C17" s="22" t="s">
        <v>13</v>
      </c>
      <c r="D17" s="39" t="s">
        <v>60</v>
      </c>
      <c r="E17" s="36">
        <v>528</v>
      </c>
      <c r="F17" s="48">
        <f>SUBTOTAL(2,HTC_Dream_Cyanogen_2.1[])/6</f>
        <v>1</v>
      </c>
      <c r="G17" s="23">
        <f>IF(ISERROR(SUBTOTAL(1,HTC_Dream_Cyanogen_2.1[Sprite])),"?",(SUBTOTAL(1,HTC_Dream_Cyanogen_2.1[Sprite])))</f>
        <v>5.0072136</v>
      </c>
      <c r="H17" s="24">
        <f>IF(ISERROR(SUBTOTAL(1,HTC_Dream_Cyanogen_2.1[Animation])),"?",(SUBTOTAL(1,HTC_Dream_Cyanogen_2.1[Animation])))</f>
        <v>4.5709169999999997</v>
      </c>
      <c r="I17" s="24">
        <f>IF(ISERROR(SUBTOTAL(1,HTC_Dream_Cyanogen_2.1[ShapeModifier])),"?",(SUBTOTAL(1,HTC_Dream_Cyanogen_2.1[ShapeModifier])))</f>
        <v>6.9393643999999997</v>
      </c>
      <c r="J17" s="24">
        <f>IF(ISERROR(SUBTOTAL(1,HTC_Dream_Cyanogen_2.1[TickerText])),"?",(SUBTOTAL(1,HTC_Dream_Cyanogen_2.1[TickerText])))</f>
        <v>5.4820840000000004</v>
      </c>
      <c r="K17" s="24">
        <f>IF(ISERROR(SUBTOTAL(1,HTC_Dream_Cyanogen_2.1[ParticleSystem])),"?",(SUBTOTAL(1,HTC_Dream_Cyanogen_2.1[ParticleSystem])))</f>
        <v>6.1154102999999997</v>
      </c>
      <c r="L17" s="30">
        <f>IF(ISERROR(SUBTOTAL(1,HTC_Dream_Cyanogen_2.1[Box2D-Physics])),"?",(SUBTOTAL(1,HTC_Dream_Cyanogen_2.1[Box2D-Physics])))</f>
        <v>5.4332867</v>
      </c>
      <c r="M17" s="52">
        <f>IF(ISERROR(AVERAGE(Benchmark[[#This Row],[Sprite]:[Box2D-Physics]])),"?",(AVERAGE(Benchmark[[#This Row],[Sprite]:[Box2D-Physics]])))</f>
        <v>5.5913793333333333</v>
      </c>
    </row>
    <row r="18" spans="2:13">
      <c r="B18" s="21" t="s">
        <v>18</v>
      </c>
      <c r="C18" s="22" t="s">
        <v>47</v>
      </c>
      <c r="D18" s="32" t="s">
        <v>17</v>
      </c>
      <c r="E18" s="36">
        <v>800</v>
      </c>
      <c r="F18" s="47">
        <f>SUBTOTAL(2,Samsung_Galaxy_Spica_2.1[])/6</f>
        <v>0.16666666666666666</v>
      </c>
      <c r="G18" s="23" t="str">
        <f>IF(ISERROR(SUBTOTAL(1,Samsung_Galaxy_Spica_2.1[Sprite])),"?",(SUBTOTAL(1,Samsung_Galaxy_Spica_2.1[Sprite])))</f>
        <v>?</v>
      </c>
      <c r="H18" s="24" t="str">
        <f>IF(ISERROR(SUBTOTAL(1,Samsung_Galaxy_Spica_2.1[Animation])),"?",(SUBTOTAL(1,Samsung_Galaxy_Spica_2.1[Animation])))</f>
        <v>?</v>
      </c>
      <c r="I18" s="24" t="str">
        <f>IF(ISERROR(SUBTOTAL(1,Samsung_Galaxy_Spica_2.1[ShapeModifier])),"?",(SUBTOTAL(1,Samsung_Galaxy_Spica_2.1[ShapeModifier])))</f>
        <v>?</v>
      </c>
      <c r="J18" s="24" t="str">
        <f>IF(ISERROR(SUBTOTAL(1,Samsung_Galaxy_Spica_2.1[TickerText])),"?",(SUBTOTAL(1,Samsung_Galaxy_Spica_2.1[TickerText])))</f>
        <v>?</v>
      </c>
      <c r="K18" s="24" t="str">
        <f>IF(ISERROR(SUBTOTAL(1,Samsung_Galaxy_Spica_2.1[ParticleSystem])),"?",(SUBTOTAL(1,Samsung_Galaxy_Spica_2.1[ParticleSystem])))</f>
        <v>?</v>
      </c>
      <c r="L18" s="30">
        <f>IF(ISERROR(SUBTOTAL(1,Samsung_Galaxy_Spica_2.1[Box2D-Physics])),"?",(SUBTOTAL(1,Samsung_Galaxy_Spica_2.1[Box2D-Physics])))</f>
        <v>5.2552580000000004</v>
      </c>
      <c r="M18" s="52">
        <f>IF(ISERROR(AVERAGE(Benchmark[[#This Row],[Sprite]:[Box2D-Physics]])),"?",(AVERAGE(Benchmark[[#This Row],[Sprite]:[Box2D-Physics]])))</f>
        <v>5.2552580000000004</v>
      </c>
    </row>
    <row r="19" spans="2:13">
      <c r="B19" s="21" t="s">
        <v>10</v>
      </c>
      <c r="C19" s="22" t="s">
        <v>13</v>
      </c>
      <c r="D19" s="32" t="s">
        <v>7</v>
      </c>
      <c r="E19" s="36">
        <v>528</v>
      </c>
      <c r="F19" s="49">
        <f>SUBTOTAL(2,HTC_Dream_1.6[])/6</f>
        <v>2</v>
      </c>
      <c r="G19" s="23">
        <f>IF(ISERROR(SUBTOTAL(1,HTC_Dream_1.6[Sprite])),"?",(SUBTOTAL(1,HTC_Dream_1.6[Sprite])))</f>
        <v>3.9721511</v>
      </c>
      <c r="H19" s="24">
        <f>IF(ISERROR(SUBTOTAL(1,HTC_Dream_1.6[Animation])),"?",(SUBTOTAL(1,HTC_Dream_1.6[Animation])))</f>
        <v>4.0216501999999998</v>
      </c>
      <c r="I19" s="24">
        <f>IF(ISERROR(SUBTOTAL(1,HTC_Dream_1.6[ShapeModifier])),"?",(SUBTOTAL(1,HTC_Dream_1.6[ShapeModifier])))</f>
        <v>5.2090484999999997</v>
      </c>
      <c r="J19" s="24">
        <f>IF(ISERROR(SUBTOTAL(1,HTC_Dream_1.6[TickerText])),"?",(SUBTOTAL(1,HTC_Dream_1.6[TickerText])))</f>
        <v>6.6800147000000001</v>
      </c>
      <c r="K19" s="24">
        <f>IF(ISERROR(SUBTOTAL(1,HTC_Dream_1.6[ParticleSystem])),"?",(SUBTOTAL(1,HTC_Dream_1.6[ParticleSystem])))</f>
        <v>5.5421003999999998</v>
      </c>
      <c r="L19" s="30">
        <f>IF(ISERROR(SUBTOTAL(1,HTC_Dream_1.6[Box2D-Physics])),"?",(SUBTOTAL(1,HTC_Dream_1.6[Box2D-Physics])))</f>
        <v>4.440436</v>
      </c>
      <c r="M19" s="52">
        <f>IF(ISERROR(AVERAGE(Benchmark[[#This Row],[Sprite]:[Box2D-Physics]])),"?",(AVERAGE(Benchmark[[#This Row],[Sprite]:[Box2D-Physics]])))</f>
        <v>4.9775668166666662</v>
      </c>
    </row>
    <row r="20" spans="2:13">
      <c r="B20" s="21" t="s">
        <v>10</v>
      </c>
      <c r="C20" s="22" t="s">
        <v>52</v>
      </c>
      <c r="D20" s="32" t="s">
        <v>7</v>
      </c>
      <c r="E20" s="36">
        <v>528</v>
      </c>
      <c r="F20" s="47">
        <f>SUBTOTAL(2,HTC_myTouch3G_1.6[])/6</f>
        <v>0.83333333333333337</v>
      </c>
      <c r="G20" s="23">
        <f>IF(ISERROR(SUBTOTAL(1,HTC_myTouch3G_1.6[Sprite])),"?",(SUBTOTAL(1,HTC_myTouch3G_1.6[Sprite])))</f>
        <v>4.1197623999999999</v>
      </c>
      <c r="H20" s="24">
        <f>IF(ISERROR(SUBTOTAL(1,HTC_myTouch3G_1.6[Animation])),"?",(SUBTOTAL(1,HTC_myTouch3G_1.6[Animation])))</f>
        <v>1.87686</v>
      </c>
      <c r="I20" s="24">
        <f>IF(ISERROR(SUBTOTAL(1,HTC_myTouch3G_1.6[ShapeModifier])),"?",(SUBTOTAL(1,HTC_myTouch3G_1.6[ShapeModifier])))</f>
        <v>5.5699643999999999</v>
      </c>
      <c r="J20" s="24">
        <f>IF(ISERROR(SUBTOTAL(1,HTC_myTouch3G_1.6[TickerText])),"?",(SUBTOTAL(1,HTC_myTouch3G_1.6[TickerText])))</f>
        <v>4.7583508500000002</v>
      </c>
      <c r="K20" s="24" t="str">
        <f>IF(ISERROR(SUBTOTAL(1,HTC_myTouch3G_1.6[ParticleSystem])),"?",(SUBTOTAL(1,HTC_myTouch3G_1.6[ParticleSystem])))</f>
        <v>?</v>
      </c>
      <c r="L20" s="30" t="str">
        <f>IF(ISERROR(SUBTOTAL(1,HTC_myTouch3G_1.6[Box2D-Physics])),"?",(SUBTOTAL(1,HTC_myTouch3G_1.6[Box2D-Physics])))</f>
        <v>?</v>
      </c>
      <c r="M20" s="52">
        <f>IF(ISERROR(AVERAGE(Benchmark[[#This Row],[Sprite]:[Box2D-Physics]])),"?",(AVERAGE(Benchmark[[#This Row],[Sprite]:[Box2D-Physics]])))</f>
        <v>4.0812344124999997</v>
      </c>
    </row>
    <row r="21" spans="2:13" ht="15.75" thickBot="1">
      <c r="B21" s="25" t="s">
        <v>10</v>
      </c>
      <c r="C21" s="26" t="s">
        <v>12</v>
      </c>
      <c r="D21" s="37" t="s">
        <v>7</v>
      </c>
      <c r="E21" s="38">
        <v>528</v>
      </c>
      <c r="F21" s="50">
        <f>SUBTOTAL(2,HTC_Tattoo_1.6[])/6</f>
        <v>1.6666666666666667</v>
      </c>
      <c r="G21" s="27">
        <f>IF(ISERROR(SUBTOTAL(1,HTC_Tattoo_1.6[Sprite])),"?",(SUBTOTAL(1,HTC_Tattoo_1.6[Sprite])))</f>
        <v>3.9166908500000002</v>
      </c>
      <c r="H21" s="28">
        <f>IF(ISERROR(SUBTOTAL(1,HTC_Tattoo_1.6[Animation])),"?",(SUBTOTAL(1,HTC_Tattoo_1.6[Animation])))</f>
        <v>2.4739784</v>
      </c>
      <c r="I21" s="28">
        <f>IF(ISERROR(SUBTOTAL(1,HTC_Tattoo_1.6[ShapeModifier])),"?",(SUBTOTAL(1,HTC_Tattoo_1.6[ShapeModifier])))</f>
        <v>5.5150470499999997</v>
      </c>
      <c r="J21" s="28">
        <f>IF(ISERROR(SUBTOTAL(1,HTC_Tattoo_1.6[TickerText])),"?",(SUBTOTAL(1,HTC_Tattoo_1.6[TickerText])))</f>
        <v>1.57046295</v>
      </c>
      <c r="K21" s="28">
        <f>IF(ISERROR(SUBTOTAL(1,HTC_Tattoo_1.6[ParticleSystem])),"?",(SUBTOTAL(1,HTC_Tattoo_1.6[ParticleSystem])))</f>
        <v>3.4163103000000001</v>
      </c>
      <c r="L21" s="31">
        <f>IF(ISERROR(SUBTOTAL(1,HTC_Tattoo_1.6[Box2D-Physics])),"?",(SUBTOTAL(1,HTC_Tattoo_1.6[Box2D-Physics])))</f>
        <v>4.9549089999999998</v>
      </c>
      <c r="M21" s="53">
        <f>IF(ISERROR(AVERAGE(Benchmark[[#This Row],[Sprite]:[Box2D-Physics]])),"?",(AVERAGE(Benchmark[[#This Row],[Sprite]:[Box2D-Physics]])))</f>
        <v>3.6412330916666669</v>
      </c>
    </row>
    <row r="50" spans="2:5">
      <c r="E50" s="2"/>
    </row>
    <row r="51" spans="2:5">
      <c r="B51" s="4"/>
    </row>
    <row r="53" spans="2:5">
      <c r="B53" s="4"/>
    </row>
  </sheetData>
  <conditionalFormatting sqref="M5:M21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:H2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I2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5:J2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:K21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:L21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:F21">
    <cfRule type="iconSet" priority="9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:E21">
    <cfRule type="iconSet" priority="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:G21 H19:L19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G54"/>
  <sheetViews>
    <sheetView topLeftCell="A18" zoomScaleNormal="100" workbookViewId="0">
      <selection activeCell="D49" sqref="D49"/>
    </sheetView>
  </sheetViews>
  <sheetFormatPr baseColWidth="10" defaultRowHeight="15"/>
  <cols>
    <col min="1" max="1" width="14.28515625" customWidth="1"/>
    <col min="2" max="7" width="11.42578125" customWidth="1"/>
  </cols>
  <sheetData>
    <row r="1" spans="1:7" ht="31.5">
      <c r="A1" s="10" t="s">
        <v>10</v>
      </c>
    </row>
    <row r="2" spans="1:7" ht="23.25">
      <c r="A2" s="17" t="s">
        <v>41</v>
      </c>
      <c r="C2" s="14"/>
    </row>
    <row r="3" spans="1:7" ht="62.25">
      <c r="A3" s="9" t="s">
        <v>22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27</v>
      </c>
      <c r="B4" s="1">
        <v>5.0411853999999998</v>
      </c>
      <c r="C4" s="1">
        <v>5.1484027000000001</v>
      </c>
      <c r="D4" s="1">
        <v>6.4483629999999996</v>
      </c>
      <c r="E4" s="1">
        <v>6.1750499999999997</v>
      </c>
      <c r="F4" s="1"/>
      <c r="G4" s="1"/>
    </row>
    <row r="5" spans="1:7">
      <c r="A5" s="3"/>
      <c r="B5" s="1"/>
      <c r="C5" s="1"/>
      <c r="D5" s="1"/>
      <c r="E5" s="1"/>
      <c r="F5" s="1"/>
      <c r="G5" s="1"/>
    </row>
    <row r="6" spans="1:7" ht="23.25">
      <c r="A6" s="17" t="s">
        <v>51</v>
      </c>
      <c r="C6" s="14"/>
    </row>
    <row r="7" spans="1:7">
      <c r="A7" s="3" t="s">
        <v>25</v>
      </c>
      <c r="B7" s="1"/>
      <c r="C7" s="1"/>
      <c r="D7" s="1"/>
      <c r="E7" s="1"/>
      <c r="F7" s="1">
        <v>6.5550036</v>
      </c>
      <c r="G7" s="1">
        <v>5.4402046000000004</v>
      </c>
    </row>
    <row r="8" spans="1:7">
      <c r="A8" s="3"/>
    </row>
    <row r="9" spans="1:7" ht="23.25">
      <c r="A9" s="17" t="s">
        <v>42</v>
      </c>
      <c r="C9" s="14"/>
    </row>
    <row r="10" spans="1:7">
      <c r="A10" s="3" t="s">
        <v>25</v>
      </c>
      <c r="B10" s="1">
        <v>3.9416714000000002</v>
      </c>
      <c r="C10" s="1">
        <v>2.4487576</v>
      </c>
      <c r="D10" s="1">
        <v>6.0736264999999996</v>
      </c>
      <c r="E10" s="1">
        <v>1.5668987000000001</v>
      </c>
      <c r="F10" s="1">
        <v>3.4163103000000001</v>
      </c>
      <c r="G10" s="1">
        <v>4.9549089999999998</v>
      </c>
    </row>
    <row r="11" spans="1:7">
      <c r="A11" s="3" t="s">
        <v>27</v>
      </c>
      <c r="B11" s="1"/>
      <c r="C11" s="1"/>
      <c r="D11" s="1"/>
      <c r="E11" s="1">
        <v>1.5740272</v>
      </c>
      <c r="F11" s="1"/>
      <c r="G11" s="1"/>
    </row>
    <row r="12" spans="1:7">
      <c r="A12" s="3" t="s">
        <v>28</v>
      </c>
      <c r="B12" s="1">
        <v>3.8917103000000002</v>
      </c>
      <c r="C12" s="1">
        <v>2.4991992000000001</v>
      </c>
      <c r="D12" s="1">
        <v>4.9564675999999999</v>
      </c>
      <c r="E12" s="1"/>
      <c r="F12" s="1"/>
      <c r="G12" s="1"/>
    </row>
    <row r="13" spans="1:7">
      <c r="A13" s="3"/>
    </row>
    <row r="14" spans="1:7" ht="23.25">
      <c r="A14" s="18" t="s">
        <v>33</v>
      </c>
      <c r="C14" s="20"/>
      <c r="D14" s="8"/>
      <c r="E14" s="8"/>
      <c r="F14" s="8"/>
      <c r="G14" s="8"/>
    </row>
    <row r="15" spans="1:7">
      <c r="A15" s="3" t="s">
        <v>25</v>
      </c>
      <c r="B15" s="1">
        <v>4.2367743999999998</v>
      </c>
      <c r="C15" s="1">
        <v>4.2539400000000001</v>
      </c>
      <c r="D15" s="1">
        <v>5.4064819999999996</v>
      </c>
      <c r="E15" s="1">
        <v>5.710941</v>
      </c>
      <c r="F15" s="1">
        <v>5.5421003999999998</v>
      </c>
      <c r="G15" s="1">
        <v>4.440436</v>
      </c>
    </row>
    <row r="16" spans="1:7">
      <c r="A16" s="3" t="s">
        <v>27</v>
      </c>
      <c r="B16" s="1">
        <v>3.4784402999999999</v>
      </c>
      <c r="C16" s="1">
        <v>3.5970689999999998</v>
      </c>
      <c r="D16" s="1"/>
      <c r="E16" s="1"/>
      <c r="F16" s="1"/>
      <c r="G16" s="1"/>
    </row>
    <row r="17" spans="1:7">
      <c r="A17" s="3" t="s">
        <v>27</v>
      </c>
      <c r="B17" s="1"/>
      <c r="C17" s="1"/>
      <c r="D17" s="1"/>
      <c r="E17" s="1">
        <v>7.6490884000000001</v>
      </c>
      <c r="F17" s="1"/>
      <c r="G17" s="1"/>
    </row>
    <row r="18" spans="1:7">
      <c r="A18" s="3" t="s">
        <v>28</v>
      </c>
      <c r="B18" s="1">
        <v>4.2012385999999999</v>
      </c>
      <c r="C18" s="1">
        <v>4.2139416000000001</v>
      </c>
      <c r="D18" s="1">
        <v>5.0116149999999999</v>
      </c>
      <c r="E18" s="1"/>
      <c r="F18" s="1"/>
      <c r="G18" s="1"/>
    </row>
    <row r="19" spans="1:7">
      <c r="A19" s="3"/>
      <c r="B19" s="1"/>
      <c r="C19" s="1"/>
      <c r="D19" s="1"/>
      <c r="E19" s="1"/>
      <c r="F19" s="1"/>
      <c r="G19" s="1"/>
    </row>
    <row r="20" spans="1:7" ht="23.25">
      <c r="A20" s="18" t="s">
        <v>59</v>
      </c>
      <c r="C20" s="20"/>
      <c r="D20" s="8"/>
      <c r="E20" s="8"/>
      <c r="F20" s="8"/>
      <c r="G20" s="8"/>
    </row>
    <row r="21" spans="1:7">
      <c r="A21" s="3" t="s">
        <v>25</v>
      </c>
      <c r="B21" s="1">
        <v>5.0072136</v>
      </c>
      <c r="C21" s="1">
        <v>4.5709169999999997</v>
      </c>
      <c r="D21" s="1">
        <v>6.9393643999999997</v>
      </c>
      <c r="E21" s="1">
        <v>5.4820840000000004</v>
      </c>
      <c r="F21" s="1">
        <v>6.1154102999999997</v>
      </c>
      <c r="G21" s="1">
        <v>5.4332867</v>
      </c>
    </row>
    <row r="22" spans="1:7">
      <c r="A22" s="3"/>
      <c r="B22" s="1"/>
      <c r="C22" s="1"/>
      <c r="D22" s="1"/>
      <c r="E22" s="1"/>
      <c r="F22" s="1"/>
      <c r="G22" s="1"/>
    </row>
    <row r="23" spans="1:7" ht="23.25">
      <c r="A23" s="17" t="s">
        <v>34</v>
      </c>
      <c r="C23" s="14"/>
    </row>
    <row r="24" spans="1:7">
      <c r="A24" s="3" t="s">
        <v>27</v>
      </c>
      <c r="B24" s="1">
        <v>16.069790000000001</v>
      </c>
      <c r="C24" s="1">
        <v>13.283298500000001</v>
      </c>
      <c r="D24" s="1">
        <v>16.816400000000002</v>
      </c>
      <c r="E24" s="1">
        <v>16.152923999999999</v>
      </c>
      <c r="F24" s="1"/>
      <c r="G24" s="1"/>
    </row>
    <row r="25" spans="1:7">
      <c r="A25" s="3" t="s">
        <v>27</v>
      </c>
      <c r="B25" s="1"/>
      <c r="C25" s="1">
        <v>7.4547276</v>
      </c>
      <c r="D25" s="1">
        <v>13.132629</v>
      </c>
      <c r="E25" s="1">
        <v>8.4898179999999996</v>
      </c>
      <c r="F25" s="1"/>
      <c r="G25" s="1"/>
    </row>
    <row r="26" spans="1:7">
      <c r="A26" s="3" t="s">
        <v>27</v>
      </c>
      <c r="B26" s="1"/>
      <c r="C26" s="1"/>
      <c r="D26" s="1"/>
      <c r="E26" s="1">
        <v>18.222656000000001</v>
      </c>
      <c r="F26" s="1"/>
      <c r="G26" s="1"/>
    </row>
    <row r="27" spans="1:7">
      <c r="A27" s="3" t="s">
        <v>28</v>
      </c>
      <c r="B27" s="1">
        <v>12.8821125</v>
      </c>
      <c r="C27" s="1">
        <v>13.753327000000001</v>
      </c>
      <c r="D27" s="1">
        <v>17.948294000000001</v>
      </c>
      <c r="E27" s="1"/>
      <c r="F27" s="1"/>
      <c r="G27" s="1"/>
    </row>
    <row r="28" spans="1:7">
      <c r="A28" s="3"/>
    </row>
    <row r="29" spans="1:7" ht="23.25">
      <c r="A29" s="17" t="s">
        <v>35</v>
      </c>
      <c r="C29" s="14"/>
    </row>
    <row r="30" spans="1:7">
      <c r="A30" s="3" t="s">
        <v>25</v>
      </c>
      <c r="B30" s="1">
        <v>17.351126000000001</v>
      </c>
      <c r="C30" s="1">
        <v>16.309711</v>
      </c>
      <c r="D30" s="1">
        <v>20.026050000000001</v>
      </c>
      <c r="E30" s="1">
        <v>18.254266000000001</v>
      </c>
      <c r="F30" s="1">
        <v>26.366634000000001</v>
      </c>
      <c r="G30" s="1">
        <v>25.671755600000001</v>
      </c>
    </row>
    <row r="31" spans="1:7">
      <c r="A31" s="3" t="s">
        <v>25</v>
      </c>
      <c r="B31" s="1">
        <v>15.297293</v>
      </c>
      <c r="C31" s="1"/>
      <c r="D31" s="1"/>
      <c r="E31" s="1"/>
      <c r="F31" s="1"/>
      <c r="G31" s="1"/>
    </row>
    <row r="32" spans="1:7">
      <c r="A32" s="3" t="s">
        <v>25</v>
      </c>
      <c r="B32" s="1">
        <v>11.797587</v>
      </c>
      <c r="C32" s="1"/>
      <c r="D32" s="1"/>
      <c r="E32" s="1"/>
      <c r="F32" s="1">
        <v>24.684418000000001</v>
      </c>
      <c r="G32" s="1">
        <v>22.861104999999998</v>
      </c>
    </row>
    <row r="33" spans="1:7">
      <c r="A33" s="3" t="s">
        <v>27</v>
      </c>
      <c r="B33" s="1"/>
      <c r="C33" s="1"/>
      <c r="D33" s="1"/>
      <c r="E33" s="1">
        <v>19.625256</v>
      </c>
      <c r="F33" s="1"/>
      <c r="G33" s="1"/>
    </row>
    <row r="34" spans="1:7">
      <c r="A34" s="3" t="s">
        <v>29</v>
      </c>
      <c r="B34" s="1"/>
      <c r="C34" s="1"/>
      <c r="D34" s="1">
        <v>19.663094999999998</v>
      </c>
      <c r="E34" s="1"/>
      <c r="F34" s="1"/>
      <c r="G34" s="1"/>
    </row>
    <row r="35" spans="1:7">
      <c r="A35" s="3" t="s">
        <v>28</v>
      </c>
      <c r="B35" s="1">
        <v>15.245471999999999</v>
      </c>
      <c r="C35" s="1">
        <v>16.31813</v>
      </c>
      <c r="D35" s="1">
        <v>18.253098000000001</v>
      </c>
      <c r="E35" s="1"/>
      <c r="F35" s="1"/>
      <c r="G35" s="1"/>
    </row>
    <row r="36" spans="1:7">
      <c r="A36" s="3"/>
      <c r="B36" s="1"/>
      <c r="C36" s="1"/>
      <c r="D36" s="1"/>
      <c r="E36" s="1"/>
      <c r="F36" s="1"/>
      <c r="G36" s="1"/>
    </row>
    <row r="37" spans="1:7" ht="23.25">
      <c r="A37" s="17" t="s">
        <v>45</v>
      </c>
      <c r="C37" s="14"/>
    </row>
    <row r="38" spans="1:7">
      <c r="A38" s="3" t="s">
        <v>25</v>
      </c>
      <c r="B38" s="1">
        <v>17.269221999999999</v>
      </c>
      <c r="C38" s="1">
        <v>15.531084999999999</v>
      </c>
      <c r="D38" s="1">
        <v>18.836193000000002</v>
      </c>
      <c r="E38" s="1">
        <v>17.784476999999999</v>
      </c>
      <c r="F38" s="1">
        <v>21.471651000000001</v>
      </c>
      <c r="G38" s="1">
        <v>20.804794000000001</v>
      </c>
    </row>
    <row r="39" spans="1:7">
      <c r="A39" s="3"/>
      <c r="B39" s="1"/>
      <c r="C39" s="1"/>
      <c r="D39" s="1"/>
      <c r="E39" s="1"/>
      <c r="F39" s="1"/>
      <c r="G39" s="1"/>
    </row>
    <row r="40" spans="1:7" ht="23.25">
      <c r="A40" s="17" t="s">
        <v>36</v>
      </c>
      <c r="C40" s="14"/>
    </row>
    <row r="41" spans="1:7">
      <c r="A41" s="12" t="s">
        <v>24</v>
      </c>
      <c r="B41" s="15"/>
      <c r="C41" s="16">
        <v>11.735962000000001</v>
      </c>
      <c r="D41" s="16">
        <v>15.083520999999999</v>
      </c>
      <c r="E41" s="15"/>
      <c r="F41" s="16">
        <v>15.923451999999999</v>
      </c>
      <c r="G41" s="15"/>
    </row>
    <row r="42" spans="1:7">
      <c r="A42" s="4"/>
    </row>
    <row r="43" spans="1:7" ht="23.25">
      <c r="A43" s="17" t="s">
        <v>32</v>
      </c>
      <c r="C43" s="14"/>
    </row>
    <row r="44" spans="1:7">
      <c r="A44" s="12" t="s">
        <v>24</v>
      </c>
      <c r="B44" s="15"/>
      <c r="C44" s="16"/>
      <c r="D44" s="16">
        <v>9.7283609999999996</v>
      </c>
      <c r="E44" s="16">
        <v>21.894788999999999</v>
      </c>
      <c r="F44" s="15">
        <v>10.11773</v>
      </c>
      <c r="G44" s="15"/>
    </row>
    <row r="46" spans="1:7" ht="23.25">
      <c r="A46" s="17" t="s">
        <v>53</v>
      </c>
      <c r="C46" s="14"/>
    </row>
    <row r="47" spans="1:7">
      <c r="A47" s="3" t="s">
        <v>27</v>
      </c>
      <c r="B47" s="15"/>
      <c r="C47" s="16"/>
      <c r="D47" s="16"/>
      <c r="E47" s="16">
        <v>7.2027340000000004</v>
      </c>
      <c r="F47" s="15"/>
      <c r="G47" s="15"/>
    </row>
    <row r="48" spans="1:7">
      <c r="A48" s="59" t="s">
        <v>27</v>
      </c>
      <c r="B48" s="62">
        <v>4.1197623999999999</v>
      </c>
      <c r="C48" s="61">
        <v>1.87686</v>
      </c>
      <c r="D48" s="61">
        <v>5.5699643999999999</v>
      </c>
      <c r="E48" s="61">
        <v>2.3139677000000001</v>
      </c>
      <c r="F48" s="60"/>
      <c r="G48" s="60"/>
    </row>
    <row r="50" spans="1:7" ht="23.25">
      <c r="A50" s="17" t="s">
        <v>31</v>
      </c>
      <c r="C50" s="14"/>
    </row>
    <row r="51" spans="1:7">
      <c r="A51" s="3" t="s">
        <v>24</v>
      </c>
      <c r="B51" s="15">
        <v>13.379421000000001</v>
      </c>
      <c r="C51" s="16">
        <v>11.917116999999999</v>
      </c>
      <c r="D51" s="16">
        <v>15.435746999999999</v>
      </c>
      <c r="E51" s="16">
        <v>15.865864999999999</v>
      </c>
      <c r="F51" s="15">
        <v>15.810184</v>
      </c>
      <c r="G51" s="15"/>
    </row>
    <row r="53" spans="1:7" ht="23.25">
      <c r="A53" s="17" t="s">
        <v>37</v>
      </c>
      <c r="C53" s="14"/>
    </row>
    <row r="54" spans="1:7">
      <c r="A54" s="3" t="s">
        <v>25</v>
      </c>
      <c r="B54" s="15"/>
      <c r="C54" s="16">
        <v>11.019192</v>
      </c>
      <c r="D54" s="16">
        <v>14.979018</v>
      </c>
      <c r="E54" s="16">
        <v>10.795321</v>
      </c>
      <c r="F54" s="15"/>
      <c r="G54" s="15"/>
    </row>
  </sheetData>
  <pageMargins left="0.7" right="0.7" top="0.78740157499999996" bottom="0.78740157499999996" header="0.3" footer="0.3"/>
  <pageSetup paperSize="9" orientation="portrait" horizontalDpi="360" verticalDpi="36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  <col min="2" max="2" width="14" customWidth="1"/>
  </cols>
  <sheetData>
    <row r="1" spans="1:7" ht="31.5">
      <c r="A1" s="10" t="s">
        <v>14</v>
      </c>
    </row>
    <row r="2" spans="1:7" ht="23.25">
      <c r="A2" s="13" t="s">
        <v>40</v>
      </c>
      <c r="C2" s="14"/>
    </row>
    <row r="3" spans="1:7" ht="62.25">
      <c r="A3" s="9" t="s">
        <v>22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24</v>
      </c>
      <c r="B4" s="1">
        <v>13.299028</v>
      </c>
      <c r="C4" s="1">
        <v>8.7267685000000004</v>
      </c>
      <c r="D4" s="1">
        <v>12.229005000000001</v>
      </c>
      <c r="E4" s="1"/>
      <c r="F4" s="1">
        <v>15.026707999999999</v>
      </c>
      <c r="G4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G9"/>
  <sheetViews>
    <sheetView zoomScaleNormal="100" workbookViewId="0">
      <selection activeCell="G6" sqref="G6"/>
    </sheetView>
  </sheetViews>
  <sheetFormatPr baseColWidth="10" defaultRowHeight="15"/>
  <cols>
    <col min="1" max="1" width="14.28515625" customWidth="1"/>
  </cols>
  <sheetData>
    <row r="1" spans="1:7" ht="33.75">
      <c r="A1" s="11" t="s">
        <v>16</v>
      </c>
    </row>
    <row r="2" spans="1:7" ht="23.25">
      <c r="A2" s="17" t="s">
        <v>48</v>
      </c>
      <c r="C2" s="14"/>
    </row>
    <row r="3" spans="1:7" ht="62.25">
      <c r="A3" s="9" t="s">
        <v>22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25</v>
      </c>
      <c r="B4" s="1"/>
      <c r="C4" s="1"/>
      <c r="D4" s="1"/>
      <c r="E4" s="1"/>
      <c r="F4" s="1"/>
      <c r="G4" s="1">
        <v>15.525149000000001</v>
      </c>
    </row>
    <row r="5" spans="1:7">
      <c r="A5" s="3" t="s">
        <v>25</v>
      </c>
      <c r="B5" s="1">
        <v>10.067555</v>
      </c>
      <c r="C5" s="1">
        <v>9.7792589999999997</v>
      </c>
      <c r="D5" s="1">
        <v>14.699237999999999</v>
      </c>
      <c r="E5" s="1">
        <v>6.1801399999999997</v>
      </c>
      <c r="F5" s="1">
        <v>14.930630000000001</v>
      </c>
      <c r="G5" s="1">
        <v>14.493608</v>
      </c>
    </row>
    <row r="6" spans="1:7">
      <c r="A6" s="3" t="s">
        <v>24</v>
      </c>
      <c r="B6" s="1"/>
      <c r="C6" s="1"/>
      <c r="D6" s="1">
        <v>20.46621</v>
      </c>
      <c r="E6" s="1"/>
      <c r="F6" s="1">
        <v>15.621314</v>
      </c>
      <c r="G6" s="1"/>
    </row>
    <row r="7" spans="1:7">
      <c r="A7" s="3" t="s">
        <v>27</v>
      </c>
      <c r="B7" s="1"/>
      <c r="C7" s="1"/>
      <c r="D7" s="1"/>
      <c r="E7" s="1">
        <v>7.0465616999999998</v>
      </c>
      <c r="F7" s="1"/>
      <c r="G7" s="1"/>
    </row>
    <row r="8" spans="1:7" hidden="1">
      <c r="A8" s="3" t="s">
        <v>28</v>
      </c>
      <c r="B8" s="1"/>
      <c r="C8" s="1"/>
      <c r="D8" s="1">
        <v>10.263685000000001</v>
      </c>
      <c r="E8" s="1"/>
      <c r="F8" s="1"/>
      <c r="G8" s="1"/>
    </row>
    <row r="9" spans="1:7" hidden="1">
      <c r="A9" s="3" t="s">
        <v>28</v>
      </c>
      <c r="B9" s="1"/>
      <c r="C9" s="1">
        <v>2.8178247999999999</v>
      </c>
      <c r="D9" s="1">
        <v>12.49249</v>
      </c>
      <c r="E9" s="1"/>
      <c r="F9" s="1"/>
      <c r="G9" s="1"/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G7"/>
  <sheetViews>
    <sheetView zoomScaleNormal="100" workbookViewId="0">
      <selection activeCell="G8" sqref="G8"/>
    </sheetView>
  </sheetViews>
  <sheetFormatPr baseColWidth="10" defaultRowHeight="15"/>
  <cols>
    <col min="1" max="1" width="14.28515625" customWidth="1"/>
  </cols>
  <sheetData>
    <row r="1" spans="1:7" ht="31.5">
      <c r="A1" s="5" t="s">
        <v>18</v>
      </c>
    </row>
    <row r="2" spans="1:7" ht="26.25">
      <c r="A2" s="19" t="s">
        <v>39</v>
      </c>
      <c r="C2" s="14"/>
    </row>
    <row r="3" spans="1:7" ht="62.25">
      <c r="A3" s="9" t="s">
        <v>22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25</v>
      </c>
      <c r="B4">
        <v>25.367393</v>
      </c>
      <c r="C4">
        <v>28.268608</v>
      </c>
      <c r="D4">
        <v>35.899982000000001</v>
      </c>
      <c r="E4">
        <v>25.116581</v>
      </c>
      <c r="F4">
        <v>40.272410000000001</v>
      </c>
      <c r="G4">
        <v>31.072804999999999</v>
      </c>
    </row>
    <row r="6" spans="1:7" ht="26.25">
      <c r="A6" s="19" t="s">
        <v>46</v>
      </c>
      <c r="C6" s="14"/>
    </row>
    <row r="7" spans="1:7">
      <c r="A7" s="3" t="s">
        <v>25</v>
      </c>
      <c r="G7">
        <v>5.2552580000000004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HTC</vt:lpstr>
      <vt:lpstr>Sony Ericsson</vt:lpstr>
      <vt:lpstr>Motorola</vt:lpstr>
      <vt:lpstr>Samsung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2010-07-01T17:09:51Z</cp:lastPrinted>
  <dcterms:created xsi:type="dcterms:W3CDTF">2010-06-30T15:01:38Z</dcterms:created>
  <dcterms:modified xsi:type="dcterms:W3CDTF">2010-07-01T21:32:46Z</dcterms:modified>
</cp:coreProperties>
</file>