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0496" windowHeight="7944" activeTab="4"/>
  </bookViews>
  <sheets>
    <sheet name="начальные замеры" sheetId="2" r:id="rId1"/>
    <sheet name="МНК 1" sheetId="3" r:id="rId2"/>
    <sheet name="МНК 2" sheetId="4" r:id="rId3"/>
    <sheet name="Число Рейнольдса" sheetId="5" r:id="rId4"/>
    <sheet name="Двойной лог. масштаб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6" l="1"/>
  <c r="Q14" i="6" s="1"/>
  <c r="I26" i="6"/>
  <c r="I16" i="6"/>
  <c r="I6" i="6"/>
  <c r="I29" i="6"/>
  <c r="I19" i="6"/>
  <c r="I9" i="6"/>
  <c r="I23" i="6"/>
  <c r="I13" i="6"/>
  <c r="I3" i="6"/>
  <c r="H5" i="6"/>
  <c r="H4" i="6"/>
  <c r="J5" i="6"/>
  <c r="J4" i="6"/>
  <c r="O14" i="6"/>
  <c r="O13" i="6"/>
  <c r="M14" i="6"/>
  <c r="M13" i="6"/>
  <c r="G23" i="6"/>
  <c r="F23" i="6"/>
  <c r="E23" i="6"/>
  <c r="D23" i="6"/>
  <c r="C23" i="6"/>
  <c r="J23" i="6" s="1"/>
  <c r="A23" i="6"/>
  <c r="H23" i="6" s="1"/>
  <c r="J13" i="6"/>
  <c r="G13" i="6"/>
  <c r="F13" i="6"/>
  <c r="E13" i="6"/>
  <c r="D13" i="6"/>
  <c r="C13" i="6"/>
  <c r="A13" i="6"/>
  <c r="H13" i="6" s="1"/>
  <c r="J3" i="6"/>
  <c r="H3" i="6"/>
  <c r="G3" i="6"/>
  <c r="F3" i="6"/>
  <c r="E3" i="6"/>
  <c r="D3" i="6"/>
  <c r="C3" i="6"/>
  <c r="A3" i="6"/>
  <c r="B3" i="5"/>
  <c r="C24" i="5"/>
  <c r="D24" i="5"/>
  <c r="E24" i="5"/>
  <c r="F24" i="5"/>
  <c r="G24" i="5"/>
  <c r="H24" i="5"/>
  <c r="B24" i="5"/>
  <c r="C23" i="5"/>
  <c r="D23" i="5"/>
  <c r="E23" i="5"/>
  <c r="F23" i="5"/>
  <c r="G23" i="5"/>
  <c r="H23" i="5"/>
  <c r="B23" i="5"/>
  <c r="C14" i="5"/>
  <c r="D14" i="5"/>
  <c r="E14" i="5"/>
  <c r="F14" i="5"/>
  <c r="G14" i="5"/>
  <c r="H14" i="5"/>
  <c r="B14" i="5"/>
  <c r="C13" i="5"/>
  <c r="D13" i="5"/>
  <c r="E13" i="5"/>
  <c r="F13" i="5"/>
  <c r="G13" i="5"/>
  <c r="H13" i="5"/>
  <c r="B13" i="5"/>
  <c r="C4" i="5"/>
  <c r="D4" i="5"/>
  <c r="E4" i="5"/>
  <c r="F4" i="5"/>
  <c r="G4" i="5"/>
  <c r="H4" i="5"/>
  <c r="B4" i="5"/>
  <c r="C3" i="5"/>
  <c r="D3" i="5"/>
  <c r="E3" i="5"/>
  <c r="F3" i="5"/>
  <c r="G3" i="5"/>
  <c r="H3" i="5"/>
  <c r="C3" i="4"/>
  <c r="D3" i="4"/>
  <c r="E3" i="4"/>
  <c r="F3" i="4"/>
  <c r="F7" i="4"/>
  <c r="I12" i="4"/>
  <c r="I13" i="4" s="1"/>
  <c r="I22" i="4"/>
  <c r="I23" i="4" s="1"/>
  <c r="D28" i="4"/>
  <c r="B28" i="4"/>
  <c r="F28" i="4" s="1"/>
  <c r="F27" i="4"/>
  <c r="D27" i="4"/>
  <c r="B27" i="4"/>
  <c r="D18" i="4"/>
  <c r="B18" i="4"/>
  <c r="F18" i="4" s="1"/>
  <c r="F17" i="4"/>
  <c r="D17" i="4"/>
  <c r="B17" i="4"/>
  <c r="G24" i="4"/>
  <c r="G14" i="4"/>
  <c r="G23" i="4"/>
  <c r="G13" i="4"/>
  <c r="B8" i="4"/>
  <c r="B7" i="4"/>
  <c r="F23" i="4"/>
  <c r="E23" i="4"/>
  <c r="D23" i="4"/>
  <c r="C23" i="4"/>
  <c r="B23" i="4"/>
  <c r="B13" i="4"/>
  <c r="F13" i="4"/>
  <c r="E13" i="4"/>
  <c r="D13" i="4"/>
  <c r="C13" i="4"/>
  <c r="F24" i="4"/>
  <c r="E24" i="4"/>
  <c r="D24" i="4"/>
  <c r="C24" i="4"/>
  <c r="B24" i="4"/>
  <c r="F14" i="4"/>
  <c r="E14" i="4"/>
  <c r="D14" i="4"/>
  <c r="C14" i="4"/>
  <c r="B14" i="4"/>
  <c r="C4" i="4"/>
  <c r="D4" i="4"/>
  <c r="E4" i="4"/>
  <c r="F4" i="4"/>
  <c r="B4" i="4"/>
  <c r="B3" i="4"/>
  <c r="G28" i="2"/>
  <c r="G8" i="2"/>
  <c r="G18" i="2"/>
  <c r="K29" i="3"/>
  <c r="K19" i="3"/>
  <c r="K9" i="3"/>
  <c r="K8" i="3"/>
  <c r="K28" i="3"/>
  <c r="K18" i="3"/>
  <c r="J26" i="2"/>
  <c r="J16" i="2"/>
  <c r="J6" i="2"/>
  <c r="B15" i="3"/>
  <c r="I25" i="3"/>
  <c r="H25" i="3"/>
  <c r="G25" i="3"/>
  <c r="F25" i="3"/>
  <c r="E25" i="3"/>
  <c r="D25" i="3"/>
  <c r="C25" i="3"/>
  <c r="B25" i="3"/>
  <c r="B28" i="3" s="1"/>
  <c r="D29" i="3"/>
  <c r="D19" i="3"/>
  <c r="B18" i="3"/>
  <c r="I15" i="3"/>
  <c r="H15" i="3"/>
  <c r="G15" i="3"/>
  <c r="F15" i="3"/>
  <c r="E15" i="3"/>
  <c r="D15" i="3"/>
  <c r="C15" i="3"/>
  <c r="D9" i="3"/>
  <c r="B8" i="3"/>
  <c r="I5" i="3"/>
  <c r="C5" i="3"/>
  <c r="D5" i="3"/>
  <c r="E5" i="3"/>
  <c r="F5" i="3"/>
  <c r="G5" i="3"/>
  <c r="H5" i="3"/>
  <c r="B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4" i="3"/>
  <c r="G4" i="3"/>
  <c r="F4" i="3"/>
  <c r="E4" i="3"/>
  <c r="D4" i="3"/>
  <c r="C4" i="3"/>
  <c r="H3" i="3"/>
  <c r="G3" i="3"/>
  <c r="F3" i="3"/>
  <c r="E3" i="3"/>
  <c r="D3" i="3"/>
  <c r="C3" i="3"/>
  <c r="B3" i="3"/>
  <c r="B4" i="3"/>
  <c r="K24" i="2"/>
  <c r="K23" i="2"/>
  <c r="J24" i="2"/>
  <c r="J23" i="2"/>
  <c r="I24" i="2"/>
  <c r="I23" i="2"/>
  <c r="H24" i="2"/>
  <c r="H23" i="2"/>
  <c r="G24" i="2"/>
  <c r="G23" i="2"/>
  <c r="K14" i="2"/>
  <c r="K13" i="2"/>
  <c r="J14" i="2"/>
  <c r="J13" i="2"/>
  <c r="I14" i="2"/>
  <c r="I13" i="2"/>
  <c r="H14" i="2"/>
  <c r="H13" i="2"/>
  <c r="G14" i="2"/>
  <c r="G13" i="2"/>
  <c r="D29" i="2"/>
  <c r="D28" i="2"/>
  <c r="D27" i="2"/>
  <c r="D26" i="2"/>
  <c r="D25" i="2"/>
  <c r="D24" i="2"/>
  <c r="D23" i="2"/>
  <c r="D19" i="2"/>
  <c r="D18" i="2"/>
  <c r="D17" i="2"/>
  <c r="D16" i="2"/>
  <c r="D15" i="2"/>
  <c r="D14" i="2"/>
  <c r="D13" i="2"/>
  <c r="G26" i="2"/>
  <c r="G16" i="2"/>
  <c r="G27" i="2"/>
  <c r="G17" i="2"/>
  <c r="G7" i="2"/>
  <c r="G6" i="2"/>
  <c r="K4" i="2"/>
  <c r="J4" i="2"/>
  <c r="I4" i="2"/>
  <c r="H4" i="2"/>
  <c r="G4" i="2"/>
  <c r="J3" i="2"/>
  <c r="K3" i="2"/>
  <c r="I3" i="2"/>
  <c r="H3" i="2"/>
  <c r="G3" i="2"/>
  <c r="D9" i="2"/>
  <c r="D8" i="2"/>
  <c r="D7" i="2"/>
  <c r="D6" i="2"/>
  <c r="D5" i="2"/>
  <c r="D4" i="2"/>
  <c r="D3" i="2"/>
  <c r="F8" i="4" l="1"/>
  <c r="I2" i="4"/>
  <c r="I3" i="4" s="1"/>
  <c r="G4" i="4"/>
  <c r="D7" i="4" s="1"/>
  <c r="G3" i="4"/>
  <c r="D8" i="4" s="1"/>
  <c r="F28" i="3"/>
  <c r="F18" i="3"/>
  <c r="F8" i="3"/>
  <c r="B9" i="3"/>
  <c r="I23" i="3"/>
  <c r="D28" i="3" s="1"/>
  <c r="I13" i="3"/>
  <c r="D18" i="3" s="1"/>
  <c r="I3" i="3"/>
  <c r="D8" i="3" s="1"/>
  <c r="B19" i="3"/>
  <c r="B29" i="3"/>
  <c r="F29" i="3" l="1"/>
  <c r="F9" i="3"/>
  <c r="F19" i="3"/>
</calcChain>
</file>

<file path=xl/sharedStrings.xml><?xml version="1.0" encoding="utf-8"?>
<sst xmlns="http://schemas.openxmlformats.org/spreadsheetml/2006/main" count="229" uniqueCount="56">
  <si>
    <t>Трубка 1</t>
  </si>
  <si>
    <t>N</t>
  </si>
  <si>
    <t>1-2</t>
  </si>
  <si>
    <t>2-3</t>
  </si>
  <si>
    <t>3-4</t>
  </si>
  <si>
    <t>4-5</t>
  </si>
  <si>
    <t>5-6</t>
  </si>
  <si>
    <t>Трубка 2</t>
  </si>
  <si>
    <t>Трубка 3</t>
  </si>
  <si>
    <t>V, л</t>
  </si>
  <si>
    <t>t, с</t>
  </si>
  <si>
    <t>Δh, м</t>
  </si>
  <si>
    <t>Δl, м</t>
  </si>
  <si>
    <t>a, м</t>
  </si>
  <si>
    <t>t_max, с</t>
  </si>
  <si>
    <t>ρ, кг/м³</t>
  </si>
  <si>
    <t>t, C°</t>
  </si>
  <si>
    <t>Спирт</t>
  </si>
  <si>
    <t>Уск. св. пад.</t>
  </si>
  <si>
    <t>g, кг/м</t>
  </si>
  <si>
    <t>Δp, Па</t>
  </si>
  <si>
    <t>Q, л/с</t>
  </si>
  <si>
    <t>МНК</t>
  </si>
  <si>
    <t>&lt;y&gt;</t>
  </si>
  <si>
    <t>&lt;x&gt;</t>
  </si>
  <si>
    <t>&lt;xy&gt;</t>
  </si>
  <si>
    <t>&lt;x²&gt;</t>
  </si>
  <si>
    <t>Q, м³/с</t>
  </si>
  <si>
    <t>&lt;x&gt;, м³/с</t>
  </si>
  <si>
    <t>&lt;y&gt;, Па</t>
  </si>
  <si>
    <t>&lt;xy&gt;,
м³/c * Па</t>
  </si>
  <si>
    <t>&lt;x²&gt;,
м⁶/c²</t>
  </si>
  <si>
    <t>k</t>
  </si>
  <si>
    <t>b</t>
  </si>
  <si>
    <t>b, Па</t>
  </si>
  <si>
    <t>k, 1/(м*с)</t>
  </si>
  <si>
    <t>σ_k</t>
  </si>
  <si>
    <t>σ_b</t>
  </si>
  <si>
    <t xml:space="preserve">σ_η </t>
  </si>
  <si>
    <t>d, м</t>
  </si>
  <si>
    <t>η, Па*с</t>
  </si>
  <si>
    <t>Q_пост</t>
  </si>
  <si>
    <t>&lt;x&gt;, м</t>
  </si>
  <si>
    <t>&lt;xy&gt;, м*Па</t>
  </si>
  <si>
    <t>&lt;x²&gt;, м²</t>
  </si>
  <si>
    <t>Re</t>
  </si>
  <si>
    <t>Воздух</t>
  </si>
  <si>
    <t>ln(r)</t>
  </si>
  <si>
    <t>r, м</t>
  </si>
  <si>
    <t>l, м</t>
  </si>
  <si>
    <t>V, м³</t>
  </si>
  <si>
    <t>ln((8*l*η*Q)/(3,14*Δp)) = ln(r^n)</t>
  </si>
  <si>
    <t>(8*l*η*Q)/(3,14*Δp) = r^n</t>
  </si>
  <si>
    <t>~n</t>
  </si>
  <si>
    <t>~r</t>
  </si>
  <si>
    <t>1.485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</si>
</sst>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5"/>
      <color theme="1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6" fontId="0" fillId="0" borderId="1" xfId="0" quotePrefix="1" applyNumberFormat="1" applyFont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0" borderId="1" xfId="0" quotePrefix="1" applyFont="1" applyBorder="1" applyAlignment="1">
      <alignment horizontal="center" vertical="center" wrapText="1"/>
    </xf>
    <xf numFmtId="0" fontId="0" fillId="0" borderId="15" xfId="0" quotePrefix="1" applyFont="1" applyBorder="1" applyAlignment="1">
      <alignment horizontal="center" vertical="center" wrapText="1"/>
    </xf>
    <xf numFmtId="16" fontId="0" fillId="0" borderId="15" xfId="0" quotePrefix="1" applyNumberFormat="1" applyFont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5" xfId="0" applyNumberForma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 wrapText="1"/>
    </xf>
    <xf numFmtId="0" fontId="0" fillId="0" borderId="14" xfId="0" applyNumberFormat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/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МНК</a:t>
            </a:r>
            <a:r>
              <a:rPr lang="ru-RU" baseline="0"/>
              <a:t> 1 Трубка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'МНК 1'!$B$5:$H$5</c:f>
              <c:numCache>
                <c:formatCode>General</c:formatCode>
                <c:ptCount val="7"/>
                <c:pt idx="0">
                  <c:v>4.4999999999999996E-5</c:v>
                </c:pt>
                <c:pt idx="1">
                  <c:v>4.2000000000000004E-5</c:v>
                </c:pt>
                <c:pt idx="2">
                  <c:v>4.2000000000000004E-5</c:v>
                </c:pt>
                <c:pt idx="3">
                  <c:v>4.1E-5</c:v>
                </c:pt>
                <c:pt idx="4">
                  <c:v>3.8999999999999999E-5</c:v>
                </c:pt>
                <c:pt idx="5">
                  <c:v>3.5000000000000004E-5</c:v>
                </c:pt>
                <c:pt idx="6">
                  <c:v>3.3000000000000003E-5</c:v>
                </c:pt>
              </c:numCache>
            </c:numRef>
          </c:xVal>
          <c:yVal>
            <c:numRef>
              <c:f>'МНК 1'!$B$3:$H$3</c:f>
              <c:numCache>
                <c:formatCode>General</c:formatCode>
                <c:ptCount val="7"/>
                <c:pt idx="0">
                  <c:v>955.54300000000001</c:v>
                </c:pt>
                <c:pt idx="1">
                  <c:v>939.74900000000002</c:v>
                </c:pt>
                <c:pt idx="2">
                  <c:v>916.05799999999999</c:v>
                </c:pt>
                <c:pt idx="3">
                  <c:v>892.36699999999996</c:v>
                </c:pt>
                <c:pt idx="4">
                  <c:v>821.29300000000001</c:v>
                </c:pt>
                <c:pt idx="5">
                  <c:v>750.22</c:v>
                </c:pt>
                <c:pt idx="6">
                  <c:v>663.35199999999998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371664"/>
        <c:axId val="1626817760"/>
      </c:scatterChart>
      <c:valAx>
        <c:axId val="1619371664"/>
        <c:scaling>
          <c:orientation val="minMax"/>
          <c:max val="5.0000000000000023E-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6817760"/>
        <c:crosses val="autoZero"/>
        <c:crossBetween val="midCat"/>
      </c:valAx>
      <c:valAx>
        <c:axId val="1626817760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37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МНК</a:t>
            </a:r>
            <a:r>
              <a:rPr lang="ru-RU" baseline="0"/>
              <a:t> 1 Трубка </a:t>
            </a:r>
            <a:r>
              <a:rPr lang="en-US" baseline="0"/>
              <a:t>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'МНК 1'!$B$15:$H$15</c:f>
              <c:numCache>
                <c:formatCode>General</c:formatCode>
                <c:ptCount val="7"/>
                <c:pt idx="0">
                  <c:v>9.6000000000000002E-5</c:v>
                </c:pt>
                <c:pt idx="1">
                  <c:v>9.3999999999999994E-5</c:v>
                </c:pt>
                <c:pt idx="2">
                  <c:v>9.1000000000000003E-5</c:v>
                </c:pt>
                <c:pt idx="3">
                  <c:v>8.7999999999999998E-5</c:v>
                </c:pt>
                <c:pt idx="4">
                  <c:v>8.2999999999999998E-5</c:v>
                </c:pt>
                <c:pt idx="5">
                  <c:v>7.0000000000000007E-5</c:v>
                </c:pt>
                <c:pt idx="6">
                  <c:v>4.6999999999999997E-5</c:v>
                </c:pt>
              </c:numCache>
            </c:numRef>
          </c:xVal>
          <c:yVal>
            <c:numRef>
              <c:f>'МНК 1'!$B$13:$H$13</c:f>
              <c:numCache>
                <c:formatCode>General</c:formatCode>
                <c:ptCount val="7"/>
                <c:pt idx="0">
                  <c:v>758.11699999999996</c:v>
                </c:pt>
                <c:pt idx="1">
                  <c:v>742.32299999999998</c:v>
                </c:pt>
                <c:pt idx="2">
                  <c:v>671.24900000000002</c:v>
                </c:pt>
                <c:pt idx="3">
                  <c:v>600.17600000000004</c:v>
                </c:pt>
                <c:pt idx="4">
                  <c:v>481.72</c:v>
                </c:pt>
                <c:pt idx="5">
                  <c:v>323.779</c:v>
                </c:pt>
                <c:pt idx="6">
                  <c:v>205.32300000000001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807264"/>
        <c:axId val="1739807808"/>
      </c:scatterChart>
      <c:valAx>
        <c:axId val="1739807264"/>
        <c:scaling>
          <c:orientation val="minMax"/>
          <c:max val="1.0000000000000003E-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9807808"/>
        <c:crosses val="autoZero"/>
        <c:crossBetween val="midCat"/>
      </c:valAx>
      <c:valAx>
        <c:axId val="173980780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98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МНК</a:t>
            </a:r>
            <a:r>
              <a:rPr lang="ru-RU" baseline="0"/>
              <a:t> 1 Трубка </a:t>
            </a:r>
            <a:r>
              <a:rPr lang="en-US" baseline="0"/>
              <a:t>3</a:t>
            </a:r>
            <a:endParaRPr lang="ru-R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0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'МНК 1'!$B$25:$H$25</c:f>
              <c:numCache>
                <c:formatCode>General</c:formatCode>
                <c:ptCount val="7"/>
                <c:pt idx="0">
                  <c:v>1.6100000000000001E-4</c:v>
                </c:pt>
                <c:pt idx="1">
                  <c:v>1.54E-4</c:v>
                </c:pt>
                <c:pt idx="2">
                  <c:v>1.47E-4</c:v>
                </c:pt>
                <c:pt idx="3">
                  <c:v>1.3000000000000002E-4</c:v>
                </c:pt>
                <c:pt idx="4">
                  <c:v>1.22E-4</c:v>
                </c:pt>
                <c:pt idx="5">
                  <c:v>1.1E-4</c:v>
                </c:pt>
                <c:pt idx="6">
                  <c:v>9.2999999999999997E-5</c:v>
                </c:pt>
              </c:numCache>
            </c:numRef>
          </c:xVal>
          <c:yVal>
            <c:numRef>
              <c:f>'МНК 1'!$B$23:$H$23</c:f>
              <c:numCache>
                <c:formatCode>General</c:formatCode>
                <c:ptCount val="7"/>
                <c:pt idx="0">
                  <c:v>544.89599999999996</c:v>
                </c:pt>
                <c:pt idx="1">
                  <c:v>465.92599999999999</c:v>
                </c:pt>
                <c:pt idx="2">
                  <c:v>410.64699999999999</c:v>
                </c:pt>
                <c:pt idx="3">
                  <c:v>268.5</c:v>
                </c:pt>
                <c:pt idx="4">
                  <c:v>189.529</c:v>
                </c:pt>
                <c:pt idx="5">
                  <c:v>118.456</c:v>
                </c:pt>
                <c:pt idx="6">
                  <c:v>110.559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645216"/>
        <c:axId val="1616647392"/>
      </c:scatterChart>
      <c:valAx>
        <c:axId val="1616645216"/>
        <c:scaling>
          <c:orientation val="minMax"/>
          <c:max val="2.0000000000000006E-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6647392"/>
        <c:crosses val="autoZero"/>
        <c:crossBetween val="midCat"/>
      </c:valAx>
      <c:valAx>
        <c:axId val="161664739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664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МНК</a:t>
            </a:r>
            <a:r>
              <a:rPr lang="ru-RU" baseline="0"/>
              <a:t> </a:t>
            </a:r>
            <a:r>
              <a:rPr lang="en-US" baseline="0"/>
              <a:t>2</a:t>
            </a:r>
            <a:r>
              <a:rPr lang="ru-RU" baseline="0"/>
              <a:t> Трубка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'МНК 2'!$B$3:$F$3</c:f>
              <c:numCache>
                <c:formatCode>General</c:formatCode>
                <c:ptCount val="5"/>
                <c:pt idx="0">
                  <c:v>0.05</c:v>
                </c:pt>
                <c:pt idx="1">
                  <c:v>0.35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xVal>
          <c:yVal>
            <c:numRef>
              <c:f>'МНК 2'!$B$4:$F$4</c:f>
              <c:numCache>
                <c:formatCode>General</c:formatCode>
                <c:ptCount val="5"/>
                <c:pt idx="0">
                  <c:v>102.66165000000001</c:v>
                </c:pt>
                <c:pt idx="1">
                  <c:v>837.08730000000003</c:v>
                </c:pt>
                <c:pt idx="2">
                  <c:v>481.72005000000001</c:v>
                </c:pt>
                <c:pt idx="3">
                  <c:v>458.02889999999996</c:v>
                </c:pt>
                <c:pt idx="4">
                  <c:v>481.72005000000001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937584"/>
        <c:axId val="1735936496"/>
      </c:scatterChart>
      <c:valAx>
        <c:axId val="1735937584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936496"/>
        <c:crosses val="autoZero"/>
        <c:crossBetween val="midCat"/>
      </c:valAx>
      <c:valAx>
        <c:axId val="1735936496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93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МНК</a:t>
            </a:r>
            <a:r>
              <a:rPr lang="ru-RU" baseline="0"/>
              <a:t> </a:t>
            </a:r>
            <a:r>
              <a:rPr lang="en-US" baseline="0"/>
              <a:t>2</a:t>
            </a:r>
            <a:r>
              <a:rPr lang="ru-RU" baseline="0"/>
              <a:t> Трубка </a:t>
            </a:r>
            <a:r>
              <a:rPr lang="en-US" baseline="0"/>
              <a:t>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'МНК 2'!$B$13:$F$13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xVal>
          <c:yVal>
            <c:numRef>
              <c:f>'МНК 2'!$B$14:$F$14</c:f>
              <c:numCache>
                <c:formatCode>General</c:formatCode>
                <c:ptCount val="5"/>
                <c:pt idx="0">
                  <c:v>150.04395</c:v>
                </c:pt>
                <c:pt idx="1">
                  <c:v>544.89645000000007</c:v>
                </c:pt>
                <c:pt idx="2">
                  <c:v>402.74955</c:v>
                </c:pt>
                <c:pt idx="3">
                  <c:v>363.26429999999999</c:v>
                </c:pt>
                <c:pt idx="4">
                  <c:v>371.16135000000003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940848"/>
        <c:axId val="1739806176"/>
      </c:scatterChart>
      <c:valAx>
        <c:axId val="1735940848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9806176"/>
        <c:crosses val="autoZero"/>
        <c:crossBetween val="midCat"/>
      </c:valAx>
      <c:valAx>
        <c:axId val="1739806176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9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МНК</a:t>
            </a:r>
            <a:r>
              <a:rPr lang="ru-RU" baseline="0"/>
              <a:t> </a:t>
            </a:r>
            <a:r>
              <a:rPr lang="en-US" baseline="0"/>
              <a:t>2</a:t>
            </a:r>
            <a:r>
              <a:rPr lang="ru-RU" baseline="0"/>
              <a:t> Трубка </a:t>
            </a:r>
            <a:r>
              <a:rPr lang="en-US" baseline="0"/>
              <a:t>3</a:t>
            </a:r>
            <a:endParaRPr lang="ru-R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0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'МНК 2'!$B$23:$F$23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xVal>
          <c:yVal>
            <c:numRef>
              <c:f>'МНК 2'!$B$24:$F$24</c:f>
              <c:numCache>
                <c:formatCode>General</c:formatCode>
                <c:ptCount val="5"/>
                <c:pt idx="0">
                  <c:v>110.55869999999999</c:v>
                </c:pt>
                <c:pt idx="1">
                  <c:v>276.39675000000005</c:v>
                </c:pt>
                <c:pt idx="2">
                  <c:v>244.80855</c:v>
                </c:pt>
                <c:pt idx="3">
                  <c:v>323.77904999999998</c:v>
                </c:pt>
                <c:pt idx="4">
                  <c:v>118.45574999999999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720848"/>
        <c:axId val="1625723568"/>
      </c:scatterChart>
      <c:valAx>
        <c:axId val="1625720848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5723568"/>
        <c:crosses val="autoZero"/>
        <c:crossBetween val="midCat"/>
      </c:valAx>
      <c:valAx>
        <c:axId val="1625723568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572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Дв.</a:t>
            </a:r>
            <a:r>
              <a:rPr lang="ru-RU" baseline="0"/>
              <a:t> лог. масштаб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('Двойной лог. масштаб'!$H$3,'Двойной лог. масштаб'!$H$13,'Двойной лог. масштаб'!$H$23)</c:f>
              <c:numCache>
                <c:formatCode>General</c:formatCode>
                <c:ptCount val="3"/>
                <c:pt idx="0">
                  <c:v>-6.9080000000000004</c:v>
                </c:pt>
                <c:pt idx="1">
                  <c:v>-6.5019999999999998</c:v>
                </c:pt>
                <c:pt idx="2">
                  <c:v>-6.2149999999999999</c:v>
                </c:pt>
              </c:numCache>
            </c:numRef>
          </c:xVal>
          <c:yVal>
            <c:numRef>
              <c:f>('Двойной лог. масштаб'!$J$3,'Двойной лог. масштаб'!$J$13,'Двойной лог. масштаб'!$J$23)</c:f>
              <c:numCache>
                <c:formatCode>General</c:formatCode>
                <c:ptCount val="3"/>
                <c:pt idx="0">
                  <c:v>-27.40624877041083</c:v>
                </c:pt>
                <c:pt idx="1">
                  <c:v>-25.432210949181965</c:v>
                </c:pt>
                <c:pt idx="2">
                  <c:v>-23.802111193141535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800784"/>
        <c:axId val="1623805680"/>
      </c:scatterChart>
      <c:valAx>
        <c:axId val="1623800784"/>
        <c:scaling>
          <c:orientation val="maxMin"/>
          <c:max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805680"/>
        <c:crosses val="autoZero"/>
        <c:crossBetween val="midCat"/>
      </c:valAx>
      <c:valAx>
        <c:axId val="1623805680"/>
        <c:scaling>
          <c:orientation val="maxMin"/>
          <c:max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80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11</xdr:col>
      <xdr:colOff>577850</xdr:colOff>
      <xdr:row>6</xdr:row>
      <xdr:rowOff>247650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0</xdr:rowOff>
    </xdr:from>
    <xdr:to>
      <xdr:col>11</xdr:col>
      <xdr:colOff>577850</xdr:colOff>
      <xdr:row>16</xdr:row>
      <xdr:rowOff>247650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11</xdr:col>
      <xdr:colOff>577850</xdr:colOff>
      <xdr:row>26</xdr:row>
      <xdr:rowOff>247650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13</xdr:col>
      <xdr:colOff>127000</xdr:colOff>
      <xdr:row>9</xdr:row>
      <xdr:rowOff>146050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13</xdr:col>
      <xdr:colOff>127000</xdr:colOff>
      <xdr:row>19</xdr:row>
      <xdr:rowOff>146050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13</xdr:col>
      <xdr:colOff>127000</xdr:colOff>
      <xdr:row>29</xdr:row>
      <xdr:rowOff>146050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33130</xdr:colOff>
      <xdr:row>0</xdr:row>
      <xdr:rowOff>125896</xdr:rowOff>
    </xdr:from>
    <xdr:to>
      <xdr:col>16</xdr:col>
      <xdr:colOff>602974</xdr:colOff>
      <xdr:row>10</xdr:row>
      <xdr:rowOff>112644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120" zoomScaleNormal="120" workbookViewId="0">
      <selection activeCell="F7" sqref="F7"/>
    </sheetView>
  </sheetViews>
  <sheetFormatPr defaultRowHeight="14.4" x14ac:dyDescent="0.3"/>
  <cols>
    <col min="7" max="7" width="11.109375" bestFit="1" customWidth="1"/>
  </cols>
  <sheetData>
    <row r="1" spans="1:14" ht="24" thickBot="1" x14ac:dyDescent="0.35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8"/>
      <c r="M1" s="24" t="s">
        <v>17</v>
      </c>
      <c r="N1" s="25"/>
    </row>
    <row r="2" spans="1:14" ht="15" thickBot="1" x14ac:dyDescent="0.35">
      <c r="A2" s="17" t="s">
        <v>1</v>
      </c>
      <c r="B2" s="17" t="s">
        <v>9</v>
      </c>
      <c r="C2" s="17" t="s">
        <v>10</v>
      </c>
      <c r="D2" s="18" t="s">
        <v>11</v>
      </c>
      <c r="E2" s="3"/>
      <c r="F2" s="27" t="s">
        <v>1</v>
      </c>
      <c r="G2" s="26" t="s">
        <v>2</v>
      </c>
      <c r="H2" s="30" t="s">
        <v>3</v>
      </c>
      <c r="I2" s="29" t="s">
        <v>4</v>
      </c>
      <c r="J2" s="29" t="s">
        <v>5</v>
      </c>
      <c r="K2" s="29" t="s">
        <v>6</v>
      </c>
      <c r="M2" s="33" t="s">
        <v>15</v>
      </c>
      <c r="N2" s="21">
        <v>805</v>
      </c>
    </row>
    <row r="3" spans="1:14" ht="15" thickBot="1" x14ac:dyDescent="0.35">
      <c r="A3" s="12">
        <v>1</v>
      </c>
      <c r="B3" s="12">
        <v>0.5</v>
      </c>
      <c r="C3" s="12">
        <v>11.2</v>
      </c>
      <c r="D3" s="7">
        <f>12.1/100</f>
        <v>0.121</v>
      </c>
      <c r="E3" s="5"/>
      <c r="F3" s="27" t="s">
        <v>12</v>
      </c>
      <c r="G3" s="14">
        <f>5/100</f>
        <v>0.05</v>
      </c>
      <c r="H3" s="20">
        <f>35/100</f>
        <v>0.35</v>
      </c>
      <c r="I3" s="14">
        <f>20/100</f>
        <v>0.2</v>
      </c>
      <c r="J3" s="14">
        <f t="shared" ref="J3:K3" si="0">20/100</f>
        <v>0.2</v>
      </c>
      <c r="K3" s="14">
        <f t="shared" si="0"/>
        <v>0.2</v>
      </c>
      <c r="M3" s="34" t="s">
        <v>16</v>
      </c>
      <c r="N3" s="23">
        <v>26</v>
      </c>
    </row>
    <row r="4" spans="1:14" ht="15" thickBot="1" x14ac:dyDescent="0.35">
      <c r="A4" s="12">
        <v>2</v>
      </c>
      <c r="B4" s="12">
        <v>0.5</v>
      </c>
      <c r="C4" s="12">
        <v>11.8</v>
      </c>
      <c r="D4" s="7">
        <f>11.9/100</f>
        <v>0.11900000000000001</v>
      </c>
      <c r="E4" s="5"/>
      <c r="F4" s="28" t="s">
        <v>11</v>
      </c>
      <c r="G4" s="13">
        <f>1.3/100</f>
        <v>1.3000000000000001E-2</v>
      </c>
      <c r="H4" s="20">
        <f>10.6/100</f>
        <v>0.106</v>
      </c>
      <c r="I4" s="13">
        <f>6.1/100</f>
        <v>6.0999999999999999E-2</v>
      </c>
      <c r="J4" s="13">
        <f>5.8/100</f>
        <v>5.7999999999999996E-2</v>
      </c>
      <c r="K4" s="13">
        <f>6.1/100</f>
        <v>6.0999999999999999E-2</v>
      </c>
    </row>
    <row r="5" spans="1:14" ht="15" thickBot="1" x14ac:dyDescent="0.35">
      <c r="A5" s="12">
        <v>3</v>
      </c>
      <c r="B5" s="12">
        <v>0.5</v>
      </c>
      <c r="C5" s="12">
        <v>11.9</v>
      </c>
      <c r="D5" s="7">
        <f>11.6/100</f>
        <v>0.11599999999999999</v>
      </c>
      <c r="E5" s="5"/>
      <c r="F5" s="6"/>
      <c r="G5" s="6"/>
      <c r="H5" s="6"/>
      <c r="I5" s="6"/>
      <c r="J5" s="6"/>
      <c r="K5" s="7"/>
    </row>
    <row r="6" spans="1:14" ht="15" thickBot="1" x14ac:dyDescent="0.35">
      <c r="A6" s="12">
        <v>4</v>
      </c>
      <c r="B6" s="12">
        <v>0.5</v>
      </c>
      <c r="C6" s="12">
        <v>12.1</v>
      </c>
      <c r="D6" s="7">
        <f>11.3/100</f>
        <v>0.113</v>
      </c>
      <c r="E6" s="5"/>
      <c r="F6" s="33" t="s">
        <v>13</v>
      </c>
      <c r="G6" s="35">
        <f>20/100</f>
        <v>0.2</v>
      </c>
      <c r="H6" s="6"/>
      <c r="I6" s="17" t="s">
        <v>39</v>
      </c>
      <c r="J6" s="15">
        <f>2/1000</f>
        <v>2E-3</v>
      </c>
      <c r="K6" s="7"/>
    </row>
    <row r="7" spans="1:14" ht="15" thickBot="1" x14ac:dyDescent="0.35">
      <c r="A7" s="12">
        <v>5</v>
      </c>
      <c r="B7" s="12">
        <v>0.5</v>
      </c>
      <c r="C7" s="12">
        <v>12.8</v>
      </c>
      <c r="D7" s="7">
        <f>10.4/100</f>
        <v>0.10400000000000001</v>
      </c>
      <c r="E7" s="5"/>
      <c r="F7" s="19" t="s">
        <v>14</v>
      </c>
      <c r="G7" s="32">
        <f>MIN(C3:C9)</f>
        <v>11.2</v>
      </c>
      <c r="H7" s="6"/>
      <c r="I7" s="6"/>
      <c r="J7" s="6"/>
      <c r="K7" s="7"/>
    </row>
    <row r="8" spans="1:14" ht="15" thickBot="1" x14ac:dyDescent="0.35">
      <c r="A8" s="12">
        <v>6</v>
      </c>
      <c r="B8" s="12">
        <v>0.5</v>
      </c>
      <c r="C8" s="12">
        <v>14.3</v>
      </c>
      <c r="D8" s="7">
        <f>9.5/100</f>
        <v>9.5000000000000001E-2</v>
      </c>
      <c r="E8" s="5"/>
      <c r="F8" s="17" t="s">
        <v>41</v>
      </c>
      <c r="G8" s="15">
        <f>(B3/G7)/1000</f>
        <v>4.4642857142857143E-5</v>
      </c>
      <c r="H8" s="6"/>
      <c r="I8" s="6"/>
      <c r="J8" s="6"/>
      <c r="K8" s="7"/>
    </row>
    <row r="9" spans="1:14" ht="15" thickBot="1" x14ac:dyDescent="0.35">
      <c r="A9" s="13">
        <v>7</v>
      </c>
      <c r="B9" s="13">
        <v>0.5</v>
      </c>
      <c r="C9" s="13">
        <v>15</v>
      </c>
      <c r="D9" s="10">
        <f>8.4/100</f>
        <v>8.4000000000000005E-2</v>
      </c>
      <c r="E9" s="8"/>
      <c r="F9" s="9"/>
      <c r="G9" s="9"/>
      <c r="H9" s="9"/>
      <c r="I9" s="9"/>
      <c r="J9" s="9"/>
      <c r="K9" s="10"/>
    </row>
    <row r="10" spans="1:14" ht="15" thickBot="1" x14ac:dyDescent="0.35"/>
    <row r="11" spans="1:14" ht="18.600000000000001" customHeight="1" thickBot="1" x14ac:dyDescent="0.35">
      <c r="A11" s="66" t="s">
        <v>7</v>
      </c>
      <c r="B11" s="67"/>
      <c r="C11" s="67"/>
      <c r="D11" s="67"/>
      <c r="E11" s="67"/>
      <c r="F11" s="67"/>
      <c r="G11" s="67"/>
      <c r="H11" s="67"/>
      <c r="I11" s="67"/>
      <c r="J11" s="67"/>
      <c r="K11" s="68"/>
    </row>
    <row r="12" spans="1:14" ht="15" thickBot="1" x14ac:dyDescent="0.35">
      <c r="A12" s="17" t="s">
        <v>1</v>
      </c>
      <c r="B12" s="17" t="s">
        <v>9</v>
      </c>
      <c r="C12" s="17" t="s">
        <v>10</v>
      </c>
      <c r="D12" s="18" t="s">
        <v>11</v>
      </c>
      <c r="E12" s="3"/>
      <c r="F12" s="17" t="s">
        <v>1</v>
      </c>
      <c r="G12" s="31" t="s">
        <v>2</v>
      </c>
      <c r="H12" s="29" t="s">
        <v>3</v>
      </c>
      <c r="I12" s="29" t="s">
        <v>4</v>
      </c>
      <c r="J12" s="29" t="s">
        <v>5</v>
      </c>
      <c r="K12" s="29" t="s">
        <v>6</v>
      </c>
    </row>
    <row r="13" spans="1:14" ht="15" thickBot="1" x14ac:dyDescent="0.35">
      <c r="A13" s="12">
        <v>1</v>
      </c>
      <c r="B13" s="12">
        <v>0.5</v>
      </c>
      <c r="C13" s="12">
        <v>5.2</v>
      </c>
      <c r="D13" s="7">
        <f>9.6/100</f>
        <v>9.6000000000000002E-2</v>
      </c>
      <c r="E13" s="5"/>
      <c r="F13" s="17" t="s">
        <v>12</v>
      </c>
      <c r="G13" s="20">
        <f>10/100</f>
        <v>0.1</v>
      </c>
      <c r="H13" s="14">
        <f>30/100</f>
        <v>0.3</v>
      </c>
      <c r="I13" s="14">
        <f>20/100</f>
        <v>0.2</v>
      </c>
      <c r="J13" s="14">
        <f>20/100</f>
        <v>0.2</v>
      </c>
      <c r="K13" s="14">
        <f>20/100</f>
        <v>0.2</v>
      </c>
    </row>
    <row r="14" spans="1:14" ht="15" thickBot="1" x14ac:dyDescent="0.35">
      <c r="A14" s="12">
        <v>2</v>
      </c>
      <c r="B14" s="12">
        <v>0.5</v>
      </c>
      <c r="C14" s="12">
        <v>5.3</v>
      </c>
      <c r="D14" s="7">
        <f>9.4/100</f>
        <v>9.4E-2</v>
      </c>
      <c r="E14" s="5"/>
      <c r="F14" s="19" t="s">
        <v>11</v>
      </c>
      <c r="G14" s="8">
        <f>1.9/100</f>
        <v>1.9E-2</v>
      </c>
      <c r="H14" s="13">
        <f>6.9/100</f>
        <v>6.9000000000000006E-2</v>
      </c>
      <c r="I14" s="13">
        <f>5.1/100</f>
        <v>5.0999999999999997E-2</v>
      </c>
      <c r="J14" s="13">
        <f>4.6/100</f>
        <v>4.5999999999999999E-2</v>
      </c>
      <c r="K14" s="13">
        <f>4.7/100</f>
        <v>4.7E-2</v>
      </c>
    </row>
    <row r="15" spans="1:14" ht="15" thickBot="1" x14ac:dyDescent="0.35">
      <c r="A15" s="12">
        <v>3</v>
      </c>
      <c r="B15" s="12">
        <v>0.5</v>
      </c>
      <c r="C15" s="12">
        <v>5.5</v>
      </c>
      <c r="D15" s="7">
        <f>8.5/100</f>
        <v>8.5000000000000006E-2</v>
      </c>
      <c r="E15" s="5"/>
      <c r="F15" s="6"/>
      <c r="G15" s="6"/>
      <c r="H15" s="6"/>
      <c r="I15" s="6"/>
      <c r="J15" s="6"/>
      <c r="K15" s="7"/>
    </row>
    <row r="16" spans="1:14" ht="15" thickBot="1" x14ac:dyDescent="0.35">
      <c r="A16" s="12">
        <v>4</v>
      </c>
      <c r="B16" s="12">
        <v>0.5</v>
      </c>
      <c r="C16" s="12">
        <v>5.7</v>
      </c>
      <c r="D16" s="7">
        <f>7.6/100</f>
        <v>7.5999999999999998E-2</v>
      </c>
      <c r="E16" s="5"/>
      <c r="F16" s="33" t="s">
        <v>13</v>
      </c>
      <c r="G16" s="4">
        <f>30/100</f>
        <v>0.3</v>
      </c>
      <c r="H16" s="6"/>
      <c r="I16" s="17" t="s">
        <v>39</v>
      </c>
      <c r="J16" s="15">
        <f>3/1000</f>
        <v>3.0000000000000001E-3</v>
      </c>
      <c r="K16" s="7"/>
    </row>
    <row r="17" spans="1:11" ht="15" thickBot="1" x14ac:dyDescent="0.35">
      <c r="A17" s="12">
        <v>5</v>
      </c>
      <c r="B17" s="12">
        <v>0.5</v>
      </c>
      <c r="C17" s="12">
        <v>6</v>
      </c>
      <c r="D17" s="7">
        <f>6.1/100</f>
        <v>6.0999999999999999E-2</v>
      </c>
      <c r="E17" s="5"/>
      <c r="F17" s="19" t="s">
        <v>14</v>
      </c>
      <c r="G17" s="10">
        <f>MIN(C13:C19)</f>
        <v>5.2</v>
      </c>
      <c r="H17" s="6"/>
      <c r="I17" s="6"/>
      <c r="J17" s="6"/>
      <c r="K17" s="7"/>
    </row>
    <row r="18" spans="1:11" ht="15" thickBot="1" x14ac:dyDescent="0.35">
      <c r="A18" s="12">
        <v>6</v>
      </c>
      <c r="B18" s="12">
        <v>0.5</v>
      </c>
      <c r="C18" s="12">
        <v>7.1</v>
      </c>
      <c r="D18" s="7">
        <f>4.1/100</f>
        <v>4.0999999999999995E-2</v>
      </c>
      <c r="E18" s="5"/>
      <c r="F18" s="17" t="s">
        <v>41</v>
      </c>
      <c r="G18" s="15">
        <f>(B13/G17)/1000</f>
        <v>9.615384615384614E-5</v>
      </c>
      <c r="H18" s="6"/>
      <c r="I18" s="6"/>
      <c r="J18" s="6"/>
      <c r="K18" s="7"/>
    </row>
    <row r="19" spans="1:11" ht="15" thickBot="1" x14ac:dyDescent="0.35">
      <c r="A19" s="13">
        <v>7</v>
      </c>
      <c r="B19" s="13">
        <v>0.5</v>
      </c>
      <c r="C19" s="13">
        <v>10.6</v>
      </c>
      <c r="D19" s="10">
        <f>2.6/100</f>
        <v>2.6000000000000002E-2</v>
      </c>
      <c r="E19" s="8"/>
      <c r="F19" s="9"/>
      <c r="G19" s="9"/>
      <c r="H19" s="9"/>
      <c r="I19" s="9"/>
      <c r="J19" s="9"/>
      <c r="K19" s="10"/>
    </row>
    <row r="20" spans="1:11" ht="15" thickBot="1" x14ac:dyDescent="0.35"/>
    <row r="21" spans="1:11" ht="18.600000000000001" customHeight="1" thickBot="1" x14ac:dyDescent="0.35">
      <c r="A21" s="66" t="s">
        <v>8</v>
      </c>
      <c r="B21" s="67"/>
      <c r="C21" s="67"/>
      <c r="D21" s="67"/>
      <c r="E21" s="67"/>
      <c r="F21" s="67"/>
      <c r="G21" s="67"/>
      <c r="H21" s="67"/>
      <c r="I21" s="67"/>
      <c r="J21" s="67"/>
      <c r="K21" s="68"/>
    </row>
    <row r="22" spans="1:11" ht="15" thickBot="1" x14ac:dyDescent="0.35">
      <c r="A22" s="17" t="s">
        <v>1</v>
      </c>
      <c r="B22" s="17" t="s">
        <v>9</v>
      </c>
      <c r="C22" s="17" t="s">
        <v>10</v>
      </c>
      <c r="D22" s="18" t="s">
        <v>11</v>
      </c>
      <c r="E22" s="3"/>
      <c r="F22" s="27" t="s">
        <v>1</v>
      </c>
      <c r="G22" s="26" t="s">
        <v>2</v>
      </c>
      <c r="H22" s="29" t="s">
        <v>3</v>
      </c>
      <c r="I22" s="29" t="s">
        <v>4</v>
      </c>
      <c r="J22" s="29" t="s">
        <v>5</v>
      </c>
      <c r="K22" s="29" t="s">
        <v>6</v>
      </c>
    </row>
    <row r="23" spans="1:11" ht="15" thickBot="1" x14ac:dyDescent="0.35">
      <c r="A23" s="12">
        <v>1</v>
      </c>
      <c r="B23" s="11">
        <v>1</v>
      </c>
      <c r="C23" s="12">
        <v>6.2</v>
      </c>
      <c r="D23" s="7">
        <f>6.9/100</f>
        <v>6.9000000000000006E-2</v>
      </c>
      <c r="E23" s="5"/>
      <c r="F23" s="27" t="s">
        <v>12</v>
      </c>
      <c r="G23" s="14">
        <f>10/100</f>
        <v>0.1</v>
      </c>
      <c r="H23" s="14">
        <f>25/100</f>
        <v>0.25</v>
      </c>
      <c r="I23" s="14">
        <f>20/100</f>
        <v>0.2</v>
      </c>
      <c r="J23" s="14">
        <f>20/100</f>
        <v>0.2</v>
      </c>
      <c r="K23" s="14">
        <f>20/100</f>
        <v>0.2</v>
      </c>
    </row>
    <row r="24" spans="1:11" ht="15" thickBot="1" x14ac:dyDescent="0.35">
      <c r="A24" s="12">
        <v>2</v>
      </c>
      <c r="B24" s="12">
        <v>1</v>
      </c>
      <c r="C24" s="12">
        <v>6.5</v>
      </c>
      <c r="D24" s="7">
        <f>5.9/100</f>
        <v>5.9000000000000004E-2</v>
      </c>
      <c r="E24" s="5"/>
      <c r="F24" s="28" t="s">
        <v>11</v>
      </c>
      <c r="G24" s="13">
        <f>1.4/100</f>
        <v>1.3999999999999999E-2</v>
      </c>
      <c r="H24" s="13">
        <f>3.5/100</f>
        <v>3.5000000000000003E-2</v>
      </c>
      <c r="I24" s="13">
        <f>3.1/100</f>
        <v>3.1E-2</v>
      </c>
      <c r="J24" s="13">
        <f>4.1/100</f>
        <v>4.0999999999999995E-2</v>
      </c>
      <c r="K24" s="13">
        <f>1.5/100</f>
        <v>1.4999999999999999E-2</v>
      </c>
    </row>
    <row r="25" spans="1:11" ht="15" thickBot="1" x14ac:dyDescent="0.35">
      <c r="A25" s="12">
        <v>3</v>
      </c>
      <c r="B25" s="12">
        <v>1</v>
      </c>
      <c r="C25" s="12">
        <v>6.8</v>
      </c>
      <c r="D25" s="7">
        <f>5.2/100</f>
        <v>5.2000000000000005E-2</v>
      </c>
      <c r="E25" s="5"/>
      <c r="F25" s="6"/>
      <c r="G25" s="6"/>
      <c r="H25" s="6"/>
      <c r="I25" s="6"/>
      <c r="J25" s="6"/>
      <c r="K25" s="7"/>
    </row>
    <row r="26" spans="1:11" ht="15" thickBot="1" x14ac:dyDescent="0.35">
      <c r="A26" s="12">
        <v>4</v>
      </c>
      <c r="B26" s="12">
        <v>1</v>
      </c>
      <c r="C26" s="12">
        <v>7.7</v>
      </c>
      <c r="D26" s="7">
        <f>3.4/100</f>
        <v>3.4000000000000002E-2</v>
      </c>
      <c r="E26" s="5"/>
      <c r="F26" s="33" t="s">
        <v>13</v>
      </c>
      <c r="G26" s="4">
        <f>40/100</f>
        <v>0.4</v>
      </c>
      <c r="H26" s="6"/>
      <c r="I26" s="17" t="s">
        <v>39</v>
      </c>
      <c r="J26" s="15">
        <f>4/1000</f>
        <v>4.0000000000000001E-3</v>
      </c>
      <c r="K26" s="7"/>
    </row>
    <row r="27" spans="1:11" ht="15" thickBot="1" x14ac:dyDescent="0.35">
      <c r="A27" s="12">
        <v>5</v>
      </c>
      <c r="B27" s="12">
        <v>1</v>
      </c>
      <c r="C27" s="12">
        <v>8.1999999999999993</v>
      </c>
      <c r="D27" s="7">
        <f>2.4/100</f>
        <v>2.4E-2</v>
      </c>
      <c r="E27" s="5"/>
      <c r="F27" s="19" t="s">
        <v>14</v>
      </c>
      <c r="G27" s="10">
        <f>MIN(C23:C29)</f>
        <v>6.2</v>
      </c>
      <c r="H27" s="6"/>
      <c r="I27" s="6"/>
      <c r="J27" s="6"/>
      <c r="K27" s="7"/>
    </row>
    <row r="28" spans="1:11" ht="15" thickBot="1" x14ac:dyDescent="0.35">
      <c r="A28" s="12">
        <v>6</v>
      </c>
      <c r="B28" s="12">
        <v>1</v>
      </c>
      <c r="C28" s="12">
        <v>9.1</v>
      </c>
      <c r="D28" s="7">
        <f>1.5/100</f>
        <v>1.4999999999999999E-2</v>
      </c>
      <c r="E28" s="5"/>
      <c r="F28" s="17" t="s">
        <v>41</v>
      </c>
      <c r="G28" s="15">
        <f>(B23/G27)/1000</f>
        <v>1.6129032258064516E-4</v>
      </c>
      <c r="H28" s="6"/>
      <c r="I28" s="6"/>
      <c r="J28" s="6"/>
      <c r="K28" s="7"/>
    </row>
    <row r="29" spans="1:11" ht="15" thickBot="1" x14ac:dyDescent="0.35">
      <c r="A29" s="13">
        <v>7</v>
      </c>
      <c r="B29" s="13">
        <v>1</v>
      </c>
      <c r="C29" s="13">
        <v>10.7</v>
      </c>
      <c r="D29" s="10">
        <f>1.4/100</f>
        <v>1.3999999999999999E-2</v>
      </c>
      <c r="E29" s="8"/>
      <c r="F29" s="9"/>
      <c r="G29" s="9"/>
      <c r="H29" s="9"/>
      <c r="I29" s="9"/>
      <c r="J29" s="9"/>
      <c r="K29" s="10"/>
    </row>
  </sheetData>
  <mergeCells count="4">
    <mergeCell ref="A1:K1"/>
    <mergeCell ref="A11:K11"/>
    <mergeCell ref="A21:K2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A19" zoomScale="120" zoomScaleNormal="120" workbookViewId="0">
      <selection activeCell="I22" sqref="I22"/>
    </sheetView>
  </sheetViews>
  <sheetFormatPr defaultRowHeight="14.4" x14ac:dyDescent="0.3"/>
  <cols>
    <col min="2" max="2" width="11.5546875" bestFit="1" customWidth="1"/>
    <col min="3" max="3" width="9.44140625" bestFit="1" customWidth="1"/>
    <col min="4" max="4" width="11.5546875" customWidth="1"/>
    <col min="5" max="5" width="9.44140625" bestFit="1" customWidth="1"/>
    <col min="6" max="6" width="11.5546875" customWidth="1"/>
    <col min="7" max="7" width="9.44140625" bestFit="1" customWidth="1"/>
    <col min="8" max="9" width="11.5546875" bestFit="1" customWidth="1"/>
    <col min="10" max="11" width="12.109375" bestFit="1" customWidth="1"/>
  </cols>
  <sheetData>
    <row r="1" spans="1:18" ht="20.399999999999999" customHeight="1" thickBot="1" x14ac:dyDescent="0.35">
      <c r="A1" s="63" t="s">
        <v>0</v>
      </c>
      <c r="B1" s="64"/>
      <c r="C1" s="64"/>
      <c r="D1" s="64"/>
      <c r="E1" s="64"/>
      <c r="F1" s="64"/>
      <c r="G1" s="64"/>
      <c r="H1" s="65"/>
      <c r="I1" s="53"/>
      <c r="J1" s="2"/>
      <c r="K1" s="2"/>
      <c r="L1" s="2"/>
      <c r="M1" s="50" t="s">
        <v>18</v>
      </c>
      <c r="N1" s="52"/>
      <c r="O1" s="2"/>
      <c r="P1" s="2"/>
      <c r="Q1" s="2"/>
      <c r="R1" s="2"/>
    </row>
    <row r="2" spans="1:18" ht="15" thickBot="1" x14ac:dyDescent="0.35">
      <c r="A2" s="46" t="s">
        <v>1</v>
      </c>
      <c r="B2" s="44">
        <v>1</v>
      </c>
      <c r="C2" s="44">
        <v>2</v>
      </c>
      <c r="D2" s="44">
        <v>3</v>
      </c>
      <c r="E2" s="44">
        <v>4</v>
      </c>
      <c r="F2" s="44">
        <v>5</v>
      </c>
      <c r="G2" s="44">
        <v>6</v>
      </c>
      <c r="H2" s="45">
        <v>7</v>
      </c>
      <c r="I2" s="2"/>
      <c r="J2" s="2"/>
      <c r="K2" s="2"/>
      <c r="L2" s="2"/>
      <c r="M2" s="17" t="s">
        <v>19</v>
      </c>
      <c r="N2" s="23">
        <v>9.81</v>
      </c>
      <c r="O2" s="2"/>
      <c r="P2" s="2"/>
      <c r="Q2" s="2"/>
      <c r="R2" s="2"/>
    </row>
    <row r="3" spans="1:18" ht="15" thickBot="1" x14ac:dyDescent="0.35">
      <c r="A3" s="46" t="s">
        <v>20</v>
      </c>
      <c r="B3" s="44">
        <f>ROUND('начальные замеры'!$N$2*'МНК 1'!$N$2*'начальные замеры'!D3,3)</f>
        <v>955.54300000000001</v>
      </c>
      <c r="C3" s="44">
        <f>ROUND('начальные замеры'!$N$2*'МНК 1'!$N$2*'начальные замеры'!D4,3)</f>
        <v>939.74900000000002</v>
      </c>
      <c r="D3" s="44">
        <f>ROUND('начальные замеры'!$N$2*'МНК 1'!$N$2*'начальные замеры'!D5,3)</f>
        <v>916.05799999999999</v>
      </c>
      <c r="E3" s="44">
        <f>ROUND('начальные замеры'!$N$2*'МНК 1'!$N$2*'начальные замеры'!D6,3)</f>
        <v>892.36699999999996</v>
      </c>
      <c r="F3" s="44">
        <f>ROUND('начальные замеры'!$N$2*'МНК 1'!$N$2*'начальные замеры'!D7,3)</f>
        <v>821.29300000000001</v>
      </c>
      <c r="G3" s="44">
        <f>ROUND('начальные замеры'!$N$2*'МНК 1'!$N$2*'начальные замеры'!D8,3)</f>
        <v>750.22</v>
      </c>
      <c r="H3" s="45">
        <f>ROUND('начальные замеры'!$N$2*'МНК 1'!$N$2*'начальные замеры'!D9,3)</f>
        <v>663.35199999999998</v>
      </c>
      <c r="I3" s="56">
        <f>B3*B5+C3*C5+D3*D5+E3*E5+F3*F5+G3*G5+H3*H5</f>
        <v>0.237709119</v>
      </c>
      <c r="J3" s="2"/>
      <c r="K3" s="2"/>
      <c r="L3" s="2"/>
      <c r="M3" s="37"/>
      <c r="N3" s="37"/>
      <c r="O3" s="2"/>
      <c r="P3" s="2"/>
      <c r="Q3" s="2"/>
      <c r="R3" s="2"/>
    </row>
    <row r="4" spans="1:18" ht="15" thickBot="1" x14ac:dyDescent="0.35">
      <c r="A4" s="34" t="s">
        <v>21</v>
      </c>
      <c r="B4" s="47">
        <f>ROUND('начальные замеры'!B3/'начальные замеры'!C3,3)</f>
        <v>4.4999999999999998E-2</v>
      </c>
      <c r="C4" s="48">
        <f>ROUND('начальные замеры'!B4/'начальные замеры'!C4,3)</f>
        <v>4.2000000000000003E-2</v>
      </c>
      <c r="D4" s="48">
        <f>ROUND('начальные замеры'!B5/'начальные замеры'!C5,3)</f>
        <v>4.2000000000000003E-2</v>
      </c>
      <c r="E4" s="48">
        <f>ROUND('начальные замеры'!B6/'начальные замеры'!C6,3)</f>
        <v>4.1000000000000002E-2</v>
      </c>
      <c r="F4" s="48">
        <f>ROUND('начальные замеры'!B7/'начальные замеры'!C7,3)</f>
        <v>3.9E-2</v>
      </c>
      <c r="G4" s="48">
        <f>ROUND('начальные замеры'!B8/'начальные замеры'!C8,3)</f>
        <v>3.5000000000000003E-2</v>
      </c>
      <c r="H4" s="49">
        <f>ROUND('начальные замеры'!B9/'начальные замеры'!C9,3)</f>
        <v>3.3000000000000002E-2</v>
      </c>
      <c r="I4" s="56"/>
      <c r="J4" s="2"/>
      <c r="K4" s="2"/>
      <c r="L4" s="2"/>
      <c r="M4" s="2"/>
      <c r="N4" s="2"/>
      <c r="O4" s="2"/>
      <c r="P4" s="2"/>
      <c r="Q4" s="2"/>
      <c r="R4" s="2"/>
    </row>
    <row r="5" spans="1:18" ht="15" thickBot="1" x14ac:dyDescent="0.35">
      <c r="A5" s="34" t="s">
        <v>27</v>
      </c>
      <c r="B5" s="54">
        <f>B4/1000</f>
        <v>4.4999999999999996E-5</v>
      </c>
      <c r="C5" s="44">
        <f t="shared" ref="C5:H5" si="0">C4/1000</f>
        <v>4.2000000000000004E-5</v>
      </c>
      <c r="D5" s="44">
        <f t="shared" si="0"/>
        <v>4.2000000000000004E-5</v>
      </c>
      <c r="E5" s="44">
        <f t="shared" si="0"/>
        <v>4.1E-5</v>
      </c>
      <c r="F5" s="44">
        <f t="shared" si="0"/>
        <v>3.8999999999999999E-5</v>
      </c>
      <c r="G5" s="44">
        <f t="shared" si="0"/>
        <v>3.5000000000000004E-5</v>
      </c>
      <c r="H5" s="45">
        <f t="shared" si="0"/>
        <v>3.3000000000000003E-5</v>
      </c>
      <c r="I5" s="56">
        <f>B5^2+C5^2+D5^2+E5^2+F5^2+G5^2+H5^2</f>
        <v>1.1069000000000001E-8</v>
      </c>
      <c r="J5" s="2"/>
      <c r="K5" s="2"/>
      <c r="L5" s="2"/>
      <c r="M5" s="2"/>
      <c r="N5" s="2"/>
      <c r="O5" s="2"/>
      <c r="P5" s="2"/>
      <c r="Q5" s="2"/>
      <c r="R5" s="2"/>
    </row>
    <row r="6" spans="1:18" ht="15" thickBot="1" x14ac:dyDescent="0.35"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0.399999999999999" thickBot="1" x14ac:dyDescent="0.35">
      <c r="A7" s="50" t="s">
        <v>22</v>
      </c>
      <c r="B7" s="51"/>
      <c r="C7" s="51"/>
      <c r="D7" s="51"/>
      <c r="E7" s="51"/>
      <c r="F7" s="51"/>
      <c r="G7" s="51"/>
      <c r="H7" s="5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29.4" thickBot="1" x14ac:dyDescent="0.35">
      <c r="A8" s="46" t="s">
        <v>28</v>
      </c>
      <c r="B8" s="45">
        <f>ROUND(AVERAGE(B5:H5),5)</f>
        <v>4.0000000000000003E-5</v>
      </c>
      <c r="C8" s="46" t="s">
        <v>30</v>
      </c>
      <c r="D8" s="45">
        <f>ROUND(I3/7,4)</f>
        <v>3.4000000000000002E-2</v>
      </c>
      <c r="E8" s="57" t="s">
        <v>35</v>
      </c>
      <c r="F8" s="45">
        <f>LINEST(B3:H3,B5:H5)</f>
        <v>25167929.708222821</v>
      </c>
      <c r="G8" s="46" t="s">
        <v>36</v>
      </c>
      <c r="H8" s="45">
        <v>2248520.7969999998</v>
      </c>
      <c r="I8" s="2"/>
      <c r="J8" s="16" t="s">
        <v>40</v>
      </c>
      <c r="K8" s="45">
        <f>(F8*3.14*('начальные замеры'!J6/2)^4)/(8*0.4)</f>
        <v>2.4696031026193644E-5</v>
      </c>
      <c r="L8" s="2"/>
      <c r="M8" s="2"/>
      <c r="N8" s="2"/>
      <c r="O8" s="2"/>
      <c r="P8" s="2"/>
      <c r="Q8" s="2"/>
      <c r="R8" s="2"/>
    </row>
    <row r="9" spans="1:18" ht="29.4" thickBot="1" x14ac:dyDescent="0.35">
      <c r="A9" s="34" t="s">
        <v>29</v>
      </c>
      <c r="B9" s="23">
        <f>ROUND(AVERAGE(B3:H3),3)</f>
        <v>848.36900000000003</v>
      </c>
      <c r="C9" s="34" t="s">
        <v>31</v>
      </c>
      <c r="D9" s="23">
        <f>I5/7</f>
        <v>1.5812857142857145E-9</v>
      </c>
      <c r="E9" s="57" t="s">
        <v>34</v>
      </c>
      <c r="F9" s="45">
        <f>ROUND(B9-F8*B8,4)</f>
        <v>-158.34819999999999</v>
      </c>
      <c r="G9" s="34" t="s">
        <v>37</v>
      </c>
      <c r="H9" s="23">
        <v>89.412999999999997</v>
      </c>
      <c r="I9" s="2"/>
      <c r="J9" s="59" t="s">
        <v>38</v>
      </c>
      <c r="K9" s="23">
        <f>K8*(H8/F8)</f>
        <v>2.20636103205625E-6</v>
      </c>
      <c r="L9" s="2"/>
      <c r="M9" s="2"/>
      <c r="N9" s="2"/>
      <c r="O9" s="2"/>
      <c r="P9" s="2"/>
      <c r="Q9" s="2"/>
      <c r="R9" s="2"/>
    </row>
    <row r="10" spans="1:18" ht="15" thickBot="1" x14ac:dyDescent="0.35"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24" thickBot="1" x14ac:dyDescent="0.35">
      <c r="A11" s="63" t="s">
        <v>7</v>
      </c>
      <c r="B11" s="64"/>
      <c r="C11" s="64"/>
      <c r="D11" s="64"/>
      <c r="E11" s="64"/>
      <c r="F11" s="64"/>
      <c r="G11" s="64"/>
      <c r="H11" s="65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" thickBot="1" x14ac:dyDescent="0.35">
      <c r="A12" s="46" t="s">
        <v>1</v>
      </c>
      <c r="B12" s="44">
        <v>1</v>
      </c>
      <c r="C12" s="44">
        <v>2</v>
      </c>
      <c r="D12" s="44">
        <v>3</v>
      </c>
      <c r="E12" s="44">
        <v>4</v>
      </c>
      <c r="F12" s="44">
        <v>5</v>
      </c>
      <c r="G12" s="44">
        <v>6</v>
      </c>
      <c r="H12" s="45">
        <v>7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" thickBot="1" x14ac:dyDescent="0.35">
      <c r="A13" s="46" t="s">
        <v>20</v>
      </c>
      <c r="B13" s="44">
        <f>ROUND('начальные замеры'!$N$2*'МНК 1'!$N$2*'начальные замеры'!D13,3)</f>
        <v>758.11699999999996</v>
      </c>
      <c r="C13" s="44">
        <f>ROUND('начальные замеры'!$N$2*'МНК 1'!$N$2*'начальные замеры'!D14,3)</f>
        <v>742.32299999999998</v>
      </c>
      <c r="D13" s="44">
        <f>ROUND('начальные замеры'!$N$2*'МНК 1'!$N$2*'начальные замеры'!D15,3)</f>
        <v>671.24900000000002</v>
      </c>
      <c r="E13" s="44">
        <f>ROUND('начальные замеры'!$N$2*'МНК 1'!$N$2*'начальные замеры'!D16,3)</f>
        <v>600.17600000000004</v>
      </c>
      <c r="F13" s="44">
        <f>ROUND('начальные замеры'!$N$2*'МНК 1'!$N$2*'начальные замеры'!D17,3)</f>
        <v>481.72</v>
      </c>
      <c r="G13" s="44">
        <f>ROUND('начальные замеры'!$N$2*'МНК 1'!$N$2*'начальные замеры'!D18,3)</f>
        <v>323.779</v>
      </c>
      <c r="H13" s="45">
        <f>ROUND('начальные замеры'!$N$2*'МНК 1'!$N$2*'начальные замеры'!D19,3)</f>
        <v>205.32300000000001</v>
      </c>
      <c r="I13" s="56">
        <f>B13*B15+C13*C15+D13*D15+E13*E15+F13*F15+G13*G15+H13*H15</f>
        <v>0.32875421200000005</v>
      </c>
      <c r="J13" s="2"/>
      <c r="K13" s="2"/>
      <c r="L13" s="2"/>
      <c r="M13" s="2"/>
      <c r="N13" s="2"/>
      <c r="O13" s="2"/>
      <c r="P13" s="2"/>
      <c r="Q13" s="2"/>
      <c r="R13" s="2"/>
    </row>
    <row r="14" spans="1:18" ht="15" thickBot="1" x14ac:dyDescent="0.35">
      <c r="A14" s="34" t="s">
        <v>21</v>
      </c>
      <c r="B14" s="47">
        <f>ROUND('начальные замеры'!B13/'начальные замеры'!C13,3)</f>
        <v>9.6000000000000002E-2</v>
      </c>
      <c r="C14" s="48">
        <f>ROUND('начальные замеры'!B14/'начальные замеры'!C14,3)</f>
        <v>9.4E-2</v>
      </c>
      <c r="D14" s="48">
        <f>ROUND('начальные замеры'!B15/'начальные замеры'!C15,3)</f>
        <v>9.0999999999999998E-2</v>
      </c>
      <c r="E14" s="48">
        <f>ROUND('начальные замеры'!B16/'начальные замеры'!C16,3)</f>
        <v>8.7999999999999995E-2</v>
      </c>
      <c r="F14" s="48">
        <f>ROUND('начальные замеры'!B17/'начальные замеры'!C17,3)</f>
        <v>8.3000000000000004E-2</v>
      </c>
      <c r="G14" s="48">
        <f>ROUND('начальные замеры'!B18/'начальные замеры'!C18,3)</f>
        <v>7.0000000000000007E-2</v>
      </c>
      <c r="H14" s="49">
        <f>ROUND('начальные замеры'!B19/'начальные замеры'!C19,3)</f>
        <v>4.7E-2</v>
      </c>
      <c r="I14" s="56"/>
      <c r="J14" s="2"/>
      <c r="K14" s="2"/>
      <c r="L14" s="2"/>
      <c r="M14" s="2"/>
      <c r="N14" s="2"/>
      <c r="O14" s="2"/>
      <c r="P14" s="2"/>
      <c r="Q14" s="2"/>
      <c r="R14" s="2"/>
    </row>
    <row r="15" spans="1:18" ht="15" thickBot="1" x14ac:dyDescent="0.35">
      <c r="A15" s="34" t="s">
        <v>27</v>
      </c>
      <c r="B15" s="54">
        <f>B14/1000</f>
        <v>9.6000000000000002E-5</v>
      </c>
      <c r="C15" s="44">
        <f t="shared" ref="C15" si="1">C14/1000</f>
        <v>9.3999999999999994E-5</v>
      </c>
      <c r="D15" s="44">
        <f t="shared" ref="D15" si="2">D14/1000</f>
        <v>9.1000000000000003E-5</v>
      </c>
      <c r="E15" s="44">
        <f t="shared" ref="E15" si="3">E14/1000</f>
        <v>8.7999999999999998E-5</v>
      </c>
      <c r="F15" s="44">
        <f t="shared" ref="F15" si="4">F14/1000</f>
        <v>8.2999999999999998E-5</v>
      </c>
      <c r="G15" s="44">
        <f t="shared" ref="G15" si="5">G14/1000</f>
        <v>7.0000000000000007E-5</v>
      </c>
      <c r="H15" s="45">
        <f t="shared" ref="H15" si="6">H14/1000</f>
        <v>4.6999999999999997E-5</v>
      </c>
      <c r="I15" s="56">
        <f>B15^2+C15^2+D15^2+E15^2+F15^2+G15^2+H15^2</f>
        <v>4.8074999999999992E-8</v>
      </c>
      <c r="J15" s="2"/>
      <c r="K15" s="2"/>
      <c r="L15" s="2"/>
      <c r="M15" s="2"/>
      <c r="N15" s="2"/>
      <c r="O15" s="2"/>
      <c r="P15" s="2"/>
      <c r="Q15" s="2"/>
      <c r="R15" s="2"/>
    </row>
    <row r="16" spans="1:18" ht="15" thickBot="1" x14ac:dyDescent="0.35"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20.399999999999999" thickBot="1" x14ac:dyDescent="0.35">
      <c r="A17" s="50" t="s">
        <v>22</v>
      </c>
      <c r="B17" s="51"/>
      <c r="C17" s="51"/>
      <c r="D17" s="51"/>
      <c r="E17" s="51"/>
      <c r="F17" s="51"/>
      <c r="G17" s="51"/>
      <c r="H17" s="5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29.4" thickBot="1" x14ac:dyDescent="0.35">
      <c r="A18" s="46" t="s">
        <v>28</v>
      </c>
      <c r="B18" s="45">
        <f>ROUND(AVERAGE(B15:H15),5)</f>
        <v>8.0000000000000007E-5</v>
      </c>
      <c r="C18" s="46" t="s">
        <v>30</v>
      </c>
      <c r="D18" s="45">
        <f>ROUND(I13/7,4)</f>
        <v>4.7E-2</v>
      </c>
      <c r="E18" s="57" t="s">
        <v>35</v>
      </c>
      <c r="F18" s="45">
        <f>LINEST(B13:H13,B15:H15)</f>
        <v>11668017.941084303</v>
      </c>
      <c r="G18" s="46" t="s">
        <v>36</v>
      </c>
      <c r="H18" s="45">
        <v>1597480.2649999999</v>
      </c>
      <c r="I18" s="2"/>
      <c r="J18" s="16" t="s">
        <v>40</v>
      </c>
      <c r="K18" s="45">
        <f>(F18*3.14*('начальные замеры'!J16/2)^4)/(8*0.6)</f>
        <v>3.8641193790825284E-5</v>
      </c>
      <c r="L18" s="2"/>
      <c r="M18" s="2"/>
      <c r="N18" s="2"/>
      <c r="O18" s="2"/>
      <c r="P18" s="2"/>
      <c r="Q18" s="2"/>
      <c r="R18" s="2"/>
    </row>
    <row r="19" spans="1:18" ht="29.4" thickBot="1" x14ac:dyDescent="0.35">
      <c r="A19" s="34" t="s">
        <v>29</v>
      </c>
      <c r="B19" s="23">
        <f>ROUND(AVERAGE(B13:H13),3)</f>
        <v>540.38400000000001</v>
      </c>
      <c r="C19" s="34" t="s">
        <v>31</v>
      </c>
      <c r="D19" s="23">
        <f>I15/7</f>
        <v>6.8678571428571414E-9</v>
      </c>
      <c r="E19" s="57" t="s">
        <v>34</v>
      </c>
      <c r="F19" s="45">
        <f>ROUND(B19-F18*B18,4)</f>
        <v>-393.05739999999997</v>
      </c>
      <c r="G19" s="34" t="s">
        <v>37</v>
      </c>
      <c r="H19" s="23">
        <v>132.387</v>
      </c>
      <c r="I19" s="2"/>
      <c r="J19" s="60" t="s">
        <v>38</v>
      </c>
      <c r="K19" s="23">
        <f>K18*(H18/F18)</f>
        <v>5.2904053463554683E-6</v>
      </c>
      <c r="L19" s="2"/>
      <c r="M19" s="2"/>
      <c r="N19" s="2"/>
      <c r="O19" s="2"/>
      <c r="P19" s="2"/>
      <c r="Q19" s="2"/>
      <c r="R19" s="2"/>
    </row>
    <row r="20" spans="1:18" ht="15" thickBot="1" x14ac:dyDescent="0.35"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24" thickBot="1" x14ac:dyDescent="0.35">
      <c r="A21" s="63" t="s">
        <v>8</v>
      </c>
      <c r="B21" s="64"/>
      <c r="C21" s="64"/>
      <c r="D21" s="64"/>
      <c r="E21" s="64"/>
      <c r="F21" s="64"/>
      <c r="G21" s="64"/>
      <c r="H21" s="65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" thickBot="1" x14ac:dyDescent="0.35">
      <c r="A22" s="46" t="s">
        <v>1</v>
      </c>
      <c r="B22" s="44">
        <v>1</v>
      </c>
      <c r="C22" s="44">
        <v>2</v>
      </c>
      <c r="D22" s="44">
        <v>3</v>
      </c>
      <c r="E22" s="44">
        <v>4</v>
      </c>
      <c r="F22" s="44">
        <v>5</v>
      </c>
      <c r="G22" s="44">
        <v>6</v>
      </c>
      <c r="H22" s="45">
        <v>7</v>
      </c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" thickBot="1" x14ac:dyDescent="0.35">
      <c r="A23" s="46" t="s">
        <v>20</v>
      </c>
      <c r="B23" s="44">
        <f>ROUND('начальные замеры'!$N$2*'МНК 1'!$N$2*'начальные замеры'!D23,3)</f>
        <v>544.89599999999996</v>
      </c>
      <c r="C23" s="44">
        <f>ROUND('начальные замеры'!$N$2*'МНК 1'!$N$2*'начальные замеры'!D24,3)</f>
        <v>465.92599999999999</v>
      </c>
      <c r="D23" s="44">
        <f>ROUND('начальные замеры'!$N$2*'МНК 1'!$N$2*'начальные замеры'!D25,3)</f>
        <v>410.64699999999999</v>
      </c>
      <c r="E23" s="44">
        <f>ROUND('начальные замеры'!$N$2*'МНК 1'!$N$2*'начальные замеры'!D26,3)</f>
        <v>268.5</v>
      </c>
      <c r="F23" s="44">
        <f>ROUND('начальные замеры'!$N$2*'МНК 1'!$N$2*'начальные замеры'!D27,3)</f>
        <v>189.529</v>
      </c>
      <c r="G23" s="44">
        <f>ROUND('начальные замеры'!$N$2*'МНК 1'!$N$2*'начальные замеры'!D28,3)</f>
        <v>118.456</v>
      </c>
      <c r="H23" s="45">
        <f>ROUND('начальные замеры'!$N$2*'МНК 1'!$N$2*'начальные замеры'!D29,3)</f>
        <v>110.559</v>
      </c>
      <c r="I23" s="56">
        <f>B23*B25+C23*C25+D23*D25+E23*E25+F23*F25+G23*G25+H23*H25</f>
        <v>0.30118565400000002</v>
      </c>
      <c r="J23" s="2"/>
      <c r="K23" s="2"/>
      <c r="L23" s="2"/>
      <c r="M23" s="2"/>
      <c r="N23" s="2"/>
      <c r="O23" s="2"/>
      <c r="P23" s="2"/>
      <c r="Q23" s="2"/>
      <c r="R23" s="2"/>
    </row>
    <row r="24" spans="1:18" ht="15" thickBot="1" x14ac:dyDescent="0.35">
      <c r="A24" s="34" t="s">
        <v>21</v>
      </c>
      <c r="B24" s="47">
        <f>ROUND('начальные замеры'!B23/'начальные замеры'!C23,3)</f>
        <v>0.161</v>
      </c>
      <c r="C24" s="48">
        <f>ROUND('начальные замеры'!B24/'начальные замеры'!C24,3)</f>
        <v>0.154</v>
      </c>
      <c r="D24" s="48">
        <f>ROUND('начальные замеры'!B25/'начальные замеры'!C25,3)</f>
        <v>0.14699999999999999</v>
      </c>
      <c r="E24" s="48">
        <f>ROUND('начальные замеры'!B26/'начальные замеры'!C26,3)</f>
        <v>0.13</v>
      </c>
      <c r="F24" s="48">
        <f>ROUND('начальные замеры'!B27/'начальные замеры'!C27,3)</f>
        <v>0.122</v>
      </c>
      <c r="G24" s="48">
        <f>ROUND('начальные замеры'!B28/'начальные замеры'!C28,3)</f>
        <v>0.11</v>
      </c>
      <c r="H24" s="49">
        <f>ROUND('начальные замеры'!B29/'начальные замеры'!C29,3)</f>
        <v>9.2999999999999999E-2</v>
      </c>
      <c r="I24" s="56"/>
      <c r="J24" s="2"/>
      <c r="K24" s="2"/>
      <c r="L24" s="2"/>
      <c r="M24" s="2"/>
      <c r="N24" s="2"/>
      <c r="O24" s="2"/>
      <c r="P24" s="2"/>
      <c r="Q24" s="2"/>
      <c r="R24" s="2"/>
    </row>
    <row r="25" spans="1:18" ht="15" thickBot="1" x14ac:dyDescent="0.35">
      <c r="A25" s="34" t="s">
        <v>27</v>
      </c>
      <c r="B25" s="54">
        <f>B24/1000</f>
        <v>1.6100000000000001E-4</v>
      </c>
      <c r="C25" s="44">
        <f t="shared" ref="C25" si="7">C24/1000</f>
        <v>1.54E-4</v>
      </c>
      <c r="D25" s="44">
        <f t="shared" ref="D25" si="8">D24/1000</f>
        <v>1.47E-4</v>
      </c>
      <c r="E25" s="44">
        <f t="shared" ref="E25" si="9">E24/1000</f>
        <v>1.3000000000000002E-4</v>
      </c>
      <c r="F25" s="44">
        <f t="shared" ref="F25" si="10">F24/1000</f>
        <v>1.22E-4</v>
      </c>
      <c r="G25" s="44">
        <f t="shared" ref="G25" si="11">G24/1000</f>
        <v>1.1E-4</v>
      </c>
      <c r="H25" s="45">
        <f t="shared" ref="H25" si="12">H24/1000</f>
        <v>9.2999999999999997E-5</v>
      </c>
      <c r="I25" s="56">
        <f>B25^2+C25^2+D25^2+E25^2+F25^2+G25^2+H25^2</f>
        <v>1.2377899999999999E-7</v>
      </c>
      <c r="J25" s="2"/>
      <c r="K25" s="2"/>
      <c r="L25" s="2"/>
      <c r="M25" s="2"/>
      <c r="N25" s="2"/>
      <c r="O25" s="2"/>
      <c r="P25" s="2"/>
      <c r="Q25" s="2"/>
      <c r="R25" s="2"/>
    </row>
    <row r="26" spans="1:18" ht="15" thickBot="1" x14ac:dyDescent="0.35"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20.399999999999999" thickBot="1" x14ac:dyDescent="0.35">
      <c r="A27" s="50" t="s">
        <v>22</v>
      </c>
      <c r="B27" s="51"/>
      <c r="C27" s="51"/>
      <c r="D27" s="51"/>
      <c r="E27" s="51"/>
      <c r="F27" s="51"/>
      <c r="G27" s="51"/>
      <c r="H27" s="5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29.4" thickBot="1" x14ac:dyDescent="0.35">
      <c r="A28" s="46" t="s">
        <v>28</v>
      </c>
      <c r="B28" s="45">
        <f>ROUND(AVERAGE(B25:H25),5)</f>
        <v>1.2999999999999999E-4</v>
      </c>
      <c r="C28" s="46" t="s">
        <v>30</v>
      </c>
      <c r="D28" s="45">
        <f>ROUND(I23/7,4)</f>
        <v>4.2999999999999997E-2</v>
      </c>
      <c r="E28" s="57" t="s">
        <v>35</v>
      </c>
      <c r="F28" s="45">
        <f>LINEST(B23:H23,B25:H25)</f>
        <v>6837472.8915662644</v>
      </c>
      <c r="G28" s="46" t="s">
        <v>36</v>
      </c>
      <c r="H28" s="45">
        <v>777747.76399999997</v>
      </c>
      <c r="I28" s="2"/>
      <c r="J28" s="16" t="s">
        <v>40</v>
      </c>
      <c r="K28" s="45">
        <f>(F28*3.14*('начальные замеры'!J26/2)^4)/(8*0.8)</f>
        <v>5.3674162198795181E-5</v>
      </c>
      <c r="L28" s="2"/>
      <c r="M28" s="2"/>
      <c r="N28" s="2"/>
      <c r="O28" s="2"/>
      <c r="P28" s="2"/>
      <c r="Q28" s="2"/>
      <c r="R28" s="2"/>
    </row>
    <row r="29" spans="1:18" ht="29.4" thickBot="1" x14ac:dyDescent="0.35">
      <c r="A29" s="34" t="s">
        <v>29</v>
      </c>
      <c r="B29" s="23">
        <f>ROUND(AVERAGE(B23:H23),3)</f>
        <v>301.21600000000001</v>
      </c>
      <c r="C29" s="34" t="s">
        <v>31</v>
      </c>
      <c r="D29" s="23">
        <f>I25/7</f>
        <v>1.7682714285714283E-8</v>
      </c>
      <c r="E29" s="57" t="s">
        <v>34</v>
      </c>
      <c r="F29" s="45">
        <f>ROUND(B29-F28*B28,4)</f>
        <v>-587.65549999999996</v>
      </c>
      <c r="G29" s="34" t="s">
        <v>37</v>
      </c>
      <c r="H29" s="23">
        <v>103.422</v>
      </c>
      <c r="I29" s="2"/>
      <c r="J29" s="60" t="s">
        <v>38</v>
      </c>
      <c r="K29" s="23">
        <f>K28*(H28/F28)</f>
        <v>6.1053199474000006E-6</v>
      </c>
      <c r="L29" s="2"/>
      <c r="M29" s="2"/>
      <c r="N29" s="2"/>
      <c r="O29" s="2"/>
      <c r="P29" s="2"/>
      <c r="Q29" s="2"/>
      <c r="R29" s="2"/>
    </row>
  </sheetData>
  <mergeCells count="7">
    <mergeCell ref="A17:H17"/>
    <mergeCell ref="A27:H27"/>
    <mergeCell ref="M1:N1"/>
    <mergeCell ref="A1:H1"/>
    <mergeCell ref="A7:H7"/>
    <mergeCell ref="A11:H11"/>
    <mergeCell ref="A21:H2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19" zoomScale="120" zoomScaleNormal="120" workbookViewId="0">
      <selection activeCell="M21" sqref="M21"/>
    </sheetView>
  </sheetViews>
  <sheetFormatPr defaultRowHeight="14.4" x14ac:dyDescent="0.3"/>
  <cols>
    <col min="2" max="2" width="9.44140625" bestFit="1" customWidth="1"/>
    <col min="6" max="6" width="9.44140625" bestFit="1" customWidth="1"/>
    <col min="7" max="7" width="11.5546875" bestFit="1" customWidth="1"/>
    <col min="9" max="9" width="11.109375" bestFit="1" customWidth="1"/>
  </cols>
  <sheetData>
    <row r="1" spans="1:17" ht="20.399999999999999" customHeight="1" thickBot="1" x14ac:dyDescent="0.35">
      <c r="A1" s="63" t="s">
        <v>0</v>
      </c>
      <c r="B1" s="64"/>
      <c r="C1" s="64"/>
      <c r="D1" s="64"/>
      <c r="E1" s="64"/>
      <c r="F1" s="65"/>
      <c r="G1" s="53"/>
      <c r="H1" s="53"/>
      <c r="I1" s="53"/>
      <c r="J1" s="53"/>
      <c r="K1" s="53"/>
      <c r="L1" s="2"/>
      <c r="M1" s="50" t="s">
        <v>18</v>
      </c>
      <c r="N1" s="52"/>
      <c r="O1" s="2"/>
      <c r="P1" s="2"/>
      <c r="Q1" s="2"/>
    </row>
    <row r="2" spans="1:17" ht="15" thickBot="1" x14ac:dyDescent="0.35">
      <c r="A2" s="27" t="s">
        <v>1</v>
      </c>
      <c r="B2" s="26" t="s">
        <v>2</v>
      </c>
      <c r="C2" s="30" t="s">
        <v>3</v>
      </c>
      <c r="D2" s="29" t="s">
        <v>4</v>
      </c>
      <c r="E2" s="29" t="s">
        <v>5</v>
      </c>
      <c r="F2" s="29" t="s">
        <v>6</v>
      </c>
      <c r="G2" s="2"/>
      <c r="H2" s="16" t="s">
        <v>40</v>
      </c>
      <c r="I2" s="45">
        <f>(F7*3.14*('начальные замеры'!J6/2)^4)/(8*'начальные замеры'!G8)</f>
        <v>2.1523567716000004E-5</v>
      </c>
      <c r="J2" s="2"/>
      <c r="K2" s="2"/>
      <c r="L2" s="2"/>
      <c r="M2" s="17" t="s">
        <v>19</v>
      </c>
      <c r="N2" s="23">
        <v>9.81</v>
      </c>
      <c r="O2" s="2"/>
      <c r="P2" s="2"/>
      <c r="Q2" s="2"/>
    </row>
    <row r="3" spans="1:17" ht="15" thickBot="1" x14ac:dyDescent="0.35">
      <c r="A3" s="27" t="s">
        <v>12</v>
      </c>
      <c r="B3" s="14">
        <f>5/100</f>
        <v>0.05</v>
      </c>
      <c r="C3" s="20">
        <f>35/100</f>
        <v>0.35</v>
      </c>
      <c r="D3" s="14">
        <f>20/100</f>
        <v>0.2</v>
      </c>
      <c r="E3" s="14">
        <f t="shared" ref="E3:F3" si="0">20/100</f>
        <v>0.2</v>
      </c>
      <c r="F3" s="14">
        <f t="shared" si="0"/>
        <v>0.2</v>
      </c>
      <c r="G3" s="56">
        <f>B3^2+C3^2+D3^2+E3^2+F3^2</f>
        <v>0.245</v>
      </c>
      <c r="H3" s="59" t="s">
        <v>38</v>
      </c>
      <c r="I3" s="23">
        <f>I2*(H7/F7)</f>
        <v>4.7430202399999999E-7</v>
      </c>
      <c r="J3" s="2"/>
      <c r="K3" s="2"/>
      <c r="L3" s="2"/>
      <c r="M3" s="2"/>
      <c r="N3" s="2"/>
      <c r="O3" s="2"/>
      <c r="P3" s="2"/>
      <c r="Q3" s="2"/>
    </row>
    <row r="4" spans="1:17" ht="15" thickBot="1" x14ac:dyDescent="0.35">
      <c r="A4" s="46" t="s">
        <v>20</v>
      </c>
      <c r="B4" s="54">
        <f>'начальные замеры'!$N$2*$N$2*'начальные замеры'!G4</f>
        <v>102.66165000000001</v>
      </c>
      <c r="C4" s="58">
        <f>'начальные замеры'!$N$2*$N$2*'начальные замеры'!H4</f>
        <v>837.08730000000003</v>
      </c>
      <c r="D4" s="58">
        <f>'начальные замеры'!$N$2*$N$2*'начальные замеры'!I4</f>
        <v>481.72005000000001</v>
      </c>
      <c r="E4" s="58">
        <f>'начальные замеры'!$N$2*$N$2*'начальные замеры'!J4</f>
        <v>458.02889999999996</v>
      </c>
      <c r="F4" s="58">
        <f>'начальные замеры'!$N$2*$N$2*'начальные замеры'!K4</f>
        <v>481.72005000000001</v>
      </c>
      <c r="G4" s="56">
        <f>B4*B3+C4*C3+D4*D3+E4*E3+F4*F3</f>
        <v>582.40743750000001</v>
      </c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" thickBo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20.399999999999999" thickBot="1" x14ac:dyDescent="0.35">
      <c r="A6" s="50" t="s">
        <v>22</v>
      </c>
      <c r="B6" s="51"/>
      <c r="C6" s="51"/>
      <c r="D6" s="51"/>
      <c r="E6" s="51"/>
      <c r="F6" s="51"/>
      <c r="G6" s="51"/>
      <c r="H6" s="52"/>
      <c r="I6" s="2"/>
      <c r="J6" s="2"/>
      <c r="K6" s="2"/>
      <c r="L6" s="2"/>
      <c r="M6" s="2"/>
      <c r="N6" s="2"/>
      <c r="O6" s="2"/>
      <c r="P6" s="2"/>
      <c r="Q6" s="2"/>
    </row>
    <row r="7" spans="1:17" ht="29.4" thickBot="1" x14ac:dyDescent="0.35">
      <c r="A7" s="46" t="s">
        <v>42</v>
      </c>
      <c r="B7" s="45">
        <f>ROUND(AVERAGE(B3:F3),5)</f>
        <v>0.2</v>
      </c>
      <c r="C7" s="46" t="s">
        <v>43</v>
      </c>
      <c r="D7" s="45">
        <f>ROUND(G4/5,4)</f>
        <v>116.4815</v>
      </c>
      <c r="E7" s="57" t="s">
        <v>35</v>
      </c>
      <c r="F7" s="45">
        <f>LINEST(B4:F4,B3:F3)</f>
        <v>2448.0855000000006</v>
      </c>
      <c r="G7" s="46" t="s">
        <v>36</v>
      </c>
      <c r="H7" s="45">
        <v>53.947000000000003</v>
      </c>
      <c r="I7" s="2"/>
      <c r="J7" s="2"/>
      <c r="K7" s="2"/>
      <c r="L7" s="2"/>
      <c r="M7" s="2"/>
      <c r="N7" s="2"/>
      <c r="O7" s="2"/>
      <c r="P7" s="2"/>
      <c r="Q7" s="2"/>
    </row>
    <row r="8" spans="1:17" ht="15" thickBot="1" x14ac:dyDescent="0.35">
      <c r="A8" s="34" t="s">
        <v>29</v>
      </c>
      <c r="B8" s="61">
        <f>ROUND(AVERAGE(B4:F4),3)</f>
        <v>472.24400000000003</v>
      </c>
      <c r="C8" s="34" t="s">
        <v>44</v>
      </c>
      <c r="D8" s="23">
        <f>G3/5</f>
        <v>4.9000000000000002E-2</v>
      </c>
      <c r="E8" s="57" t="s">
        <v>34</v>
      </c>
      <c r="F8" s="45">
        <f>ROUND(B8-F7*B7,4)</f>
        <v>-17.373100000000001</v>
      </c>
      <c r="G8" s="34" t="s">
        <v>37</v>
      </c>
      <c r="H8" s="23">
        <v>11.942</v>
      </c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5" thickBo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24" thickBot="1" x14ac:dyDescent="0.35">
      <c r="A11" s="63" t="s">
        <v>7</v>
      </c>
      <c r="B11" s="64"/>
      <c r="C11" s="64"/>
      <c r="D11" s="64"/>
      <c r="E11" s="64"/>
      <c r="F11" s="65"/>
      <c r="G11" s="53" t="s">
        <v>55</v>
      </c>
      <c r="H11" s="53"/>
      <c r="I11" s="53"/>
      <c r="J11" s="53"/>
      <c r="K11" s="53"/>
      <c r="L11" s="2"/>
      <c r="M11" s="2"/>
      <c r="N11" s="2"/>
      <c r="O11" s="2"/>
      <c r="P11" s="2"/>
      <c r="Q11" s="2"/>
    </row>
    <row r="12" spans="1:17" ht="15" thickBot="1" x14ac:dyDescent="0.35">
      <c r="A12" s="27" t="s">
        <v>1</v>
      </c>
      <c r="B12" s="26" t="s">
        <v>2</v>
      </c>
      <c r="C12" s="30" t="s">
        <v>3</v>
      </c>
      <c r="D12" s="29" t="s">
        <v>4</v>
      </c>
      <c r="E12" s="29" t="s">
        <v>5</v>
      </c>
      <c r="F12" s="29" t="s">
        <v>6</v>
      </c>
      <c r="G12" s="2"/>
      <c r="H12" s="16" t="s">
        <v>40</v>
      </c>
      <c r="I12" s="45">
        <f>(F17*3.14*('начальные замеры'!J16/2)^4)/(8*'начальные замеры'!G18)</f>
        <v>4.0798381345312544E-5</v>
      </c>
      <c r="J12" s="2"/>
      <c r="K12" s="2"/>
      <c r="L12" s="2"/>
      <c r="M12" s="2"/>
      <c r="N12" s="2"/>
      <c r="O12" s="2"/>
      <c r="P12" s="2"/>
      <c r="Q12" s="2"/>
    </row>
    <row r="13" spans="1:17" ht="15" thickBot="1" x14ac:dyDescent="0.35">
      <c r="A13" s="27" t="s">
        <v>12</v>
      </c>
      <c r="B13" s="20">
        <f>10/100</f>
        <v>0.1</v>
      </c>
      <c r="C13" s="14">
        <f>30/100</f>
        <v>0.3</v>
      </c>
      <c r="D13" s="14">
        <f>20/100</f>
        <v>0.2</v>
      </c>
      <c r="E13" s="14">
        <f>20/100</f>
        <v>0.2</v>
      </c>
      <c r="F13" s="14">
        <f>20/100</f>
        <v>0.2</v>
      </c>
      <c r="G13" s="56">
        <f>B13^2+C13^2+D13^2+E13^2+F13^2</f>
        <v>0.22000000000000003</v>
      </c>
      <c r="H13" s="59" t="s">
        <v>38</v>
      </c>
      <c r="I13" s="23">
        <f>I12*(H17/F17)</f>
        <v>3.8388156153750018E-6</v>
      </c>
      <c r="J13" s="2"/>
      <c r="K13" s="2"/>
      <c r="L13" s="2"/>
      <c r="M13" s="2"/>
      <c r="N13" s="2"/>
      <c r="O13" s="2"/>
      <c r="P13" s="2"/>
      <c r="Q13" s="2"/>
    </row>
    <row r="14" spans="1:17" ht="15" thickBot="1" x14ac:dyDescent="0.35">
      <c r="A14" s="43" t="s">
        <v>20</v>
      </c>
      <c r="B14" s="58">
        <f>'начальные замеры'!$N$2*$N$2*'начальные замеры'!G14</f>
        <v>150.04395</v>
      </c>
      <c r="C14" s="58">
        <f>'начальные замеры'!$N$2*$N$2*'начальные замеры'!H14</f>
        <v>544.89645000000007</v>
      </c>
      <c r="D14" s="58">
        <f>'начальные замеры'!$N$2*$N$2*'начальные замеры'!I14</f>
        <v>402.74955</v>
      </c>
      <c r="E14" s="58">
        <f>'начальные замеры'!$N$2*$N$2*'начальные замеры'!J14</f>
        <v>363.26429999999999</v>
      </c>
      <c r="F14" s="58">
        <f>'начальные замеры'!$N$2*$N$2*'начальные замеры'!K14</f>
        <v>371.16135000000003</v>
      </c>
      <c r="G14" s="56">
        <f>B14*B13+C14*C13+D14*D13+E14*E13+F14*F13</f>
        <v>405.90837000000005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5" thickBo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20.399999999999999" thickBot="1" x14ac:dyDescent="0.35">
      <c r="A16" s="50" t="s">
        <v>22</v>
      </c>
      <c r="B16" s="51"/>
      <c r="C16" s="51"/>
      <c r="D16" s="51"/>
      <c r="E16" s="51"/>
      <c r="F16" s="51"/>
      <c r="G16" s="51"/>
      <c r="H16" s="52"/>
      <c r="I16" s="2"/>
      <c r="J16" s="2"/>
      <c r="K16" s="2"/>
      <c r="L16" s="2"/>
      <c r="M16" s="2"/>
      <c r="N16" s="2"/>
      <c r="O16" s="2"/>
      <c r="P16" s="2"/>
      <c r="Q16" s="2"/>
    </row>
    <row r="17" spans="1:17" ht="29.4" thickBot="1" x14ac:dyDescent="0.35">
      <c r="A17" s="46" t="s">
        <v>42</v>
      </c>
      <c r="B17" s="45">
        <f>ROUND(AVERAGE(B13:F13),5)</f>
        <v>0.2</v>
      </c>
      <c r="C17" s="46" t="s">
        <v>43</v>
      </c>
      <c r="D17" s="45">
        <f>ROUND(G14/5,4)</f>
        <v>81.181700000000006</v>
      </c>
      <c r="E17" s="57" t="s">
        <v>35</v>
      </c>
      <c r="F17" s="45">
        <f>LINEST(B14:F14,B13:F13)</f>
        <v>1974.2625000000014</v>
      </c>
      <c r="G17" s="46" t="s">
        <v>36</v>
      </c>
      <c r="H17" s="45">
        <v>185.76300000000001</v>
      </c>
      <c r="I17" s="2"/>
      <c r="J17" s="2"/>
      <c r="K17" s="2"/>
      <c r="L17" s="2"/>
      <c r="M17" s="2"/>
      <c r="N17" s="2"/>
      <c r="O17" s="2"/>
      <c r="P17" s="2"/>
      <c r="Q17" s="2"/>
    </row>
    <row r="18" spans="1:17" ht="15" thickBot="1" x14ac:dyDescent="0.35">
      <c r="A18" s="34" t="s">
        <v>29</v>
      </c>
      <c r="B18" s="61">
        <f>ROUND(AVERAGE(B14:F14),3)</f>
        <v>366.423</v>
      </c>
      <c r="C18" s="34" t="s">
        <v>44</v>
      </c>
      <c r="D18" s="23">
        <f>G13/5</f>
        <v>4.4000000000000004E-2</v>
      </c>
      <c r="E18" s="57" t="s">
        <v>34</v>
      </c>
      <c r="F18" s="45">
        <f>ROUND(B18-F17*B17,4)</f>
        <v>-28.429500000000001</v>
      </c>
      <c r="G18" s="34" t="s">
        <v>37</v>
      </c>
      <c r="H18" s="23">
        <v>38.966000000000001</v>
      </c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5" thickBo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20.399999999999999" customHeight="1" thickBot="1" x14ac:dyDescent="0.35">
      <c r="A21" s="63" t="s">
        <v>8</v>
      </c>
      <c r="B21" s="64"/>
      <c r="C21" s="64"/>
      <c r="D21" s="64"/>
      <c r="E21" s="64"/>
      <c r="F21" s="65"/>
      <c r="G21" s="53"/>
      <c r="H21" s="53"/>
      <c r="I21" s="53"/>
      <c r="J21" s="53"/>
      <c r="K21" s="53"/>
      <c r="L21" s="2"/>
      <c r="M21" s="2"/>
      <c r="N21" s="2"/>
      <c r="O21" s="2"/>
      <c r="P21" s="2"/>
      <c r="Q21" s="2"/>
    </row>
    <row r="22" spans="1:17" ht="15" thickBot="1" x14ac:dyDescent="0.35">
      <c r="A22" s="27" t="s">
        <v>1</v>
      </c>
      <c r="B22" s="26" t="s">
        <v>2</v>
      </c>
      <c r="C22" s="30" t="s">
        <v>3</v>
      </c>
      <c r="D22" s="29" t="s">
        <v>4</v>
      </c>
      <c r="E22" s="29" t="s">
        <v>5</v>
      </c>
      <c r="F22" s="29" t="s">
        <v>6</v>
      </c>
      <c r="G22" s="2"/>
      <c r="H22" s="16" t="s">
        <v>40</v>
      </c>
      <c r="I22" s="45">
        <f>(F27*3.14*('начальные замеры'!J26/2)^4)/(8*'начальные замеры'!G28)</f>
        <v>4.3815834279000003E-5</v>
      </c>
      <c r="J22" s="2"/>
      <c r="K22" s="2"/>
      <c r="L22" s="2"/>
      <c r="M22" s="2"/>
      <c r="N22" s="2"/>
      <c r="O22" s="2"/>
      <c r="P22" s="2"/>
      <c r="Q22" s="2"/>
    </row>
    <row r="23" spans="1:17" ht="15" thickBot="1" x14ac:dyDescent="0.35">
      <c r="A23" s="27" t="s">
        <v>12</v>
      </c>
      <c r="B23" s="14">
        <f>10/100</f>
        <v>0.1</v>
      </c>
      <c r="C23" s="14">
        <f>25/100</f>
        <v>0.25</v>
      </c>
      <c r="D23" s="14">
        <f>20/100</f>
        <v>0.2</v>
      </c>
      <c r="E23" s="14">
        <f>20/100</f>
        <v>0.2</v>
      </c>
      <c r="F23" s="14">
        <f>20/100</f>
        <v>0.2</v>
      </c>
      <c r="G23" s="56">
        <f>B23^2+C23^2+D23^2+E23^2+F23^2</f>
        <v>0.19250000000000003</v>
      </c>
      <c r="H23" s="59" t="s">
        <v>38</v>
      </c>
      <c r="I23" s="23">
        <f>I22*(H27/F27)</f>
        <v>3.0106016048000002E-5</v>
      </c>
      <c r="J23" s="2"/>
      <c r="K23" s="2"/>
      <c r="L23" s="2"/>
      <c r="M23" s="2"/>
      <c r="N23" s="2"/>
      <c r="O23" s="2"/>
      <c r="P23" s="2"/>
      <c r="Q23" s="2"/>
    </row>
    <row r="24" spans="1:17" ht="15" thickBot="1" x14ac:dyDescent="0.35">
      <c r="A24" s="43" t="s">
        <v>20</v>
      </c>
      <c r="B24" s="58">
        <f>'начальные замеры'!$N$2*$N$2*'начальные замеры'!G24</f>
        <v>110.55869999999999</v>
      </c>
      <c r="C24" s="58">
        <f>'начальные замеры'!$N$2*$N$2*'начальные замеры'!H24</f>
        <v>276.39675000000005</v>
      </c>
      <c r="D24" s="58">
        <f>'начальные замеры'!$N$2*$N$2*'начальные замеры'!I24</f>
        <v>244.80855</v>
      </c>
      <c r="E24" s="58">
        <f>'начальные замеры'!$N$2*$N$2*'начальные замеры'!J24</f>
        <v>323.77904999999998</v>
      </c>
      <c r="F24" s="58">
        <f>'начальные замеры'!$N$2*$N$2*'начальные замеры'!K24</f>
        <v>118.45574999999999</v>
      </c>
      <c r="G24" s="56">
        <f>B24*B23+C24*C23+D24*D23+E24*E23+F24*F23</f>
        <v>217.5637275</v>
      </c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5" thickBo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20.399999999999999" thickBot="1" x14ac:dyDescent="0.35">
      <c r="A26" s="50" t="s">
        <v>22</v>
      </c>
      <c r="B26" s="51"/>
      <c r="C26" s="51"/>
      <c r="D26" s="51"/>
      <c r="E26" s="51"/>
      <c r="F26" s="51"/>
      <c r="G26" s="51"/>
      <c r="H26" s="52"/>
      <c r="I26" s="2"/>
      <c r="J26" s="2"/>
      <c r="K26" s="2"/>
      <c r="L26" s="2"/>
      <c r="M26" s="2"/>
      <c r="N26" s="2"/>
      <c r="O26" s="2"/>
      <c r="P26" s="2"/>
      <c r="Q26" s="2"/>
    </row>
    <row r="27" spans="1:17" ht="29.4" thickBot="1" x14ac:dyDescent="0.35">
      <c r="A27" s="46" t="s">
        <v>42</v>
      </c>
      <c r="B27" s="45">
        <f>ROUND(AVERAGE(B23:F23),5)</f>
        <v>0.19</v>
      </c>
      <c r="C27" s="46" t="s">
        <v>43</v>
      </c>
      <c r="D27" s="45">
        <f>ROUND(G24/5,4)</f>
        <v>43.512700000000002</v>
      </c>
      <c r="E27" s="57" t="s">
        <v>35</v>
      </c>
      <c r="F27" s="45">
        <f>LINEST(B24:F24,B23:F23)</f>
        <v>1125.3296250000001</v>
      </c>
      <c r="G27" s="46" t="s">
        <v>36</v>
      </c>
      <c r="H27" s="45">
        <v>773.21799999999996</v>
      </c>
      <c r="I27" s="2"/>
      <c r="J27" s="2"/>
      <c r="K27" s="2"/>
      <c r="L27" s="2"/>
      <c r="M27" s="2"/>
      <c r="N27" s="2"/>
      <c r="O27" s="2"/>
      <c r="P27" s="2"/>
      <c r="Q27" s="2"/>
    </row>
    <row r="28" spans="1:17" ht="15" thickBot="1" x14ac:dyDescent="0.35">
      <c r="A28" s="34" t="s">
        <v>29</v>
      </c>
      <c r="B28" s="61">
        <f>ROUND(AVERAGE(B24:F24),3)</f>
        <v>214.8</v>
      </c>
      <c r="C28" s="34" t="s">
        <v>44</v>
      </c>
      <c r="D28" s="23">
        <f>G23/5</f>
        <v>3.8500000000000006E-2</v>
      </c>
      <c r="E28" s="57" t="s">
        <v>34</v>
      </c>
      <c r="F28" s="45">
        <f>ROUND(B28-F27*B27,4)</f>
        <v>0.98740000000000006</v>
      </c>
      <c r="G28" s="34" t="s">
        <v>37</v>
      </c>
      <c r="H28" s="23">
        <v>151.71600000000001</v>
      </c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</sheetData>
  <mergeCells count="7">
    <mergeCell ref="A26:H26"/>
    <mergeCell ref="M1:N1"/>
    <mergeCell ref="A1:F1"/>
    <mergeCell ref="A11:F11"/>
    <mergeCell ref="A21:F21"/>
    <mergeCell ref="A6:H6"/>
    <mergeCell ref="A16:H1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7" zoomScale="120" zoomScaleNormal="120" workbookViewId="0">
      <selection activeCell="J14" sqref="J14"/>
    </sheetView>
  </sheetViews>
  <sheetFormatPr defaultRowHeight="14.4" x14ac:dyDescent="0.3"/>
  <cols>
    <col min="2" max="2" width="11.5546875" bestFit="1" customWidth="1"/>
  </cols>
  <sheetData>
    <row r="1" spans="1:14" ht="24" thickBot="1" x14ac:dyDescent="0.35">
      <c r="A1" s="63" t="s">
        <v>0</v>
      </c>
      <c r="B1" s="67"/>
      <c r="C1" s="67"/>
      <c r="D1" s="67"/>
      <c r="E1" s="67"/>
      <c r="F1" s="67"/>
      <c r="G1" s="67"/>
      <c r="H1" s="68"/>
      <c r="M1" s="24" t="s">
        <v>46</v>
      </c>
      <c r="N1" s="25"/>
    </row>
    <row r="2" spans="1:14" ht="15" thickBot="1" x14ac:dyDescent="0.35">
      <c r="A2" s="43" t="s">
        <v>1</v>
      </c>
      <c r="B2" s="38">
        <v>1</v>
      </c>
      <c r="C2" s="39">
        <v>2</v>
      </c>
      <c r="D2" s="39">
        <v>3</v>
      </c>
      <c r="E2" s="39">
        <v>4</v>
      </c>
      <c r="F2" s="39">
        <v>5</v>
      </c>
      <c r="G2" s="39">
        <v>6</v>
      </c>
      <c r="H2" s="40">
        <v>7</v>
      </c>
      <c r="M2" s="17" t="s">
        <v>15</v>
      </c>
      <c r="N2" s="10">
        <v>1.1599999999999999</v>
      </c>
    </row>
    <row r="3" spans="1:14" ht="15" thickBot="1" x14ac:dyDescent="0.35">
      <c r="A3" s="43" t="s">
        <v>45</v>
      </c>
      <c r="B3" s="41">
        <f>('МНК 1'!B5*$N$2)/(3.14*('начальные замеры'!$J$6/2)*'МНК 1'!$K$8)</f>
        <v>673.15285618258747</v>
      </c>
      <c r="C3" s="36">
        <f>('МНК 1'!C5*$N$2)/(3.14*('начальные замеры'!$J$6/2)*'МНК 1'!$K$8)</f>
        <v>628.2759991037484</v>
      </c>
      <c r="D3" s="36">
        <f>('МНК 1'!D5*$N$2)/(3.14*('начальные замеры'!$J$6/2)*'МНК 1'!$K$8)</f>
        <v>628.2759991037484</v>
      </c>
      <c r="E3" s="36">
        <f>('МНК 1'!E5*$N$2)/(3.14*('начальные замеры'!$J$6/2)*'МНК 1'!$K$8)</f>
        <v>613.31704674413538</v>
      </c>
      <c r="F3" s="36">
        <f>('МНК 1'!F5*$N$2)/(3.14*('начальные замеры'!$J$6/2)*'МНК 1'!$K$8)</f>
        <v>583.39914202490911</v>
      </c>
      <c r="G3" s="36">
        <f>('МНК 1'!G5*$N$2)/(3.14*('начальные замеры'!$J$6/2)*'МНК 1'!$K$8)</f>
        <v>523.56333258645702</v>
      </c>
      <c r="H3" s="21">
        <f>('МНК 1'!H5*$N$2)/(3.14*('начальные замеры'!$J$6/2)*'МНК 1'!$K$8)</f>
        <v>493.64542786723092</v>
      </c>
      <c r="M3" s="37"/>
      <c r="N3" s="37"/>
    </row>
    <row r="4" spans="1:14" ht="15" thickBot="1" x14ac:dyDescent="0.35">
      <c r="A4" s="43" t="s">
        <v>45</v>
      </c>
      <c r="B4" s="22">
        <f>('МНК 1'!B5*$N$2)/(3.14*('начальные замеры'!$J$6/2)*'МНК 2'!$I$2)</f>
        <v>772.37212905451975</v>
      </c>
      <c r="C4" s="42">
        <f>('МНК 1'!C5*$N$2)/(3.14*('начальные замеры'!$J$6/2)*'МНК 2'!$I$2)</f>
        <v>720.88065378421857</v>
      </c>
      <c r="D4" s="42">
        <f>('МНК 1'!D5*$N$2)/(3.14*('начальные замеры'!$J$6/2)*'МНК 2'!$I$2)</f>
        <v>720.88065378421857</v>
      </c>
      <c r="E4" s="42">
        <f>('МНК 1'!E5*$N$2)/(3.14*('начальные замеры'!$J$6/2)*'МНК 2'!$I$2)</f>
        <v>703.71682869411802</v>
      </c>
      <c r="F4" s="42">
        <f>('МНК 1'!F5*$N$2)/(3.14*('начальные замеры'!$J$6/2)*'МНК 2'!$I$2)</f>
        <v>669.38917851391716</v>
      </c>
      <c r="G4" s="42">
        <f>('МНК 1'!G5*$N$2)/(3.14*('начальные замеры'!$J$6/2)*'МНК 2'!$I$2)</f>
        <v>600.73387815351555</v>
      </c>
      <c r="H4" s="23">
        <f>('МНК 1'!H5*$N$2)/(3.14*('начальные замеры'!$J$6/2)*'МНК 2'!$I$2)</f>
        <v>566.40622797331457</v>
      </c>
    </row>
    <row r="5" spans="1:14" x14ac:dyDescent="0.3">
      <c r="A5" s="37"/>
      <c r="B5" s="36"/>
      <c r="C5" s="36"/>
      <c r="D5" s="36"/>
      <c r="E5" s="36"/>
      <c r="F5" s="36"/>
      <c r="G5" s="36"/>
      <c r="H5" s="36"/>
    </row>
    <row r="9" spans="1:14" x14ac:dyDescent="0.3">
      <c r="A9" s="72"/>
      <c r="B9" s="72"/>
      <c r="C9" s="72"/>
      <c r="D9" s="72"/>
      <c r="E9" s="72"/>
      <c r="F9" s="72"/>
      <c r="G9" s="72"/>
      <c r="H9" s="72"/>
    </row>
    <row r="10" spans="1:14" ht="15" thickBot="1" x14ac:dyDescent="0.35">
      <c r="A10" s="72"/>
      <c r="B10" s="72"/>
      <c r="C10" s="72"/>
      <c r="D10" s="72"/>
      <c r="E10" s="72"/>
      <c r="F10" s="72"/>
      <c r="G10" s="72"/>
      <c r="H10" s="72"/>
      <c r="I10" s="72"/>
    </row>
    <row r="11" spans="1:14" ht="24" customHeight="1" thickBot="1" x14ac:dyDescent="0.35">
      <c r="A11" s="63" t="s">
        <v>7</v>
      </c>
      <c r="B11" s="67"/>
      <c r="C11" s="67"/>
      <c r="D11" s="67"/>
      <c r="E11" s="67"/>
      <c r="F11" s="67"/>
      <c r="G11" s="67"/>
      <c r="H11" s="68"/>
      <c r="I11" s="72"/>
    </row>
    <row r="12" spans="1:14" ht="15" thickBot="1" x14ac:dyDescent="0.35">
      <c r="A12" s="43" t="s">
        <v>1</v>
      </c>
      <c r="B12" s="54">
        <v>1</v>
      </c>
      <c r="C12" s="44">
        <v>2</v>
      </c>
      <c r="D12" s="44">
        <v>3</v>
      </c>
      <c r="E12" s="44">
        <v>4</v>
      </c>
      <c r="F12" s="44">
        <v>5</v>
      </c>
      <c r="G12" s="44">
        <v>6</v>
      </c>
      <c r="H12" s="45">
        <v>7</v>
      </c>
      <c r="I12" s="72"/>
    </row>
    <row r="13" spans="1:14" ht="15" thickBot="1" x14ac:dyDescent="0.35">
      <c r="A13" s="43" t="s">
        <v>45</v>
      </c>
      <c r="B13" s="41">
        <f>('МНК 1'!B15*$N$2)/(3.14*('начальные замеры'!$J$16/2)*'МНК 1'!$K$18)</f>
        <v>611.86805536853103</v>
      </c>
      <c r="C13" s="36">
        <f>('МНК 1'!C15*$N$2)/(3.14*('начальные замеры'!$J$16/2)*'МНК 1'!$K$18)</f>
        <v>599.12080421502003</v>
      </c>
      <c r="D13" s="36">
        <f>('МНК 1'!D15*$N$2)/(3.14*('начальные замеры'!$J$16/2)*'МНК 1'!$K$18)</f>
        <v>579.99992748475347</v>
      </c>
      <c r="E13" s="36">
        <f>('МНК 1'!E15*$N$2)/(3.14*('начальные замеры'!$J$16/2)*'МНК 1'!$K$18)</f>
        <v>560.8790507544868</v>
      </c>
      <c r="F13" s="36">
        <f>('МНК 1'!F15*$N$2)/(3.14*('начальные замеры'!$J$16/2)*'МНК 1'!$K$18)</f>
        <v>529.01092287070912</v>
      </c>
      <c r="G13" s="36">
        <f>('МНК 1'!G15*$N$2)/(3.14*('начальные замеры'!$J$16/2)*'МНК 1'!$K$18)</f>
        <v>446.15379037288733</v>
      </c>
      <c r="H13" s="21">
        <f>('МНК 1'!H15*$N$2)/(3.14*('начальные замеры'!$J$16/2)*'МНК 1'!$K$18)</f>
        <v>299.56040210751001</v>
      </c>
      <c r="I13" s="72"/>
    </row>
    <row r="14" spans="1:14" ht="15" thickBot="1" x14ac:dyDescent="0.35">
      <c r="A14" s="43" t="s">
        <v>45</v>
      </c>
      <c r="B14" s="22">
        <f>('МНК 1'!B15*$N$2)/(3.14*('начальные замеры'!$J$16/2)*'МНК 2'!$I$12)</f>
        <v>579.51593475723223</v>
      </c>
      <c r="C14" s="42">
        <f>('МНК 1'!C15*$N$2)/(3.14*('начальные замеры'!$J$16/2)*'МНК 2'!$I$12)</f>
        <v>567.44268611645646</v>
      </c>
      <c r="D14" s="42">
        <f>('МНК 1'!D15*$N$2)/(3.14*('начальные замеры'!$J$16/2)*'МНК 2'!$I$12)</f>
        <v>549.33281315529302</v>
      </c>
      <c r="E14" s="42">
        <f>('МНК 1'!E15*$N$2)/(3.14*('начальные замеры'!$J$16/2)*'МНК 2'!$I$12)</f>
        <v>531.22294019412948</v>
      </c>
      <c r="F14" s="42">
        <f>('МНК 1'!F15*$N$2)/(3.14*('начальные замеры'!$J$16/2)*'МНК 2'!$I$12)</f>
        <v>501.03981859219033</v>
      </c>
      <c r="G14" s="42">
        <f>('МНК 1'!G15*$N$2)/(3.14*('начальные замеры'!$J$16/2)*'МНК 2'!$I$12)</f>
        <v>422.56370242714854</v>
      </c>
      <c r="H14" s="23">
        <f>('МНК 1'!H15*$N$2)/(3.14*('начальные замеры'!$J$16/2)*'МНК 2'!$I$12)</f>
        <v>283.72134305822823</v>
      </c>
      <c r="I14" s="72"/>
    </row>
    <row r="15" spans="1:14" x14ac:dyDescent="0.3">
      <c r="A15" s="37"/>
      <c r="B15" s="37"/>
      <c r="C15" s="37"/>
      <c r="D15" s="37"/>
      <c r="E15" s="37"/>
      <c r="F15" s="37"/>
      <c r="G15" s="37"/>
      <c r="H15" s="37"/>
      <c r="I15" s="72"/>
    </row>
    <row r="16" spans="1:14" x14ac:dyDescent="0.3">
      <c r="A16" s="72"/>
      <c r="B16" s="72"/>
      <c r="C16" s="72"/>
      <c r="D16" s="72"/>
      <c r="E16" s="72"/>
      <c r="F16" s="72"/>
      <c r="G16" s="72"/>
      <c r="H16" s="72"/>
      <c r="I16" s="72"/>
    </row>
    <row r="17" spans="1:8" x14ac:dyDescent="0.3">
      <c r="A17" s="72"/>
      <c r="B17" s="72"/>
      <c r="C17" s="72"/>
      <c r="D17" s="72"/>
      <c r="E17" s="72"/>
      <c r="F17" s="72"/>
      <c r="G17" s="72"/>
      <c r="H17" s="72"/>
    </row>
    <row r="18" spans="1:8" x14ac:dyDescent="0.3">
      <c r="A18" s="72"/>
      <c r="B18" s="72"/>
      <c r="C18" s="72"/>
      <c r="D18" s="72"/>
      <c r="E18" s="72"/>
      <c r="F18" s="72"/>
      <c r="G18" s="72"/>
      <c r="H18" s="72"/>
    </row>
    <row r="19" spans="1:8" x14ac:dyDescent="0.3">
      <c r="A19" s="72"/>
      <c r="B19" s="72"/>
      <c r="C19" s="72"/>
      <c r="D19" s="72"/>
      <c r="E19" s="72"/>
      <c r="F19" s="72"/>
      <c r="G19" s="72"/>
      <c r="H19" s="72"/>
    </row>
    <row r="20" spans="1:8" ht="15" thickBot="1" x14ac:dyDescent="0.35">
      <c r="A20" s="72"/>
      <c r="B20" s="72"/>
      <c r="C20" s="72"/>
      <c r="D20" s="72"/>
      <c r="E20" s="72"/>
      <c r="F20" s="72"/>
      <c r="G20" s="72"/>
      <c r="H20" s="72"/>
    </row>
    <row r="21" spans="1:8" ht="24" customHeight="1" thickBot="1" x14ac:dyDescent="0.35">
      <c r="A21" s="63" t="s">
        <v>8</v>
      </c>
      <c r="B21" s="67"/>
      <c r="C21" s="67"/>
      <c r="D21" s="67"/>
      <c r="E21" s="67"/>
      <c r="F21" s="67"/>
      <c r="G21" s="67"/>
      <c r="H21" s="68"/>
    </row>
    <row r="22" spans="1:8" ht="15" thickBot="1" x14ac:dyDescent="0.35">
      <c r="A22" s="43" t="s">
        <v>1</v>
      </c>
      <c r="B22" s="54">
        <v>1</v>
      </c>
      <c r="C22" s="44">
        <v>2</v>
      </c>
      <c r="D22" s="44">
        <v>3</v>
      </c>
      <c r="E22" s="44">
        <v>4</v>
      </c>
      <c r="F22" s="44">
        <v>5</v>
      </c>
      <c r="G22" s="44">
        <v>6</v>
      </c>
      <c r="H22" s="45">
        <v>7</v>
      </c>
    </row>
    <row r="23" spans="1:8" ht="15" thickBot="1" x14ac:dyDescent="0.35">
      <c r="A23" s="43" t="s">
        <v>45</v>
      </c>
      <c r="B23" s="41">
        <f>('МНК 1'!B25*$N$2)/(3.14*('начальные замеры'!$J$26/2)*'МНК 1'!$K$28)</f>
        <v>554.0627423869181</v>
      </c>
      <c r="C23" s="36">
        <f>('МНК 1'!C25*$N$2)/(3.14*('начальные замеры'!$J$26/2)*'МНК 1'!$K$28)</f>
        <v>529.97305793531291</v>
      </c>
      <c r="D23" s="36">
        <f>('МНК 1'!D25*$N$2)/(3.14*('начальные замеры'!$J$26/2)*'МНК 1'!$K$28)</f>
        <v>505.88337348370777</v>
      </c>
      <c r="E23" s="36">
        <f>('МНК 1'!E25*$N$2)/(3.14*('начальные замеры'!$J$26/2)*'МНК 1'!$K$28)</f>
        <v>447.37985410123821</v>
      </c>
      <c r="F23" s="36">
        <f>('МНК 1'!F25*$N$2)/(3.14*('начальные замеры'!$J$26/2)*'МНК 1'!$K$28)</f>
        <v>419.84878615654657</v>
      </c>
      <c r="G23" s="36">
        <f>('МНК 1'!G25*$N$2)/(3.14*('начальные замеры'!$J$26/2)*'МНК 1'!$K$28)</f>
        <v>378.55218423950919</v>
      </c>
      <c r="H23" s="21">
        <f>('МНК 1'!H25*$N$2)/(3.14*('начальные замеры'!$J$26/2)*'МНК 1'!$K$28)</f>
        <v>320.04866485703963</v>
      </c>
    </row>
    <row r="24" spans="1:8" ht="15" thickBot="1" x14ac:dyDescent="0.35">
      <c r="A24" s="43" t="s">
        <v>45</v>
      </c>
      <c r="B24" s="22">
        <f>('МНК 1'!B25*$N$2)/(3.14*('начальные замеры'!$J$26/2)*'МНК 2'!$I$22)</f>
        <v>678.72389040502458</v>
      </c>
      <c r="C24" s="42">
        <f>('МНК 1'!C25*$N$2)/(3.14*('начальные замеры'!$J$26/2)*'МНК 2'!$I$22)</f>
        <v>649.2141560395886</v>
      </c>
      <c r="D24" s="42">
        <f>('МНК 1'!D25*$N$2)/(3.14*('начальные замеры'!$J$26/2)*'МНК 2'!$I$22)</f>
        <v>619.70442167415285</v>
      </c>
      <c r="E24" s="42">
        <f>('МНК 1'!E25*$N$2)/(3.14*('начальные замеры'!$J$26/2)*'МНК 2'!$I$22)</f>
        <v>548.037923929523</v>
      </c>
      <c r="F24" s="42">
        <f>('МНК 1'!F25*$N$2)/(3.14*('начальные замеры'!$J$26/2)*'МНК 2'!$I$22)</f>
        <v>514.31251322616765</v>
      </c>
      <c r="G24" s="42">
        <f>('МНК 1'!G25*$N$2)/(3.14*('начальные замеры'!$J$26/2)*'МНК 2'!$I$22)</f>
        <v>463.72439717113474</v>
      </c>
      <c r="H24" s="23">
        <f>('МНК 1'!H25*$N$2)/(3.14*('начальные замеры'!$J$26/2)*'МНК 2'!$I$22)</f>
        <v>392.05789942650483</v>
      </c>
    </row>
    <row r="25" spans="1:8" x14ac:dyDescent="0.3">
      <c r="A25" s="37"/>
      <c r="B25" s="37"/>
      <c r="C25" s="37"/>
      <c r="D25" s="37"/>
      <c r="E25" s="37"/>
      <c r="F25" s="37"/>
      <c r="G25" s="37"/>
      <c r="H25" s="37"/>
    </row>
    <row r="26" spans="1:8" x14ac:dyDescent="0.3">
      <c r="A26" s="72"/>
      <c r="B26" s="72"/>
      <c r="C26" s="72"/>
      <c r="D26" s="72"/>
      <c r="E26" s="72"/>
      <c r="F26" s="72"/>
      <c r="G26" s="72"/>
      <c r="H26" s="72"/>
    </row>
    <row r="27" spans="1:8" x14ac:dyDescent="0.3">
      <c r="A27" s="72"/>
      <c r="B27" s="72"/>
      <c r="C27" s="72"/>
      <c r="D27" s="72"/>
      <c r="E27" s="72"/>
      <c r="F27" s="72"/>
      <c r="G27" s="72"/>
      <c r="H27" s="72"/>
    </row>
    <row r="28" spans="1:8" x14ac:dyDescent="0.3">
      <c r="A28" s="72"/>
      <c r="B28" s="72"/>
      <c r="C28" s="72"/>
      <c r="D28" s="72"/>
      <c r="E28" s="72"/>
      <c r="F28" s="72"/>
      <c r="G28" s="72"/>
      <c r="H28" s="72"/>
    </row>
  </sheetData>
  <mergeCells count="4">
    <mergeCell ref="A1:H1"/>
    <mergeCell ref="A11:H11"/>
    <mergeCell ref="A21:H21"/>
    <mergeCell ref="M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E4" zoomScale="115" zoomScaleNormal="115" workbookViewId="0">
      <selection activeCell="M17" sqref="M17"/>
    </sheetView>
  </sheetViews>
  <sheetFormatPr defaultRowHeight="14.4" x14ac:dyDescent="0.3"/>
  <cols>
    <col min="3" max="3" width="10.109375" bestFit="1" customWidth="1"/>
    <col min="8" max="8" width="12.109375" bestFit="1" customWidth="1"/>
    <col min="9" max="9" width="30.77734375" style="1" customWidth="1"/>
    <col min="10" max="10" width="30.77734375" style="2" customWidth="1"/>
    <col min="12" max="17" width="7.77734375" customWidth="1"/>
  </cols>
  <sheetData>
    <row r="1" spans="1:17" ht="24" thickBot="1" x14ac:dyDescent="0.35">
      <c r="A1" s="63" t="s">
        <v>0</v>
      </c>
      <c r="B1" s="64"/>
      <c r="C1" s="64"/>
      <c r="D1" s="64"/>
      <c r="E1" s="64"/>
      <c r="F1" s="64"/>
      <c r="G1" s="64"/>
      <c r="H1" s="65"/>
      <c r="I1"/>
    </row>
    <row r="2" spans="1:17" ht="14.4" customHeight="1" thickBot="1" x14ac:dyDescent="0.35">
      <c r="A2" s="46" t="s">
        <v>48</v>
      </c>
      <c r="B2" s="46" t="s">
        <v>49</v>
      </c>
      <c r="C2" s="17" t="s">
        <v>40</v>
      </c>
      <c r="D2" s="46" t="s">
        <v>50</v>
      </c>
      <c r="E2" s="19" t="s">
        <v>14</v>
      </c>
      <c r="F2" s="46" t="s">
        <v>20</v>
      </c>
      <c r="G2" s="34" t="s">
        <v>27</v>
      </c>
      <c r="H2" s="46" t="s">
        <v>47</v>
      </c>
      <c r="I2" s="46" t="s">
        <v>52</v>
      </c>
      <c r="J2" s="46" t="s">
        <v>51</v>
      </c>
    </row>
    <row r="3" spans="1:17" ht="15" thickBot="1" x14ac:dyDescent="0.35">
      <c r="A3" s="69">
        <f>'начальные замеры'!J6/2</f>
        <v>1E-3</v>
      </c>
      <c r="B3" s="70">
        <v>0.4</v>
      </c>
      <c r="C3" s="70">
        <f>'МНК 1'!K8</f>
        <v>2.4696031026193644E-5</v>
      </c>
      <c r="D3" s="70">
        <f>'начальные замеры'!B3/1000</f>
        <v>5.0000000000000001E-4</v>
      </c>
      <c r="E3" s="70">
        <f>'начальные замеры'!G7</f>
        <v>11.2</v>
      </c>
      <c r="F3" s="70">
        <f>'МНК 1'!H3</f>
        <v>663.35199999999998</v>
      </c>
      <c r="G3" s="70">
        <f>'МНК 1'!H5</f>
        <v>3.3000000000000003E-5</v>
      </c>
      <c r="H3" s="71">
        <f>ROUND(LN(A3),3)</f>
        <v>-6.9080000000000004</v>
      </c>
      <c r="I3" s="78">
        <f>(8*B3*C3*G3)/(3.14*F3)</f>
        <v>1.2520376517615884E-12</v>
      </c>
      <c r="J3" s="58">
        <f>LN((8*B3*C3*G3)/(3.14*F3))</f>
        <v>-27.40624877041083</v>
      </c>
    </row>
    <row r="4" spans="1:17" ht="15" thickBot="1" x14ac:dyDescent="0.35">
      <c r="A4" s="37"/>
      <c r="B4" s="37"/>
      <c r="C4" s="37"/>
      <c r="D4" s="37"/>
      <c r="E4" s="37"/>
      <c r="F4" s="37"/>
      <c r="G4" s="37"/>
      <c r="H4" s="76">
        <f>H13</f>
        <v>-6.5019999999999998</v>
      </c>
      <c r="J4" s="55">
        <f>J13</f>
        <v>-25.432210949181965</v>
      </c>
    </row>
    <row r="5" spans="1:17" ht="15" thickBot="1" x14ac:dyDescent="0.35">
      <c r="H5" s="77">
        <f>H23</f>
        <v>-6.2149999999999999</v>
      </c>
      <c r="I5" s="79" t="s">
        <v>54</v>
      </c>
      <c r="J5" s="55">
        <f>J23</f>
        <v>-23.802111193141535</v>
      </c>
    </row>
    <row r="6" spans="1:17" ht="15" thickBot="1" x14ac:dyDescent="0.35">
      <c r="I6" s="62">
        <f>I3^(1/4)</f>
        <v>1.0578019111603895E-3</v>
      </c>
    </row>
    <row r="7" spans="1:17" ht="15" thickBot="1" x14ac:dyDescent="0.35"/>
    <row r="8" spans="1:17" ht="15" thickBot="1" x14ac:dyDescent="0.35">
      <c r="I8" s="79" t="s">
        <v>53</v>
      </c>
    </row>
    <row r="9" spans="1:17" ht="15" thickBot="1" x14ac:dyDescent="0.35">
      <c r="I9" s="62">
        <f>J3/H3</f>
        <v>3.967320319978406</v>
      </c>
    </row>
    <row r="10" spans="1:17" ht="15" thickBot="1" x14ac:dyDescent="0.35"/>
    <row r="11" spans="1:17" ht="24" thickBot="1" x14ac:dyDescent="0.35">
      <c r="A11" s="63" t="s">
        <v>7</v>
      </c>
      <c r="B11" s="64"/>
      <c r="C11" s="64"/>
      <c r="D11" s="64"/>
      <c r="E11" s="64"/>
      <c r="F11" s="64"/>
      <c r="G11" s="64"/>
      <c r="H11" s="65"/>
    </row>
    <row r="12" spans="1:17" ht="15" thickBot="1" x14ac:dyDescent="0.35">
      <c r="A12" s="46" t="s">
        <v>48</v>
      </c>
      <c r="B12" s="46" t="s">
        <v>49</v>
      </c>
      <c r="C12" s="17" t="s">
        <v>40</v>
      </c>
      <c r="D12" s="46" t="s">
        <v>50</v>
      </c>
      <c r="E12" s="19" t="s">
        <v>14</v>
      </c>
      <c r="F12" s="46" t="s">
        <v>20</v>
      </c>
      <c r="G12" s="34" t="s">
        <v>27</v>
      </c>
      <c r="H12" s="46" t="s">
        <v>47</v>
      </c>
      <c r="I12" s="46" t="s">
        <v>52</v>
      </c>
      <c r="J12" s="46" t="s">
        <v>51</v>
      </c>
      <c r="L12" s="73" t="s">
        <v>22</v>
      </c>
      <c r="M12" s="74"/>
      <c r="N12" s="74"/>
      <c r="O12" s="74"/>
      <c r="P12" s="74"/>
      <c r="Q12" s="75"/>
    </row>
    <row r="13" spans="1:17" ht="15" thickBot="1" x14ac:dyDescent="0.35">
      <c r="A13" s="69">
        <f>'начальные замеры'!J16/2</f>
        <v>1.5E-3</v>
      </c>
      <c r="B13" s="70">
        <v>0.4</v>
      </c>
      <c r="C13" s="70">
        <f>'МНК 1'!K18</f>
        <v>3.8641193790825284E-5</v>
      </c>
      <c r="D13" s="70">
        <f>'начальные замеры'!B13/1000</f>
        <v>5.0000000000000001E-4</v>
      </c>
      <c r="E13" s="70">
        <f>'начальные замеры'!G17</f>
        <v>5.2</v>
      </c>
      <c r="F13" s="70">
        <f>'МНК 1'!H13</f>
        <v>205.32300000000001</v>
      </c>
      <c r="G13" s="70">
        <f>'МНК 1'!H15</f>
        <v>4.6999999999999997E-5</v>
      </c>
      <c r="H13" s="71">
        <f>ROUND(LN(A13),3)</f>
        <v>-6.5019999999999998</v>
      </c>
      <c r="I13" s="78">
        <f>(8*B13*C13*G13)/(3.14*F13)</f>
        <v>9.0142816240971408E-12</v>
      </c>
      <c r="J13" s="58">
        <f>LN((8*B13*C13*G13)/(3.14*F13))</f>
        <v>-25.432210949181965</v>
      </c>
      <c r="L13" s="46" t="s">
        <v>24</v>
      </c>
      <c r="M13" s="45">
        <f>ROUND(AVERAGE(H3,H13,H23),3)</f>
        <v>-6.5419999999999998</v>
      </c>
      <c r="N13" s="46" t="s">
        <v>25</v>
      </c>
      <c r="O13" s="45">
        <f>AVERAGE(J3*H3,J13*H13,J23*H23)</f>
        <v>167.53757438765126</v>
      </c>
      <c r="P13" s="57" t="s">
        <v>32</v>
      </c>
      <c r="Q13" s="45">
        <f>LINEST(J3:J5,H3:H5)</f>
        <v>5.1782866359249393</v>
      </c>
    </row>
    <row r="14" spans="1:17" ht="15" thickBot="1" x14ac:dyDescent="0.35">
      <c r="L14" s="34" t="s">
        <v>23</v>
      </c>
      <c r="M14" s="45">
        <f>ROUND(AVERAGE(J3,J13,J23),3)</f>
        <v>-25.547000000000001</v>
      </c>
      <c r="N14" s="34" t="s">
        <v>26</v>
      </c>
      <c r="O14" s="23">
        <f>ROUND(AVERAGE(H3^2,H13^2,H23^2),3)</f>
        <v>42.874000000000002</v>
      </c>
      <c r="P14" s="57" t="s">
        <v>33</v>
      </c>
      <c r="Q14" s="45">
        <f>ROUND(M14-Q13*M13,4)</f>
        <v>8.3293999999999997</v>
      </c>
    </row>
    <row r="15" spans="1:17" ht="15" thickBot="1" x14ac:dyDescent="0.35">
      <c r="I15" s="79" t="s">
        <v>54</v>
      </c>
      <c r="P15" s="46" t="s">
        <v>36</v>
      </c>
      <c r="Q15" s="45">
        <v>0.22700000000000001</v>
      </c>
    </row>
    <row r="16" spans="1:17" ht="15" thickBot="1" x14ac:dyDescent="0.35">
      <c r="I16" s="62">
        <f>I13^(1/4)</f>
        <v>1.7327375240208506E-3</v>
      </c>
      <c r="P16" s="34" t="s">
        <v>37</v>
      </c>
      <c r="Q16" s="23">
        <v>1.4850000000000001</v>
      </c>
    </row>
    <row r="17" spans="1:10" ht="15" thickBot="1" x14ac:dyDescent="0.35"/>
    <row r="18" spans="1:10" ht="15" thickBot="1" x14ac:dyDescent="0.35">
      <c r="I18" s="79" t="s">
        <v>53</v>
      </c>
    </row>
    <row r="19" spans="1:10" ht="15" thickBot="1" x14ac:dyDescent="0.35">
      <c r="I19" s="62">
        <f>J13/H13</f>
        <v>3.9114443170073772</v>
      </c>
    </row>
    <row r="20" spans="1:10" ht="15" thickBot="1" x14ac:dyDescent="0.35"/>
    <row r="21" spans="1:10" ht="24" thickBot="1" x14ac:dyDescent="0.35">
      <c r="A21" s="63" t="s">
        <v>8</v>
      </c>
      <c r="B21" s="64"/>
      <c r="C21" s="64"/>
      <c r="D21" s="64"/>
      <c r="E21" s="64"/>
      <c r="F21" s="64"/>
      <c r="G21" s="64"/>
      <c r="H21" s="65"/>
    </row>
    <row r="22" spans="1:10" ht="15" thickBot="1" x14ac:dyDescent="0.35">
      <c r="A22" s="46" t="s">
        <v>48</v>
      </c>
      <c r="B22" s="46" t="s">
        <v>49</v>
      </c>
      <c r="C22" s="17" t="s">
        <v>40</v>
      </c>
      <c r="D22" s="46" t="s">
        <v>50</v>
      </c>
      <c r="E22" s="19" t="s">
        <v>14</v>
      </c>
      <c r="F22" s="46" t="s">
        <v>20</v>
      </c>
      <c r="G22" s="34" t="s">
        <v>27</v>
      </c>
      <c r="H22" s="46" t="s">
        <v>47</v>
      </c>
      <c r="I22" s="46" t="s">
        <v>52</v>
      </c>
      <c r="J22" s="46" t="s">
        <v>51</v>
      </c>
    </row>
    <row r="23" spans="1:10" ht="15" thickBot="1" x14ac:dyDescent="0.35">
      <c r="A23" s="69">
        <f>'начальные замеры'!J26/2</f>
        <v>2E-3</v>
      </c>
      <c r="B23" s="70">
        <v>0.4</v>
      </c>
      <c r="C23" s="70">
        <f>'МНК 1'!K28</f>
        <v>5.3674162198795181E-5</v>
      </c>
      <c r="D23" s="70">
        <f>'начальные замеры'!B23/1000</f>
        <v>1E-3</v>
      </c>
      <c r="E23" s="70">
        <f>'начальные замеры'!G27</f>
        <v>6.2</v>
      </c>
      <c r="F23" s="70">
        <f>'МНК 1'!H23</f>
        <v>110.559</v>
      </c>
      <c r="G23" s="70">
        <f>'МНК 1'!H25</f>
        <v>9.2999999999999997E-5</v>
      </c>
      <c r="H23" s="71">
        <f>ROUND(LN(A23),3)</f>
        <v>-6.2149999999999999</v>
      </c>
      <c r="I23" s="78">
        <f>(8*B23*C23*G23)/(3.14*F23)</f>
        <v>4.6012353868299295E-11</v>
      </c>
      <c r="J23" s="58">
        <f>LN((8*B23*C23*G23)/(3.14*F23))</f>
        <v>-23.802111193141535</v>
      </c>
    </row>
    <row r="24" spans="1:10" ht="15" thickBot="1" x14ac:dyDescent="0.35"/>
    <row r="25" spans="1:10" ht="15" thickBot="1" x14ac:dyDescent="0.35">
      <c r="I25" s="79" t="s">
        <v>54</v>
      </c>
    </row>
    <row r="26" spans="1:10" ht="15" thickBot="1" x14ac:dyDescent="0.35">
      <c r="I26" s="62">
        <f>I23^(1/4)</f>
        <v>2.6044655231428904E-3</v>
      </c>
    </row>
    <row r="27" spans="1:10" ht="15" thickBot="1" x14ac:dyDescent="0.35"/>
    <row r="28" spans="1:10" ht="15" thickBot="1" x14ac:dyDescent="0.35">
      <c r="I28" s="79" t="s">
        <v>53</v>
      </c>
    </row>
    <row r="29" spans="1:10" ht="15" thickBot="1" x14ac:dyDescent="0.35">
      <c r="I29" s="62">
        <f>J23/H23</f>
        <v>3.8297845845762728</v>
      </c>
    </row>
  </sheetData>
  <mergeCells count="4">
    <mergeCell ref="A1:H1"/>
    <mergeCell ref="A11:H11"/>
    <mergeCell ref="A21:H21"/>
    <mergeCell ref="L12:Q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начальные замеры</vt:lpstr>
      <vt:lpstr>МНК 1</vt:lpstr>
      <vt:lpstr>МНК 2</vt:lpstr>
      <vt:lpstr>Число Рейнольдса</vt:lpstr>
      <vt:lpstr>Двойной лог. масштаб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Dmirty</dc:creator>
  <cp:lastModifiedBy>Dmitry Dmirty</cp:lastModifiedBy>
  <dcterms:created xsi:type="dcterms:W3CDTF">2024-03-20T20:09:46Z</dcterms:created>
  <dcterms:modified xsi:type="dcterms:W3CDTF">2024-03-21T04:40:47Z</dcterms:modified>
</cp:coreProperties>
</file>